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C:\CEDS-Deploy\Upload\"/>
    </mc:Choice>
  </mc:AlternateContent>
  <xr:revisionPtr revIDLastSave="0" documentId="13_ncr:1_{344A3C60-D08F-4AF3-8400-B3F2F0DB4586}" xr6:coauthVersionLast="47" xr6:coauthVersionMax="47" xr10:uidLastSave="{00000000-0000-0000-0000-000000000000}"/>
  <bookViews>
    <workbookView xWindow="19090" yWindow="-110" windowWidth="38620" windowHeight="21100" activeTab="4" xr2:uid="{00000000-000D-0000-FFFF-FFFF00000000}"/>
  </bookViews>
  <sheets>
    <sheet name="New" sheetId="11" r:id="rId1"/>
    <sheet name="Changed" sheetId="12" r:id="rId2"/>
    <sheet name="All - By Name" sheetId="17" r:id="rId3"/>
    <sheet name="All - By Domain" sheetId="16" r:id="rId4"/>
    <sheet name="Extend Elements" sheetId="18" r:id="rId5"/>
  </sheets>
  <definedNames>
    <definedName name="_xlnm._FilterDatabase" localSheetId="3" hidden="1">'All - By Domain'!$A$1:$Q$1</definedName>
    <definedName name="_xlnm._FilterDatabase" localSheetId="2" hidden="1">'All - By Name'!$A$1:$M$1</definedName>
    <definedName name="_xlnm._FilterDatabase" localSheetId="1" hidden="1">Changed!$A$1:$M$1</definedName>
    <definedName name="_xlnm._FilterDatabase" localSheetId="0" hidden="1">New!$A$1:$M$1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 i="16" l="1"/>
  <c r="P3" i="16"/>
  <c r="P4" i="16"/>
  <c r="P5" i="16"/>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K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K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K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P502" i="16"/>
  <c r="P503" i="16"/>
  <c r="P504" i="16"/>
  <c r="P505" i="16"/>
  <c r="P506" i="16"/>
  <c r="P507" i="16"/>
  <c r="P508" i="16"/>
  <c r="P509" i="16"/>
  <c r="P510" i="16"/>
  <c r="P511" i="16"/>
  <c r="P512" i="16"/>
  <c r="P513" i="16"/>
  <c r="P514" i="16"/>
  <c r="P515" i="16"/>
  <c r="P516" i="16"/>
  <c r="K519" i="16"/>
  <c r="P520" i="16"/>
  <c r="P521" i="16"/>
  <c r="P522" i="16"/>
  <c r="P523" i="16"/>
  <c r="P524" i="16"/>
  <c r="P525" i="16"/>
  <c r="P526" i="16"/>
  <c r="P527" i="16"/>
  <c r="P528" i="16"/>
  <c r="P529" i="16"/>
  <c r="P530" i="16"/>
  <c r="P531" i="16"/>
  <c r="P532" i="16"/>
  <c r="P533" i="16"/>
  <c r="P534" i="16"/>
  <c r="P535" i="16"/>
  <c r="P536" i="16"/>
  <c r="P537" i="16"/>
  <c r="P538" i="16"/>
  <c r="P539" i="16"/>
  <c r="P540" i="16"/>
  <c r="P541" i="16"/>
  <c r="P542" i="16"/>
  <c r="P543" i="16"/>
  <c r="P544" i="16"/>
  <c r="P545" i="16"/>
  <c r="P546" i="16"/>
  <c r="P547" i="16"/>
  <c r="P548" i="16"/>
  <c r="K550" i="16"/>
  <c r="P551" i="16"/>
  <c r="P552" i="16"/>
  <c r="P553" i="16"/>
  <c r="P554" i="16"/>
  <c r="P555" i="16"/>
  <c r="P556" i="16"/>
  <c r="P557" i="16"/>
  <c r="P558" i="16"/>
  <c r="P559" i="16"/>
  <c r="P560" i="16"/>
  <c r="P561" i="16"/>
  <c r="P562" i="16"/>
  <c r="P563" i="16"/>
  <c r="P564" i="16"/>
  <c r="P565" i="16"/>
  <c r="P566" i="16"/>
  <c r="P567" i="16"/>
  <c r="P568" i="16"/>
  <c r="P569" i="16"/>
  <c r="P570" i="16"/>
  <c r="P571" i="16"/>
  <c r="P572" i="16"/>
  <c r="P573" i="16"/>
  <c r="P574" i="16"/>
  <c r="P575" i="16"/>
  <c r="P576" i="16"/>
  <c r="P577" i="16"/>
  <c r="P578" i="16"/>
  <c r="P579" i="16"/>
  <c r="P580" i="16"/>
  <c r="P581" i="16"/>
  <c r="P582" i="16"/>
  <c r="P583" i="16"/>
  <c r="P584" i="16"/>
  <c r="P585" i="16"/>
  <c r="P586" i="16"/>
  <c r="P587" i="16"/>
  <c r="P588" i="16"/>
  <c r="P589" i="16"/>
  <c r="P590" i="16"/>
  <c r="P591" i="16"/>
  <c r="P592" i="16"/>
  <c r="P593" i="16"/>
  <c r="P594" i="16"/>
  <c r="P595" i="16"/>
  <c r="P596" i="16"/>
  <c r="P597" i="16"/>
  <c r="P598" i="16"/>
  <c r="P599" i="16"/>
  <c r="P600" i="16"/>
  <c r="P601" i="16"/>
  <c r="P602" i="16"/>
  <c r="P603" i="16"/>
  <c r="P604" i="16"/>
  <c r="P605" i="16"/>
  <c r="P606" i="16"/>
  <c r="P607" i="16"/>
  <c r="P608" i="16"/>
  <c r="P609" i="16"/>
  <c r="P610" i="16"/>
  <c r="P611" i="16"/>
  <c r="P612" i="16"/>
  <c r="P613" i="16"/>
  <c r="P614" i="16"/>
  <c r="P615" i="16"/>
  <c r="P616" i="16"/>
  <c r="P617" i="16"/>
  <c r="P618" i="16"/>
  <c r="P619" i="16"/>
  <c r="P620" i="16"/>
  <c r="P621" i="16"/>
  <c r="P622" i="16"/>
  <c r="P623" i="16"/>
  <c r="P624" i="16"/>
  <c r="P625" i="16"/>
  <c r="P626" i="16"/>
  <c r="P627" i="16"/>
  <c r="P628" i="16"/>
  <c r="P629" i="16"/>
  <c r="P630" i="16"/>
  <c r="P631" i="16"/>
  <c r="P632" i="16"/>
  <c r="P633" i="16"/>
  <c r="P634" i="16"/>
  <c r="P635" i="16"/>
  <c r="P636" i="16"/>
  <c r="P637" i="16"/>
  <c r="P638" i="16"/>
  <c r="P639" i="16"/>
  <c r="P640" i="16"/>
  <c r="P641" i="16"/>
  <c r="P642" i="16"/>
  <c r="P643" i="16"/>
  <c r="P644" i="16"/>
  <c r="P645" i="16"/>
  <c r="P646" i="16"/>
  <c r="P647" i="16"/>
  <c r="P648" i="16"/>
  <c r="P649" i="16"/>
  <c r="P650" i="16"/>
  <c r="P651" i="16"/>
  <c r="P652" i="16"/>
  <c r="P653" i="16"/>
  <c r="P654" i="16"/>
  <c r="P655" i="16"/>
  <c r="P656" i="16"/>
  <c r="P657" i="16"/>
  <c r="P658" i="16"/>
  <c r="P659" i="16"/>
  <c r="P660" i="16"/>
  <c r="P661" i="16"/>
  <c r="P662" i="16"/>
  <c r="P663" i="16"/>
  <c r="P664" i="16"/>
  <c r="P665" i="16"/>
  <c r="K668" i="16"/>
  <c r="P669" i="16"/>
  <c r="P670" i="16"/>
  <c r="P671" i="16"/>
  <c r="P672" i="16"/>
  <c r="P673" i="16"/>
  <c r="P674" i="16"/>
  <c r="P675" i="16"/>
  <c r="P676" i="16"/>
  <c r="P677" i="16"/>
  <c r="P678" i="16"/>
  <c r="P679" i="16"/>
  <c r="P680" i="16"/>
  <c r="P681" i="16"/>
  <c r="P682" i="16"/>
  <c r="P683" i="16"/>
  <c r="P684" i="16"/>
  <c r="P685" i="16"/>
  <c r="P686" i="16"/>
  <c r="P687" i="16"/>
  <c r="P688" i="16"/>
  <c r="P689" i="16"/>
  <c r="P690" i="16"/>
  <c r="P691" i="16"/>
  <c r="P692" i="16"/>
  <c r="P693" i="16"/>
  <c r="P694" i="16"/>
  <c r="P695" i="16"/>
  <c r="P696" i="16"/>
  <c r="P697" i="16"/>
  <c r="P698" i="16"/>
  <c r="P699" i="16"/>
  <c r="P700" i="16"/>
  <c r="P701" i="16"/>
  <c r="P702" i="16"/>
  <c r="P703" i="16"/>
  <c r="P704" i="16"/>
  <c r="P705" i="16"/>
  <c r="P706" i="16"/>
  <c r="P707" i="16"/>
  <c r="P708" i="16"/>
  <c r="P709" i="16"/>
  <c r="P710" i="16"/>
  <c r="P711" i="16"/>
  <c r="P712" i="16"/>
  <c r="P713" i="16"/>
  <c r="P714" i="16"/>
  <c r="P715" i="16"/>
  <c r="P716" i="16"/>
  <c r="P717" i="16"/>
  <c r="P718" i="16"/>
  <c r="P719" i="16"/>
  <c r="P720" i="16"/>
  <c r="P721" i="16"/>
  <c r="P722" i="16"/>
  <c r="P723" i="16"/>
  <c r="P724" i="16"/>
  <c r="P725" i="16"/>
  <c r="P726" i="16"/>
  <c r="P727" i="16"/>
  <c r="P728" i="16"/>
  <c r="P729" i="16"/>
  <c r="P730" i="16"/>
  <c r="P731" i="16"/>
  <c r="P732" i="16"/>
  <c r="P733" i="16"/>
  <c r="P734" i="16"/>
  <c r="P735" i="16"/>
  <c r="P736" i="16"/>
  <c r="P737" i="16"/>
  <c r="P738" i="16"/>
  <c r="P739" i="16"/>
  <c r="P740" i="16"/>
  <c r="P741" i="16"/>
  <c r="P742" i="16"/>
  <c r="P743" i="16"/>
  <c r="P744" i="16"/>
  <c r="P745" i="16"/>
  <c r="P746" i="16"/>
  <c r="P747" i="16"/>
  <c r="P748" i="16"/>
  <c r="P749" i="16"/>
  <c r="P750" i="16"/>
  <c r="P751" i="16"/>
  <c r="P752" i="16"/>
  <c r="P753" i="16"/>
  <c r="P754" i="16"/>
  <c r="P755" i="16"/>
  <c r="P756" i="16"/>
  <c r="P757" i="16"/>
  <c r="P758" i="16"/>
  <c r="P759" i="16"/>
  <c r="P760" i="16"/>
  <c r="P761" i="16"/>
  <c r="P762" i="16"/>
  <c r="P763" i="16"/>
  <c r="P764" i="16"/>
  <c r="P765" i="16"/>
  <c r="P766" i="16"/>
  <c r="P767" i="16"/>
  <c r="P768" i="16"/>
  <c r="P769" i="16"/>
  <c r="P770" i="16"/>
  <c r="P771" i="16"/>
  <c r="P772" i="16"/>
  <c r="P773" i="16"/>
  <c r="P774" i="16"/>
  <c r="P775" i="16"/>
  <c r="P776" i="16"/>
  <c r="P777" i="16"/>
  <c r="P778" i="16"/>
  <c r="P779" i="16"/>
  <c r="P780" i="16"/>
  <c r="P781" i="16"/>
  <c r="P782" i="16"/>
  <c r="P783" i="16"/>
  <c r="P784" i="16"/>
  <c r="P785" i="16"/>
  <c r="P786" i="16"/>
  <c r="P787" i="16"/>
  <c r="P788" i="16"/>
  <c r="P789" i="16"/>
  <c r="P790" i="16"/>
  <c r="P791" i="16"/>
  <c r="P792" i="16"/>
  <c r="P793" i="16"/>
  <c r="P794" i="16"/>
  <c r="P795" i="16"/>
  <c r="P796" i="16"/>
  <c r="P797" i="16"/>
  <c r="P798" i="16"/>
  <c r="P799" i="16"/>
  <c r="P800" i="16"/>
  <c r="P801" i="16"/>
  <c r="P802" i="16"/>
  <c r="P803" i="16"/>
  <c r="P804" i="16"/>
  <c r="P805" i="16"/>
  <c r="P806" i="16"/>
  <c r="P807" i="16"/>
  <c r="P808" i="16"/>
  <c r="P809" i="16"/>
  <c r="P810" i="16"/>
  <c r="P811" i="16"/>
  <c r="P812" i="16"/>
  <c r="P813" i="16"/>
  <c r="P814" i="16"/>
  <c r="P815" i="16"/>
  <c r="P816" i="16"/>
  <c r="P817" i="16"/>
  <c r="P818" i="16"/>
  <c r="P819" i="16"/>
  <c r="P820" i="16"/>
  <c r="P821" i="16"/>
  <c r="P822" i="16"/>
  <c r="P823" i="16"/>
  <c r="P824" i="16"/>
  <c r="P825" i="16"/>
  <c r="P826" i="16"/>
  <c r="P827" i="16"/>
  <c r="P828" i="16"/>
  <c r="P829" i="16"/>
  <c r="P830" i="16"/>
  <c r="P831" i="16"/>
  <c r="P832" i="16"/>
  <c r="P833" i="16"/>
  <c r="P834" i="16"/>
  <c r="P835" i="16"/>
  <c r="P836" i="16"/>
  <c r="P837" i="16"/>
  <c r="P838" i="16"/>
  <c r="P839" i="16"/>
  <c r="P840" i="16"/>
  <c r="P841" i="16"/>
  <c r="P842" i="16"/>
  <c r="P843" i="16"/>
  <c r="P844" i="16"/>
  <c r="P845" i="16"/>
  <c r="P846" i="16"/>
  <c r="P847" i="16"/>
  <c r="P848" i="16"/>
  <c r="P849" i="16"/>
  <c r="P850" i="16"/>
  <c r="P851" i="16"/>
  <c r="P852" i="16"/>
  <c r="P853" i="16"/>
  <c r="P854" i="16"/>
  <c r="P855" i="16"/>
  <c r="P856" i="16"/>
  <c r="P857" i="16"/>
  <c r="P858" i="16"/>
  <c r="P859" i="16"/>
  <c r="P860" i="16"/>
  <c r="P861" i="16"/>
  <c r="P862" i="16"/>
  <c r="P863" i="16"/>
  <c r="P864" i="16"/>
  <c r="P865" i="16"/>
  <c r="P866" i="16"/>
  <c r="P867" i="16"/>
  <c r="P868" i="16"/>
  <c r="P869" i="16"/>
  <c r="P870" i="16"/>
  <c r="P871" i="16"/>
  <c r="P872" i="16"/>
  <c r="P873" i="16"/>
  <c r="P874" i="16"/>
  <c r="P875" i="16"/>
  <c r="P876" i="16"/>
  <c r="P877" i="16"/>
  <c r="P878" i="16"/>
  <c r="P879" i="16"/>
  <c r="P880" i="16"/>
  <c r="P881" i="16"/>
  <c r="P882" i="16"/>
  <c r="P883" i="16"/>
  <c r="P884" i="16"/>
  <c r="P885" i="16"/>
  <c r="P886" i="16"/>
  <c r="P887" i="16"/>
  <c r="P888" i="16"/>
  <c r="P889" i="16"/>
  <c r="P890" i="16"/>
  <c r="P891" i="16"/>
  <c r="P892" i="16"/>
  <c r="P893" i="16"/>
  <c r="P894" i="16"/>
  <c r="P895" i="16"/>
  <c r="P896" i="16"/>
  <c r="P897" i="16"/>
  <c r="P898" i="16"/>
  <c r="P899" i="16"/>
  <c r="P900" i="16"/>
  <c r="P901" i="16"/>
  <c r="P902" i="16"/>
  <c r="P903" i="16"/>
  <c r="P904" i="16"/>
  <c r="P905" i="16"/>
  <c r="P906" i="16"/>
  <c r="P907" i="16"/>
  <c r="P908" i="16"/>
  <c r="P909" i="16"/>
  <c r="P910" i="16"/>
  <c r="P911" i="16"/>
  <c r="P912" i="16"/>
  <c r="P913" i="16"/>
  <c r="P914" i="16"/>
  <c r="P915" i="16"/>
  <c r="P916" i="16"/>
  <c r="P917" i="16"/>
  <c r="P918" i="16"/>
  <c r="P919" i="16"/>
  <c r="P920" i="16"/>
  <c r="P921" i="16"/>
  <c r="P922" i="16"/>
  <c r="P923" i="16"/>
  <c r="P924" i="16"/>
  <c r="P925" i="16"/>
  <c r="P926" i="16"/>
  <c r="P927" i="16"/>
  <c r="P928" i="16"/>
  <c r="P929" i="16"/>
  <c r="P930" i="16"/>
  <c r="P931" i="16"/>
  <c r="P932" i="16"/>
  <c r="P933" i="16"/>
  <c r="P934" i="16"/>
  <c r="P935" i="16"/>
  <c r="P936" i="16"/>
  <c r="P937" i="16"/>
  <c r="P938" i="16"/>
  <c r="P939" i="16"/>
  <c r="P940" i="16"/>
  <c r="P941" i="16"/>
  <c r="P942" i="16"/>
  <c r="P943" i="16"/>
  <c r="P944" i="16"/>
  <c r="P945" i="16"/>
  <c r="P946" i="16"/>
  <c r="P947" i="16"/>
  <c r="P948" i="16"/>
  <c r="P949" i="16"/>
  <c r="P950" i="16"/>
  <c r="P951" i="16"/>
  <c r="P952" i="16"/>
  <c r="P953" i="16"/>
  <c r="P954" i="16"/>
  <c r="P955" i="16"/>
  <c r="P956" i="16"/>
  <c r="P957" i="16"/>
  <c r="P958" i="16"/>
  <c r="P959" i="16"/>
  <c r="P960" i="16"/>
  <c r="P961" i="16"/>
  <c r="P962" i="16"/>
  <c r="P963" i="16"/>
  <c r="P964" i="16"/>
  <c r="P965" i="16"/>
  <c r="P966" i="16"/>
  <c r="P967" i="16"/>
  <c r="P968" i="16"/>
  <c r="P969" i="16"/>
  <c r="P970" i="16"/>
  <c r="P971" i="16"/>
  <c r="P972" i="16"/>
  <c r="P973" i="16"/>
  <c r="P974" i="16"/>
  <c r="P975" i="16"/>
  <c r="P976" i="16"/>
  <c r="P977" i="16"/>
  <c r="P978" i="16"/>
  <c r="P979" i="16"/>
  <c r="P980" i="16"/>
  <c r="P981" i="16"/>
  <c r="P982" i="16"/>
  <c r="P983" i="16"/>
  <c r="P984" i="16"/>
  <c r="P985" i="16"/>
  <c r="P986" i="16"/>
  <c r="P987" i="16"/>
  <c r="P988" i="16"/>
  <c r="P989" i="16"/>
  <c r="P990" i="16"/>
  <c r="P991" i="16"/>
  <c r="P992" i="16"/>
  <c r="P993" i="16"/>
  <c r="P994" i="16"/>
  <c r="P995" i="16"/>
  <c r="P996" i="16"/>
  <c r="P997" i="16"/>
  <c r="P998" i="16"/>
  <c r="P999" i="16"/>
  <c r="P1000" i="16"/>
  <c r="P1001" i="16"/>
  <c r="P1002" i="16"/>
  <c r="P1003" i="16"/>
  <c r="P1004" i="16"/>
  <c r="P1005" i="16"/>
  <c r="P1006" i="16"/>
  <c r="P1007" i="16"/>
  <c r="P1008" i="16"/>
  <c r="P1009" i="16"/>
  <c r="P1010" i="16"/>
  <c r="P1011" i="16"/>
  <c r="P1012" i="16"/>
  <c r="P1013" i="16"/>
  <c r="P1014" i="16"/>
  <c r="P1015" i="16"/>
  <c r="P1016" i="16"/>
  <c r="P1017" i="16"/>
  <c r="P1018" i="16"/>
  <c r="P1019" i="16"/>
  <c r="P1020" i="16"/>
  <c r="P1021" i="16"/>
  <c r="P1022" i="16"/>
  <c r="P1023" i="16"/>
  <c r="P1024" i="16"/>
  <c r="P1025" i="16"/>
  <c r="P1026" i="16"/>
  <c r="P1027" i="16"/>
  <c r="P1028" i="16"/>
  <c r="P1029" i="16"/>
  <c r="P1030" i="16"/>
  <c r="P1031" i="16"/>
  <c r="P1032" i="16"/>
  <c r="P1033" i="16"/>
  <c r="P1034" i="16"/>
  <c r="P1035" i="16"/>
  <c r="P1036" i="16"/>
  <c r="P1037" i="16"/>
  <c r="P1038" i="16"/>
  <c r="P1039" i="16"/>
  <c r="P1040" i="16"/>
  <c r="P1041" i="16"/>
  <c r="P1042" i="16"/>
  <c r="P1043" i="16"/>
  <c r="P1044" i="16"/>
  <c r="P1045" i="16"/>
  <c r="P1046" i="16"/>
  <c r="P1047" i="16"/>
  <c r="P1048" i="16"/>
  <c r="P1049" i="16"/>
  <c r="P1050" i="16"/>
  <c r="P1051" i="16"/>
  <c r="P1052" i="16"/>
  <c r="P1053" i="16"/>
  <c r="P1054" i="16"/>
  <c r="P1055" i="16"/>
  <c r="P1056" i="16"/>
  <c r="P1057" i="16"/>
  <c r="P1058" i="16"/>
  <c r="P1059" i="16"/>
  <c r="P1060" i="16"/>
  <c r="P1061" i="16"/>
  <c r="P1062" i="16"/>
  <c r="P1063" i="16"/>
  <c r="P1064" i="16"/>
  <c r="P1065" i="16"/>
  <c r="P1066" i="16"/>
  <c r="P1067" i="16"/>
  <c r="P1068" i="16"/>
  <c r="P1069" i="16"/>
  <c r="P1070" i="16"/>
  <c r="P1071" i="16"/>
  <c r="P1072" i="16"/>
  <c r="P1073" i="16"/>
  <c r="P1074" i="16"/>
  <c r="P1075" i="16"/>
  <c r="P1076" i="16"/>
  <c r="P1077" i="16"/>
  <c r="P1078" i="16"/>
  <c r="P1079" i="16"/>
  <c r="P1080" i="16"/>
  <c r="P1081" i="16"/>
  <c r="P1082" i="16"/>
  <c r="P1083" i="16"/>
  <c r="P1084" i="16"/>
  <c r="P1085" i="16"/>
  <c r="P1086" i="16"/>
  <c r="P1087" i="16"/>
  <c r="P1088" i="16"/>
  <c r="P1089" i="16"/>
  <c r="P1090" i="16"/>
  <c r="P1091" i="16"/>
  <c r="P1092" i="16"/>
  <c r="P1093" i="16"/>
  <c r="P1094" i="16"/>
  <c r="P1095" i="16"/>
  <c r="P1096" i="16"/>
  <c r="P1097" i="16"/>
  <c r="P1098" i="16"/>
  <c r="P1099" i="16"/>
  <c r="P1100" i="16"/>
  <c r="P1101" i="16"/>
  <c r="P1102" i="16"/>
  <c r="P1103" i="16"/>
  <c r="P1104" i="16"/>
  <c r="P1105" i="16"/>
  <c r="P1106" i="16"/>
  <c r="P1107" i="16"/>
  <c r="P1108" i="16"/>
  <c r="P1109" i="16"/>
  <c r="P1110" i="16"/>
  <c r="P1111" i="16"/>
  <c r="P1112" i="16"/>
  <c r="P1113" i="16"/>
  <c r="P1114" i="16"/>
  <c r="P1115" i="16"/>
  <c r="P1116" i="16"/>
  <c r="P1117" i="16"/>
  <c r="P1118" i="16"/>
  <c r="P1119" i="16"/>
  <c r="P1120" i="16"/>
  <c r="P1121" i="16"/>
  <c r="P1122" i="16"/>
  <c r="P1123" i="16"/>
  <c r="P1124" i="16"/>
  <c r="P1125" i="16"/>
  <c r="P1126" i="16"/>
  <c r="P1127" i="16"/>
  <c r="P1128" i="16"/>
  <c r="P1129" i="16"/>
  <c r="P1130" i="16"/>
  <c r="P1131" i="16"/>
  <c r="P1132" i="16"/>
  <c r="P1133" i="16"/>
  <c r="P1134" i="16"/>
  <c r="P1135" i="16"/>
  <c r="P1136" i="16"/>
  <c r="P1137" i="16"/>
  <c r="P1138" i="16"/>
  <c r="P1139" i="16"/>
  <c r="P1140" i="16"/>
  <c r="P1141" i="16"/>
  <c r="P1142" i="16"/>
  <c r="P1143" i="16"/>
  <c r="P1144" i="16"/>
  <c r="P1145" i="16"/>
  <c r="P1146" i="16"/>
  <c r="P1147" i="16"/>
  <c r="P1148" i="16"/>
  <c r="P1149" i="16"/>
  <c r="P1150" i="16"/>
  <c r="P1151" i="16"/>
  <c r="P1152" i="16"/>
  <c r="P1153" i="16"/>
  <c r="P1154" i="16"/>
  <c r="P1155" i="16"/>
  <c r="P1156" i="16"/>
  <c r="P1157" i="16"/>
  <c r="P1158" i="16"/>
  <c r="P1159" i="16"/>
  <c r="P1160" i="16"/>
  <c r="P1161" i="16"/>
  <c r="P1162" i="16"/>
  <c r="P1163" i="16"/>
  <c r="P1164" i="16"/>
  <c r="P1165" i="16"/>
  <c r="P1166" i="16"/>
  <c r="P1167" i="16"/>
  <c r="P1168" i="16"/>
  <c r="P1169" i="16"/>
  <c r="P1170" i="16"/>
  <c r="P1171" i="16"/>
  <c r="P1172" i="16"/>
  <c r="P1173" i="16"/>
  <c r="P1174" i="16"/>
  <c r="P1175" i="16"/>
  <c r="P1176" i="16"/>
  <c r="P1177" i="16"/>
  <c r="P1178" i="16"/>
  <c r="P1179" i="16"/>
  <c r="P1180" i="16"/>
  <c r="P1181" i="16"/>
  <c r="P1182" i="16"/>
  <c r="P1183" i="16"/>
  <c r="P1184" i="16"/>
  <c r="P1185" i="16"/>
  <c r="P1186" i="16"/>
  <c r="P1187" i="16"/>
  <c r="P1188" i="16"/>
  <c r="P1189" i="16"/>
  <c r="P1190" i="16"/>
  <c r="P1191" i="16"/>
  <c r="P1192" i="16"/>
  <c r="P1193" i="16"/>
  <c r="P1194" i="16"/>
  <c r="P1195" i="16"/>
  <c r="P1196" i="16"/>
  <c r="P1197" i="16"/>
  <c r="P1198" i="16"/>
  <c r="P1199" i="16"/>
  <c r="P1200" i="16"/>
  <c r="P1201" i="16"/>
  <c r="P1202" i="16"/>
  <c r="P1203" i="16"/>
  <c r="P1204" i="16"/>
  <c r="P1205" i="16"/>
  <c r="P1206" i="16"/>
  <c r="P1207" i="16"/>
  <c r="P1208" i="16"/>
  <c r="P1209" i="16"/>
  <c r="P1210" i="16"/>
  <c r="P1211" i="16"/>
  <c r="P1212" i="16"/>
  <c r="P1213" i="16"/>
  <c r="P1214" i="16"/>
  <c r="P1215" i="16"/>
  <c r="P1216" i="16"/>
  <c r="P1217" i="16"/>
  <c r="P1218" i="16"/>
  <c r="P1219" i="16"/>
  <c r="P1220" i="16"/>
  <c r="P1221" i="16"/>
  <c r="P1222" i="16"/>
  <c r="P1223" i="16"/>
  <c r="P1224" i="16"/>
  <c r="P1225" i="16"/>
  <c r="P1226" i="16"/>
  <c r="P1227" i="16"/>
  <c r="P1228" i="16"/>
  <c r="P1229" i="16"/>
  <c r="P1230" i="16"/>
  <c r="P1231" i="16"/>
  <c r="K1233" i="16"/>
  <c r="P1234" i="16"/>
  <c r="P1235" i="16"/>
  <c r="P1236" i="16"/>
  <c r="P1237" i="16"/>
  <c r="P1238" i="16"/>
  <c r="P1239" i="16"/>
  <c r="P1240" i="16"/>
  <c r="P1241" i="16"/>
  <c r="P1242" i="16"/>
  <c r="P1243" i="16"/>
  <c r="P1244" i="16"/>
  <c r="P1245" i="16"/>
  <c r="P1246" i="16"/>
  <c r="P1247" i="16"/>
  <c r="P1248" i="16"/>
  <c r="P1249" i="16"/>
  <c r="P1250" i="16"/>
  <c r="P1251" i="16"/>
  <c r="P1252" i="16"/>
  <c r="P1253" i="16"/>
  <c r="P1254" i="16"/>
  <c r="P1255" i="16"/>
  <c r="P1256" i="16"/>
  <c r="P1257" i="16"/>
  <c r="P1258" i="16"/>
  <c r="P1259" i="16"/>
  <c r="P1260" i="16"/>
  <c r="P1261" i="16"/>
  <c r="P1262" i="16"/>
  <c r="P1263" i="16"/>
  <c r="P1264" i="16"/>
  <c r="P1265" i="16"/>
  <c r="P1266" i="16"/>
  <c r="P1267" i="16"/>
  <c r="P1268" i="16"/>
  <c r="P1269" i="16"/>
  <c r="P1270" i="16"/>
  <c r="P1271" i="16"/>
  <c r="P1272" i="16"/>
  <c r="P1273" i="16"/>
  <c r="P1274" i="16"/>
  <c r="P1275" i="16"/>
  <c r="P1276" i="16"/>
  <c r="P1277" i="16"/>
  <c r="P1278" i="16"/>
  <c r="P1279" i="16"/>
  <c r="P1280" i="16"/>
  <c r="P1281" i="16"/>
  <c r="P1282" i="16"/>
  <c r="P1283" i="16"/>
  <c r="P1284" i="16"/>
  <c r="P1285" i="16"/>
  <c r="P1286" i="16"/>
  <c r="P1287" i="16"/>
  <c r="P1288" i="16"/>
  <c r="P1289" i="16"/>
  <c r="P1290" i="16"/>
  <c r="P1291" i="16"/>
  <c r="P1292" i="16"/>
  <c r="P1293" i="16"/>
  <c r="P1294" i="16"/>
  <c r="P1295" i="16"/>
  <c r="P1296" i="16"/>
  <c r="P1297" i="16"/>
  <c r="P1298" i="16"/>
  <c r="P1299" i="16"/>
  <c r="P1300" i="16"/>
  <c r="P1301" i="16"/>
  <c r="P1302" i="16"/>
  <c r="P1303" i="16"/>
  <c r="P1304" i="16"/>
  <c r="P1305" i="16"/>
  <c r="P1306" i="16"/>
  <c r="P1307" i="16"/>
  <c r="P1308" i="16"/>
  <c r="P1309" i="16"/>
  <c r="P1310" i="16"/>
  <c r="P1311" i="16"/>
  <c r="P1312" i="16"/>
  <c r="P1313" i="16"/>
  <c r="P1314" i="16"/>
  <c r="P1315" i="16"/>
  <c r="P1316" i="16"/>
  <c r="P1317" i="16"/>
  <c r="P1318" i="16"/>
  <c r="P1319" i="16"/>
  <c r="P1320" i="16"/>
  <c r="P1321" i="16"/>
  <c r="P1322" i="16"/>
  <c r="P1323" i="16"/>
  <c r="P1324" i="16"/>
  <c r="P1325" i="16"/>
  <c r="P1326" i="16"/>
  <c r="P1327" i="16"/>
  <c r="P1328" i="16"/>
  <c r="P1329" i="16"/>
  <c r="P1330" i="16"/>
  <c r="P1331" i="16"/>
  <c r="P1332" i="16"/>
  <c r="P1333" i="16"/>
  <c r="P1334" i="16"/>
  <c r="P1335" i="16"/>
  <c r="P1336" i="16"/>
  <c r="P1337" i="16"/>
  <c r="P1338" i="16"/>
  <c r="P1339" i="16"/>
  <c r="P1340" i="16"/>
  <c r="P1341" i="16"/>
  <c r="P1342" i="16"/>
  <c r="P1343" i="16"/>
  <c r="P1344" i="16"/>
  <c r="P1345" i="16"/>
  <c r="P1346" i="16"/>
  <c r="P1347" i="16"/>
  <c r="P1348" i="16"/>
  <c r="P1349" i="16"/>
  <c r="P1350" i="16"/>
  <c r="P1351" i="16"/>
  <c r="P1352" i="16"/>
  <c r="P1353" i="16"/>
  <c r="P1354" i="16"/>
  <c r="P1355" i="16"/>
  <c r="P1356" i="16"/>
  <c r="P1357" i="16"/>
  <c r="P1358" i="16"/>
  <c r="P1359" i="16"/>
  <c r="P1360" i="16"/>
  <c r="P1361" i="16"/>
  <c r="P1362" i="16"/>
  <c r="P1363" i="16"/>
  <c r="P1364" i="16"/>
  <c r="P1365" i="16"/>
  <c r="P1366" i="16"/>
  <c r="P1367" i="16"/>
  <c r="P1368" i="16"/>
  <c r="P1369" i="16"/>
  <c r="P1370" i="16"/>
  <c r="P1371" i="16"/>
  <c r="P1372" i="16"/>
  <c r="P1373" i="16"/>
  <c r="P1374" i="16"/>
  <c r="P1375" i="16"/>
  <c r="P1376" i="16"/>
  <c r="P1377" i="16"/>
  <c r="P1378" i="16"/>
  <c r="P1379" i="16"/>
  <c r="P1380" i="16"/>
  <c r="P1381" i="16"/>
  <c r="P1382" i="16"/>
  <c r="P1383" i="16"/>
  <c r="P1384" i="16"/>
  <c r="P1385" i="16"/>
  <c r="P1386" i="16"/>
  <c r="P1387" i="16"/>
  <c r="P1388" i="16"/>
  <c r="P1389" i="16"/>
  <c r="P1390" i="16"/>
  <c r="P1391" i="16"/>
  <c r="P1392" i="16"/>
  <c r="P1393" i="16"/>
  <c r="P1394" i="16"/>
  <c r="P1395" i="16"/>
  <c r="P1396" i="16"/>
  <c r="P1397" i="16"/>
  <c r="P1398" i="16"/>
  <c r="P1399" i="16"/>
  <c r="P1400" i="16"/>
  <c r="P1401" i="16"/>
  <c r="P1402" i="16"/>
  <c r="P1403" i="16"/>
  <c r="P1404" i="16"/>
  <c r="P1405" i="16"/>
  <c r="P1406" i="16"/>
  <c r="P1407" i="16"/>
  <c r="P1408" i="16"/>
  <c r="P1409" i="16"/>
  <c r="P1410" i="16"/>
  <c r="P1411" i="16"/>
  <c r="P1412" i="16"/>
  <c r="P1413" i="16"/>
  <c r="P1414" i="16"/>
  <c r="P1415" i="16"/>
  <c r="P1416" i="16"/>
  <c r="P1417" i="16"/>
  <c r="P1418" i="16"/>
  <c r="P1419" i="16"/>
  <c r="P1420" i="16"/>
  <c r="P1421" i="16"/>
  <c r="P1422" i="16"/>
  <c r="P1423" i="16"/>
  <c r="P1424" i="16"/>
  <c r="P1425" i="16"/>
  <c r="P1426" i="16"/>
  <c r="P1427" i="16"/>
  <c r="P1428" i="16"/>
  <c r="P1429" i="16"/>
  <c r="P1430" i="16"/>
  <c r="P1431" i="16"/>
  <c r="P1432" i="16"/>
  <c r="P1433" i="16"/>
  <c r="P1434" i="16"/>
  <c r="P1435" i="16"/>
  <c r="P1436" i="16"/>
  <c r="P1437" i="16"/>
  <c r="P1438" i="16"/>
  <c r="P1439" i="16"/>
  <c r="P1440" i="16"/>
  <c r="P1441" i="16"/>
  <c r="P1442" i="16"/>
  <c r="P1443" i="16"/>
  <c r="P1444" i="16"/>
  <c r="P1445" i="16"/>
  <c r="P1446" i="16"/>
  <c r="P1447" i="16"/>
  <c r="P1448" i="16"/>
  <c r="P1449" i="16"/>
  <c r="P1450" i="16"/>
  <c r="P1451" i="16"/>
  <c r="P1452" i="16"/>
  <c r="P1453" i="16"/>
  <c r="P1454" i="16"/>
  <c r="P1455" i="16"/>
  <c r="P1456" i="16"/>
  <c r="P1457" i="16"/>
  <c r="P1458" i="16"/>
  <c r="P1459" i="16"/>
  <c r="P1460" i="16"/>
  <c r="P1461" i="16"/>
  <c r="P1462" i="16"/>
  <c r="P1463" i="16"/>
  <c r="P1464" i="16"/>
  <c r="P1465" i="16"/>
  <c r="P1466" i="16"/>
  <c r="P1467" i="16"/>
  <c r="P1468" i="16"/>
  <c r="P1469" i="16"/>
  <c r="P1470" i="16"/>
  <c r="P1471" i="16"/>
  <c r="P1472" i="16"/>
  <c r="P1473" i="16"/>
  <c r="P1474" i="16"/>
  <c r="P1475" i="16"/>
  <c r="P1476" i="16"/>
  <c r="P1477" i="16"/>
  <c r="P1478" i="16"/>
  <c r="P1479" i="16"/>
  <c r="P1480" i="16"/>
  <c r="P1481" i="16"/>
  <c r="P1482" i="16"/>
  <c r="P1483" i="16"/>
  <c r="P1484" i="16"/>
  <c r="P1485" i="16"/>
  <c r="P1486" i="16"/>
  <c r="P1487" i="16"/>
  <c r="P1488" i="16"/>
  <c r="P1489" i="16"/>
  <c r="P1490" i="16"/>
  <c r="P1491" i="16"/>
  <c r="P1492" i="16"/>
  <c r="P1493" i="16"/>
  <c r="P1494" i="16"/>
  <c r="P1495" i="16"/>
  <c r="P1496" i="16"/>
  <c r="P1497" i="16"/>
  <c r="P1498" i="16"/>
  <c r="P1499" i="16"/>
  <c r="P1500" i="16"/>
  <c r="P1501" i="16"/>
  <c r="P1502" i="16"/>
  <c r="P1503" i="16"/>
  <c r="P1504" i="16"/>
  <c r="P1505" i="16"/>
  <c r="P1506" i="16"/>
  <c r="P1507" i="16"/>
  <c r="P1508" i="16"/>
  <c r="P1509" i="16"/>
  <c r="P1510" i="16"/>
  <c r="P1511" i="16"/>
  <c r="P1512" i="16"/>
  <c r="P1513" i="16"/>
  <c r="P1514" i="16"/>
  <c r="P1515" i="16"/>
  <c r="P1516" i="16"/>
  <c r="P1517" i="16"/>
  <c r="P1518" i="16"/>
  <c r="P1519" i="16"/>
  <c r="P1520" i="16"/>
  <c r="P1521" i="16"/>
  <c r="P1522" i="16"/>
  <c r="P1523" i="16"/>
  <c r="P1524" i="16"/>
  <c r="P1525" i="16"/>
  <c r="P1526" i="16"/>
  <c r="P1527" i="16"/>
  <c r="P1528" i="16"/>
  <c r="P1529" i="16"/>
  <c r="P1530" i="16"/>
  <c r="P1531" i="16"/>
  <c r="P1532" i="16"/>
  <c r="P1533" i="16"/>
  <c r="P1534" i="16"/>
  <c r="P1535" i="16"/>
  <c r="P1536" i="16"/>
  <c r="P1537" i="16"/>
  <c r="P1538" i="16"/>
  <c r="P1539" i="16"/>
  <c r="P1540" i="16"/>
  <c r="P1541" i="16"/>
  <c r="P1542" i="16"/>
  <c r="P1543" i="16"/>
  <c r="P1544" i="16"/>
  <c r="P1545" i="16"/>
  <c r="P1546" i="16"/>
  <c r="P1547" i="16"/>
  <c r="P1548" i="16"/>
  <c r="P1549" i="16"/>
  <c r="P1550" i="16"/>
  <c r="P1551" i="16"/>
  <c r="P1552" i="16"/>
  <c r="P1553" i="16"/>
  <c r="P1554" i="16"/>
  <c r="P1555" i="16"/>
  <c r="P1556" i="16"/>
  <c r="P1557" i="16"/>
  <c r="P1558" i="16"/>
  <c r="P1559" i="16"/>
  <c r="P1560" i="16"/>
  <c r="P1561" i="16"/>
  <c r="P1562" i="16"/>
  <c r="P1563" i="16"/>
  <c r="P1564" i="16"/>
  <c r="P1565" i="16"/>
  <c r="P1566" i="16"/>
  <c r="P1567" i="16"/>
  <c r="P1568" i="16"/>
  <c r="P1569" i="16"/>
  <c r="P1570" i="16"/>
  <c r="P1571" i="16"/>
  <c r="P1572" i="16"/>
  <c r="P1573" i="16"/>
  <c r="P1574" i="16"/>
  <c r="P1575" i="16"/>
  <c r="P1576" i="16"/>
  <c r="P1577" i="16"/>
  <c r="P1578" i="16"/>
  <c r="F1583" i="16"/>
  <c r="P1584" i="16"/>
  <c r="P1585" i="16"/>
  <c r="P1586" i="16"/>
  <c r="P1587" i="16"/>
  <c r="P1588" i="16"/>
  <c r="P1589" i="16"/>
  <c r="P1590" i="16"/>
  <c r="P1591" i="16"/>
  <c r="P1592" i="16"/>
  <c r="P1593" i="16"/>
  <c r="P1594" i="16"/>
  <c r="P1595" i="16"/>
  <c r="P1596" i="16"/>
  <c r="P1597" i="16"/>
  <c r="P1598" i="16"/>
  <c r="P1599" i="16"/>
  <c r="P1600" i="16"/>
  <c r="P1601" i="16"/>
  <c r="P1602" i="16"/>
  <c r="P1603" i="16"/>
  <c r="P1604" i="16"/>
  <c r="P1605" i="16"/>
  <c r="P1606" i="16"/>
  <c r="P1607" i="16"/>
  <c r="P1608" i="16"/>
  <c r="P1609" i="16"/>
  <c r="P1610" i="16"/>
  <c r="P1611" i="16"/>
  <c r="P1612" i="16"/>
  <c r="P1613" i="16"/>
  <c r="P1614" i="16"/>
  <c r="P1615" i="16"/>
  <c r="P1616" i="16"/>
  <c r="P1617" i="16"/>
  <c r="P1618" i="16"/>
  <c r="P1619" i="16"/>
  <c r="P1620" i="16"/>
  <c r="P1621" i="16"/>
  <c r="P1622" i="16"/>
  <c r="P1623" i="16"/>
  <c r="P1624" i="16"/>
  <c r="P1625" i="16"/>
  <c r="P1626" i="16"/>
  <c r="P1627" i="16"/>
  <c r="P1628" i="16"/>
  <c r="P1629" i="16"/>
  <c r="P1630" i="16"/>
  <c r="P1631" i="16"/>
  <c r="P1632" i="16"/>
  <c r="P1633" i="16"/>
  <c r="P1634" i="16"/>
  <c r="P1635" i="16"/>
  <c r="P1636" i="16"/>
  <c r="P1637" i="16"/>
  <c r="P1638" i="16"/>
  <c r="P1639" i="16"/>
  <c r="P1640" i="16"/>
  <c r="P1641" i="16"/>
  <c r="P1642" i="16"/>
  <c r="P1643" i="16"/>
  <c r="P1644" i="16"/>
  <c r="P1645" i="16"/>
  <c r="P1646" i="16"/>
  <c r="P1647" i="16"/>
  <c r="P1648" i="16"/>
  <c r="P1649" i="16"/>
  <c r="P1650" i="16"/>
  <c r="P1651" i="16"/>
  <c r="P1652" i="16"/>
  <c r="P1653" i="16"/>
  <c r="P1654" i="16"/>
  <c r="P1655" i="16"/>
  <c r="P1656" i="16"/>
  <c r="P1657" i="16"/>
  <c r="P1658" i="16"/>
  <c r="P1659" i="16"/>
  <c r="P1660" i="16"/>
  <c r="P1661" i="16"/>
  <c r="P1662" i="16"/>
  <c r="P1663" i="16"/>
  <c r="P1664" i="16"/>
  <c r="P1665" i="16"/>
  <c r="P1666" i="16"/>
  <c r="P1667" i="16"/>
  <c r="P1668" i="16"/>
  <c r="P1669" i="16"/>
  <c r="P1670" i="16"/>
  <c r="P1671" i="16"/>
  <c r="P1672" i="16"/>
  <c r="P1673" i="16"/>
  <c r="P1674" i="16"/>
  <c r="P1675" i="16"/>
  <c r="P1676" i="16"/>
  <c r="P1677" i="16"/>
  <c r="P1678" i="16"/>
  <c r="P1679" i="16"/>
  <c r="P1680" i="16"/>
  <c r="P1681" i="16"/>
  <c r="P1682" i="16"/>
  <c r="P1683" i="16"/>
  <c r="P1684" i="16"/>
  <c r="P1685" i="16"/>
  <c r="P1686" i="16"/>
  <c r="P1687" i="16"/>
  <c r="P1688" i="16"/>
  <c r="P1689" i="16"/>
  <c r="P1690" i="16"/>
  <c r="P1691" i="16"/>
  <c r="P1692" i="16"/>
  <c r="P1693" i="16"/>
  <c r="P1694" i="16"/>
  <c r="P1695" i="16"/>
  <c r="P1696" i="16"/>
  <c r="P1697" i="16"/>
  <c r="P1698" i="16"/>
  <c r="P1699" i="16"/>
  <c r="P1700" i="16"/>
  <c r="P1701" i="16"/>
  <c r="P1702" i="16"/>
  <c r="P1703" i="16"/>
  <c r="P1704" i="16"/>
  <c r="P1705" i="16"/>
  <c r="P1706" i="16"/>
  <c r="P1707" i="16"/>
  <c r="P1708" i="16"/>
  <c r="P1709" i="16"/>
  <c r="P1710" i="16"/>
  <c r="P1711" i="16"/>
  <c r="P1712" i="16"/>
  <c r="P1713" i="16"/>
  <c r="P1714" i="16"/>
  <c r="P1715" i="16"/>
  <c r="P1716" i="16"/>
  <c r="P1717" i="16"/>
  <c r="P1718" i="16"/>
  <c r="P1719" i="16"/>
  <c r="P1720" i="16"/>
  <c r="P1721" i="16"/>
  <c r="P1722" i="16"/>
  <c r="P1723" i="16"/>
  <c r="P1724" i="16"/>
  <c r="P1725" i="16"/>
  <c r="P1726" i="16"/>
  <c r="P1727" i="16"/>
  <c r="P1728" i="16"/>
  <c r="P1729" i="16"/>
  <c r="P1730" i="16"/>
  <c r="P1731" i="16"/>
  <c r="P1732" i="16"/>
  <c r="P1733" i="16"/>
  <c r="P1734" i="16"/>
  <c r="P1735" i="16"/>
  <c r="P1736" i="16"/>
  <c r="P1737" i="16"/>
  <c r="P1738" i="16"/>
  <c r="P1739" i="16"/>
  <c r="P1740" i="16"/>
  <c r="P1741" i="16"/>
  <c r="P1742" i="16"/>
  <c r="P1743" i="16"/>
  <c r="P1744" i="16"/>
  <c r="P1745" i="16"/>
  <c r="P1746" i="16"/>
  <c r="P1747" i="16"/>
  <c r="P1748" i="16"/>
  <c r="P1749" i="16"/>
  <c r="P1750" i="16"/>
  <c r="P1751" i="16"/>
  <c r="P1752" i="16"/>
  <c r="P1753" i="16"/>
  <c r="P1754" i="16"/>
  <c r="P1755" i="16"/>
  <c r="P1756" i="16"/>
  <c r="P1757" i="16"/>
  <c r="P1758" i="16"/>
  <c r="P1759" i="16"/>
  <c r="P1760" i="16"/>
  <c r="P1761" i="16"/>
  <c r="P1762" i="16"/>
  <c r="P1763" i="16"/>
  <c r="P1764" i="16"/>
  <c r="P1765" i="16"/>
  <c r="P1766" i="16"/>
  <c r="P1767" i="16"/>
  <c r="P1768" i="16"/>
  <c r="P1769" i="16"/>
  <c r="P1770" i="16"/>
  <c r="P1771" i="16"/>
  <c r="P1772" i="16"/>
  <c r="P1773" i="16"/>
  <c r="P1774" i="16"/>
  <c r="P1775" i="16"/>
  <c r="P1776" i="16"/>
  <c r="P1777" i="16"/>
  <c r="P1778" i="16"/>
  <c r="P1779" i="16"/>
  <c r="P1780" i="16"/>
  <c r="P1781" i="16"/>
  <c r="P1782" i="16"/>
  <c r="P1783" i="16"/>
  <c r="P1784" i="16"/>
  <c r="P1785" i="16"/>
  <c r="P1786" i="16"/>
  <c r="P1787" i="16"/>
  <c r="P1788" i="16"/>
  <c r="P1789" i="16"/>
  <c r="P1790" i="16"/>
  <c r="P1791" i="16"/>
  <c r="P1792" i="16"/>
  <c r="P1793" i="16"/>
  <c r="P1794" i="16"/>
  <c r="P1795" i="16"/>
  <c r="P1796" i="16"/>
  <c r="P1797" i="16"/>
  <c r="P1798" i="16"/>
  <c r="P1799" i="16"/>
  <c r="P1800" i="16"/>
  <c r="P1801" i="16"/>
  <c r="P1802" i="16"/>
  <c r="P1803" i="16"/>
  <c r="P1804" i="16"/>
  <c r="P1805" i="16"/>
  <c r="P1806" i="16"/>
  <c r="P1807" i="16"/>
  <c r="P1808" i="16"/>
  <c r="P1809" i="16"/>
  <c r="P1810" i="16"/>
  <c r="P1811" i="16"/>
  <c r="P1812" i="16"/>
  <c r="P1813" i="16"/>
  <c r="P1814" i="16"/>
  <c r="P1815" i="16"/>
  <c r="P1816" i="16"/>
  <c r="P1817" i="16"/>
  <c r="P1818" i="16"/>
  <c r="P1819" i="16"/>
  <c r="P1820" i="16"/>
  <c r="P1821" i="16"/>
  <c r="P1822" i="16"/>
  <c r="P1823" i="16"/>
  <c r="P1824" i="16"/>
  <c r="P1825" i="16"/>
  <c r="P1826" i="16"/>
  <c r="P1827" i="16"/>
  <c r="P1828" i="16"/>
  <c r="P1829" i="16"/>
  <c r="P1830" i="16"/>
  <c r="P1831" i="16"/>
  <c r="P1832" i="16"/>
  <c r="P1833" i="16"/>
  <c r="P1834" i="16"/>
  <c r="P1835" i="16"/>
  <c r="P1836" i="16"/>
  <c r="P1837" i="16"/>
  <c r="P1838" i="16"/>
  <c r="P1839" i="16"/>
  <c r="P1840" i="16"/>
  <c r="P1841" i="16"/>
  <c r="P1842" i="16"/>
  <c r="P1843" i="16"/>
  <c r="P1844" i="16"/>
  <c r="P1845" i="16"/>
  <c r="P1846" i="16"/>
  <c r="P1847" i="16"/>
  <c r="P1848" i="16"/>
  <c r="P1849" i="16"/>
  <c r="P1850" i="16"/>
  <c r="P1851" i="16"/>
  <c r="P1852" i="16"/>
  <c r="P1853" i="16"/>
  <c r="P1854" i="16"/>
  <c r="P1855" i="16"/>
  <c r="P1856" i="16"/>
  <c r="P1857" i="16"/>
  <c r="P1858" i="16"/>
  <c r="P1859" i="16"/>
  <c r="P1860" i="16"/>
  <c r="P1861" i="16"/>
  <c r="P1862" i="16"/>
  <c r="P1863" i="16"/>
  <c r="P1864" i="16"/>
  <c r="P1865" i="16"/>
  <c r="P1866" i="16"/>
  <c r="K1869" i="16"/>
  <c r="P1870" i="16"/>
  <c r="P1871" i="16"/>
  <c r="P1872" i="16"/>
  <c r="P1873" i="16"/>
  <c r="P1874" i="16"/>
  <c r="P1875" i="16"/>
  <c r="P1876" i="16"/>
  <c r="P1877" i="16"/>
  <c r="P1878" i="16"/>
  <c r="P1879" i="16"/>
  <c r="P1880" i="16"/>
  <c r="P1881" i="16"/>
  <c r="P1882" i="16"/>
  <c r="P1883" i="16"/>
  <c r="P1884" i="16"/>
  <c r="P1885" i="16"/>
  <c r="P1886" i="16"/>
  <c r="P1887" i="16"/>
  <c r="P1888" i="16"/>
  <c r="P1889" i="16"/>
  <c r="P1890" i="16"/>
  <c r="P1891" i="16"/>
  <c r="P1892" i="16"/>
  <c r="P1893" i="16"/>
  <c r="P1894" i="16"/>
  <c r="P1895" i="16"/>
  <c r="P1896" i="16"/>
  <c r="P1897" i="16"/>
  <c r="P1898" i="16"/>
  <c r="P1899" i="16"/>
  <c r="P1900" i="16"/>
  <c r="P1901" i="16"/>
  <c r="K1904" i="16"/>
  <c r="P1905" i="16"/>
  <c r="P1906" i="16"/>
  <c r="P1907" i="16"/>
  <c r="P1908" i="16"/>
  <c r="P1909" i="16"/>
  <c r="P1910" i="16"/>
  <c r="P1911" i="16"/>
  <c r="P1912" i="16"/>
  <c r="P1913" i="16"/>
  <c r="P1914" i="16"/>
  <c r="P1915" i="16"/>
  <c r="P1916" i="16"/>
  <c r="P1917" i="16"/>
  <c r="P1918" i="16"/>
  <c r="P1919" i="16"/>
  <c r="P1920" i="16"/>
  <c r="P1921" i="16"/>
  <c r="P1922" i="16"/>
  <c r="P1923" i="16"/>
  <c r="P1924" i="16"/>
  <c r="P1925" i="16"/>
  <c r="P1926" i="16"/>
  <c r="P1927" i="16"/>
  <c r="P1928" i="16"/>
  <c r="P1929" i="16"/>
  <c r="P1930" i="16"/>
  <c r="P1931" i="16"/>
  <c r="P1932" i="16"/>
  <c r="P1933" i="16"/>
  <c r="P1934" i="16"/>
  <c r="P1935" i="16"/>
  <c r="P1936" i="16"/>
  <c r="P1937" i="16"/>
  <c r="P1938" i="16"/>
  <c r="P1939" i="16"/>
  <c r="P1940" i="16"/>
  <c r="P1941" i="16"/>
  <c r="P1942" i="16"/>
  <c r="K1955" i="16"/>
  <c r="P1956" i="16"/>
  <c r="P1957" i="16"/>
  <c r="P1958" i="16"/>
  <c r="P1959" i="16"/>
  <c r="P1960" i="16"/>
  <c r="P1961" i="16"/>
  <c r="P1962" i="16"/>
  <c r="P1963" i="16"/>
  <c r="P1964" i="16"/>
  <c r="P1965" i="16"/>
  <c r="P1966" i="16"/>
  <c r="P1967" i="16"/>
  <c r="P1968" i="16"/>
  <c r="P1969" i="16"/>
  <c r="P1970" i="16"/>
  <c r="P1971" i="16"/>
  <c r="P1972" i="16"/>
  <c r="P1973" i="16"/>
  <c r="P1974" i="16"/>
  <c r="P1975" i="16"/>
  <c r="P1976" i="16"/>
  <c r="P1977" i="16"/>
  <c r="P1978" i="16"/>
  <c r="P1979" i="16"/>
  <c r="P1980" i="16"/>
  <c r="P1981" i="16"/>
  <c r="P1982" i="16"/>
  <c r="P1983" i="16"/>
  <c r="P1984" i="16"/>
  <c r="P1985" i="16"/>
  <c r="P1986" i="16"/>
  <c r="P1987" i="16"/>
  <c r="P1988" i="16"/>
  <c r="P1989" i="16"/>
  <c r="P1990" i="16"/>
  <c r="P1991" i="16"/>
  <c r="P1992" i="16"/>
  <c r="F1994" i="16"/>
  <c r="F1996" i="16"/>
  <c r="P1997" i="16"/>
  <c r="P1998" i="16"/>
  <c r="P1999" i="16"/>
  <c r="P2000" i="16"/>
  <c r="P2001" i="16"/>
  <c r="P2002" i="16"/>
  <c r="P2003" i="16"/>
  <c r="P2004" i="16"/>
  <c r="P2005" i="16"/>
  <c r="P2006" i="16"/>
  <c r="P2007" i="16"/>
  <c r="P2008" i="16"/>
  <c r="P2009" i="16"/>
  <c r="P2010" i="16"/>
  <c r="P2011" i="16"/>
  <c r="P2012" i="16"/>
  <c r="P2013" i="16"/>
  <c r="P2014" i="16"/>
  <c r="P2015" i="16"/>
  <c r="P2016" i="16"/>
  <c r="P2017" i="16"/>
  <c r="P2018" i="16"/>
  <c r="P2019" i="16"/>
  <c r="P2020" i="16"/>
  <c r="P2021" i="16"/>
  <c r="P2022" i="16"/>
  <c r="P2023" i="16"/>
  <c r="P2024" i="16"/>
  <c r="P2025" i="16"/>
  <c r="P2026" i="16"/>
  <c r="P2027" i="16"/>
  <c r="P2028" i="16"/>
  <c r="P2029" i="16"/>
  <c r="P2030" i="16"/>
  <c r="P2031" i="16"/>
  <c r="P2032" i="16"/>
  <c r="P2033" i="16"/>
  <c r="P2034" i="16"/>
  <c r="P2035" i="16"/>
  <c r="P2036" i="16"/>
  <c r="P2037" i="16"/>
  <c r="P2038" i="16"/>
  <c r="P2039" i="16"/>
  <c r="P2040" i="16"/>
  <c r="P2041" i="16"/>
  <c r="P2042" i="16"/>
  <c r="P2043" i="16"/>
  <c r="P2044" i="16"/>
  <c r="P2045" i="16"/>
  <c r="P2046" i="16"/>
  <c r="P2047" i="16"/>
  <c r="P2048" i="16"/>
  <c r="P2049" i="16"/>
  <c r="P2050" i="16"/>
  <c r="P2051" i="16"/>
  <c r="P2052" i="16"/>
  <c r="P2053" i="16"/>
  <c r="P2054" i="16"/>
  <c r="P2055" i="16"/>
  <c r="P2056" i="16"/>
  <c r="P2057" i="16"/>
  <c r="P2058" i="16"/>
  <c r="P2059" i="16"/>
  <c r="P2060" i="16"/>
  <c r="P2061" i="16"/>
  <c r="P2062" i="16"/>
  <c r="P2063" i="16"/>
  <c r="P2064" i="16"/>
  <c r="P2065" i="16"/>
  <c r="P2066" i="16"/>
  <c r="P2067" i="16"/>
  <c r="P2068" i="16"/>
  <c r="P2069" i="16"/>
  <c r="P2070" i="16"/>
  <c r="P2071" i="16"/>
  <c r="P2072" i="16"/>
  <c r="P2073" i="16"/>
  <c r="P2074" i="16"/>
  <c r="P2075" i="16"/>
  <c r="P2076" i="16"/>
  <c r="P2077" i="16"/>
  <c r="P2078" i="16"/>
  <c r="P2079" i="16"/>
  <c r="P2080" i="16"/>
  <c r="P2081" i="16"/>
  <c r="P2082" i="16"/>
  <c r="P2083" i="16"/>
  <c r="P2084" i="16"/>
  <c r="P2085" i="16"/>
  <c r="P2086" i="16"/>
  <c r="P2087" i="16"/>
  <c r="P2088" i="16"/>
  <c r="P2089" i="16"/>
  <c r="P2090" i="16"/>
  <c r="P2091" i="16"/>
  <c r="P2092" i="16"/>
  <c r="P2093" i="16"/>
  <c r="P2094" i="16"/>
  <c r="P2095" i="16"/>
  <c r="P2096" i="16"/>
  <c r="P2097" i="16"/>
  <c r="P2098" i="16"/>
  <c r="P2099" i="16"/>
  <c r="P2100" i="16"/>
  <c r="P2101" i="16"/>
  <c r="P2102" i="16"/>
  <c r="P2103" i="16"/>
  <c r="P2104" i="16"/>
  <c r="P2105" i="16"/>
  <c r="P2106" i="16"/>
  <c r="P2107" i="16"/>
  <c r="P2108" i="16"/>
  <c r="P2109" i="16"/>
  <c r="P2110" i="16"/>
  <c r="P2111" i="16"/>
  <c r="P2112" i="16"/>
  <c r="P2113" i="16"/>
  <c r="P2114" i="16"/>
  <c r="P2115" i="16"/>
  <c r="P2116" i="16"/>
  <c r="P2117" i="16"/>
  <c r="P2118" i="16"/>
  <c r="P2119" i="16"/>
  <c r="P2120" i="16"/>
  <c r="P2121" i="16"/>
  <c r="P2122" i="16"/>
  <c r="P2123" i="16"/>
  <c r="P2124" i="16"/>
  <c r="P2125" i="16"/>
  <c r="P2126" i="16"/>
  <c r="P2127" i="16"/>
  <c r="P2128" i="16"/>
  <c r="P2129" i="16"/>
  <c r="P2130" i="16"/>
  <c r="K2133" i="16"/>
  <c r="P2134" i="16"/>
  <c r="P2135" i="16"/>
  <c r="P2136" i="16"/>
  <c r="P2137" i="16"/>
  <c r="P2138" i="16"/>
  <c r="P2139" i="16"/>
  <c r="P2140" i="16"/>
  <c r="P2141" i="16"/>
  <c r="P2142" i="16"/>
  <c r="P2143" i="16"/>
  <c r="P2144" i="16"/>
  <c r="P2145" i="16"/>
  <c r="P2146" i="16"/>
  <c r="P2147" i="16"/>
  <c r="P2148" i="16"/>
  <c r="P2149" i="16"/>
  <c r="P2150" i="16"/>
  <c r="P2151" i="16"/>
  <c r="P2152" i="16"/>
  <c r="P2153" i="16"/>
  <c r="P2154" i="16"/>
  <c r="P2155" i="16"/>
  <c r="P2156" i="16"/>
  <c r="P2157" i="16"/>
  <c r="P2158" i="16"/>
  <c r="P2159" i="16"/>
  <c r="P2160" i="16"/>
  <c r="P2161" i="16"/>
  <c r="P2162" i="16"/>
  <c r="P2163" i="16"/>
  <c r="P2164" i="16"/>
  <c r="P2165" i="16"/>
  <c r="P2166" i="16"/>
  <c r="P2167" i="16"/>
  <c r="P2168" i="16"/>
  <c r="P2169" i="16"/>
  <c r="P2170" i="16"/>
  <c r="P2171" i="16"/>
  <c r="P2172" i="16"/>
  <c r="P2173" i="16"/>
  <c r="P2174" i="16"/>
  <c r="P2175" i="16"/>
  <c r="P2176" i="16"/>
  <c r="P2177" i="16"/>
  <c r="P2178" i="16"/>
  <c r="P2179" i="16"/>
  <c r="P2180" i="16"/>
  <c r="P2181" i="16"/>
  <c r="P2182" i="16"/>
  <c r="P2183" i="16"/>
  <c r="P2184" i="16"/>
  <c r="P2185" i="16"/>
  <c r="P2186" i="16"/>
  <c r="P2187" i="16"/>
  <c r="P2188" i="16"/>
  <c r="P2189" i="16"/>
  <c r="P2190" i="16"/>
  <c r="P2191" i="16"/>
  <c r="P2192" i="16"/>
  <c r="P2193" i="16"/>
  <c r="P2194" i="16"/>
  <c r="P2195" i="16"/>
  <c r="P2196" i="16"/>
  <c r="P2197" i="16"/>
  <c r="P2198" i="16"/>
  <c r="P2199" i="16"/>
  <c r="P2200" i="16"/>
  <c r="P2201" i="16"/>
  <c r="P2202" i="16"/>
  <c r="P2203" i="16"/>
  <c r="P2204" i="16"/>
  <c r="P2205" i="16"/>
  <c r="P2206" i="16"/>
  <c r="P2207" i="16"/>
  <c r="P2208" i="16"/>
  <c r="P2209" i="16"/>
  <c r="P2210" i="16"/>
  <c r="P2211" i="16"/>
  <c r="P2212" i="16"/>
  <c r="P2213" i="16"/>
  <c r="P2214" i="16"/>
  <c r="P2215" i="16"/>
  <c r="P2216" i="16"/>
  <c r="P2217" i="16"/>
  <c r="P2218" i="16"/>
  <c r="P2219" i="16"/>
  <c r="P2220" i="16"/>
  <c r="P2221" i="16"/>
  <c r="P2222" i="16"/>
  <c r="P2223" i="16"/>
  <c r="P2224" i="16"/>
  <c r="P2225" i="16"/>
  <c r="P2226" i="16"/>
  <c r="P2227" i="16"/>
  <c r="P2228" i="16"/>
  <c r="P2229" i="16"/>
  <c r="P2230" i="16"/>
  <c r="P2231" i="16"/>
  <c r="P2232" i="16"/>
  <c r="P2233" i="16"/>
  <c r="P2234" i="16"/>
  <c r="P2235" i="16"/>
  <c r="P2236" i="16"/>
  <c r="P2237" i="16"/>
  <c r="P2238" i="16"/>
  <c r="P2239" i="16"/>
  <c r="P2240" i="16"/>
  <c r="P2241" i="16"/>
  <c r="P2242" i="16"/>
  <c r="P2243" i="16"/>
  <c r="P2244" i="16"/>
  <c r="P2245" i="16"/>
  <c r="P2246" i="16"/>
  <c r="P2247" i="16"/>
  <c r="P2248" i="16"/>
  <c r="P2249" i="16"/>
  <c r="P2250" i="16"/>
  <c r="P2251" i="16"/>
  <c r="P2252" i="16"/>
  <c r="P2253" i="16"/>
  <c r="P2254" i="16"/>
  <c r="P2255" i="16"/>
  <c r="P2256" i="16"/>
  <c r="P2257" i="16"/>
  <c r="P2258" i="16"/>
  <c r="P2259" i="16"/>
  <c r="P2260" i="16"/>
  <c r="P2261" i="16"/>
  <c r="P2262" i="16"/>
  <c r="P2263" i="16"/>
  <c r="P2264" i="16"/>
  <c r="P2265" i="16"/>
  <c r="P2266" i="16"/>
  <c r="P2267" i="16"/>
  <c r="P2268" i="16"/>
  <c r="P2269" i="16"/>
  <c r="P2270" i="16"/>
  <c r="P2271" i="16"/>
  <c r="P2272" i="16"/>
  <c r="P2273" i="16"/>
  <c r="P2274" i="16"/>
  <c r="P2275" i="16"/>
  <c r="P2276" i="16"/>
  <c r="P2277" i="16"/>
  <c r="P2278" i="16"/>
  <c r="P2279" i="16"/>
  <c r="P2280" i="16"/>
  <c r="P2281" i="16"/>
  <c r="P2282" i="16"/>
  <c r="P2283" i="16"/>
  <c r="P2284" i="16"/>
  <c r="P2285" i="16"/>
  <c r="P2286" i="16"/>
  <c r="P2287" i="16"/>
  <c r="P2288" i="16"/>
  <c r="P2289" i="16"/>
  <c r="P2290" i="16"/>
  <c r="P2291" i="16"/>
  <c r="P2292" i="16"/>
  <c r="P2293" i="16"/>
  <c r="P2294" i="16"/>
  <c r="P2295" i="16"/>
  <c r="P2296" i="16"/>
  <c r="P2297" i="16"/>
  <c r="P2298" i="16"/>
  <c r="P2299" i="16"/>
  <c r="P2300" i="16"/>
  <c r="P2301" i="16"/>
  <c r="P2302" i="16"/>
  <c r="P2303" i="16"/>
  <c r="P2304" i="16"/>
  <c r="P2305" i="16"/>
  <c r="P2306" i="16"/>
  <c r="P2307" i="16"/>
  <c r="P2308" i="16"/>
  <c r="P2309" i="16"/>
  <c r="P2310" i="16"/>
  <c r="P2311" i="16"/>
  <c r="P2312" i="16"/>
  <c r="P2313" i="16"/>
  <c r="P2314" i="16"/>
  <c r="P2315" i="16"/>
  <c r="P2316" i="16"/>
  <c r="P2317" i="16"/>
  <c r="P2318" i="16"/>
  <c r="P2319" i="16"/>
  <c r="P2320" i="16"/>
  <c r="P2321" i="16"/>
  <c r="P2322" i="16"/>
  <c r="P2323" i="16"/>
  <c r="P2324" i="16"/>
  <c r="P2325" i="16"/>
  <c r="P2326" i="16"/>
  <c r="P2327" i="16"/>
  <c r="P2328" i="16"/>
  <c r="P2329" i="16"/>
  <c r="P2330" i="16"/>
  <c r="P2331" i="16"/>
  <c r="P2332" i="16"/>
  <c r="P2333" i="16"/>
  <c r="P2334" i="16"/>
  <c r="P2335" i="16"/>
  <c r="P2336" i="16"/>
  <c r="P2337" i="16"/>
  <c r="P2338" i="16"/>
  <c r="P2339" i="16"/>
  <c r="P2340" i="16"/>
  <c r="P2341" i="16"/>
  <c r="P2342" i="16"/>
  <c r="P2343" i="16"/>
  <c r="P2344" i="16"/>
  <c r="P2345" i="16"/>
  <c r="P2346" i="16"/>
  <c r="P2347" i="16"/>
  <c r="P2348" i="16"/>
  <c r="P2349" i="16"/>
  <c r="P2350" i="16"/>
  <c r="P2351" i="16"/>
  <c r="P2352" i="16"/>
  <c r="P2353" i="16"/>
  <c r="P2354" i="16"/>
  <c r="P2355" i="16"/>
  <c r="P2356" i="16"/>
  <c r="P2357" i="16"/>
  <c r="P2358" i="16"/>
  <c r="P2359" i="16"/>
  <c r="P2360" i="16"/>
  <c r="P2361" i="16"/>
  <c r="P2362" i="16"/>
  <c r="P2363" i="16"/>
  <c r="P2364" i="16"/>
  <c r="P2365" i="16"/>
  <c r="P2366" i="16"/>
  <c r="P2367" i="16"/>
  <c r="P2368" i="16"/>
  <c r="P2369" i="16"/>
  <c r="P2370" i="16"/>
  <c r="P2371" i="16"/>
  <c r="P2372" i="16"/>
  <c r="P2373" i="16"/>
  <c r="P2374" i="16"/>
  <c r="P2375" i="16"/>
  <c r="P2376" i="16"/>
  <c r="K2379" i="16"/>
  <c r="P2380" i="16"/>
  <c r="P2381" i="16"/>
  <c r="P2382" i="16"/>
  <c r="P2383" i="16"/>
  <c r="P2384" i="16"/>
  <c r="P2385" i="16"/>
  <c r="P2386" i="16"/>
  <c r="P2387" i="16"/>
  <c r="P2388" i="16"/>
  <c r="P2389" i="16"/>
  <c r="P2390" i="16"/>
  <c r="P2391" i="16"/>
  <c r="P2392" i="16"/>
  <c r="P2393" i="16"/>
  <c r="P2394" i="16"/>
  <c r="P2395" i="16"/>
  <c r="P2396" i="16"/>
  <c r="P2397" i="16"/>
  <c r="P2398" i="16"/>
  <c r="P2399" i="16"/>
  <c r="P2400" i="16"/>
  <c r="P2401" i="16"/>
  <c r="P2402" i="16"/>
  <c r="P2403" i="16"/>
  <c r="P2404" i="16"/>
  <c r="P2405" i="16"/>
  <c r="P2406" i="16"/>
  <c r="P2407" i="16"/>
  <c r="P2408" i="16"/>
  <c r="P2409" i="16"/>
  <c r="P2410" i="16"/>
  <c r="P2411" i="16"/>
  <c r="P2412" i="16"/>
  <c r="P2413" i="16"/>
  <c r="P2414" i="16"/>
  <c r="P2415" i="16"/>
  <c r="P2416" i="16"/>
  <c r="P2417" i="16"/>
  <c r="P2418" i="16"/>
  <c r="P2419" i="16"/>
  <c r="P2420" i="16"/>
  <c r="P2421" i="16"/>
  <c r="P2422" i="16"/>
  <c r="P2423" i="16"/>
  <c r="P2424" i="16"/>
  <c r="P2425" i="16"/>
  <c r="P2426" i="16"/>
  <c r="P2427" i="16"/>
  <c r="P2428" i="16"/>
  <c r="P2429" i="16"/>
  <c r="P2430" i="16"/>
  <c r="P2431" i="16"/>
  <c r="P2432" i="16"/>
  <c r="P2433" i="16"/>
  <c r="P2434" i="16"/>
  <c r="P2435" i="16"/>
  <c r="P2436" i="16"/>
  <c r="P2437" i="16"/>
  <c r="P2438" i="16"/>
  <c r="P2439" i="16"/>
  <c r="P2440" i="16"/>
  <c r="P2441" i="16"/>
  <c r="P2442" i="16"/>
  <c r="P2443" i="16"/>
  <c r="P2444" i="16"/>
  <c r="P2445" i="16"/>
  <c r="P2446" i="16"/>
  <c r="P2447" i="16"/>
  <c r="P2448" i="16"/>
  <c r="P2449" i="16"/>
  <c r="P2450" i="16"/>
  <c r="P2451" i="16"/>
  <c r="P2452" i="16"/>
  <c r="P2453" i="16"/>
  <c r="P2454" i="16"/>
  <c r="P2455" i="16"/>
  <c r="P2456" i="16"/>
  <c r="P2457" i="16"/>
  <c r="P2458" i="16"/>
  <c r="P2459" i="16"/>
  <c r="P2460" i="16"/>
  <c r="P2461" i="16"/>
  <c r="P2462" i="16"/>
  <c r="P2463" i="16"/>
  <c r="P2464" i="16"/>
  <c r="P2465" i="16"/>
  <c r="P2466" i="16"/>
  <c r="P2467" i="16"/>
  <c r="P2468" i="16"/>
  <c r="P2469" i="16"/>
  <c r="P2470" i="16"/>
  <c r="P2471" i="16"/>
  <c r="P2472" i="16"/>
  <c r="P2473" i="16"/>
  <c r="P2474" i="16"/>
  <c r="P2475" i="16"/>
  <c r="P2476" i="16"/>
  <c r="P2477" i="16"/>
  <c r="P2478" i="16"/>
  <c r="P2479" i="16"/>
  <c r="P2480" i="16"/>
  <c r="P2481" i="16"/>
  <c r="P2482" i="16"/>
  <c r="P2483" i="16"/>
  <c r="P2484" i="16"/>
  <c r="P2485" i="16"/>
  <c r="P2486" i="16"/>
  <c r="P2487" i="16"/>
  <c r="P2488" i="16"/>
  <c r="P2489" i="16"/>
  <c r="P2490" i="16"/>
  <c r="P2491" i="16"/>
  <c r="P2492" i="16"/>
  <c r="P2493" i="16"/>
  <c r="P2494" i="16"/>
  <c r="P2495" i="16"/>
  <c r="P2496" i="16"/>
  <c r="P2497" i="16"/>
  <c r="P2498" i="16"/>
  <c r="P2499" i="16"/>
  <c r="P2500" i="16"/>
  <c r="P2501" i="16"/>
  <c r="P2502" i="16"/>
  <c r="P2503" i="16"/>
  <c r="P2504" i="16"/>
  <c r="P2505" i="16"/>
  <c r="P2506" i="16"/>
  <c r="P2507" i="16"/>
  <c r="P2508" i="16"/>
  <c r="P2509" i="16"/>
  <c r="P2510" i="16"/>
  <c r="P2511" i="16"/>
  <c r="P2512" i="16"/>
  <c r="P2513" i="16"/>
  <c r="P2514" i="16"/>
  <c r="P2515" i="16"/>
  <c r="P2516" i="16"/>
  <c r="P2517" i="16"/>
  <c r="P2518" i="16"/>
  <c r="P2519" i="16"/>
  <c r="P2520" i="16"/>
  <c r="P2521" i="16"/>
  <c r="P2522" i="16"/>
  <c r="P2523" i="16"/>
  <c r="P2524" i="16"/>
  <c r="P2525" i="16"/>
  <c r="P2526" i="16"/>
  <c r="P2527" i="16"/>
  <c r="P2528" i="16"/>
  <c r="P2529" i="16"/>
  <c r="P2530" i="16"/>
  <c r="P2531" i="16"/>
  <c r="P2532" i="16"/>
  <c r="P2533" i="16"/>
  <c r="P2534" i="16"/>
  <c r="P2535" i="16"/>
  <c r="P2536" i="16"/>
  <c r="P2537" i="16"/>
  <c r="P2538" i="16"/>
  <c r="P2539" i="16"/>
  <c r="P2540" i="16"/>
  <c r="P2541" i="16"/>
  <c r="P2542" i="16"/>
  <c r="P2543" i="16"/>
  <c r="P2544" i="16"/>
  <c r="P2545" i="16"/>
  <c r="P2546" i="16"/>
  <c r="P2547" i="16"/>
  <c r="P2548" i="16"/>
  <c r="P2549" i="16"/>
  <c r="P2550" i="16"/>
  <c r="P2551" i="16"/>
  <c r="P2552" i="16"/>
  <c r="P2553" i="16"/>
  <c r="P2554" i="16"/>
  <c r="P2555" i="16"/>
  <c r="P2556" i="16"/>
  <c r="P2557" i="16"/>
  <c r="P2558" i="16"/>
  <c r="P2559" i="16"/>
  <c r="P2560" i="16"/>
  <c r="P2561" i="16"/>
  <c r="P2562" i="16"/>
  <c r="P2563" i="16"/>
  <c r="P2564" i="16"/>
  <c r="P2565" i="16"/>
  <c r="P2566" i="16"/>
  <c r="P2567" i="16"/>
  <c r="P2568" i="16"/>
  <c r="P2569" i="16"/>
  <c r="P2570" i="16"/>
  <c r="P2571" i="16"/>
  <c r="P2572" i="16"/>
  <c r="P2573" i="16"/>
  <c r="P2574" i="16"/>
  <c r="P2575" i="16"/>
  <c r="P2576" i="16"/>
  <c r="P2577" i="16"/>
  <c r="P2578" i="16"/>
  <c r="P2579" i="16"/>
  <c r="P2580" i="16"/>
  <c r="P2581" i="16"/>
  <c r="P2582" i="16"/>
  <c r="P2583" i="16"/>
  <c r="P2584" i="16"/>
  <c r="P2585" i="16"/>
  <c r="P2586" i="16"/>
  <c r="P2587" i="16"/>
  <c r="P2588" i="16"/>
  <c r="P2589" i="16"/>
  <c r="P2590" i="16"/>
  <c r="P2591" i="16"/>
  <c r="P2592" i="16"/>
  <c r="P2593" i="16"/>
  <c r="P2594" i="16"/>
  <c r="P2595" i="16"/>
  <c r="P2596" i="16"/>
  <c r="P2597" i="16"/>
  <c r="P2598" i="16"/>
  <c r="P2599" i="16"/>
  <c r="P2600" i="16"/>
  <c r="P2601" i="16"/>
  <c r="P2602" i="16"/>
  <c r="P2603" i="16"/>
  <c r="P2604" i="16"/>
  <c r="P2605" i="16"/>
  <c r="P2606" i="16"/>
  <c r="P2607" i="16"/>
  <c r="P2608" i="16"/>
  <c r="P2609" i="16"/>
  <c r="P2610" i="16"/>
  <c r="P2611" i="16"/>
  <c r="P2612" i="16"/>
  <c r="P2613" i="16"/>
  <c r="P2614" i="16"/>
  <c r="P2615" i="16"/>
  <c r="P2616" i="16"/>
  <c r="P2617" i="16"/>
  <c r="P2618" i="16"/>
  <c r="P2619" i="16"/>
  <c r="P2620" i="16"/>
  <c r="P2621" i="16"/>
  <c r="P2622" i="16"/>
  <c r="P2623" i="16"/>
  <c r="P2624" i="16"/>
  <c r="P2625" i="16"/>
  <c r="P2626" i="16"/>
  <c r="P2627" i="16"/>
  <c r="P2628" i="16"/>
  <c r="P2629" i="16"/>
  <c r="P2630" i="16"/>
  <c r="P2631" i="16"/>
  <c r="P2632" i="16"/>
  <c r="P2633" i="16"/>
  <c r="P2634" i="16"/>
  <c r="P2635" i="16"/>
  <c r="P2636" i="16"/>
  <c r="P2637" i="16"/>
  <c r="P2638" i="16"/>
  <c r="P2639" i="16"/>
  <c r="P2640" i="16"/>
  <c r="P2641" i="16"/>
  <c r="P2642" i="16"/>
  <c r="P2643" i="16"/>
  <c r="P2644" i="16"/>
  <c r="P2645" i="16"/>
  <c r="P2646" i="16"/>
  <c r="P2647" i="16"/>
  <c r="P2648" i="16"/>
  <c r="P2649" i="16"/>
  <c r="P2650" i="16"/>
  <c r="P2651" i="16"/>
  <c r="P2652" i="16"/>
  <c r="P2653" i="16"/>
  <c r="P2654" i="16"/>
  <c r="P2655" i="16"/>
  <c r="P2656" i="16"/>
  <c r="P2657" i="16"/>
  <c r="P2658" i="16"/>
  <c r="P2659" i="16"/>
  <c r="P2660" i="16"/>
  <c r="P2661" i="16"/>
  <c r="P2662" i="16"/>
  <c r="P2663" i="16"/>
  <c r="P2664" i="16"/>
  <c r="P2665" i="16"/>
  <c r="P2666" i="16"/>
  <c r="P2667" i="16"/>
  <c r="P2668" i="16"/>
  <c r="P2669" i="16"/>
  <c r="P2670" i="16"/>
  <c r="P2671" i="16"/>
  <c r="P2672" i="16"/>
  <c r="P2673" i="16"/>
  <c r="P2674" i="16"/>
  <c r="P2675" i="16"/>
  <c r="P2676" i="16"/>
  <c r="P2677" i="16"/>
  <c r="P2678" i="16"/>
  <c r="P2679" i="16"/>
  <c r="P2680" i="16"/>
  <c r="P2681" i="16"/>
  <c r="P2682" i="16"/>
  <c r="P2683" i="16"/>
  <c r="P2684" i="16"/>
  <c r="P2685" i="16"/>
  <c r="P2686" i="16"/>
  <c r="P2687" i="16"/>
  <c r="P2688" i="16"/>
  <c r="P2689" i="16"/>
  <c r="P2690" i="16"/>
  <c r="P2691" i="16"/>
  <c r="P2692" i="16"/>
  <c r="P2693" i="16"/>
  <c r="P2694" i="16"/>
  <c r="P2695" i="16"/>
  <c r="P2696" i="16"/>
  <c r="P2697" i="16"/>
  <c r="P2698" i="16"/>
  <c r="P2699" i="16"/>
  <c r="P2700" i="16"/>
  <c r="P2701" i="16"/>
  <c r="P2702" i="16"/>
  <c r="P2703" i="16"/>
  <c r="P2704" i="16"/>
  <c r="P2705" i="16"/>
  <c r="P2706" i="16"/>
  <c r="P2707" i="16"/>
  <c r="P2708" i="16"/>
  <c r="P2709" i="16"/>
  <c r="P2710" i="16"/>
  <c r="P2711" i="16"/>
  <c r="P2712" i="16"/>
  <c r="P2713" i="16"/>
  <c r="P2714" i="16"/>
  <c r="P2715" i="16"/>
  <c r="P2716" i="16"/>
  <c r="P2717" i="16"/>
  <c r="P2718" i="16"/>
  <c r="P2719" i="16"/>
  <c r="P2720" i="16"/>
  <c r="P2721" i="16"/>
  <c r="P2722" i="16"/>
  <c r="P2723" i="16"/>
  <c r="P2724" i="16"/>
  <c r="P2725" i="16"/>
  <c r="P2726" i="16"/>
  <c r="P2727" i="16"/>
  <c r="P2728" i="16"/>
  <c r="P2729" i="16"/>
  <c r="P2730" i="16"/>
  <c r="P2731" i="16"/>
  <c r="P2732" i="16"/>
  <c r="P2733" i="16"/>
  <c r="P2734" i="16"/>
  <c r="P2735" i="16"/>
  <c r="P2736" i="16"/>
  <c r="P2737" i="16"/>
  <c r="P2738" i="16"/>
  <c r="P2739" i="16"/>
  <c r="P2740" i="16"/>
  <c r="P2741" i="16"/>
  <c r="P2742" i="16"/>
  <c r="P2743" i="16"/>
  <c r="P2744" i="16"/>
  <c r="P2745" i="16"/>
  <c r="P2746" i="16"/>
  <c r="P2747" i="16"/>
  <c r="P2748" i="16"/>
  <c r="P2749" i="16"/>
  <c r="P2750" i="16"/>
  <c r="P2751" i="16"/>
  <c r="P2752" i="16"/>
  <c r="P2753" i="16"/>
  <c r="P2754" i="16"/>
  <c r="P2755" i="16"/>
  <c r="P2756" i="16"/>
  <c r="P2757" i="16"/>
  <c r="P2758" i="16"/>
  <c r="P2759" i="16"/>
  <c r="P2760" i="16"/>
  <c r="P2761" i="16"/>
  <c r="P2762" i="16"/>
  <c r="P2763" i="16"/>
  <c r="P2764" i="16"/>
  <c r="P2765" i="16"/>
  <c r="P2766" i="16"/>
  <c r="P2767" i="16"/>
  <c r="P2768" i="16"/>
  <c r="P2769" i="16"/>
  <c r="P2770" i="16"/>
  <c r="P2771" i="16"/>
  <c r="P2772" i="16"/>
  <c r="P2773" i="16"/>
  <c r="P2774" i="16"/>
  <c r="P2775" i="16"/>
  <c r="P2776" i="16"/>
  <c r="P2777" i="16"/>
  <c r="P2778" i="16"/>
  <c r="P2779" i="16"/>
  <c r="P2780" i="16"/>
  <c r="P2781" i="16"/>
  <c r="P2782" i="16"/>
  <c r="P2783" i="16"/>
  <c r="P2784" i="16"/>
  <c r="P2785" i="16"/>
  <c r="P2786" i="16"/>
  <c r="P2787" i="16"/>
  <c r="P2788" i="16"/>
  <c r="P2789" i="16"/>
  <c r="P2790" i="16"/>
  <c r="P2791" i="16"/>
  <c r="P2792" i="16"/>
  <c r="P2793" i="16"/>
  <c r="P2794" i="16"/>
  <c r="P2795" i="16"/>
  <c r="P2796" i="16"/>
  <c r="P2797" i="16"/>
  <c r="P2798" i="16"/>
  <c r="P2799" i="16"/>
  <c r="P2800" i="16"/>
  <c r="P2801" i="16"/>
  <c r="P2802" i="16"/>
  <c r="P2803" i="16"/>
  <c r="P2804" i="16"/>
  <c r="P2805" i="16"/>
  <c r="P2806" i="16"/>
  <c r="P2807" i="16"/>
  <c r="P2808" i="16"/>
  <c r="P2809" i="16"/>
  <c r="P2810" i="16"/>
  <c r="P2811" i="16"/>
  <c r="P2812" i="16"/>
  <c r="P2813" i="16"/>
  <c r="P2814" i="16"/>
  <c r="P2815" i="16"/>
  <c r="P2816" i="16"/>
  <c r="P2817" i="16"/>
  <c r="P2818" i="16"/>
  <c r="P2819" i="16"/>
  <c r="P2820" i="16"/>
  <c r="P2821" i="16"/>
  <c r="P2822" i="16"/>
  <c r="P2823" i="16"/>
  <c r="P2824" i="16"/>
  <c r="P2825" i="16"/>
  <c r="P2826" i="16"/>
  <c r="P2827" i="16"/>
  <c r="P2828" i="16"/>
  <c r="P2829" i="16"/>
  <c r="P2830" i="16"/>
  <c r="P2831" i="16"/>
  <c r="P2832" i="16"/>
  <c r="P2833" i="16"/>
  <c r="P2834" i="16"/>
  <c r="P2835" i="16"/>
  <c r="P2836" i="16"/>
  <c r="P2837" i="16"/>
  <c r="P2838" i="16"/>
  <c r="P2839" i="16"/>
  <c r="P2840" i="16"/>
  <c r="P2841" i="16"/>
  <c r="P2842" i="16"/>
  <c r="P2843" i="16"/>
  <c r="P2844" i="16"/>
  <c r="P2845" i="16"/>
  <c r="P2846" i="16"/>
  <c r="P2847" i="16"/>
  <c r="P2848" i="16"/>
  <c r="P2849" i="16"/>
  <c r="P2850" i="16"/>
  <c r="P2851" i="16"/>
  <c r="P2852" i="16"/>
  <c r="P2853" i="16"/>
  <c r="P2854" i="16"/>
  <c r="P2855" i="16"/>
  <c r="P2856" i="16"/>
  <c r="P2857" i="16"/>
  <c r="P2858" i="16"/>
  <c r="P2859" i="16"/>
  <c r="P2860" i="16"/>
  <c r="P2861" i="16"/>
  <c r="P2862" i="16"/>
  <c r="P2863" i="16"/>
  <c r="P2864" i="16"/>
  <c r="P2865" i="16"/>
  <c r="P2866" i="16"/>
  <c r="P2867" i="16"/>
  <c r="P2868" i="16"/>
  <c r="P2869" i="16"/>
  <c r="P2870" i="16"/>
  <c r="P2871" i="16"/>
  <c r="P2872" i="16"/>
  <c r="P2873" i="16"/>
  <c r="P2874" i="16"/>
  <c r="P2875" i="16"/>
  <c r="P2876" i="16"/>
  <c r="P2877" i="16"/>
  <c r="P2878" i="16"/>
  <c r="P2879" i="16"/>
  <c r="P2880" i="16"/>
  <c r="P2881" i="16"/>
  <c r="P2882" i="16"/>
  <c r="P2883" i="16"/>
  <c r="P2884" i="16"/>
  <c r="P2885" i="16"/>
  <c r="P2886" i="16"/>
  <c r="P2887" i="16"/>
  <c r="P2888" i="16"/>
  <c r="P2889" i="16"/>
  <c r="P2890" i="16"/>
  <c r="P2891" i="16"/>
  <c r="P2892" i="16"/>
  <c r="P2893" i="16"/>
  <c r="P2894" i="16"/>
  <c r="P2895" i="16"/>
  <c r="P2896" i="16"/>
  <c r="P2897" i="16"/>
  <c r="P2898" i="16"/>
  <c r="P2899" i="16"/>
  <c r="P2900" i="16"/>
  <c r="P2901" i="16"/>
  <c r="P2902" i="16"/>
  <c r="P2903" i="16"/>
  <c r="P2904" i="16"/>
  <c r="P2905" i="16"/>
  <c r="P2906" i="16"/>
  <c r="P2907" i="16"/>
  <c r="P2908" i="16"/>
  <c r="P2909" i="16"/>
  <c r="P2910" i="16"/>
  <c r="P2911" i="16"/>
  <c r="P2912" i="16"/>
  <c r="P2913" i="16"/>
  <c r="P2914" i="16"/>
  <c r="P2915" i="16"/>
  <c r="P2916" i="16"/>
  <c r="P2917" i="16"/>
  <c r="P2918" i="16"/>
  <c r="P2919" i="16"/>
  <c r="P2920" i="16"/>
  <c r="P2921" i="16"/>
  <c r="P2922" i="16"/>
  <c r="P2923" i="16"/>
  <c r="P2924" i="16"/>
  <c r="P2925" i="16"/>
  <c r="P2926" i="16"/>
  <c r="P2927" i="16"/>
  <c r="P2928" i="16"/>
  <c r="P2929" i="16"/>
  <c r="P2930" i="16"/>
  <c r="P2931" i="16"/>
  <c r="P2932" i="16"/>
  <c r="P2933" i="16"/>
  <c r="P2934" i="16"/>
  <c r="P2935" i="16"/>
  <c r="P2936" i="16"/>
  <c r="P2937" i="16"/>
  <c r="P2938" i="16"/>
  <c r="P2939" i="16"/>
  <c r="P2940" i="16"/>
  <c r="P2941" i="16"/>
  <c r="P2942" i="16"/>
  <c r="P2943" i="16"/>
  <c r="P2944" i="16"/>
  <c r="P2945" i="16"/>
  <c r="P2946" i="16"/>
  <c r="P2947" i="16"/>
  <c r="P2948" i="16"/>
  <c r="P2949" i="16"/>
  <c r="P2950" i="16"/>
  <c r="P2951" i="16"/>
  <c r="P2952" i="16"/>
  <c r="P2953" i="16"/>
  <c r="P2954" i="16"/>
  <c r="P2955" i="16"/>
  <c r="P2956" i="16"/>
  <c r="P2957" i="16"/>
  <c r="P2958" i="16"/>
  <c r="P2959" i="16"/>
  <c r="P2960" i="16"/>
  <c r="P2961" i="16"/>
  <c r="P2962" i="16"/>
  <c r="P2963" i="16"/>
  <c r="P2964" i="16"/>
  <c r="P2965" i="16"/>
  <c r="P2966" i="16"/>
  <c r="P2967" i="16"/>
  <c r="P2968" i="16"/>
  <c r="P2969" i="16"/>
  <c r="P2970" i="16"/>
  <c r="P2971" i="16"/>
  <c r="P2972" i="16"/>
  <c r="P2973" i="16"/>
  <c r="P2974" i="16"/>
  <c r="P2975" i="16"/>
  <c r="P2976" i="16"/>
  <c r="P2977" i="16"/>
  <c r="P2978" i="16"/>
  <c r="P2979" i="16"/>
  <c r="P2980" i="16"/>
  <c r="P2981" i="16"/>
  <c r="P2982" i="16"/>
  <c r="P2983" i="16"/>
  <c r="P2984" i="16"/>
  <c r="P2985" i="16"/>
  <c r="P2986" i="16"/>
  <c r="P2987" i="16"/>
  <c r="P2988" i="16"/>
  <c r="P2989" i="16"/>
  <c r="P2990" i="16"/>
  <c r="P2991" i="16"/>
  <c r="P2992" i="16"/>
  <c r="P2993" i="16"/>
  <c r="P2994" i="16"/>
  <c r="P2995" i="16"/>
  <c r="P2996" i="16"/>
  <c r="P2997" i="16"/>
  <c r="P2998" i="16"/>
  <c r="P2999" i="16"/>
  <c r="P3000" i="16"/>
  <c r="P3001" i="16"/>
  <c r="P3002" i="16"/>
  <c r="P3003" i="16"/>
  <c r="P3004" i="16"/>
  <c r="P3005" i="16"/>
  <c r="P3006" i="16"/>
  <c r="P3007" i="16"/>
  <c r="P3008" i="16"/>
  <c r="P3009" i="16"/>
  <c r="P3010" i="16"/>
  <c r="P3011" i="16"/>
  <c r="P3012" i="16"/>
  <c r="P3013" i="16"/>
  <c r="P3014" i="16"/>
  <c r="P3015" i="16"/>
  <c r="P3016" i="16"/>
  <c r="P3017" i="16"/>
  <c r="P3018" i="16"/>
  <c r="P3019" i="16"/>
  <c r="P3020" i="16"/>
  <c r="P3021" i="16"/>
  <c r="P3022" i="16"/>
  <c r="P3023" i="16"/>
  <c r="P3024" i="16"/>
  <c r="P3025" i="16"/>
  <c r="P3026" i="16"/>
  <c r="P3027" i="16"/>
  <c r="P3028" i="16"/>
  <c r="P3029" i="16"/>
  <c r="P3030" i="16"/>
  <c r="P3031" i="16"/>
  <c r="P3032" i="16"/>
  <c r="P3033" i="16"/>
  <c r="P3034" i="16"/>
  <c r="P3035" i="16"/>
  <c r="P3036" i="16"/>
  <c r="P3037" i="16"/>
  <c r="P3038" i="16"/>
  <c r="P3039" i="16"/>
  <c r="P3040" i="16"/>
  <c r="P3041" i="16"/>
  <c r="P3042" i="16"/>
  <c r="P3043" i="16"/>
  <c r="P3044" i="16"/>
  <c r="P3045" i="16"/>
  <c r="P3046" i="16"/>
  <c r="P3047" i="16"/>
  <c r="P3048" i="16"/>
  <c r="P3049" i="16"/>
  <c r="P3050" i="16"/>
  <c r="P3051" i="16"/>
  <c r="P3052" i="16"/>
  <c r="P3053" i="16"/>
  <c r="P3054" i="16"/>
  <c r="P3055" i="16"/>
  <c r="P3056" i="16"/>
  <c r="P3057" i="16"/>
  <c r="P3058" i="16"/>
  <c r="P3059" i="16"/>
  <c r="P3060" i="16"/>
  <c r="P3061" i="16"/>
  <c r="P3062" i="16"/>
  <c r="P3063" i="16"/>
  <c r="P3064" i="16"/>
  <c r="P3065" i="16"/>
  <c r="P3066" i="16"/>
  <c r="P3067" i="16"/>
  <c r="P3068" i="16"/>
  <c r="P3069" i="16"/>
  <c r="P3070" i="16"/>
  <c r="P3071" i="16"/>
  <c r="P3072" i="16"/>
  <c r="P3073" i="16"/>
  <c r="P3074" i="16"/>
  <c r="P3075" i="16"/>
  <c r="P3076" i="16"/>
  <c r="P3077" i="16"/>
  <c r="P3078" i="16"/>
  <c r="P3079" i="16"/>
  <c r="P3080" i="16"/>
  <c r="P3081" i="16"/>
  <c r="P3082" i="16"/>
  <c r="P3083" i="16"/>
  <c r="P3084" i="16"/>
  <c r="P3085" i="16"/>
  <c r="P3086" i="16"/>
  <c r="P3087" i="16"/>
  <c r="P3088" i="16"/>
  <c r="P3089" i="16"/>
  <c r="P3090" i="16"/>
  <c r="P3091" i="16"/>
  <c r="P3092" i="16"/>
  <c r="P3093" i="16"/>
  <c r="P3094" i="16"/>
  <c r="P3095" i="16"/>
  <c r="P3096" i="16"/>
  <c r="P3097" i="16"/>
  <c r="P3098" i="16"/>
  <c r="P3099" i="16"/>
  <c r="P3100" i="16"/>
  <c r="P3101" i="16"/>
  <c r="P3102" i="16"/>
  <c r="P3103" i="16"/>
  <c r="P3104" i="16"/>
  <c r="P3105" i="16"/>
  <c r="P3106" i="16"/>
  <c r="P3107" i="16"/>
  <c r="P3108" i="16"/>
  <c r="P3109" i="16"/>
  <c r="P3110" i="16"/>
  <c r="P3111" i="16"/>
  <c r="P3112" i="16"/>
  <c r="P3113" i="16"/>
  <c r="P3114" i="16"/>
  <c r="P3115" i="16"/>
  <c r="P3116" i="16"/>
  <c r="P3117" i="16"/>
  <c r="P3118" i="16"/>
  <c r="P3119" i="16"/>
  <c r="P3120" i="16"/>
  <c r="P3121" i="16"/>
  <c r="P3122" i="16"/>
  <c r="P3123" i="16"/>
  <c r="P3124" i="16"/>
  <c r="P3125" i="16"/>
  <c r="P3126" i="16"/>
  <c r="P3127" i="16"/>
  <c r="P3128" i="16"/>
  <c r="P3129" i="16"/>
  <c r="P3130" i="16"/>
  <c r="P3131" i="16"/>
  <c r="P3132" i="16"/>
  <c r="P3133" i="16"/>
  <c r="P3134" i="16"/>
  <c r="P3135" i="16"/>
  <c r="P3136" i="16"/>
  <c r="P3137" i="16"/>
  <c r="P3138" i="16"/>
  <c r="P3139" i="16"/>
  <c r="P3140" i="16"/>
  <c r="P3141" i="16"/>
  <c r="P3142" i="16"/>
  <c r="P3143" i="16"/>
  <c r="P3144" i="16"/>
  <c r="P3145" i="16"/>
  <c r="P3146" i="16"/>
  <c r="P3147" i="16"/>
  <c r="P3148" i="16"/>
  <c r="P3149" i="16"/>
  <c r="P3150" i="16"/>
  <c r="P3151" i="16"/>
  <c r="P3152" i="16"/>
  <c r="P3153" i="16"/>
  <c r="P3154" i="16"/>
  <c r="P3155" i="16"/>
  <c r="P3156" i="16"/>
  <c r="P3157" i="16"/>
  <c r="P3158" i="16"/>
  <c r="P3159" i="16"/>
  <c r="K3162" i="16"/>
  <c r="P3163" i="16"/>
  <c r="P3164" i="16"/>
  <c r="P3165" i="16"/>
  <c r="P3166" i="16"/>
  <c r="P3167" i="16"/>
  <c r="P3168" i="16"/>
  <c r="P3169" i="16"/>
  <c r="P3170" i="16"/>
  <c r="P3171" i="16"/>
  <c r="P3172" i="16"/>
  <c r="P3173" i="16"/>
  <c r="P3174" i="16"/>
  <c r="P3175" i="16"/>
  <c r="P3176" i="16"/>
  <c r="P3177" i="16"/>
  <c r="P3178" i="16"/>
  <c r="P3179" i="16"/>
  <c r="P3180" i="16"/>
  <c r="P3181" i="16"/>
  <c r="P3182" i="16"/>
  <c r="P3183" i="16"/>
  <c r="P3184" i="16"/>
  <c r="P3185" i="16"/>
  <c r="P3186" i="16"/>
  <c r="P3187" i="16"/>
  <c r="P3188" i="16"/>
  <c r="P3189" i="16"/>
  <c r="P3190" i="16"/>
  <c r="P3191" i="16"/>
  <c r="P3192" i="16"/>
  <c r="P3193" i="16"/>
  <c r="P3194" i="16"/>
  <c r="P3195" i="16"/>
  <c r="P3196" i="16"/>
  <c r="P3197" i="16"/>
  <c r="P3198" i="16"/>
  <c r="P3199" i="16"/>
  <c r="P3200" i="16"/>
  <c r="P3201" i="16"/>
  <c r="P3202" i="16"/>
  <c r="P3203" i="16"/>
  <c r="P3204" i="16"/>
  <c r="P3205" i="16"/>
  <c r="P3206" i="16"/>
  <c r="P3207" i="16"/>
  <c r="P3208" i="16"/>
  <c r="P3209" i="16"/>
  <c r="P3210" i="16"/>
  <c r="P3211" i="16"/>
  <c r="P3212" i="16"/>
  <c r="P3213" i="16"/>
  <c r="P3214" i="16"/>
  <c r="P3215" i="16"/>
  <c r="P3216" i="16"/>
  <c r="P3217" i="16"/>
  <c r="P3218" i="16"/>
  <c r="P3219" i="16"/>
  <c r="P3220" i="16"/>
  <c r="P3221" i="16"/>
  <c r="P3222" i="16"/>
  <c r="P3223" i="16"/>
  <c r="P3224" i="16"/>
  <c r="P3225" i="16"/>
  <c r="P3226" i="16"/>
  <c r="P3227" i="16"/>
  <c r="P3228" i="16"/>
  <c r="P3229" i="16"/>
  <c r="P3230" i="16"/>
  <c r="P3231" i="16"/>
  <c r="P3232" i="16"/>
  <c r="P3233" i="16"/>
  <c r="P3234" i="16"/>
  <c r="P3235" i="16"/>
  <c r="P3236" i="16"/>
  <c r="P3237" i="16"/>
  <c r="P3238" i="16"/>
  <c r="P3239" i="16"/>
  <c r="P3240" i="16"/>
  <c r="P3241" i="16"/>
  <c r="P3242" i="16"/>
  <c r="P3243" i="16"/>
  <c r="P3244" i="16"/>
  <c r="P3245" i="16"/>
  <c r="P3246" i="16"/>
  <c r="P3247" i="16"/>
  <c r="P3248" i="16"/>
  <c r="P3249" i="16"/>
  <c r="P3250" i="16"/>
  <c r="P3251" i="16"/>
  <c r="P3252" i="16"/>
  <c r="P3253" i="16"/>
  <c r="K3256" i="16"/>
  <c r="P3257" i="16"/>
  <c r="P3258" i="16"/>
  <c r="P3259" i="16"/>
  <c r="P3260" i="16"/>
  <c r="P3261" i="16"/>
  <c r="P3262" i="16"/>
  <c r="P3263" i="16"/>
  <c r="P3264" i="16"/>
  <c r="P3265" i="16"/>
  <c r="P3266" i="16"/>
  <c r="P3267" i="16"/>
  <c r="P3268" i="16"/>
  <c r="P3269" i="16"/>
  <c r="P3270" i="16"/>
  <c r="P3271" i="16"/>
  <c r="P3272" i="16"/>
  <c r="P3273" i="16"/>
  <c r="P3274" i="16"/>
  <c r="P3275" i="16"/>
  <c r="P3276" i="16"/>
  <c r="P3277" i="16"/>
  <c r="P3278" i="16"/>
  <c r="P3279" i="16"/>
  <c r="P3280" i="16"/>
  <c r="P3281" i="16"/>
  <c r="P3282" i="16"/>
  <c r="P3283" i="16"/>
  <c r="P3284" i="16"/>
  <c r="P3285" i="16"/>
  <c r="P3286" i="16"/>
  <c r="P3287" i="16"/>
  <c r="P3288" i="16"/>
  <c r="P3289" i="16"/>
  <c r="P3290" i="16"/>
  <c r="P3291" i="16"/>
  <c r="P3292" i="16"/>
  <c r="P3293" i="16"/>
  <c r="P3294" i="16"/>
  <c r="P3295" i="16"/>
  <c r="P3296" i="16"/>
  <c r="P3297" i="16"/>
  <c r="P3298" i="16"/>
  <c r="P3299" i="16"/>
  <c r="P3300" i="16"/>
  <c r="P3301" i="16"/>
  <c r="P3302" i="16"/>
  <c r="P3303" i="16"/>
  <c r="P3304" i="16"/>
  <c r="P3305" i="16"/>
  <c r="P3306" i="16"/>
  <c r="P3307" i="16"/>
  <c r="P3308" i="16"/>
  <c r="P3309" i="16"/>
  <c r="P3310" i="16"/>
  <c r="P3311" i="16"/>
  <c r="P3312" i="16"/>
  <c r="P3313" i="16"/>
  <c r="P3314" i="16"/>
  <c r="P3315" i="16"/>
  <c r="P3316" i="16"/>
  <c r="P3317" i="16"/>
  <c r="P3318" i="16"/>
  <c r="P3319" i="16"/>
  <c r="P3320" i="16"/>
  <c r="P3321" i="16"/>
  <c r="P3322" i="16"/>
  <c r="P3323" i="16"/>
  <c r="P3324" i="16"/>
  <c r="P3325" i="16"/>
  <c r="P3326" i="16"/>
  <c r="P3327" i="16"/>
  <c r="P3328" i="16"/>
  <c r="P3329" i="16"/>
  <c r="P3330" i="16"/>
  <c r="P3331" i="16"/>
  <c r="P3332" i="16"/>
  <c r="P3333" i="16"/>
  <c r="P3334" i="16"/>
  <c r="P3335" i="16"/>
  <c r="P3336" i="16"/>
  <c r="P3337" i="16"/>
  <c r="P3338" i="16"/>
  <c r="P3339" i="16"/>
  <c r="P3340" i="16"/>
  <c r="P3341" i="16"/>
  <c r="P3342" i="16"/>
  <c r="P3343" i="16"/>
  <c r="P3344" i="16"/>
  <c r="P3345" i="16"/>
  <c r="P3346" i="16"/>
  <c r="P3347" i="16"/>
  <c r="P3348" i="16"/>
  <c r="P3349" i="16"/>
  <c r="P3350" i="16"/>
  <c r="P3351" i="16"/>
  <c r="P3352" i="16"/>
  <c r="P3353" i="16"/>
  <c r="P3354" i="16"/>
  <c r="P3355" i="16"/>
  <c r="P3356" i="16"/>
  <c r="P3357" i="16"/>
  <c r="P3358" i="16"/>
  <c r="P3359" i="16"/>
  <c r="P3360" i="16"/>
  <c r="P3361" i="16"/>
  <c r="P3362" i="16"/>
  <c r="P3363" i="16"/>
  <c r="P3364" i="16"/>
  <c r="P3365" i="16"/>
  <c r="P3366" i="16"/>
  <c r="P3367" i="16"/>
  <c r="P3368" i="16"/>
  <c r="K3371" i="16"/>
  <c r="P3372" i="16"/>
  <c r="P3373" i="16"/>
  <c r="P3374" i="16"/>
  <c r="P3375" i="16"/>
  <c r="P3376" i="16"/>
  <c r="P3377" i="16"/>
  <c r="P3378" i="16"/>
  <c r="P3379" i="16"/>
  <c r="P3380" i="16"/>
  <c r="P3381" i="16"/>
  <c r="P3382" i="16"/>
  <c r="P3383" i="16"/>
  <c r="P3384" i="16"/>
  <c r="P3385" i="16"/>
  <c r="P3386" i="16"/>
  <c r="P3387" i="16"/>
  <c r="P3388" i="16"/>
  <c r="P3389" i="16"/>
  <c r="P3390" i="16"/>
  <c r="P3391" i="16"/>
  <c r="P3392" i="16"/>
  <c r="P3393" i="16"/>
  <c r="P3394" i="16"/>
  <c r="P3395" i="16"/>
  <c r="P3396" i="16"/>
  <c r="P3397" i="16"/>
  <c r="P3398" i="16"/>
  <c r="P3399" i="16"/>
  <c r="P3400" i="16"/>
  <c r="P3401" i="16"/>
  <c r="P3402" i="16"/>
  <c r="P3403" i="16"/>
  <c r="P3404" i="16"/>
  <c r="P3405" i="16"/>
  <c r="P3406" i="16"/>
  <c r="P3407" i="16"/>
  <c r="P3408" i="16"/>
  <c r="P3409" i="16"/>
  <c r="P3410" i="16"/>
  <c r="P3411" i="16"/>
  <c r="P3412" i="16"/>
  <c r="P3413" i="16"/>
  <c r="P3414" i="16"/>
  <c r="P3415" i="16"/>
  <c r="P3416" i="16"/>
  <c r="P3417" i="16"/>
  <c r="P3418" i="16"/>
  <c r="P3419" i="16"/>
  <c r="P3420" i="16"/>
  <c r="P3421" i="16"/>
  <c r="P3422" i="16"/>
  <c r="P3423" i="16"/>
  <c r="P3424" i="16"/>
  <c r="P3425" i="16"/>
  <c r="P3426" i="16"/>
  <c r="P3427" i="16"/>
  <c r="P3428" i="16"/>
  <c r="P3429" i="16"/>
  <c r="P3430" i="16"/>
  <c r="P3431" i="16"/>
  <c r="P3432" i="16"/>
  <c r="P3433" i="16"/>
  <c r="P3434" i="16"/>
  <c r="P3435" i="16"/>
  <c r="P3436" i="16"/>
  <c r="P3437" i="16"/>
  <c r="P3438" i="16"/>
  <c r="P3439" i="16"/>
  <c r="P3440" i="16"/>
  <c r="P3441" i="16"/>
  <c r="P3442" i="16"/>
  <c r="P3443" i="16"/>
  <c r="P3444" i="16"/>
  <c r="P3445" i="16"/>
  <c r="P3446" i="16"/>
  <c r="P3447" i="16"/>
  <c r="P3448" i="16"/>
  <c r="P3449" i="16"/>
  <c r="P3450" i="16"/>
  <c r="P3451" i="16"/>
  <c r="P3452" i="16"/>
  <c r="P3453" i="16"/>
  <c r="P3454" i="16"/>
  <c r="P3455" i="16"/>
  <c r="P3456" i="16"/>
  <c r="P3457" i="16"/>
  <c r="P3458" i="16"/>
  <c r="P3459" i="16"/>
  <c r="P3460" i="16"/>
  <c r="P3461" i="16"/>
  <c r="P3462" i="16"/>
  <c r="P3463" i="16"/>
  <c r="P3464" i="16"/>
  <c r="P3465" i="16"/>
  <c r="P3466" i="16"/>
  <c r="P3467" i="16"/>
  <c r="P3468" i="16"/>
  <c r="P3469" i="16"/>
  <c r="P3470" i="16"/>
  <c r="P3471" i="16"/>
  <c r="P3472" i="16"/>
  <c r="P3473" i="16"/>
  <c r="P3474" i="16"/>
  <c r="P3475" i="16"/>
  <c r="P3476" i="16"/>
  <c r="P3477" i="16"/>
  <c r="P3478" i="16"/>
  <c r="P3479" i="16"/>
  <c r="P3480" i="16"/>
  <c r="P3481" i="16"/>
  <c r="P3482" i="16"/>
  <c r="P3483" i="16"/>
  <c r="P3484" i="16"/>
  <c r="P3485" i="16"/>
  <c r="P3486" i="16"/>
  <c r="P3487" i="16"/>
  <c r="P3488" i="16"/>
  <c r="P3489" i="16"/>
  <c r="P3490" i="16"/>
  <c r="P3491" i="16"/>
  <c r="P3492" i="16"/>
  <c r="P3493" i="16"/>
  <c r="P3494" i="16"/>
  <c r="P3495" i="16"/>
  <c r="P3496" i="16"/>
  <c r="P3497" i="16"/>
  <c r="P3498" i="16"/>
  <c r="P3499" i="16"/>
  <c r="P3500" i="16"/>
  <c r="P3501" i="16"/>
  <c r="P3502" i="16"/>
  <c r="P3503" i="16"/>
  <c r="P3504" i="16"/>
  <c r="P3505" i="16"/>
  <c r="P3506" i="16"/>
  <c r="P3507" i="16"/>
  <c r="P3508" i="16"/>
  <c r="P3509" i="16"/>
  <c r="P3510" i="16"/>
  <c r="P3511" i="16"/>
  <c r="P3512" i="16"/>
  <c r="P3513" i="16"/>
  <c r="P3514" i="16"/>
  <c r="P3515" i="16"/>
  <c r="P3516" i="16"/>
  <c r="P3517" i="16"/>
  <c r="P3518" i="16"/>
  <c r="P3519" i="16"/>
  <c r="P3520" i="16"/>
  <c r="P3521" i="16"/>
  <c r="P3522" i="16"/>
  <c r="P3523" i="16"/>
  <c r="P3524" i="16"/>
  <c r="P3525" i="16"/>
  <c r="P3526" i="16"/>
  <c r="P3527" i="16"/>
  <c r="P3528" i="16"/>
  <c r="P3529" i="16"/>
  <c r="P3530" i="16"/>
  <c r="P3531" i="16"/>
  <c r="P3532" i="16"/>
  <c r="P3533" i="16"/>
  <c r="P3534" i="16"/>
  <c r="P3535" i="16"/>
  <c r="P3536" i="16"/>
  <c r="P3537" i="16"/>
  <c r="P3538" i="16"/>
  <c r="P3539" i="16"/>
  <c r="P3540" i="16"/>
  <c r="P3541" i="16"/>
  <c r="P3542" i="16"/>
  <c r="P3543" i="16"/>
  <c r="P3544" i="16"/>
  <c r="P3545" i="16"/>
  <c r="P3546" i="16"/>
  <c r="P3547" i="16"/>
  <c r="P3548" i="16"/>
  <c r="P3549" i="16"/>
  <c r="P3550" i="16"/>
  <c r="P3551" i="16"/>
  <c r="P3552" i="16"/>
  <c r="P3553" i="16"/>
  <c r="P3554" i="16"/>
  <c r="P3555" i="16"/>
  <c r="P3556" i="16"/>
  <c r="P3557" i="16"/>
  <c r="P3558" i="16"/>
  <c r="P3559" i="16"/>
  <c r="P3560" i="16"/>
  <c r="P3561" i="16"/>
  <c r="P3562" i="16"/>
  <c r="P3563" i="16"/>
  <c r="P3564" i="16"/>
  <c r="P3565" i="16"/>
  <c r="P3566" i="16"/>
  <c r="P3567" i="16"/>
  <c r="P3568" i="16"/>
  <c r="P3569" i="16"/>
  <c r="P3570" i="16"/>
  <c r="P3571" i="16"/>
  <c r="P3572" i="16"/>
  <c r="P3573" i="16"/>
  <c r="P3574" i="16"/>
  <c r="P3575" i="16"/>
  <c r="P3576" i="16"/>
  <c r="P3577" i="16"/>
  <c r="P3578" i="16"/>
  <c r="P3579" i="16"/>
  <c r="P3580" i="16"/>
  <c r="P3581" i="16"/>
  <c r="P3582" i="16"/>
  <c r="P3583" i="16"/>
  <c r="P3584" i="16"/>
  <c r="P3585" i="16"/>
  <c r="P3586" i="16"/>
  <c r="P3587" i="16"/>
  <c r="P3588" i="16"/>
  <c r="P3589" i="16"/>
  <c r="K3592" i="16"/>
  <c r="P3593" i="16"/>
  <c r="P3594" i="16"/>
  <c r="P3595" i="16"/>
  <c r="P3596" i="16"/>
  <c r="P3597" i="16"/>
  <c r="P3598" i="16"/>
  <c r="P3599" i="16"/>
  <c r="P3600" i="16"/>
  <c r="P3601" i="16"/>
  <c r="P3602" i="16"/>
  <c r="P3603" i="16"/>
  <c r="P3604" i="16"/>
  <c r="P3605" i="16"/>
  <c r="P3606" i="16"/>
  <c r="P3607" i="16"/>
  <c r="P3608" i="16"/>
  <c r="P3609" i="16"/>
  <c r="P3610" i="16"/>
  <c r="P3611" i="16"/>
  <c r="P3612" i="16"/>
  <c r="P3613" i="16"/>
  <c r="P3614" i="16"/>
  <c r="P3615" i="16"/>
  <c r="P3616" i="16"/>
  <c r="P3617" i="16"/>
  <c r="P3618" i="16"/>
  <c r="P3619" i="16"/>
  <c r="P3620" i="16"/>
  <c r="P3621" i="16"/>
  <c r="P3622" i="16"/>
  <c r="P3623" i="16"/>
  <c r="P3624" i="16"/>
  <c r="P3625" i="16"/>
  <c r="P3626" i="16"/>
  <c r="P3627" i="16"/>
  <c r="P3628" i="16"/>
  <c r="P3629" i="16"/>
  <c r="P3630" i="16"/>
  <c r="P3631" i="16"/>
  <c r="P3632" i="16"/>
  <c r="P3633" i="16"/>
  <c r="P3634" i="16"/>
  <c r="P3635" i="16"/>
  <c r="P3636" i="16"/>
  <c r="P3637" i="16"/>
  <c r="P3638" i="16"/>
  <c r="P3639" i="16"/>
  <c r="P3640" i="16"/>
  <c r="P3641" i="16"/>
  <c r="P3642" i="16"/>
  <c r="P3643" i="16"/>
  <c r="P3644" i="16"/>
  <c r="P3645" i="16"/>
  <c r="P3646" i="16"/>
  <c r="P3647" i="16"/>
  <c r="P3648" i="16"/>
  <c r="P3649" i="16"/>
  <c r="P3650" i="16"/>
  <c r="K3653" i="16"/>
  <c r="P3654" i="16"/>
  <c r="P3655" i="16"/>
  <c r="P3656" i="16"/>
  <c r="P3657" i="16"/>
  <c r="P3658" i="16"/>
  <c r="P3659" i="16"/>
  <c r="P3660" i="16"/>
  <c r="P3661" i="16"/>
  <c r="P3662" i="16"/>
  <c r="P3663" i="16"/>
  <c r="P3664" i="16"/>
  <c r="P3665" i="16"/>
  <c r="P3666" i="16"/>
  <c r="P3667" i="16"/>
  <c r="P3668" i="16"/>
  <c r="P3669" i="16"/>
  <c r="P3670" i="16"/>
  <c r="P3671" i="16"/>
  <c r="P3672" i="16"/>
  <c r="P3673" i="16"/>
  <c r="P3674" i="16"/>
  <c r="P3675" i="16"/>
  <c r="P3676" i="16"/>
  <c r="P3677" i="16"/>
  <c r="P3678" i="16"/>
  <c r="P3679" i="16"/>
  <c r="P3680" i="16"/>
  <c r="P3681" i="16"/>
  <c r="P3682" i="16"/>
  <c r="P3683" i="16"/>
  <c r="P3684" i="16"/>
  <c r="P3685" i="16"/>
  <c r="P3686" i="16"/>
  <c r="P3687" i="16"/>
  <c r="P3688" i="16"/>
  <c r="P3689" i="16"/>
  <c r="P3690" i="16"/>
  <c r="P3691" i="16"/>
  <c r="P3692" i="16"/>
  <c r="P3693" i="16"/>
  <c r="P3694" i="16"/>
  <c r="P3695" i="16"/>
  <c r="P3696" i="16"/>
  <c r="P3697" i="16"/>
  <c r="P3698" i="16"/>
  <c r="P3699" i="16"/>
  <c r="P3700" i="16"/>
  <c r="P3701" i="16"/>
  <c r="P3702" i="16"/>
  <c r="P3703" i="16"/>
  <c r="P3704" i="16"/>
  <c r="P3705" i="16"/>
  <c r="P3706" i="16"/>
  <c r="P3707" i="16"/>
  <c r="P3708" i="16"/>
  <c r="P3709" i="16"/>
  <c r="P3710" i="16"/>
  <c r="P3711" i="16"/>
  <c r="P3712" i="16"/>
  <c r="P3713" i="16"/>
  <c r="P3714" i="16"/>
  <c r="P3715" i="16"/>
  <c r="P3716" i="16"/>
  <c r="P3717" i="16"/>
  <c r="P3718" i="16"/>
  <c r="P3719" i="16"/>
  <c r="P3720" i="16"/>
  <c r="P3721" i="16"/>
  <c r="P3722" i="16"/>
  <c r="P3723" i="16"/>
  <c r="P3724" i="16"/>
  <c r="P3725" i="16"/>
  <c r="P3726" i="16"/>
  <c r="P3727" i="16"/>
  <c r="P3728" i="16"/>
  <c r="P3729" i="16"/>
  <c r="P3730" i="16"/>
  <c r="P3731" i="16"/>
  <c r="P3732" i="16"/>
  <c r="P3733" i="16"/>
  <c r="P3734" i="16"/>
  <c r="P3735" i="16"/>
  <c r="P3736" i="16"/>
  <c r="P3737" i="16"/>
  <c r="P3738" i="16"/>
  <c r="P3739" i="16"/>
  <c r="P3740" i="16"/>
  <c r="P3741" i="16"/>
  <c r="P3742" i="16"/>
  <c r="P3743" i="16"/>
  <c r="P3744" i="16"/>
  <c r="P3745" i="16"/>
  <c r="P3746" i="16"/>
  <c r="P3747" i="16"/>
  <c r="P3748" i="16"/>
  <c r="P3749" i="16"/>
  <c r="P3750" i="16"/>
  <c r="P3751" i="16"/>
  <c r="P3752" i="16"/>
  <c r="P3753" i="16"/>
  <c r="P3754" i="16"/>
  <c r="P3755" i="16"/>
  <c r="P3756" i="16"/>
  <c r="P3757" i="16"/>
  <c r="P3758" i="16"/>
  <c r="P3759" i="16"/>
  <c r="P3760" i="16"/>
  <c r="P3761" i="16"/>
  <c r="P3762" i="16"/>
  <c r="P3763" i="16"/>
  <c r="P3764" i="16"/>
  <c r="P3765" i="16"/>
  <c r="P3766" i="16"/>
  <c r="P3767" i="16"/>
  <c r="P3768" i="16"/>
  <c r="P3769" i="16"/>
  <c r="P3770" i="16"/>
  <c r="P3771" i="16"/>
  <c r="P3772" i="16"/>
  <c r="P3773" i="16"/>
  <c r="P3774" i="16"/>
  <c r="P3775" i="16"/>
  <c r="P3776" i="16"/>
  <c r="P3777" i="16"/>
  <c r="P3778" i="16"/>
  <c r="P3779" i="16"/>
  <c r="P3780" i="16"/>
  <c r="P3781" i="16"/>
  <c r="P3782" i="16"/>
  <c r="P3783" i="16"/>
  <c r="P3784" i="16"/>
  <c r="P3785" i="16"/>
  <c r="P3786" i="16"/>
  <c r="P3787" i="16"/>
  <c r="P3788" i="16"/>
  <c r="P3789" i="16"/>
  <c r="P3790" i="16"/>
  <c r="P3791" i="16"/>
  <c r="P3792" i="16"/>
  <c r="P3793" i="16"/>
  <c r="P3794" i="16"/>
  <c r="P3795" i="16"/>
  <c r="P3796" i="16"/>
  <c r="P3797" i="16"/>
  <c r="P3798" i="16"/>
  <c r="P3799" i="16"/>
  <c r="P3800" i="16"/>
  <c r="P3801" i="16"/>
  <c r="P3802" i="16"/>
  <c r="P3803" i="16"/>
  <c r="P3804" i="16"/>
  <c r="P3805" i="16"/>
  <c r="P3806" i="16"/>
  <c r="P3807" i="16"/>
  <c r="P3808" i="16"/>
  <c r="P3809" i="16"/>
  <c r="P3810" i="16"/>
  <c r="P3811" i="16"/>
  <c r="P3812" i="16"/>
  <c r="P3813" i="16"/>
  <c r="P3814" i="16"/>
  <c r="P3815" i="16"/>
  <c r="P3816" i="16"/>
  <c r="P3817" i="16"/>
  <c r="P3818" i="16"/>
  <c r="P3819" i="16"/>
  <c r="P3820" i="16"/>
  <c r="P3821" i="16"/>
  <c r="P3822" i="16"/>
  <c r="P3823" i="16"/>
  <c r="P3824" i="16"/>
  <c r="P3825" i="16"/>
  <c r="P3826" i="16"/>
  <c r="P3827" i="16"/>
  <c r="P3828" i="16"/>
  <c r="P3829" i="16"/>
  <c r="P3830" i="16"/>
  <c r="P3831" i="16"/>
  <c r="P3832" i="16"/>
  <c r="P3833" i="16"/>
  <c r="P3834" i="16"/>
  <c r="P3835" i="16"/>
  <c r="P3836" i="16"/>
  <c r="P3837" i="16"/>
  <c r="P3838" i="16"/>
  <c r="P3839" i="16"/>
  <c r="P3840" i="16"/>
  <c r="P3841" i="16"/>
  <c r="P3842" i="16"/>
  <c r="P3843" i="16"/>
  <c r="P3844" i="16"/>
  <c r="P3845" i="16"/>
  <c r="P3846" i="16"/>
  <c r="P3847" i="16"/>
  <c r="P3848" i="16"/>
  <c r="P3849" i="16"/>
  <c r="P3850" i="16"/>
  <c r="P3851" i="16"/>
  <c r="P3852" i="16"/>
  <c r="P3853" i="16"/>
  <c r="P3854" i="16"/>
  <c r="P3855" i="16"/>
  <c r="P3856" i="16"/>
  <c r="P3857" i="16"/>
  <c r="P3858" i="16"/>
  <c r="P3859" i="16"/>
  <c r="P3860" i="16"/>
  <c r="P3861" i="16"/>
  <c r="P3862" i="16"/>
  <c r="P3863" i="16"/>
  <c r="P3864" i="16"/>
  <c r="P3865" i="16"/>
  <c r="P3866" i="16"/>
  <c r="P3867" i="16"/>
  <c r="P3868" i="16"/>
  <c r="P3869" i="16"/>
  <c r="P3870" i="16"/>
  <c r="P3871" i="16"/>
  <c r="P3872" i="16"/>
  <c r="P3873" i="16"/>
  <c r="P3874" i="16"/>
  <c r="P3875" i="16"/>
  <c r="P3876" i="16"/>
  <c r="P3877" i="16"/>
  <c r="P3878" i="16"/>
  <c r="P3879" i="16"/>
  <c r="P3880" i="16"/>
  <c r="P3881" i="16"/>
  <c r="P3882" i="16"/>
  <c r="P3883" i="16"/>
  <c r="P3884" i="16"/>
  <c r="P3885" i="16"/>
  <c r="P3886" i="16"/>
  <c r="P3887" i="16"/>
  <c r="P3888" i="16"/>
  <c r="P3889" i="16"/>
  <c r="P3890" i="16"/>
  <c r="P3891" i="16"/>
  <c r="P3892" i="16"/>
  <c r="P3893" i="16"/>
  <c r="P3894" i="16"/>
  <c r="P3895" i="16"/>
  <c r="P3896" i="16"/>
  <c r="P3897" i="16"/>
  <c r="P3898" i="16"/>
  <c r="P3899" i="16"/>
  <c r="P3900" i="16"/>
  <c r="P3901" i="16"/>
  <c r="P3902" i="16"/>
  <c r="P3903" i="16"/>
  <c r="P3904" i="16"/>
  <c r="P3905" i="16"/>
  <c r="P3906" i="16"/>
  <c r="P3907" i="16"/>
  <c r="P3908" i="16"/>
  <c r="P3909" i="16"/>
  <c r="P3910" i="16"/>
  <c r="P3911" i="16"/>
  <c r="P3912" i="16"/>
  <c r="P3913" i="16"/>
  <c r="P3914" i="16"/>
  <c r="P3915" i="16"/>
  <c r="P3916" i="16"/>
  <c r="P3917" i="16"/>
  <c r="P3918" i="16"/>
  <c r="P3919" i="16"/>
  <c r="P3920" i="16"/>
  <c r="P3921" i="16"/>
  <c r="K3924" i="16"/>
  <c r="P3925" i="16"/>
  <c r="P3926" i="16"/>
  <c r="P3927" i="16"/>
  <c r="P3928" i="16"/>
  <c r="P3929" i="16"/>
  <c r="P3930" i="16"/>
  <c r="P3931" i="16"/>
  <c r="P3932" i="16"/>
  <c r="P3933" i="16"/>
  <c r="P3934" i="16"/>
  <c r="P3935" i="16"/>
  <c r="P3936" i="16"/>
  <c r="P3937" i="16"/>
  <c r="P3938" i="16"/>
  <c r="P3939" i="16"/>
  <c r="P3940" i="16"/>
  <c r="P3941" i="16"/>
  <c r="P3942" i="16"/>
  <c r="P3943" i="16"/>
  <c r="P3944" i="16"/>
  <c r="P3945" i="16"/>
  <c r="P3946" i="16"/>
  <c r="P3947" i="16"/>
  <c r="P3948" i="16"/>
  <c r="P3949" i="16"/>
  <c r="P3950" i="16"/>
  <c r="P3951" i="16"/>
  <c r="P3952" i="16"/>
  <c r="P3953" i="16"/>
  <c r="P3954" i="16"/>
  <c r="P3955" i="16"/>
  <c r="P3956" i="16"/>
  <c r="P3957" i="16"/>
  <c r="P3958" i="16"/>
  <c r="P3959" i="16"/>
  <c r="P3960" i="16"/>
  <c r="P3961" i="16"/>
  <c r="P3962" i="16"/>
  <c r="P3963" i="16"/>
  <c r="P3964" i="16"/>
  <c r="P3965" i="16"/>
  <c r="P3966" i="16"/>
  <c r="P3967" i="16"/>
  <c r="P3968" i="16"/>
  <c r="P3969" i="16"/>
  <c r="P3970" i="16"/>
  <c r="P3971" i="16"/>
  <c r="P3972" i="16"/>
  <c r="P3973" i="16"/>
  <c r="P3974" i="16"/>
  <c r="P3975" i="16"/>
  <c r="P3976" i="16"/>
  <c r="P3977" i="16"/>
  <c r="P3978" i="16"/>
  <c r="P3979" i="16"/>
  <c r="P3980" i="16"/>
  <c r="P3981" i="16"/>
  <c r="P3982" i="16"/>
  <c r="P3983" i="16"/>
  <c r="P3984" i="16"/>
  <c r="P3985" i="16"/>
  <c r="P3986" i="16"/>
  <c r="P3987" i="16"/>
  <c r="P3988" i="16"/>
  <c r="P3989" i="16"/>
  <c r="P3990" i="16"/>
  <c r="P3991" i="16"/>
  <c r="P3992" i="16"/>
  <c r="P3993" i="16"/>
  <c r="P3994" i="16"/>
  <c r="P3995" i="16"/>
  <c r="P3996" i="16"/>
  <c r="P3997" i="16"/>
  <c r="P3998" i="16"/>
  <c r="P3999" i="16"/>
  <c r="P4000" i="16"/>
  <c r="P4001" i="16"/>
  <c r="P4002" i="16"/>
  <c r="P4003" i="16"/>
  <c r="P4004" i="16"/>
  <c r="P4005" i="16"/>
  <c r="P4006" i="16"/>
  <c r="P4007" i="16"/>
  <c r="P4008" i="16"/>
  <c r="P4009" i="16"/>
  <c r="P4010" i="16"/>
  <c r="P4011" i="16"/>
  <c r="P4012" i="16"/>
  <c r="P4013" i="16"/>
  <c r="P4014" i="16"/>
  <c r="P4015" i="16"/>
  <c r="P4016" i="16"/>
  <c r="P4017" i="16"/>
  <c r="P4018" i="16"/>
  <c r="P4019" i="16"/>
  <c r="P4020" i="16"/>
  <c r="P4021" i="16"/>
  <c r="P4022" i="16"/>
  <c r="K4025" i="16"/>
  <c r="P4026" i="16"/>
  <c r="P4027" i="16"/>
  <c r="P4028" i="16"/>
  <c r="P4029" i="16"/>
  <c r="P4030" i="16"/>
  <c r="P4031" i="16"/>
  <c r="P4032" i="16"/>
  <c r="P4033" i="16"/>
  <c r="P4034" i="16"/>
  <c r="P4035" i="16"/>
  <c r="P4036" i="16"/>
  <c r="P4037" i="16"/>
  <c r="P4038" i="16"/>
  <c r="P4039" i="16"/>
  <c r="P4040" i="16"/>
  <c r="P4041" i="16"/>
  <c r="P4042" i="16"/>
  <c r="P4043" i="16"/>
  <c r="P4044" i="16"/>
  <c r="P4045" i="16"/>
  <c r="P4046" i="16"/>
  <c r="P4047" i="16"/>
  <c r="P4048" i="16"/>
  <c r="P4049" i="16"/>
  <c r="P4050" i="16"/>
  <c r="P4051" i="16"/>
  <c r="P4052" i="16"/>
  <c r="P4053" i="16"/>
  <c r="P4054" i="16"/>
  <c r="P4055" i="16"/>
  <c r="P4056" i="16"/>
  <c r="P4057" i="16"/>
  <c r="P4058" i="16"/>
  <c r="P4059" i="16"/>
  <c r="P4060" i="16"/>
  <c r="P4061" i="16"/>
  <c r="P4062" i="16"/>
  <c r="P4063" i="16"/>
  <c r="P4064" i="16"/>
  <c r="P4065" i="16"/>
  <c r="P4066" i="16"/>
  <c r="P4067" i="16"/>
  <c r="P4068" i="16"/>
  <c r="P4069" i="16"/>
  <c r="P4070" i="16"/>
  <c r="P4071" i="16"/>
  <c r="P4072" i="16"/>
  <c r="P4073" i="16"/>
  <c r="P4074" i="16"/>
  <c r="P4075" i="16"/>
  <c r="P4076" i="16"/>
  <c r="P4077" i="16"/>
  <c r="P4078" i="16"/>
  <c r="P4079" i="16"/>
  <c r="P4080" i="16"/>
  <c r="P4081" i="16"/>
  <c r="P4082" i="16"/>
  <c r="P4083" i="16"/>
  <c r="P4084" i="16"/>
  <c r="P4085" i="16"/>
  <c r="P4086" i="16"/>
  <c r="P4087" i="16"/>
  <c r="P4088" i="16"/>
  <c r="P4089" i="16"/>
  <c r="P4090" i="16"/>
  <c r="P4091" i="16"/>
  <c r="P4092" i="16"/>
  <c r="P4093" i="16"/>
  <c r="P4094" i="16"/>
  <c r="P4095" i="16"/>
  <c r="P4096" i="16"/>
  <c r="P4097" i="16"/>
  <c r="P4098" i="16"/>
  <c r="P4099" i="16"/>
  <c r="P4100" i="16"/>
  <c r="P4101" i="16"/>
  <c r="P4102" i="16"/>
  <c r="P4103" i="16"/>
  <c r="P4104" i="16"/>
  <c r="P4105" i="16"/>
  <c r="P4106" i="16"/>
  <c r="P4107" i="16"/>
  <c r="P4108" i="16"/>
  <c r="P4109" i="16"/>
  <c r="P4110" i="16"/>
  <c r="P4111" i="16"/>
  <c r="P4112" i="16"/>
  <c r="P4113" i="16"/>
  <c r="P4114" i="16"/>
  <c r="P4115" i="16"/>
  <c r="P4116" i="16"/>
  <c r="P4117" i="16"/>
  <c r="P4118" i="16"/>
  <c r="P4119" i="16"/>
  <c r="P4120" i="16"/>
  <c r="P4121" i="16"/>
  <c r="P4122" i="16"/>
  <c r="P4123" i="16"/>
  <c r="P4124" i="16"/>
  <c r="P4125" i="16"/>
  <c r="P4126" i="16"/>
  <c r="P4127" i="16"/>
  <c r="P4128" i="16"/>
  <c r="P4129" i="16"/>
  <c r="P4130" i="16"/>
  <c r="P4131" i="16"/>
  <c r="P4132" i="16"/>
  <c r="P4133" i="16"/>
  <c r="P4134" i="16"/>
  <c r="P4135" i="16"/>
  <c r="P4136" i="16"/>
  <c r="P4137" i="16"/>
  <c r="P4138" i="16"/>
  <c r="P4139" i="16"/>
  <c r="P4140" i="16"/>
  <c r="P4141" i="16"/>
  <c r="P4142" i="16"/>
  <c r="P4143" i="16"/>
  <c r="P4144" i="16"/>
  <c r="P4145" i="16"/>
  <c r="P4146" i="16"/>
  <c r="P4147" i="16"/>
  <c r="P4148" i="16"/>
  <c r="P4149" i="16"/>
  <c r="P4150" i="16"/>
  <c r="P4151" i="16"/>
  <c r="P4152" i="16"/>
  <c r="P4153" i="16"/>
  <c r="P4154" i="16"/>
  <c r="P4155" i="16"/>
  <c r="P4156" i="16"/>
  <c r="P4157" i="16"/>
  <c r="P4158" i="16"/>
  <c r="P4159" i="16"/>
  <c r="P4160" i="16"/>
  <c r="P4161" i="16"/>
  <c r="P4162" i="16"/>
  <c r="P4163" i="16"/>
  <c r="P4164" i="16"/>
  <c r="P4165" i="16"/>
  <c r="P4166" i="16"/>
  <c r="P4167" i="16"/>
  <c r="P4168" i="16"/>
  <c r="P4169" i="16"/>
  <c r="P4170" i="16"/>
  <c r="P4171" i="16"/>
  <c r="P4172" i="16"/>
  <c r="P4173" i="16"/>
  <c r="P4174" i="16"/>
  <c r="P4175" i="16"/>
  <c r="P4176" i="16"/>
  <c r="P4177" i="16"/>
  <c r="P4178" i="16"/>
  <c r="P4179" i="16"/>
  <c r="P4180" i="16"/>
  <c r="P4181" i="16"/>
  <c r="P4182" i="16"/>
  <c r="P4183" i="16"/>
  <c r="P4184" i="16"/>
  <c r="P4185" i="16"/>
  <c r="P4186" i="16"/>
  <c r="P4187" i="16"/>
  <c r="P4188" i="16"/>
  <c r="P4189" i="16"/>
  <c r="P4190" i="16"/>
  <c r="P4191" i="16"/>
  <c r="P4192" i="16"/>
  <c r="P4193" i="16"/>
  <c r="P4194" i="16"/>
  <c r="P4195" i="16"/>
  <c r="P4196" i="16"/>
  <c r="P4197" i="16"/>
  <c r="P4198" i="16"/>
  <c r="P4199" i="16"/>
  <c r="P4200" i="16"/>
  <c r="P4201" i="16"/>
  <c r="P4202" i="16"/>
  <c r="P4203" i="16"/>
  <c r="P4204" i="16"/>
  <c r="P4205" i="16"/>
  <c r="P4206" i="16"/>
  <c r="P4207" i="16"/>
  <c r="P4208" i="16"/>
  <c r="P4209" i="16"/>
  <c r="P4210" i="16"/>
  <c r="P4211" i="16"/>
  <c r="P4212" i="16"/>
  <c r="P4213" i="16"/>
  <c r="P4214" i="16"/>
  <c r="P4215" i="16"/>
  <c r="P4216" i="16"/>
  <c r="P4217" i="16"/>
  <c r="P4218" i="16"/>
  <c r="P4219" i="16"/>
  <c r="P4220" i="16"/>
  <c r="P4221" i="16"/>
  <c r="P4222" i="16"/>
  <c r="P4223" i="16"/>
  <c r="P4224" i="16"/>
  <c r="P4225" i="16"/>
  <c r="P4226" i="16"/>
  <c r="P4227" i="16"/>
  <c r="P4228" i="16"/>
  <c r="P4229" i="16"/>
  <c r="P4230" i="16"/>
  <c r="P4231" i="16"/>
  <c r="P4232" i="16"/>
  <c r="P4233" i="16"/>
  <c r="P4234" i="16"/>
  <c r="P4235" i="16"/>
  <c r="P4236" i="16"/>
  <c r="P4237" i="16"/>
  <c r="P4238" i="16"/>
  <c r="P4239" i="16"/>
  <c r="P4240" i="16"/>
  <c r="P4241" i="16"/>
  <c r="P4242" i="16"/>
  <c r="P4243" i="16"/>
  <c r="P4244" i="16"/>
  <c r="P4245" i="16"/>
  <c r="P4246" i="16"/>
  <c r="P4247" i="16"/>
  <c r="P4248" i="16"/>
  <c r="P4249" i="16"/>
  <c r="P4250" i="16"/>
  <c r="P4251" i="16"/>
  <c r="P4252" i="16"/>
  <c r="P4253" i="16"/>
  <c r="P4254" i="16"/>
  <c r="P4255" i="16"/>
  <c r="P4256" i="16"/>
  <c r="P4257" i="16"/>
  <c r="P4258" i="16"/>
  <c r="P4259" i="16"/>
  <c r="P4260" i="16"/>
  <c r="P4261" i="16"/>
  <c r="P4262" i="16"/>
  <c r="P4263" i="16"/>
  <c r="P4264" i="16"/>
  <c r="P4265" i="16"/>
  <c r="P4266" i="16"/>
  <c r="P4267" i="16"/>
  <c r="P4268" i="16"/>
  <c r="P4269" i="16"/>
  <c r="P4270" i="16"/>
  <c r="P4271" i="16"/>
  <c r="P4272" i="16"/>
  <c r="P4273" i="16"/>
  <c r="P4274" i="16"/>
  <c r="P4275" i="16"/>
  <c r="P4276" i="16"/>
  <c r="P4277" i="16"/>
  <c r="P4278" i="16"/>
  <c r="P4279" i="16"/>
  <c r="P4280" i="16"/>
  <c r="P4281" i="16"/>
  <c r="P4282" i="16"/>
  <c r="P4283" i="16"/>
  <c r="P4284" i="16"/>
  <c r="P4285" i="16"/>
  <c r="P4286" i="16"/>
  <c r="P4287" i="16"/>
  <c r="P4288" i="16"/>
  <c r="P4289" i="16"/>
  <c r="P4290" i="16"/>
  <c r="P4291" i="16"/>
  <c r="K4294" i="16"/>
  <c r="P4295" i="16"/>
  <c r="P4296" i="16"/>
  <c r="P4297" i="16"/>
  <c r="P4298" i="16"/>
  <c r="P4299" i="16"/>
  <c r="P4300" i="16"/>
  <c r="P4301" i="16"/>
  <c r="P4302" i="16"/>
  <c r="P4303" i="16"/>
  <c r="P4304" i="16"/>
  <c r="P4305" i="16"/>
  <c r="P4306" i="16"/>
  <c r="P4307" i="16"/>
  <c r="P4308" i="16"/>
  <c r="P4309" i="16"/>
  <c r="P4310" i="16"/>
  <c r="P4311" i="16"/>
  <c r="P4312" i="16"/>
  <c r="P4313" i="16"/>
  <c r="P4314" i="16"/>
  <c r="P4315" i="16"/>
  <c r="P4316" i="16"/>
  <c r="P4317" i="16"/>
  <c r="P4318" i="16"/>
  <c r="P4319" i="16"/>
  <c r="P4320" i="16"/>
  <c r="P4321" i="16"/>
  <c r="P4322" i="16"/>
  <c r="P4323" i="16"/>
  <c r="P4324" i="16"/>
  <c r="P4325" i="16"/>
  <c r="P4326" i="16"/>
  <c r="P4327" i="16"/>
  <c r="P4328" i="16"/>
  <c r="P4329" i="16"/>
  <c r="P4330" i="16"/>
  <c r="P4331" i="16"/>
  <c r="P4332" i="16"/>
  <c r="P4333" i="16"/>
  <c r="P4334" i="16"/>
  <c r="P4335" i="16"/>
  <c r="P4336" i="16"/>
  <c r="P4337" i="16"/>
  <c r="P4338" i="16"/>
  <c r="P4339" i="16"/>
  <c r="P4340" i="16"/>
  <c r="P4341" i="16"/>
  <c r="P4342" i="16"/>
  <c r="P4343" i="16"/>
  <c r="P4344" i="16"/>
  <c r="P4345" i="16"/>
  <c r="P4346" i="16"/>
  <c r="P4347" i="16"/>
  <c r="P4348" i="16"/>
  <c r="P4349" i="16"/>
  <c r="P4350" i="16"/>
  <c r="P4351" i="16"/>
  <c r="P4352" i="16"/>
  <c r="P4353" i="16"/>
  <c r="P4354" i="16"/>
  <c r="P4355" i="16"/>
  <c r="P4356" i="16"/>
  <c r="P4357" i="16"/>
  <c r="P4358" i="16"/>
  <c r="P4359" i="16"/>
  <c r="P4360" i="16"/>
  <c r="P4361" i="16"/>
  <c r="P4362" i="16"/>
  <c r="P4363" i="16"/>
  <c r="P4364" i="16"/>
  <c r="P4365" i="16"/>
  <c r="P4366" i="16"/>
  <c r="P4367" i="16"/>
  <c r="P4368" i="16"/>
  <c r="P4369" i="16"/>
  <c r="P4370" i="16"/>
  <c r="P4371" i="16"/>
  <c r="P4372" i="16"/>
  <c r="P4373" i="16"/>
  <c r="P4374" i="16"/>
  <c r="P4375" i="16"/>
  <c r="P4376" i="16"/>
  <c r="P4377" i="16"/>
  <c r="P4378" i="16"/>
  <c r="P4379" i="16"/>
  <c r="P4380" i="16"/>
  <c r="P4381" i="16"/>
  <c r="P4382" i="16"/>
  <c r="P4383" i="16"/>
  <c r="P4384" i="16"/>
  <c r="P4385" i="16"/>
  <c r="P4386" i="16"/>
  <c r="P4387" i="16"/>
  <c r="P4388" i="16"/>
  <c r="P4389" i="16"/>
  <c r="P4390" i="16"/>
  <c r="P4391" i="16"/>
  <c r="P4392" i="16"/>
  <c r="P4393" i="16"/>
  <c r="P4394" i="16"/>
  <c r="P4395" i="16"/>
  <c r="P4396" i="16"/>
  <c r="P4397" i="16"/>
  <c r="P4398" i="16"/>
  <c r="P4399" i="16"/>
  <c r="P4400" i="16"/>
  <c r="P4401" i="16"/>
  <c r="P4402" i="16"/>
  <c r="P4403" i="16"/>
  <c r="P4404" i="16"/>
  <c r="P4405" i="16"/>
  <c r="P4406" i="16"/>
  <c r="P4407" i="16"/>
  <c r="P4408" i="16"/>
  <c r="P4409" i="16"/>
  <c r="P4410" i="16"/>
  <c r="P4411" i="16"/>
  <c r="P4412" i="16"/>
  <c r="P4413" i="16"/>
  <c r="P4414" i="16"/>
  <c r="P4415" i="16"/>
  <c r="P4416" i="16"/>
  <c r="P4417" i="16"/>
  <c r="P4418" i="16"/>
  <c r="P4419" i="16"/>
  <c r="P4420" i="16"/>
  <c r="P4421" i="16"/>
  <c r="P4422" i="16"/>
  <c r="P4423" i="16"/>
  <c r="P4424" i="16"/>
  <c r="P4425" i="16"/>
  <c r="P4426" i="16"/>
  <c r="P4427" i="16"/>
  <c r="P4428" i="16"/>
  <c r="P4429" i="16"/>
  <c r="P4430" i="16"/>
  <c r="P4431" i="16"/>
  <c r="P4432" i="16"/>
  <c r="P4433" i="16"/>
  <c r="P4434" i="16"/>
  <c r="P4435" i="16"/>
  <c r="P4436" i="16"/>
  <c r="P4437" i="16"/>
  <c r="P4438" i="16"/>
  <c r="P4439" i="16"/>
  <c r="P4440" i="16"/>
  <c r="P4441" i="16"/>
  <c r="P4442" i="16"/>
  <c r="P4443" i="16"/>
  <c r="P4444" i="16"/>
  <c r="P4445" i="16"/>
  <c r="P4446" i="16"/>
  <c r="P4447" i="16"/>
  <c r="P4448" i="16"/>
  <c r="P4449" i="16"/>
  <c r="P4450" i="16"/>
  <c r="P4451" i="16"/>
  <c r="P4452" i="16"/>
  <c r="P4453" i="16"/>
  <c r="P4454" i="16"/>
  <c r="P4455" i="16"/>
  <c r="P4456" i="16"/>
  <c r="P4457" i="16"/>
  <c r="P4458" i="16"/>
  <c r="P4459" i="16"/>
  <c r="P4460" i="16"/>
  <c r="P4461" i="16"/>
  <c r="P4462" i="16"/>
  <c r="P4463" i="16"/>
  <c r="P4464" i="16"/>
  <c r="P4465" i="16"/>
  <c r="P4466" i="16"/>
  <c r="P4467" i="16"/>
  <c r="P4468" i="16"/>
  <c r="P4469" i="16"/>
  <c r="P4470" i="16"/>
  <c r="P4471" i="16"/>
  <c r="P4472" i="16"/>
  <c r="P4473" i="16"/>
  <c r="P4474" i="16"/>
  <c r="P4475" i="16"/>
  <c r="P4476" i="16"/>
  <c r="P4477" i="16"/>
  <c r="P4478" i="16"/>
  <c r="P4479" i="16"/>
  <c r="P4480" i="16"/>
  <c r="P4481" i="16"/>
  <c r="P4482" i="16"/>
  <c r="P4483" i="16"/>
  <c r="P4484" i="16"/>
  <c r="P4485" i="16"/>
  <c r="P4486" i="16"/>
  <c r="P4487" i="16"/>
  <c r="P4488" i="16"/>
  <c r="P4489" i="16"/>
  <c r="P4490" i="16"/>
  <c r="P4491" i="16"/>
  <c r="P4492" i="16"/>
  <c r="P4493" i="16"/>
  <c r="P4494" i="16"/>
  <c r="P4495" i="16"/>
  <c r="P4496" i="16"/>
  <c r="P4497" i="16"/>
  <c r="P4498" i="16"/>
  <c r="P4499" i="16"/>
  <c r="P4500" i="16"/>
  <c r="P4501" i="16"/>
  <c r="P4502" i="16"/>
  <c r="P4503" i="16"/>
  <c r="P4504" i="16"/>
  <c r="P4505" i="16"/>
  <c r="P4506" i="16"/>
  <c r="P4507" i="16"/>
  <c r="P4508" i="16"/>
  <c r="P4509" i="16"/>
  <c r="P4510" i="16"/>
  <c r="P4511" i="16"/>
  <c r="P4512" i="16"/>
  <c r="P4513" i="16"/>
  <c r="P4514" i="16"/>
  <c r="P4515" i="16"/>
  <c r="P4516" i="16"/>
  <c r="P4517" i="16"/>
  <c r="P4518" i="16"/>
  <c r="P4519" i="16"/>
  <c r="P4520" i="16"/>
  <c r="P4521" i="16"/>
  <c r="P4522" i="16"/>
  <c r="P4523" i="16"/>
  <c r="P4524" i="16"/>
  <c r="P4525" i="16"/>
  <c r="P4526" i="16"/>
  <c r="P4527" i="16"/>
  <c r="P4528" i="16"/>
  <c r="P4529" i="16"/>
  <c r="P4530" i="16"/>
  <c r="P4531" i="16"/>
  <c r="P4532" i="16"/>
  <c r="P4533" i="16"/>
  <c r="P4534" i="16"/>
  <c r="P4535" i="16"/>
  <c r="P4536" i="16"/>
  <c r="P4537" i="16"/>
  <c r="P4538" i="16"/>
  <c r="P4539" i="16"/>
  <c r="P4540" i="16"/>
  <c r="P4541" i="16"/>
  <c r="P4542" i="16"/>
  <c r="P4543" i="16"/>
  <c r="P4544" i="16"/>
  <c r="P4545" i="16"/>
  <c r="P4546" i="16"/>
  <c r="P4547" i="16"/>
  <c r="P4548" i="16"/>
  <c r="P4549" i="16"/>
  <c r="P4550" i="16"/>
  <c r="P4551" i="16"/>
  <c r="P4552" i="16"/>
  <c r="P4553" i="16"/>
  <c r="P4554" i="16"/>
  <c r="P4555" i="16"/>
  <c r="P4556" i="16"/>
  <c r="P4557" i="16"/>
  <c r="P4558" i="16"/>
  <c r="P4559" i="16"/>
  <c r="P4560" i="16"/>
  <c r="P4561" i="16"/>
  <c r="P4562" i="16"/>
  <c r="P4563" i="16"/>
  <c r="P4564" i="16"/>
  <c r="P4565" i="16"/>
  <c r="P4566" i="16"/>
  <c r="P4567" i="16"/>
  <c r="P4568" i="16"/>
  <c r="P4569" i="16"/>
  <c r="P4570" i="16"/>
  <c r="P4571" i="16"/>
  <c r="P4572" i="16"/>
  <c r="P4573" i="16"/>
  <c r="P4574" i="16"/>
  <c r="P4575" i="16"/>
  <c r="P4576" i="16"/>
  <c r="P4577" i="16"/>
  <c r="P4578" i="16"/>
  <c r="P4579" i="16"/>
  <c r="P4580" i="16"/>
  <c r="P4581" i="16"/>
  <c r="P4582" i="16"/>
  <c r="P4583" i="16"/>
  <c r="P4584" i="16"/>
  <c r="P4585" i="16"/>
  <c r="P4586" i="16"/>
  <c r="P4587" i="16"/>
  <c r="P4588" i="16"/>
  <c r="P4589" i="16"/>
  <c r="P4590" i="16"/>
  <c r="P4591" i="16"/>
  <c r="P4592" i="16"/>
  <c r="P4593" i="16"/>
  <c r="P4594" i="16"/>
  <c r="P4595" i="16"/>
  <c r="P4596" i="16"/>
  <c r="P4597" i="16"/>
  <c r="P4598" i="16"/>
  <c r="P4599" i="16"/>
  <c r="P4600" i="16"/>
  <c r="P4601" i="16"/>
  <c r="P4602" i="16"/>
  <c r="P4603" i="16"/>
  <c r="P4604" i="16"/>
  <c r="P4605" i="16"/>
  <c r="P4606" i="16"/>
  <c r="P4607" i="16"/>
  <c r="P4608" i="16"/>
  <c r="P4609" i="16"/>
  <c r="P4610" i="16"/>
  <c r="P4611" i="16"/>
  <c r="P4612" i="16"/>
  <c r="P4613" i="16"/>
  <c r="P4614" i="16"/>
  <c r="P4615" i="16"/>
  <c r="P4616" i="16"/>
  <c r="P4617" i="16"/>
  <c r="P4618" i="16"/>
  <c r="P4619" i="16"/>
  <c r="P4620" i="16"/>
  <c r="P4621" i="16"/>
  <c r="P4622" i="16"/>
  <c r="P4623" i="16"/>
  <c r="P4624" i="16"/>
  <c r="P4625" i="16"/>
  <c r="P4626" i="16"/>
  <c r="P4627" i="16"/>
  <c r="P4628" i="16"/>
  <c r="P4629" i="16"/>
  <c r="P4630" i="16"/>
  <c r="P4631" i="16"/>
  <c r="P4632" i="16"/>
  <c r="P4633" i="16"/>
  <c r="P4634" i="16"/>
  <c r="P4635" i="16"/>
  <c r="P4636" i="16"/>
  <c r="P4637" i="16"/>
  <c r="P4638" i="16"/>
  <c r="P4639" i="16"/>
  <c r="P4640" i="16"/>
  <c r="P4641" i="16"/>
  <c r="P4642" i="16"/>
  <c r="P4643" i="16"/>
  <c r="P4644" i="16"/>
  <c r="P4645" i="16"/>
  <c r="P4646" i="16"/>
  <c r="P4647" i="16"/>
  <c r="P4648" i="16"/>
  <c r="P4649" i="16"/>
  <c r="P4650" i="16"/>
  <c r="P4651" i="16"/>
  <c r="P4652" i="16"/>
  <c r="P4653" i="16"/>
  <c r="P4654" i="16"/>
  <c r="P4655" i="16"/>
  <c r="P4656" i="16"/>
  <c r="P4657" i="16"/>
  <c r="P4658" i="16"/>
  <c r="P4659" i="16"/>
  <c r="P4660" i="16"/>
  <c r="P4661" i="16"/>
  <c r="P4662" i="16"/>
  <c r="P4663" i="16"/>
  <c r="P4664" i="16"/>
  <c r="P4665" i="16"/>
  <c r="P4666" i="16"/>
  <c r="P4667" i="16"/>
  <c r="P4668" i="16"/>
  <c r="P4669" i="16"/>
  <c r="P4670" i="16"/>
  <c r="P4671" i="16"/>
  <c r="P4672" i="16"/>
  <c r="P4673" i="16"/>
  <c r="P4674" i="16"/>
  <c r="P4675" i="16"/>
  <c r="P4676" i="16"/>
  <c r="P4677" i="16"/>
  <c r="P4678" i="16"/>
  <c r="P4679" i="16"/>
  <c r="P4680" i="16"/>
  <c r="P4681" i="16"/>
  <c r="P4682" i="16"/>
  <c r="P4683" i="16"/>
  <c r="P4684" i="16"/>
  <c r="P4685" i="16"/>
  <c r="P4686" i="16"/>
  <c r="P4687" i="16"/>
  <c r="P4688" i="16"/>
  <c r="P4689" i="16"/>
  <c r="P4690" i="16"/>
  <c r="P4691" i="16"/>
  <c r="P4692" i="16"/>
  <c r="P4693" i="16"/>
  <c r="P4694" i="16"/>
  <c r="P4695" i="16"/>
  <c r="P4696" i="16"/>
  <c r="P4697" i="16"/>
  <c r="P4698" i="16"/>
  <c r="P4699" i="16"/>
  <c r="P4700" i="16"/>
  <c r="P4701" i="16"/>
  <c r="P4702" i="16"/>
  <c r="P4703" i="16"/>
  <c r="P4704" i="16"/>
  <c r="P4705" i="16"/>
  <c r="P4706" i="16"/>
  <c r="P4707" i="16"/>
  <c r="P4708" i="16"/>
  <c r="P4709" i="16"/>
  <c r="P4710" i="16"/>
  <c r="P4711" i="16"/>
  <c r="P4712" i="16"/>
  <c r="P4713" i="16"/>
  <c r="P4714" i="16"/>
  <c r="P4715" i="16"/>
  <c r="P4716" i="16"/>
  <c r="P4717" i="16"/>
  <c r="P4718" i="16"/>
  <c r="P4719" i="16"/>
  <c r="P4720" i="16"/>
  <c r="P4721" i="16"/>
  <c r="P4722" i="16"/>
  <c r="P4723" i="16"/>
  <c r="P4724" i="16"/>
  <c r="P4725" i="16"/>
  <c r="P4726" i="16"/>
  <c r="P4727" i="16"/>
  <c r="P4728" i="16"/>
  <c r="P4729" i="16"/>
  <c r="P4730" i="16"/>
  <c r="P4731" i="16"/>
  <c r="P4732" i="16"/>
  <c r="P4733" i="16"/>
  <c r="P4734" i="16"/>
  <c r="P4735" i="16"/>
  <c r="P4736" i="16"/>
  <c r="P4737" i="16"/>
  <c r="P4738" i="16"/>
  <c r="P4739" i="16"/>
  <c r="P4740" i="16"/>
  <c r="P4741" i="16"/>
  <c r="P4742" i="16"/>
  <c r="P4743" i="16"/>
  <c r="P4744" i="16"/>
  <c r="P4745" i="16"/>
  <c r="P4746" i="16"/>
  <c r="P4747" i="16"/>
  <c r="P4748" i="16"/>
  <c r="P4749" i="16"/>
  <c r="P4750" i="16"/>
  <c r="P4751" i="16"/>
  <c r="P4752" i="16"/>
  <c r="P4753" i="16"/>
  <c r="P4754" i="16"/>
  <c r="P4755" i="16"/>
  <c r="P4756" i="16"/>
  <c r="P4757" i="16"/>
  <c r="P4758" i="16"/>
  <c r="P4759" i="16"/>
  <c r="P4760" i="16"/>
  <c r="P4761" i="16"/>
  <c r="P4762" i="16"/>
  <c r="P4763" i="16"/>
  <c r="P4764" i="16"/>
  <c r="P4765" i="16"/>
  <c r="P4766" i="16"/>
  <c r="P4767" i="16"/>
  <c r="P4768" i="16"/>
  <c r="P4769" i="16"/>
  <c r="P4770" i="16"/>
  <c r="P4771" i="16"/>
  <c r="P4772" i="16"/>
  <c r="P4773" i="16"/>
  <c r="P4774" i="16"/>
  <c r="P4775" i="16"/>
  <c r="P4776" i="16"/>
  <c r="P4777" i="16"/>
  <c r="P4778" i="16"/>
  <c r="P4779" i="16"/>
  <c r="P4780" i="16"/>
  <c r="P4781" i="16"/>
  <c r="P4782" i="16"/>
  <c r="P4783" i="16"/>
  <c r="P4784" i="16"/>
  <c r="P4785" i="16"/>
  <c r="P4786" i="16"/>
  <c r="P4787" i="16"/>
  <c r="P4788" i="16"/>
  <c r="P4789" i="16"/>
  <c r="P4790" i="16"/>
  <c r="P4791" i="16"/>
  <c r="P4792" i="16"/>
  <c r="P4793" i="16"/>
  <c r="P4794" i="16"/>
  <c r="P4795" i="16"/>
  <c r="P4796" i="16"/>
  <c r="P4797" i="16"/>
  <c r="P4798" i="16"/>
  <c r="P4799" i="16"/>
  <c r="P4800" i="16"/>
  <c r="P4801" i="16"/>
  <c r="P4802" i="16"/>
  <c r="P4803" i="16"/>
  <c r="P4804" i="16"/>
  <c r="P4805" i="16"/>
  <c r="P4806" i="16"/>
  <c r="P4807" i="16"/>
  <c r="P4808" i="16"/>
  <c r="E4811" i="16"/>
  <c r="P4812" i="16"/>
  <c r="P4813" i="16"/>
  <c r="P4814" i="16"/>
  <c r="P4815" i="16"/>
  <c r="P4816" i="16"/>
  <c r="P4817" i="16"/>
  <c r="P4818" i="16"/>
  <c r="P4819" i="16"/>
  <c r="P4820" i="16"/>
  <c r="P4821" i="16"/>
  <c r="P4822" i="16"/>
  <c r="P4823" i="16"/>
  <c r="P4824" i="16"/>
  <c r="P4825" i="16"/>
  <c r="P4826" i="16"/>
  <c r="P4827" i="16"/>
  <c r="P4828" i="16"/>
  <c r="P4829" i="16"/>
  <c r="P4830" i="16"/>
  <c r="P4831" i="16"/>
  <c r="P4832" i="16"/>
  <c r="P4833" i="16"/>
  <c r="P4834" i="16"/>
  <c r="P4835" i="16"/>
  <c r="P4836" i="16"/>
  <c r="P4837" i="16"/>
  <c r="P4838" i="16"/>
  <c r="P4839" i="16"/>
  <c r="P4840" i="16"/>
  <c r="P4841" i="16"/>
  <c r="P4842" i="16"/>
  <c r="P4843" i="16"/>
  <c r="P4844" i="16"/>
  <c r="P4845" i="16"/>
  <c r="P4846" i="16"/>
  <c r="E4849" i="16"/>
  <c r="P4850" i="16"/>
  <c r="P4851" i="16"/>
  <c r="P4852" i="16"/>
  <c r="P4853" i="16"/>
  <c r="P4854" i="16"/>
  <c r="P4855" i="16"/>
  <c r="P4856" i="16"/>
  <c r="P4857" i="16"/>
  <c r="P4858" i="16"/>
  <c r="P4859" i="16"/>
  <c r="P4860" i="16"/>
  <c r="P4861" i="16"/>
  <c r="P4862" i="16"/>
  <c r="P4863" i="16"/>
  <c r="P4864" i="16"/>
  <c r="P4865" i="16"/>
  <c r="P4866" i="16"/>
  <c r="P4867" i="16"/>
  <c r="P4868" i="16"/>
  <c r="P4869" i="16"/>
  <c r="P4870" i="16"/>
  <c r="P4871" i="16"/>
  <c r="P4872" i="16"/>
  <c r="P4873" i="16"/>
  <c r="E4882" i="16"/>
  <c r="P4883" i="16"/>
  <c r="P4884" i="16"/>
  <c r="P4885" i="16"/>
  <c r="P4886" i="16"/>
  <c r="P4887" i="16"/>
  <c r="P4888" i="16"/>
  <c r="P4889" i="16"/>
  <c r="P4890" i="16"/>
  <c r="P4891" i="16"/>
  <c r="P4892" i="16"/>
  <c r="P4893" i="16"/>
  <c r="P4894" i="16"/>
  <c r="P4895" i="16"/>
  <c r="P4896" i="16"/>
  <c r="P4897" i="16"/>
  <c r="P4898" i="16"/>
  <c r="P4899" i="16"/>
  <c r="P4900" i="16"/>
  <c r="P4901" i="16"/>
  <c r="P4902" i="16"/>
  <c r="P4903" i="16"/>
  <c r="P4904" i="16"/>
  <c r="P4905" i="16"/>
  <c r="P4906" i="16"/>
  <c r="P4907" i="16"/>
  <c r="P4908" i="16"/>
  <c r="P4909" i="16"/>
  <c r="P4910" i="16"/>
  <c r="P4911" i="16"/>
  <c r="P4912" i="16"/>
  <c r="P4913" i="16"/>
  <c r="P4914" i="16"/>
  <c r="P4915" i="16"/>
  <c r="P4916" i="16"/>
  <c r="P4917" i="16"/>
  <c r="P4918" i="16"/>
  <c r="P4919" i="16"/>
  <c r="P4920" i="16"/>
  <c r="P4921" i="16"/>
  <c r="P4922" i="16"/>
  <c r="P4923" i="16"/>
  <c r="P4924" i="16"/>
  <c r="P4925" i="16"/>
  <c r="P4926" i="16"/>
  <c r="P4927" i="16"/>
  <c r="P4928" i="16"/>
  <c r="P4929" i="16"/>
  <c r="P4930" i="16"/>
  <c r="P4931" i="16"/>
  <c r="P4932" i="16"/>
  <c r="P4933" i="16"/>
  <c r="P4934" i="16"/>
  <c r="P4935" i="16"/>
  <c r="P4936" i="16"/>
  <c r="P4937" i="16"/>
  <c r="P4938" i="16"/>
  <c r="P4939" i="16"/>
  <c r="P4940" i="16"/>
  <c r="P4941" i="16"/>
  <c r="P4942" i="16"/>
  <c r="P4943" i="16"/>
  <c r="P4944" i="16"/>
  <c r="P4945" i="16"/>
  <c r="P4946" i="16"/>
  <c r="P4947" i="16"/>
  <c r="P4948" i="16"/>
  <c r="P4949" i="16"/>
  <c r="P4950" i="16"/>
  <c r="P4951" i="16"/>
  <c r="P4952" i="16"/>
  <c r="P4953" i="16"/>
  <c r="P4954" i="16"/>
  <c r="P4955" i="16"/>
  <c r="P4956" i="16"/>
  <c r="P4957" i="16"/>
  <c r="P4958" i="16"/>
  <c r="P4959" i="16"/>
  <c r="P4960" i="16"/>
  <c r="P4961" i="16"/>
  <c r="P4962" i="16"/>
  <c r="P4963" i="16"/>
  <c r="P4964" i="16"/>
  <c r="P4965" i="16"/>
  <c r="P4966" i="16"/>
  <c r="P4967" i="16"/>
  <c r="P4968" i="16"/>
  <c r="P4969" i="16"/>
  <c r="P4970" i="16"/>
  <c r="P4971" i="16"/>
  <c r="P4972" i="16"/>
  <c r="P4973" i="16"/>
  <c r="P4974" i="16"/>
  <c r="P4975" i="16"/>
  <c r="P4976" i="16"/>
  <c r="P4977" i="16"/>
  <c r="P4978" i="16"/>
  <c r="P4979" i="16"/>
  <c r="P4980" i="16"/>
  <c r="P4981" i="16"/>
  <c r="P4982" i="16"/>
  <c r="P4983" i="16"/>
  <c r="P4984" i="16"/>
  <c r="P4985" i="16"/>
  <c r="P4986" i="16"/>
  <c r="P4987" i="16"/>
  <c r="P4988" i="16"/>
  <c r="P4989" i="16"/>
  <c r="P4990" i="16"/>
  <c r="P4991" i="16"/>
  <c r="P4992" i="16"/>
  <c r="P4993" i="16"/>
  <c r="P4994" i="16"/>
  <c r="P4995" i="16"/>
  <c r="P4996" i="16"/>
  <c r="P4997" i="16"/>
  <c r="P4998" i="16"/>
  <c r="P4999" i="16"/>
  <c r="P5000" i="16"/>
  <c r="P5001" i="16"/>
  <c r="P5002" i="16"/>
  <c r="P5003" i="16"/>
  <c r="P5004" i="16"/>
  <c r="P5005" i="16"/>
  <c r="P5006" i="16"/>
  <c r="P5007" i="16"/>
  <c r="P5008" i="16"/>
  <c r="M2" i="17"/>
  <c r="M3" i="17"/>
  <c r="M4" i="17"/>
  <c r="M5" i="17"/>
  <c r="M6" i="17"/>
  <c r="M7" i="17"/>
  <c r="M8" i="17"/>
  <c r="M9"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M152" i="17"/>
  <c r="M153" i="17"/>
  <c r="M154" i="17"/>
  <c r="M155" i="17"/>
  <c r="M156" i="17"/>
  <c r="M157" i="17"/>
  <c r="M158" i="17"/>
  <c r="M159" i="17"/>
  <c r="M160" i="17"/>
  <c r="M161" i="17"/>
  <c r="M162" i="17"/>
  <c r="M163" i="17"/>
  <c r="M164" i="17"/>
  <c r="M165" i="17"/>
  <c r="M166" i="17"/>
  <c r="M167" i="17"/>
  <c r="M168" i="17"/>
  <c r="M169" i="17"/>
  <c r="M170" i="17"/>
  <c r="M171" i="17"/>
  <c r="M172" i="17"/>
  <c r="M173" i="17"/>
  <c r="M174" i="17"/>
  <c r="M175" i="17"/>
  <c r="M176" i="17"/>
  <c r="M177" i="17"/>
  <c r="M178" i="17"/>
  <c r="M179" i="17"/>
  <c r="M180" i="17"/>
  <c r="M181" i="17"/>
  <c r="M182" i="17"/>
  <c r="M183" i="17"/>
  <c r="M184" i="17"/>
  <c r="M185" i="17"/>
  <c r="M186" i="17"/>
  <c r="M187" i="17"/>
  <c r="M188" i="17"/>
  <c r="M189" i="17"/>
  <c r="M190" i="17"/>
  <c r="M191" i="17"/>
  <c r="M192" i="17"/>
  <c r="M193" i="17"/>
  <c r="M194" i="17"/>
  <c r="M195" i="17"/>
  <c r="M196" i="17"/>
  <c r="M197" i="17"/>
  <c r="M198" i="17"/>
  <c r="M199" i="17"/>
  <c r="M200" i="17"/>
  <c r="M201" i="17"/>
  <c r="M202" i="17"/>
  <c r="M203" i="17"/>
  <c r="M204" i="17"/>
  <c r="M205" i="17"/>
  <c r="M206" i="17"/>
  <c r="M207" i="17"/>
  <c r="M208" i="17"/>
  <c r="M209" i="17"/>
  <c r="M210" i="17"/>
  <c r="M211" i="17"/>
  <c r="M212" i="17"/>
  <c r="M213" i="17"/>
  <c r="M214" i="17"/>
  <c r="M215" i="17"/>
  <c r="M216" i="17"/>
  <c r="M217" i="17"/>
  <c r="M218" i="17"/>
  <c r="M219" i="17"/>
  <c r="M220" i="17"/>
  <c r="M221" i="17"/>
  <c r="M222" i="17"/>
  <c r="M223" i="17"/>
  <c r="M224" i="17"/>
  <c r="M225" i="17"/>
  <c r="M226" i="17"/>
  <c r="M227" i="17"/>
  <c r="M228" i="17"/>
  <c r="M229" i="17"/>
  <c r="M230" i="17"/>
  <c r="M231" i="17"/>
  <c r="M232" i="17"/>
  <c r="M233" i="17"/>
  <c r="M234" i="17"/>
  <c r="M235" i="17"/>
  <c r="M236" i="17"/>
  <c r="M237" i="17"/>
  <c r="M238" i="17"/>
  <c r="M239" i="17"/>
  <c r="M240" i="17"/>
  <c r="M241" i="17"/>
  <c r="M242" i="17"/>
  <c r="M243" i="17"/>
  <c r="M244" i="17"/>
  <c r="M245" i="17"/>
  <c r="M246" i="17"/>
  <c r="M247" i="17"/>
  <c r="M248" i="17"/>
  <c r="M249" i="17"/>
  <c r="M250" i="17"/>
  <c r="M251" i="17"/>
  <c r="M252" i="17"/>
  <c r="M253" i="17"/>
  <c r="M254" i="17"/>
  <c r="M255" i="17"/>
  <c r="M256" i="17"/>
  <c r="M257" i="17"/>
  <c r="M258" i="17"/>
  <c r="M259" i="17"/>
  <c r="M260" i="17"/>
  <c r="M261" i="17"/>
  <c r="M262" i="17"/>
  <c r="M263" i="17"/>
  <c r="M264" i="17"/>
  <c r="M265" i="17"/>
  <c r="M266" i="17"/>
  <c r="M267" i="17"/>
  <c r="M268" i="17"/>
  <c r="M269" i="17"/>
  <c r="M270" i="17"/>
  <c r="M271" i="17"/>
  <c r="M272" i="17"/>
  <c r="M273" i="17"/>
  <c r="M274" i="17"/>
  <c r="M275" i="17"/>
  <c r="M276" i="17"/>
  <c r="M277" i="17"/>
  <c r="M278" i="17"/>
  <c r="M279" i="17"/>
  <c r="M280" i="17"/>
  <c r="M281" i="17"/>
  <c r="M282" i="17"/>
  <c r="M283" i="17"/>
  <c r="M284" i="17"/>
  <c r="M285" i="17"/>
  <c r="M286" i="17"/>
  <c r="M287" i="17"/>
  <c r="M288" i="17"/>
  <c r="M289" i="17"/>
  <c r="M290" i="17"/>
  <c r="M291" i="17"/>
  <c r="M292" i="17"/>
  <c r="M293" i="17"/>
  <c r="M294" i="17"/>
  <c r="M295" i="17"/>
  <c r="M296" i="17"/>
  <c r="M297" i="17"/>
  <c r="M298" i="17"/>
  <c r="M299" i="17"/>
  <c r="M300" i="17"/>
  <c r="M301" i="17"/>
  <c r="M302" i="17"/>
  <c r="M303" i="17"/>
  <c r="M304" i="17"/>
  <c r="M305" i="17"/>
  <c r="M306" i="17"/>
  <c r="M307" i="17"/>
  <c r="M308" i="17"/>
  <c r="M309" i="17"/>
  <c r="M310" i="17"/>
  <c r="M311" i="17"/>
  <c r="M312" i="17"/>
  <c r="M313" i="17"/>
  <c r="M314" i="17"/>
  <c r="M315" i="17"/>
  <c r="M316" i="17"/>
  <c r="M317" i="17"/>
  <c r="M318" i="17"/>
  <c r="M319" i="17"/>
  <c r="M320" i="17"/>
  <c r="M321" i="17"/>
  <c r="M322" i="17"/>
  <c r="M323" i="17"/>
  <c r="M324" i="17"/>
  <c r="M325" i="17"/>
  <c r="M326" i="17"/>
  <c r="M327" i="17"/>
  <c r="M328" i="17"/>
  <c r="M329" i="17"/>
  <c r="M330" i="17"/>
  <c r="M331" i="17"/>
  <c r="M332" i="17"/>
  <c r="M333" i="17"/>
  <c r="M334" i="17"/>
  <c r="M335" i="17"/>
  <c r="M336" i="17"/>
  <c r="M337" i="17"/>
  <c r="M338" i="17"/>
  <c r="M339" i="17"/>
  <c r="M340" i="17"/>
  <c r="M341" i="17"/>
  <c r="M342" i="17"/>
  <c r="M343" i="17"/>
  <c r="M344" i="17"/>
  <c r="M345" i="17"/>
  <c r="M346" i="17"/>
  <c r="M347" i="17"/>
  <c r="M348" i="17"/>
  <c r="M349" i="17"/>
  <c r="M350" i="17"/>
  <c r="M351" i="17"/>
  <c r="M352" i="17"/>
  <c r="M353" i="17"/>
  <c r="M354" i="17"/>
  <c r="M355" i="17"/>
  <c r="M356" i="17"/>
  <c r="M357" i="17"/>
  <c r="M358" i="17"/>
  <c r="M359" i="17"/>
  <c r="M360" i="17"/>
  <c r="M361" i="17"/>
  <c r="M362" i="17"/>
  <c r="M363" i="17"/>
  <c r="M364" i="17"/>
  <c r="M365" i="17"/>
  <c r="M366" i="17"/>
  <c r="M367" i="17"/>
  <c r="M368" i="17"/>
  <c r="M369" i="17"/>
  <c r="M370" i="17"/>
  <c r="M371" i="17"/>
  <c r="M372" i="17"/>
  <c r="M373" i="17"/>
  <c r="M374" i="17"/>
  <c r="M375" i="17"/>
  <c r="M376" i="17"/>
  <c r="M377" i="17"/>
  <c r="M378" i="17"/>
  <c r="M379" i="17"/>
  <c r="M380" i="17"/>
  <c r="M381" i="17"/>
  <c r="M382" i="17"/>
  <c r="M383" i="17"/>
  <c r="M384" i="17"/>
  <c r="M385" i="17"/>
  <c r="M386" i="17"/>
  <c r="M387" i="17"/>
  <c r="M388" i="17"/>
  <c r="M389" i="17"/>
  <c r="M390" i="17"/>
  <c r="M391" i="17"/>
  <c r="M392" i="17"/>
  <c r="M393" i="17"/>
  <c r="M394" i="17"/>
  <c r="M395" i="17"/>
  <c r="M396" i="17"/>
  <c r="M397" i="17"/>
  <c r="M398" i="17"/>
  <c r="M399" i="17"/>
  <c r="M400" i="17"/>
  <c r="M401" i="17"/>
  <c r="M402" i="17"/>
  <c r="M403" i="17"/>
  <c r="M404" i="17"/>
  <c r="M405" i="17"/>
  <c r="M406" i="17"/>
  <c r="M407" i="17"/>
  <c r="M408" i="17"/>
  <c r="M409" i="17"/>
  <c r="M410" i="17"/>
  <c r="M411" i="17"/>
  <c r="M412" i="17"/>
  <c r="M413" i="17"/>
  <c r="M414" i="17"/>
  <c r="M415" i="17"/>
  <c r="M416" i="17"/>
  <c r="M417" i="17"/>
  <c r="M418" i="17"/>
  <c r="M419" i="17"/>
  <c r="M420" i="17"/>
  <c r="M421" i="17"/>
  <c r="M422" i="17"/>
  <c r="M423" i="17"/>
  <c r="M424" i="17"/>
  <c r="M425" i="17"/>
  <c r="M426" i="17"/>
  <c r="M427" i="17"/>
  <c r="M428" i="17"/>
  <c r="M429" i="17"/>
  <c r="M430" i="17"/>
  <c r="M431" i="17"/>
  <c r="M432" i="17"/>
  <c r="M433" i="17"/>
  <c r="M434" i="17"/>
  <c r="M435" i="17"/>
  <c r="M436" i="17"/>
  <c r="M437" i="17"/>
  <c r="M438" i="17"/>
  <c r="M439" i="17"/>
  <c r="M440" i="17"/>
  <c r="M441" i="17"/>
  <c r="M442" i="17"/>
  <c r="M443" i="17"/>
  <c r="M444" i="17"/>
  <c r="M445" i="17"/>
  <c r="M446" i="17"/>
  <c r="M447" i="17"/>
  <c r="M448" i="17"/>
  <c r="M449" i="17"/>
  <c r="M450" i="17"/>
  <c r="M451" i="17"/>
  <c r="M452" i="17"/>
  <c r="M453" i="17"/>
  <c r="M454" i="17"/>
  <c r="M455" i="17"/>
  <c r="M456" i="17"/>
  <c r="M457" i="17"/>
  <c r="M458" i="17"/>
  <c r="M459" i="17"/>
  <c r="M460" i="17"/>
  <c r="M461" i="17"/>
  <c r="M462" i="17"/>
  <c r="M463" i="17"/>
  <c r="M464" i="17"/>
  <c r="M465" i="17"/>
  <c r="M466" i="17"/>
  <c r="M467" i="17"/>
  <c r="M468" i="17"/>
  <c r="M469" i="17"/>
  <c r="M470" i="17"/>
  <c r="M471" i="17"/>
  <c r="M472" i="17"/>
  <c r="M473" i="17"/>
  <c r="M474" i="17"/>
  <c r="M475" i="17"/>
  <c r="M476" i="17"/>
  <c r="M477" i="17"/>
  <c r="M478" i="17"/>
  <c r="M479" i="17"/>
  <c r="M480" i="17"/>
  <c r="M481" i="17"/>
  <c r="M482" i="17"/>
  <c r="M483" i="17"/>
  <c r="M484" i="17"/>
  <c r="M485" i="17"/>
  <c r="M486" i="17"/>
  <c r="M487" i="17"/>
  <c r="M488" i="17"/>
  <c r="M489" i="17"/>
  <c r="M490" i="17"/>
  <c r="M491" i="17"/>
  <c r="M492" i="17"/>
  <c r="M493" i="17"/>
  <c r="M494" i="17"/>
  <c r="M495" i="17"/>
  <c r="M496" i="17"/>
  <c r="M497" i="17"/>
  <c r="M498" i="17"/>
  <c r="M499" i="17"/>
  <c r="M500" i="17"/>
  <c r="M501" i="17"/>
  <c r="M502" i="17"/>
  <c r="M503" i="17"/>
  <c r="M504" i="17"/>
  <c r="M505" i="17"/>
  <c r="M506" i="17"/>
  <c r="M507" i="17"/>
  <c r="M508" i="17"/>
  <c r="M509" i="17"/>
  <c r="M510" i="17"/>
  <c r="M511" i="17"/>
  <c r="M512" i="17"/>
  <c r="M513" i="17"/>
  <c r="M514" i="17"/>
  <c r="M515" i="17"/>
  <c r="M516" i="17"/>
  <c r="M517" i="17"/>
  <c r="M518" i="17"/>
  <c r="M519" i="17"/>
  <c r="M520" i="17"/>
  <c r="M521" i="17"/>
  <c r="M522" i="17"/>
  <c r="M523" i="17"/>
  <c r="M524" i="17"/>
  <c r="M525" i="17"/>
  <c r="M526" i="17"/>
  <c r="M527" i="17"/>
  <c r="M528" i="17"/>
  <c r="M529" i="17"/>
  <c r="M530" i="17"/>
  <c r="M531" i="17"/>
  <c r="M532" i="17"/>
  <c r="M533" i="17"/>
  <c r="M534" i="17"/>
  <c r="M535" i="17"/>
  <c r="M536" i="17"/>
  <c r="M537" i="17"/>
  <c r="M538" i="17"/>
  <c r="M539" i="17"/>
  <c r="M540" i="17"/>
  <c r="M541" i="17"/>
  <c r="M542" i="17"/>
  <c r="M543" i="17"/>
  <c r="M544" i="17"/>
  <c r="M545" i="17"/>
  <c r="M546" i="17"/>
  <c r="M547" i="17"/>
  <c r="M548" i="17"/>
  <c r="M549" i="17"/>
  <c r="M550" i="17"/>
  <c r="M551" i="17"/>
  <c r="M552" i="17"/>
  <c r="M553" i="17"/>
  <c r="M554" i="17"/>
  <c r="F563" i="17"/>
  <c r="M564" i="17"/>
  <c r="M565" i="17"/>
  <c r="M566" i="17"/>
  <c r="M567" i="17"/>
  <c r="M568" i="17"/>
  <c r="M569" i="17"/>
  <c r="M570" i="17"/>
  <c r="M571" i="17"/>
  <c r="M572" i="17"/>
  <c r="M573" i="17"/>
  <c r="M574" i="17"/>
  <c r="M575" i="17"/>
  <c r="M576" i="17"/>
  <c r="M577" i="17"/>
  <c r="M578" i="17"/>
  <c r="M579" i="17"/>
  <c r="M580" i="17"/>
  <c r="M581" i="17"/>
  <c r="M582" i="17"/>
  <c r="M583" i="17"/>
  <c r="M584" i="17"/>
  <c r="M585" i="17"/>
  <c r="M586" i="17"/>
  <c r="M587" i="17"/>
  <c r="M588" i="17"/>
  <c r="M589" i="17"/>
  <c r="M590" i="17"/>
  <c r="M591" i="17"/>
  <c r="M592" i="17"/>
  <c r="M593" i="17"/>
  <c r="M594" i="17"/>
  <c r="M595" i="17"/>
  <c r="M596" i="17"/>
  <c r="M597" i="17"/>
  <c r="M598" i="17"/>
  <c r="M599" i="17"/>
  <c r="M600" i="17"/>
  <c r="M601" i="17"/>
  <c r="M602" i="17"/>
  <c r="M603" i="17"/>
  <c r="M604" i="17"/>
  <c r="M605" i="17"/>
  <c r="M606" i="17"/>
  <c r="M607" i="17"/>
  <c r="M608" i="17"/>
  <c r="M609" i="17"/>
  <c r="M610" i="17"/>
  <c r="M611" i="17"/>
  <c r="M612" i="17"/>
  <c r="M613" i="17"/>
  <c r="M614" i="17"/>
  <c r="M615" i="17"/>
  <c r="M616" i="17"/>
  <c r="M617" i="17"/>
  <c r="M618" i="17"/>
  <c r="M619" i="17"/>
  <c r="M620" i="17"/>
  <c r="M621" i="17"/>
  <c r="M622" i="17"/>
  <c r="M623" i="17"/>
  <c r="M624" i="17"/>
  <c r="M625" i="17"/>
  <c r="M626" i="17"/>
  <c r="M627" i="17"/>
  <c r="M628" i="17"/>
  <c r="M629" i="17"/>
  <c r="M630" i="17"/>
  <c r="M631" i="17"/>
  <c r="M632" i="17"/>
  <c r="M633" i="17"/>
  <c r="M634" i="17"/>
  <c r="M635" i="17"/>
  <c r="M636" i="17"/>
  <c r="M637" i="17"/>
  <c r="M638" i="17"/>
  <c r="M639" i="17"/>
  <c r="M640" i="17"/>
  <c r="M641" i="17"/>
  <c r="M642" i="17"/>
  <c r="M643" i="17"/>
  <c r="M644" i="17"/>
  <c r="M645" i="17"/>
  <c r="M646" i="17"/>
  <c r="M647" i="17"/>
  <c r="M648" i="17"/>
  <c r="M649" i="17"/>
  <c r="M650" i="17"/>
  <c r="M651" i="17"/>
  <c r="M652" i="17"/>
  <c r="M653" i="17"/>
  <c r="M654" i="17"/>
  <c r="M655" i="17"/>
  <c r="M656" i="17"/>
  <c r="M657" i="17"/>
  <c r="M658" i="17"/>
  <c r="M659" i="17"/>
  <c r="M660" i="17"/>
  <c r="M661" i="17"/>
  <c r="M662" i="17"/>
  <c r="M663" i="17"/>
  <c r="M664" i="17"/>
  <c r="M665" i="17"/>
  <c r="M666" i="17"/>
  <c r="M667" i="17"/>
  <c r="M668" i="17"/>
  <c r="M669" i="17"/>
  <c r="M670" i="17"/>
  <c r="M671" i="17"/>
  <c r="M672" i="17"/>
  <c r="M673" i="17"/>
  <c r="M674" i="17"/>
  <c r="M675" i="17"/>
  <c r="M676" i="17"/>
  <c r="M677" i="17"/>
  <c r="M678" i="17"/>
  <c r="M679" i="17"/>
  <c r="M680" i="17"/>
  <c r="M681" i="17"/>
  <c r="M682" i="17"/>
  <c r="M683" i="17"/>
  <c r="M684" i="17"/>
  <c r="M685" i="17"/>
  <c r="M686" i="17"/>
  <c r="M687" i="17"/>
  <c r="M688" i="17"/>
  <c r="M689" i="17"/>
  <c r="M690" i="17"/>
  <c r="F693" i="17"/>
  <c r="M694" i="17"/>
  <c r="M695" i="17"/>
  <c r="M696" i="17"/>
  <c r="M697" i="17"/>
  <c r="M698" i="17"/>
  <c r="M699" i="17"/>
  <c r="M700" i="17"/>
  <c r="M701" i="17"/>
  <c r="M702" i="17"/>
  <c r="M703" i="17"/>
  <c r="M704" i="17"/>
  <c r="M705" i="17"/>
  <c r="M706" i="17"/>
  <c r="M707" i="17"/>
  <c r="M708" i="17"/>
  <c r="M709" i="17"/>
  <c r="M710" i="17"/>
  <c r="M711" i="17"/>
  <c r="M712" i="17"/>
  <c r="M713" i="17"/>
  <c r="M714" i="17"/>
  <c r="M715" i="17"/>
  <c r="M716" i="17"/>
  <c r="M717" i="17"/>
  <c r="M718" i="17"/>
  <c r="M719" i="17"/>
  <c r="M720" i="17"/>
  <c r="M721" i="17"/>
  <c r="M722" i="17"/>
  <c r="M723" i="17"/>
  <c r="M724" i="17"/>
  <c r="M725" i="17"/>
  <c r="M726" i="17"/>
  <c r="M727" i="17"/>
  <c r="M728" i="17"/>
  <c r="M729" i="17"/>
  <c r="M730" i="17"/>
  <c r="M731" i="17"/>
  <c r="M732" i="17"/>
  <c r="M733" i="17"/>
  <c r="M734" i="17"/>
  <c r="M735" i="17"/>
  <c r="M736" i="17"/>
  <c r="M737" i="17"/>
  <c r="M738" i="17"/>
  <c r="M739" i="17"/>
  <c r="M740" i="17"/>
  <c r="M741" i="17"/>
  <c r="M742" i="17"/>
  <c r="M743" i="17"/>
  <c r="M744" i="17"/>
  <c r="M745" i="17"/>
  <c r="M746" i="17"/>
  <c r="M747" i="17"/>
  <c r="M748" i="17"/>
  <c r="M749" i="17"/>
  <c r="M750" i="17"/>
  <c r="M751" i="17"/>
  <c r="M752" i="17"/>
  <c r="M753" i="17"/>
  <c r="M754" i="17"/>
  <c r="M755" i="17"/>
  <c r="M756" i="17"/>
  <c r="M757" i="17"/>
  <c r="M758" i="17"/>
  <c r="M759" i="17"/>
  <c r="M760" i="17"/>
  <c r="M761" i="17"/>
  <c r="M762" i="17"/>
  <c r="M763" i="17"/>
  <c r="M764" i="17"/>
  <c r="M765" i="17"/>
  <c r="M766" i="17"/>
  <c r="M767" i="17"/>
  <c r="M768" i="17"/>
  <c r="M769" i="17"/>
  <c r="M770" i="17"/>
  <c r="M771" i="17"/>
  <c r="M772" i="17"/>
  <c r="M773" i="17"/>
  <c r="M774" i="17"/>
  <c r="M775" i="17"/>
  <c r="M776" i="17"/>
  <c r="M777" i="17"/>
  <c r="M778" i="17"/>
  <c r="M779" i="17"/>
  <c r="M780" i="17"/>
  <c r="M781" i="17"/>
  <c r="M782" i="17"/>
  <c r="M783" i="17"/>
  <c r="M784" i="17"/>
  <c r="M785" i="17"/>
  <c r="M786" i="17"/>
  <c r="M787" i="17"/>
  <c r="M788" i="17"/>
  <c r="M789" i="17"/>
  <c r="M790" i="17"/>
  <c r="M791" i="17"/>
  <c r="M792" i="17"/>
  <c r="M793" i="17"/>
  <c r="M794" i="17"/>
  <c r="M795" i="17"/>
  <c r="M796" i="17"/>
  <c r="M797" i="17"/>
  <c r="M798" i="17"/>
  <c r="M799" i="17"/>
  <c r="M800" i="17"/>
  <c r="M801" i="17"/>
  <c r="M802" i="17"/>
  <c r="M803" i="17"/>
  <c r="M804" i="17"/>
  <c r="M805" i="17"/>
  <c r="M806" i="17"/>
  <c r="M807" i="17"/>
  <c r="M808" i="17"/>
  <c r="M809" i="17"/>
  <c r="M810" i="17"/>
  <c r="M811" i="17"/>
  <c r="M812" i="17"/>
  <c r="M813" i="17"/>
  <c r="M814" i="17"/>
  <c r="M815" i="17"/>
  <c r="M816" i="17"/>
  <c r="M817" i="17"/>
  <c r="M818" i="17"/>
  <c r="M819" i="17"/>
  <c r="M820" i="17"/>
  <c r="M821" i="17"/>
  <c r="M822" i="17"/>
  <c r="M823" i="17"/>
  <c r="M824" i="17"/>
  <c r="M825" i="17"/>
  <c r="M826" i="17"/>
  <c r="M827" i="17"/>
  <c r="M828" i="17"/>
  <c r="M829" i="17"/>
  <c r="M830" i="17"/>
  <c r="M831" i="17"/>
  <c r="M832" i="17"/>
  <c r="M833" i="17"/>
  <c r="M834" i="17"/>
  <c r="M835" i="17"/>
  <c r="M836" i="17"/>
  <c r="M837" i="17"/>
  <c r="M838" i="17"/>
  <c r="M839" i="17"/>
  <c r="M840" i="17"/>
  <c r="M841" i="17"/>
  <c r="M842" i="17"/>
  <c r="M843" i="17"/>
  <c r="M844" i="17"/>
  <c r="M845" i="17"/>
  <c r="M846" i="17"/>
  <c r="M847" i="17"/>
  <c r="M848" i="17"/>
  <c r="M849" i="17"/>
  <c r="M850" i="17"/>
  <c r="M851" i="17"/>
  <c r="M852" i="17"/>
  <c r="M853" i="17"/>
  <c r="M854" i="17"/>
  <c r="M855" i="17"/>
  <c r="M856" i="17"/>
  <c r="M857" i="17"/>
  <c r="M858" i="17"/>
  <c r="M859" i="17"/>
  <c r="M860" i="17"/>
  <c r="M861" i="17"/>
  <c r="M862" i="17"/>
  <c r="M863" i="17"/>
  <c r="M864" i="17"/>
  <c r="M865" i="17"/>
  <c r="M866" i="17"/>
  <c r="M867" i="17"/>
  <c r="M868" i="17"/>
  <c r="M869" i="17"/>
  <c r="M870" i="17"/>
  <c r="M871" i="17"/>
  <c r="M872" i="17"/>
  <c r="M873" i="17"/>
  <c r="M874" i="17"/>
  <c r="M875" i="17"/>
  <c r="M876" i="17"/>
  <c r="M877" i="17"/>
  <c r="M878" i="17"/>
  <c r="M879" i="17"/>
  <c r="M880" i="17"/>
  <c r="M881" i="17"/>
  <c r="M882" i="17"/>
  <c r="M883" i="17"/>
  <c r="M884" i="17"/>
  <c r="L897" i="17"/>
  <c r="M898" i="17"/>
  <c r="M899" i="17"/>
  <c r="M900" i="17"/>
  <c r="M901" i="17"/>
  <c r="M902" i="17"/>
  <c r="M903" i="17"/>
  <c r="M904" i="17"/>
  <c r="M905" i="17"/>
  <c r="M906" i="17"/>
  <c r="M907" i="17"/>
  <c r="M908" i="17"/>
  <c r="M909" i="17"/>
  <c r="G914" i="17"/>
  <c r="M915" i="17"/>
  <c r="M916" i="17"/>
  <c r="M917" i="17"/>
  <c r="M918" i="17"/>
  <c r="M919" i="17"/>
  <c r="M920" i="17"/>
  <c r="M921" i="17"/>
  <c r="M922" i="17"/>
  <c r="M923" i="17"/>
  <c r="M924" i="17"/>
  <c r="M925" i="17"/>
  <c r="M926" i="17"/>
  <c r="M927" i="17"/>
  <c r="M928" i="17"/>
  <c r="M929" i="17"/>
  <c r="M930" i="17"/>
  <c r="M931" i="17"/>
  <c r="M932" i="17"/>
  <c r="M933" i="17"/>
  <c r="M934" i="17"/>
  <c r="M935" i="17"/>
  <c r="M936" i="17"/>
  <c r="M937" i="17"/>
  <c r="M938" i="17"/>
  <c r="M939" i="17"/>
  <c r="M940" i="17"/>
  <c r="M941" i="17"/>
  <c r="M942" i="17"/>
  <c r="M943" i="17"/>
  <c r="M944" i="17"/>
  <c r="M945" i="17"/>
  <c r="M946" i="17"/>
  <c r="M947" i="17"/>
  <c r="M948" i="17"/>
  <c r="M949" i="17"/>
  <c r="M950" i="17"/>
  <c r="M951" i="17"/>
  <c r="M952" i="17"/>
  <c r="M953" i="17"/>
  <c r="M954" i="17"/>
  <c r="M955" i="17"/>
  <c r="M956" i="17"/>
  <c r="M957" i="17"/>
  <c r="M958" i="17"/>
  <c r="M959" i="17"/>
  <c r="M960" i="17"/>
  <c r="M961" i="17"/>
  <c r="M962" i="17"/>
  <c r="M963" i="17"/>
  <c r="M964" i="17"/>
  <c r="M965" i="17"/>
  <c r="M966" i="17"/>
  <c r="M967" i="17"/>
  <c r="M968" i="17"/>
  <c r="M969" i="17"/>
  <c r="M970" i="17"/>
  <c r="M971" i="17"/>
  <c r="M972" i="17"/>
  <c r="M973" i="17"/>
  <c r="M974" i="17"/>
  <c r="M975" i="17"/>
  <c r="M976" i="17"/>
  <c r="M977" i="17"/>
  <c r="M978" i="17"/>
  <c r="M979" i="17"/>
  <c r="M980" i="17"/>
  <c r="M981" i="17"/>
  <c r="M982" i="17"/>
  <c r="M983" i="17"/>
  <c r="M984" i="17"/>
  <c r="M985" i="17"/>
  <c r="M986" i="17"/>
  <c r="M987" i="17"/>
  <c r="M988" i="17"/>
  <c r="M989" i="17"/>
  <c r="M990" i="17"/>
  <c r="M991" i="17"/>
  <c r="M992" i="17"/>
  <c r="M993" i="17"/>
  <c r="M994" i="17"/>
  <c r="M995" i="17"/>
  <c r="M996" i="17"/>
  <c r="M997" i="17"/>
  <c r="M998" i="17"/>
  <c r="M999" i="17"/>
  <c r="M1000" i="17"/>
  <c r="M1001" i="17"/>
  <c r="M1002" i="17"/>
  <c r="M1003" i="17"/>
  <c r="M1004" i="17"/>
  <c r="M1005" i="17"/>
  <c r="M1006" i="17"/>
  <c r="M1007" i="17"/>
  <c r="M1008" i="17"/>
  <c r="M1009" i="17"/>
  <c r="M1010" i="17"/>
  <c r="M1011" i="17"/>
  <c r="M1012" i="17"/>
  <c r="M1013" i="17"/>
  <c r="M1014" i="17"/>
  <c r="M1015" i="17"/>
  <c r="M1016" i="17"/>
  <c r="M1017" i="17"/>
  <c r="M1018" i="17"/>
  <c r="M1019" i="17"/>
  <c r="M1020" i="17"/>
  <c r="M1021" i="17"/>
  <c r="M1022" i="17"/>
  <c r="M1023" i="17"/>
  <c r="M1024" i="17"/>
  <c r="M1025" i="17"/>
  <c r="M1026" i="17"/>
  <c r="M1027" i="17"/>
  <c r="M1028" i="17"/>
  <c r="M1029" i="17"/>
  <c r="M1030" i="17"/>
  <c r="M1031" i="17"/>
  <c r="M1032" i="17"/>
  <c r="M1033" i="17"/>
  <c r="M1034" i="17"/>
  <c r="M1035" i="17"/>
  <c r="M1036" i="17"/>
  <c r="M1037" i="17"/>
  <c r="M1038" i="17"/>
  <c r="M1039" i="17"/>
  <c r="M1040" i="17"/>
  <c r="M1041" i="17"/>
  <c r="M1042" i="17"/>
  <c r="M1043" i="17"/>
  <c r="M1044" i="17"/>
  <c r="M1045" i="17"/>
  <c r="M1046" i="17"/>
  <c r="M1047" i="17"/>
  <c r="M1048" i="17"/>
  <c r="M1049" i="17"/>
  <c r="M1050" i="17"/>
  <c r="M1051" i="17"/>
  <c r="M1052" i="17"/>
  <c r="M1053" i="17"/>
  <c r="M1054" i="17"/>
  <c r="M1055" i="17"/>
  <c r="M1056" i="17"/>
  <c r="M1057" i="17"/>
  <c r="M1058" i="17"/>
  <c r="M1059" i="17"/>
  <c r="M1060" i="17"/>
  <c r="M1061" i="17"/>
  <c r="M1062" i="17"/>
  <c r="M1063" i="17"/>
  <c r="M1064" i="17"/>
  <c r="M1065" i="17"/>
  <c r="M1066" i="17"/>
  <c r="M1067" i="17"/>
  <c r="M1068" i="17"/>
  <c r="M1069" i="17"/>
  <c r="M1070" i="17"/>
  <c r="M1071" i="17"/>
  <c r="M1072" i="17"/>
  <c r="M1073" i="17"/>
  <c r="M1074" i="17"/>
  <c r="M1075" i="17"/>
  <c r="M1076" i="17"/>
  <c r="M1077" i="17"/>
  <c r="M1078" i="17"/>
  <c r="M1079" i="17"/>
  <c r="M1080" i="17"/>
  <c r="M1081" i="17"/>
  <c r="M1082" i="17"/>
  <c r="M1083" i="17"/>
  <c r="M1084" i="17"/>
  <c r="M1085" i="17"/>
  <c r="M1086" i="17"/>
  <c r="M1087" i="17"/>
  <c r="M1088" i="17"/>
  <c r="M1089" i="17"/>
  <c r="M1090" i="17"/>
  <c r="M1091" i="17"/>
  <c r="M1092" i="17"/>
  <c r="M1093" i="17"/>
  <c r="M1094" i="17"/>
  <c r="M1095" i="17"/>
  <c r="M1096" i="17"/>
  <c r="M1097" i="17"/>
  <c r="M1098" i="17"/>
  <c r="M1099" i="17"/>
  <c r="M1100" i="17"/>
  <c r="M1101" i="17"/>
  <c r="M1102" i="17"/>
  <c r="M1103" i="17"/>
  <c r="M1104" i="17"/>
  <c r="M1105" i="17"/>
  <c r="M1106" i="17"/>
  <c r="M1107" i="17"/>
  <c r="M1108" i="17"/>
  <c r="M1109" i="17"/>
  <c r="M1110" i="17"/>
  <c r="M1111" i="17"/>
  <c r="M1112" i="17"/>
  <c r="M1113" i="17"/>
  <c r="M1114" i="17"/>
  <c r="M1115" i="17"/>
  <c r="M1116" i="17"/>
  <c r="M1117" i="17"/>
  <c r="M1118" i="17"/>
  <c r="M1119" i="17"/>
  <c r="M1120" i="17"/>
  <c r="M1121" i="17"/>
  <c r="M1122" i="17"/>
  <c r="M1123" i="17"/>
  <c r="M1124" i="17"/>
  <c r="M1125" i="17"/>
  <c r="M1126" i="17"/>
  <c r="M1127" i="17"/>
  <c r="M1128" i="17"/>
  <c r="M1129" i="17"/>
  <c r="M1130" i="17"/>
  <c r="M1131" i="17"/>
  <c r="M1132" i="17"/>
  <c r="M1133" i="17"/>
  <c r="M1134" i="17"/>
  <c r="M1135" i="17"/>
  <c r="M1136" i="17"/>
  <c r="M1137" i="17"/>
  <c r="M1138" i="17"/>
  <c r="M1139" i="17"/>
  <c r="M1140" i="17"/>
  <c r="L1143" i="17"/>
  <c r="M1144" i="17"/>
  <c r="M1145" i="17"/>
  <c r="M1146" i="17"/>
  <c r="M1147" i="17"/>
  <c r="M1148" i="17"/>
  <c r="M1149" i="17"/>
  <c r="M1150" i="17"/>
  <c r="M1151" i="17"/>
  <c r="M1152" i="17"/>
  <c r="M1153" i="17"/>
  <c r="M1154" i="17"/>
  <c r="M1155" i="17"/>
  <c r="M1156" i="17"/>
  <c r="M1157" i="17"/>
  <c r="M1158" i="17"/>
  <c r="M1159" i="17"/>
  <c r="M1160" i="17"/>
  <c r="M1161" i="17"/>
  <c r="M1162" i="17"/>
  <c r="M1163" i="17"/>
  <c r="M1164" i="17"/>
  <c r="M1165" i="17"/>
  <c r="M1166" i="17"/>
  <c r="M1167" i="17"/>
  <c r="M1168" i="17"/>
  <c r="M1169" i="17"/>
  <c r="M1170" i="17"/>
  <c r="M1171" i="17"/>
  <c r="M1172" i="17"/>
  <c r="M1173" i="17"/>
  <c r="M1174" i="17"/>
  <c r="M1175" i="17"/>
  <c r="M1176" i="17"/>
  <c r="M1177" i="17"/>
  <c r="M1178" i="17"/>
  <c r="M1179" i="17"/>
  <c r="M1180" i="17"/>
  <c r="M1181" i="17"/>
  <c r="M1182" i="17"/>
  <c r="M1183" i="17"/>
  <c r="M1184" i="17"/>
  <c r="M1185" i="17"/>
  <c r="M1186" i="17"/>
  <c r="M1187" i="17"/>
  <c r="M1188" i="17"/>
  <c r="M1189" i="17"/>
  <c r="M1190" i="17"/>
  <c r="M1191" i="17"/>
  <c r="M1192" i="17"/>
  <c r="M1193" i="17"/>
  <c r="M1194" i="17"/>
  <c r="M1195" i="17"/>
  <c r="M1196" i="17"/>
  <c r="M1197" i="17"/>
  <c r="M1198" i="17"/>
  <c r="M1199" i="17"/>
  <c r="M1200" i="17"/>
  <c r="M1201" i="17"/>
  <c r="M1202" i="17"/>
  <c r="M1203" i="17"/>
  <c r="M1204" i="17"/>
  <c r="M1205" i="17"/>
  <c r="M1206" i="17"/>
  <c r="M1207" i="17"/>
  <c r="M1208" i="17"/>
  <c r="M1209" i="17"/>
  <c r="M1210" i="17"/>
  <c r="M1211" i="17"/>
  <c r="M1212" i="17"/>
  <c r="M1213" i="17"/>
  <c r="M1214" i="17"/>
  <c r="M1215" i="17"/>
  <c r="M1216" i="17"/>
  <c r="M1217" i="17"/>
  <c r="M1218" i="17"/>
  <c r="M1219" i="17"/>
  <c r="M1220" i="17"/>
  <c r="M1221" i="17"/>
  <c r="M1222" i="17"/>
  <c r="M1223" i="17"/>
  <c r="M1224" i="17"/>
  <c r="M1225" i="17"/>
  <c r="M1226" i="17"/>
  <c r="M1227" i="17"/>
  <c r="M1228" i="17"/>
  <c r="M1229" i="17"/>
  <c r="M1230" i="17"/>
  <c r="M1231" i="17"/>
  <c r="M1232" i="17"/>
  <c r="M1233" i="17"/>
  <c r="M1234" i="17"/>
  <c r="M1235" i="17"/>
  <c r="M1236" i="17"/>
  <c r="M1237" i="17"/>
  <c r="M1238" i="17"/>
  <c r="M1239" i="17"/>
  <c r="M1240" i="17"/>
  <c r="M1241" i="17"/>
  <c r="M1242" i="17"/>
  <c r="M1243" i="17"/>
  <c r="M1244" i="17"/>
  <c r="M1245" i="17"/>
  <c r="M1246" i="17"/>
  <c r="M1247" i="17"/>
  <c r="M1248" i="17"/>
  <c r="M1249" i="17"/>
  <c r="M1250" i="17"/>
  <c r="M1251" i="17"/>
  <c r="M1252" i="17"/>
  <c r="M1253" i="17"/>
  <c r="M1254" i="17"/>
  <c r="M1255" i="17"/>
  <c r="M1256" i="17"/>
  <c r="M1257" i="17"/>
  <c r="M1258" i="17"/>
  <c r="M1259" i="17"/>
  <c r="M1260" i="17"/>
  <c r="M1261" i="17"/>
  <c r="M1262" i="17"/>
  <c r="M1263" i="17"/>
  <c r="M1264" i="17"/>
  <c r="M1265" i="17"/>
  <c r="M1266" i="17"/>
  <c r="M1267" i="17"/>
  <c r="M1268" i="17"/>
  <c r="M1269" i="17"/>
  <c r="M1270" i="17"/>
  <c r="M1271" i="17"/>
  <c r="M1272" i="17"/>
  <c r="M1273" i="17"/>
  <c r="M1274" i="17"/>
  <c r="M1275" i="17"/>
  <c r="M1276" i="17"/>
  <c r="M1277" i="17"/>
  <c r="M1278" i="17"/>
  <c r="M1279" i="17"/>
  <c r="M1280" i="17"/>
  <c r="M1281" i="17"/>
  <c r="M1282" i="17"/>
  <c r="M1283" i="17"/>
  <c r="M1284" i="17"/>
  <c r="M1285" i="17"/>
  <c r="M1286" i="17"/>
  <c r="M1287" i="17"/>
  <c r="M1288" i="17"/>
  <c r="M1289" i="17"/>
  <c r="M1290" i="17"/>
  <c r="M1291" i="17"/>
  <c r="M1292" i="17"/>
  <c r="L1295" i="17"/>
  <c r="M1296" i="17"/>
  <c r="M1297" i="17"/>
  <c r="M1298" i="17"/>
  <c r="M1299" i="17"/>
  <c r="M1300" i="17"/>
  <c r="M1301" i="17"/>
  <c r="M1302" i="17"/>
  <c r="M1303" i="17"/>
  <c r="M1304" i="17"/>
  <c r="M1305" i="17"/>
  <c r="M1306" i="17"/>
  <c r="M1307" i="17"/>
  <c r="M1308" i="17"/>
  <c r="M1309" i="17"/>
  <c r="M1310" i="17"/>
  <c r="M1311" i="17"/>
  <c r="M1312" i="17"/>
  <c r="M1313" i="17"/>
  <c r="M1314" i="17"/>
  <c r="M1315" i="17"/>
  <c r="M1316" i="17"/>
  <c r="M1317" i="17"/>
  <c r="M1318" i="17"/>
  <c r="M1319" i="17"/>
  <c r="M1320" i="17"/>
  <c r="M1321" i="17"/>
  <c r="M1322" i="17"/>
  <c r="M1323" i="17"/>
  <c r="M1324" i="17"/>
  <c r="M1325" i="17"/>
  <c r="M1326" i="17"/>
  <c r="M1327" i="17"/>
  <c r="M1328" i="17"/>
  <c r="M1329" i="17"/>
  <c r="M1330" i="17"/>
  <c r="M1331" i="17"/>
  <c r="M1332" i="17"/>
  <c r="M1333" i="17"/>
  <c r="M1334" i="17"/>
  <c r="M1335" i="17"/>
  <c r="M1336" i="17"/>
  <c r="M1337" i="17"/>
  <c r="M1338" i="17"/>
  <c r="M1339" i="17"/>
  <c r="M1340" i="17"/>
  <c r="M1341" i="17"/>
  <c r="M1342" i="17"/>
  <c r="M1343" i="17"/>
  <c r="M1344" i="17"/>
  <c r="M1345" i="17"/>
  <c r="M1346" i="17"/>
  <c r="M1347" i="17"/>
  <c r="M1348" i="17"/>
  <c r="M1349" i="17"/>
  <c r="M1350" i="17"/>
  <c r="M1351" i="17"/>
  <c r="M1352" i="17"/>
  <c r="M1353" i="17"/>
  <c r="M1354" i="17"/>
  <c r="M1355" i="17"/>
  <c r="M1356" i="17"/>
  <c r="M1357" i="17"/>
  <c r="M1358" i="17"/>
  <c r="M1359" i="17"/>
  <c r="M1360" i="17"/>
  <c r="M1361" i="17"/>
  <c r="M1362" i="17"/>
  <c r="M1363" i="17"/>
  <c r="M1364" i="17"/>
  <c r="M1365" i="17"/>
  <c r="M1366" i="17"/>
  <c r="M1367" i="17"/>
  <c r="M1368" i="17"/>
  <c r="M1369" i="17"/>
  <c r="M1370" i="17"/>
  <c r="M1371" i="17"/>
  <c r="M1372" i="17"/>
  <c r="M1373" i="17"/>
  <c r="M1374" i="17"/>
  <c r="M1375" i="17"/>
  <c r="M1376" i="17"/>
  <c r="M1377" i="17"/>
  <c r="M1378" i="17"/>
  <c r="M1379" i="17"/>
  <c r="M1380" i="17"/>
  <c r="M1381" i="17"/>
  <c r="M1382" i="17"/>
  <c r="M1383" i="17"/>
  <c r="M1384" i="17"/>
  <c r="M1385" i="17"/>
  <c r="M1386" i="17"/>
  <c r="M1387" i="17"/>
  <c r="M1388" i="17"/>
  <c r="M1389" i="17"/>
  <c r="M1390" i="17"/>
  <c r="M1391" i="17"/>
  <c r="M1392" i="17"/>
  <c r="M1393" i="17"/>
  <c r="M1394" i="17"/>
  <c r="M1395" i="17"/>
  <c r="M1396" i="17"/>
  <c r="M1397" i="17"/>
  <c r="M1398" i="17"/>
  <c r="M1399" i="17"/>
  <c r="L1401" i="17"/>
  <c r="M1402" i="17"/>
  <c r="M1403" i="17"/>
  <c r="M1404" i="17"/>
  <c r="M1405" i="17"/>
  <c r="M1406" i="17"/>
  <c r="M1407" i="17"/>
  <c r="M1408" i="17"/>
  <c r="M1409" i="17"/>
  <c r="M1410" i="17"/>
  <c r="M1411" i="17"/>
  <c r="M1412" i="17"/>
  <c r="M1413" i="17"/>
  <c r="M1414" i="17"/>
  <c r="M1415" i="17"/>
  <c r="M1416" i="17"/>
  <c r="M1417" i="17"/>
  <c r="M1418" i="17"/>
  <c r="M1419" i="17"/>
  <c r="M1420" i="17"/>
  <c r="M1421" i="17"/>
  <c r="M1422" i="17"/>
  <c r="M1423" i="17"/>
  <c r="M1424" i="17"/>
  <c r="M1425" i="17"/>
  <c r="M1426" i="17"/>
  <c r="M1427" i="17"/>
  <c r="M1428" i="17"/>
  <c r="M1429" i="17"/>
  <c r="M1430" i="17"/>
  <c r="M1431" i="17"/>
  <c r="M1432" i="17"/>
  <c r="M1433" i="17"/>
  <c r="M1434" i="17"/>
  <c r="M1435" i="17"/>
  <c r="M1436" i="17"/>
  <c r="M1437" i="17"/>
  <c r="M1438" i="17"/>
  <c r="M1439" i="17"/>
  <c r="M1440" i="17"/>
  <c r="M1441" i="17"/>
  <c r="M1442" i="17"/>
  <c r="M1443" i="17"/>
  <c r="M1444" i="17"/>
  <c r="M1445" i="17"/>
  <c r="M1446" i="17"/>
  <c r="M1447" i="17"/>
  <c r="M1448" i="17"/>
  <c r="M1449" i="17"/>
  <c r="M1450" i="17"/>
  <c r="M1451" i="17"/>
  <c r="M1452" i="17"/>
  <c r="M1453" i="17"/>
  <c r="M1454" i="17"/>
  <c r="M1455" i="17"/>
  <c r="M1456" i="17"/>
  <c r="M1457" i="17"/>
  <c r="M1458" i="17"/>
  <c r="M1459" i="17"/>
  <c r="M1460" i="17"/>
  <c r="M1461" i="17"/>
  <c r="M1462" i="17"/>
  <c r="M1463" i="17"/>
  <c r="M1464" i="17"/>
  <c r="M1465" i="17"/>
  <c r="M1466" i="17"/>
  <c r="M1467" i="17"/>
  <c r="M1468" i="17"/>
  <c r="M1469" i="17"/>
  <c r="M1470" i="17"/>
  <c r="M1471" i="17"/>
  <c r="M1472" i="17"/>
  <c r="M1473" i="17"/>
  <c r="M1474" i="17"/>
  <c r="M1475" i="17"/>
  <c r="M1476" i="17"/>
  <c r="M1477" i="17"/>
  <c r="M1478" i="17"/>
  <c r="M1479" i="17"/>
  <c r="M1480" i="17"/>
  <c r="M1481" i="17"/>
  <c r="M1482" i="17"/>
  <c r="G1484" i="17"/>
  <c r="G1486" i="17"/>
  <c r="M1487" i="17"/>
  <c r="M1488" i="17"/>
  <c r="M1489" i="17"/>
  <c r="M1490" i="17"/>
  <c r="M1491" i="17"/>
  <c r="M1492" i="17"/>
  <c r="M1493" i="17"/>
  <c r="M1494" i="17"/>
  <c r="M1495" i="17"/>
  <c r="M1496" i="17"/>
  <c r="M1497" i="17"/>
  <c r="M1498" i="17"/>
  <c r="M1499" i="17"/>
  <c r="M1500" i="17"/>
  <c r="M1501" i="17"/>
  <c r="M1502" i="17"/>
  <c r="M1503" i="17"/>
  <c r="M1504" i="17"/>
  <c r="M1505" i="17"/>
  <c r="M1506" i="17"/>
  <c r="L1508" i="17"/>
  <c r="M1509" i="17"/>
  <c r="M1510" i="17"/>
  <c r="M1511" i="17"/>
  <c r="M1512" i="17"/>
  <c r="M1513" i="17"/>
  <c r="M1514" i="17"/>
  <c r="M1515" i="17"/>
  <c r="M1516" i="17"/>
  <c r="M1517" i="17"/>
  <c r="M1518" i="17"/>
  <c r="M1519" i="17"/>
  <c r="M1520" i="17"/>
  <c r="M1521" i="17"/>
  <c r="M1522" i="17"/>
  <c r="M1523" i="17"/>
  <c r="M1524" i="17"/>
  <c r="M1525" i="17"/>
  <c r="M1526" i="17"/>
  <c r="M1527" i="17"/>
  <c r="M1528" i="17"/>
  <c r="M1529" i="17"/>
  <c r="M1530" i="17"/>
  <c r="M1531" i="17"/>
  <c r="M1532" i="17"/>
  <c r="M1533" i="17"/>
  <c r="M1534" i="17"/>
  <c r="M1535" i="17"/>
  <c r="M1536" i="17"/>
  <c r="M1537" i="17"/>
  <c r="M1538" i="17"/>
  <c r="M1539" i="17"/>
  <c r="M1540" i="17"/>
  <c r="M1541" i="17"/>
  <c r="M1542" i="17"/>
  <c r="M1543" i="17"/>
  <c r="M1544" i="17"/>
  <c r="M1545" i="17"/>
  <c r="M1546" i="17"/>
  <c r="M1547" i="17"/>
  <c r="M1548" i="17"/>
  <c r="M1549" i="17"/>
  <c r="M1550" i="17"/>
  <c r="M1551" i="17"/>
  <c r="M1552" i="17"/>
  <c r="M1553" i="17"/>
  <c r="M1554" i="17"/>
  <c r="M1555" i="17"/>
  <c r="M1556" i="17"/>
  <c r="M1557" i="17"/>
  <c r="M1558" i="17"/>
  <c r="M1559" i="17"/>
  <c r="M1560" i="17"/>
  <c r="M1561" i="17"/>
  <c r="M1562" i="17"/>
  <c r="M1563" i="17"/>
  <c r="M1564" i="17"/>
  <c r="M1565" i="17"/>
  <c r="M1566" i="17"/>
  <c r="M1567" i="17"/>
  <c r="M1568" i="17"/>
  <c r="M1569" i="17"/>
  <c r="M1570" i="17"/>
  <c r="M1571" i="17"/>
  <c r="M1572" i="17"/>
  <c r="M1573" i="17"/>
  <c r="M1574" i="17"/>
  <c r="M1575" i="17"/>
  <c r="M1576" i="17"/>
  <c r="M1577" i="17"/>
  <c r="M1578" i="17"/>
  <c r="M1579" i="17"/>
  <c r="M1580" i="17"/>
  <c r="M1581" i="17"/>
  <c r="M1582" i="17"/>
  <c r="M1583" i="17"/>
  <c r="M1584" i="17"/>
  <c r="M1585" i="17"/>
  <c r="M1586" i="17"/>
  <c r="M1587" i="17"/>
  <c r="M1588" i="17"/>
  <c r="M1589" i="17"/>
  <c r="M1590" i="17"/>
  <c r="M1591" i="17"/>
  <c r="M1592" i="17"/>
  <c r="M1593" i="17"/>
  <c r="M1594" i="17"/>
  <c r="M1595" i="17"/>
  <c r="M1596" i="17"/>
  <c r="M1597" i="17"/>
  <c r="M1598" i="17"/>
  <c r="M1599" i="17"/>
  <c r="M1600" i="17"/>
  <c r="M1601" i="17"/>
  <c r="M1602" i="17"/>
  <c r="M1603" i="17"/>
  <c r="M1604" i="17"/>
  <c r="M1605" i="17"/>
  <c r="M1606" i="17"/>
  <c r="M1607" i="17"/>
  <c r="M1608" i="17"/>
  <c r="M1609" i="17"/>
  <c r="M1610" i="17"/>
  <c r="M1611" i="17"/>
  <c r="M1612" i="17"/>
  <c r="M1613" i="17"/>
  <c r="M1614" i="17"/>
  <c r="M1615" i="17"/>
  <c r="M1616" i="17"/>
  <c r="M1617" i="17"/>
  <c r="M1618" i="17"/>
  <c r="M1619" i="17"/>
  <c r="M1620" i="17"/>
  <c r="M1621" i="17"/>
  <c r="M1622" i="17"/>
  <c r="M1623" i="17"/>
  <c r="M1624" i="17"/>
  <c r="M1625" i="17"/>
  <c r="M1626" i="17"/>
  <c r="M1627" i="17"/>
  <c r="M1628" i="17"/>
  <c r="M1629" i="17"/>
  <c r="M1630" i="17"/>
  <c r="M1631" i="17"/>
  <c r="M1632" i="17"/>
  <c r="M1633" i="17"/>
  <c r="M1634" i="17"/>
  <c r="M1635" i="17"/>
  <c r="M1636" i="17"/>
  <c r="M1637" i="17"/>
  <c r="M1638" i="17"/>
  <c r="M1639" i="17"/>
  <c r="M1640" i="17"/>
  <c r="M1641" i="17"/>
  <c r="M1642" i="17"/>
  <c r="M1643" i="17"/>
  <c r="M1644" i="17"/>
  <c r="M1645" i="17"/>
  <c r="M1646" i="17"/>
  <c r="M1647" i="17"/>
  <c r="M1648" i="17"/>
  <c r="M1649" i="17"/>
  <c r="M1650" i="17"/>
  <c r="M1651" i="17"/>
  <c r="M1652" i="17"/>
  <c r="M1653" i="17"/>
  <c r="M1654" i="17"/>
  <c r="M1655" i="17"/>
  <c r="M1656" i="17"/>
  <c r="M1657" i="17"/>
  <c r="M1658" i="17"/>
  <c r="M1659" i="17"/>
  <c r="M1660" i="17"/>
  <c r="M1661" i="17"/>
  <c r="M1662" i="17"/>
  <c r="M1663" i="17"/>
  <c r="M1664" i="17"/>
  <c r="M1665" i="17"/>
  <c r="M1666" i="17"/>
  <c r="M1667" i="17"/>
  <c r="M1668" i="17"/>
  <c r="M1669" i="17"/>
  <c r="M1670" i="17"/>
  <c r="M1671" i="17"/>
  <c r="M1672" i="17"/>
  <c r="M1673" i="17"/>
  <c r="M1674" i="17"/>
  <c r="M1675" i="17"/>
  <c r="M1676" i="17"/>
  <c r="M1677" i="17"/>
  <c r="M1678" i="17"/>
  <c r="M1679" i="17"/>
  <c r="M1680" i="17"/>
  <c r="M1681" i="17"/>
  <c r="M1682" i="17"/>
  <c r="M1683" i="17"/>
  <c r="M1684" i="17"/>
  <c r="M1685" i="17"/>
  <c r="M1686" i="17"/>
  <c r="M1687" i="17"/>
  <c r="M1688" i="17"/>
  <c r="M1689" i="17"/>
  <c r="M1690" i="17"/>
  <c r="M1691" i="17"/>
  <c r="M1692" i="17"/>
  <c r="M1693" i="17"/>
  <c r="M1694" i="17"/>
  <c r="M1695" i="17"/>
  <c r="M1696" i="17"/>
  <c r="M1697" i="17"/>
  <c r="M1698" i="17"/>
  <c r="M1699" i="17"/>
  <c r="M1700" i="17"/>
  <c r="M1701" i="17"/>
  <c r="M1702" i="17"/>
  <c r="M1703" i="17"/>
  <c r="M1704" i="17"/>
  <c r="M1705" i="17"/>
  <c r="M1706" i="17"/>
  <c r="M1707" i="17"/>
  <c r="M1708" i="17"/>
  <c r="M1709" i="17"/>
  <c r="M1710" i="17"/>
  <c r="M1711" i="17"/>
  <c r="M1712" i="17"/>
  <c r="M1713" i="17"/>
  <c r="M1714" i="17"/>
  <c r="M1715" i="17"/>
  <c r="M1716" i="17"/>
  <c r="M1717" i="17"/>
  <c r="M1718" i="17"/>
  <c r="M1719" i="17"/>
  <c r="M1720" i="17"/>
  <c r="M1721" i="17"/>
  <c r="M1722" i="17"/>
  <c r="M1723" i="17"/>
  <c r="M1724" i="17"/>
  <c r="M1725" i="17"/>
  <c r="M1726" i="17"/>
  <c r="M1727" i="17"/>
  <c r="M1728" i="17"/>
  <c r="M1729" i="17"/>
  <c r="M1730" i="17"/>
  <c r="M1731" i="17"/>
  <c r="M1732" i="17"/>
  <c r="M1733" i="17"/>
  <c r="M1734" i="17"/>
  <c r="M1735" i="17"/>
  <c r="M1736" i="17"/>
  <c r="M1737" i="17"/>
  <c r="M1738" i="17"/>
  <c r="M1739" i="17"/>
  <c r="M1740" i="17"/>
  <c r="M1741" i="17"/>
  <c r="M1742" i="17"/>
  <c r="M1743" i="17"/>
  <c r="M1744" i="17"/>
  <c r="M1745" i="17"/>
  <c r="M1746" i="17"/>
  <c r="M1747" i="17"/>
  <c r="M1748" i="17"/>
  <c r="M1749" i="17"/>
  <c r="M1750" i="17"/>
  <c r="M1751" i="17"/>
  <c r="M1752" i="17"/>
  <c r="M1753" i="17"/>
  <c r="M1754" i="17"/>
  <c r="M1755" i="17"/>
  <c r="M1756" i="17"/>
  <c r="M1757" i="17"/>
  <c r="M1758" i="17"/>
  <c r="M1759" i="17"/>
  <c r="M1760" i="17"/>
  <c r="M1761" i="17"/>
  <c r="M1762" i="17"/>
  <c r="M1763" i="17"/>
  <c r="M1764" i="17"/>
  <c r="M1765" i="17"/>
  <c r="M1766" i="17"/>
  <c r="M1767" i="17"/>
  <c r="M1768" i="17"/>
  <c r="M1769" i="17"/>
  <c r="M1770" i="17"/>
  <c r="M1771" i="17"/>
  <c r="M1772" i="17"/>
  <c r="M1773" i="17"/>
  <c r="M1774" i="17"/>
  <c r="M1775" i="17"/>
  <c r="M1776" i="17"/>
  <c r="M1777" i="17"/>
  <c r="M1778" i="17"/>
  <c r="M1779" i="17"/>
  <c r="M1780" i="17"/>
  <c r="M1781" i="17"/>
  <c r="M1782" i="17"/>
  <c r="M1783" i="17"/>
  <c r="M1784" i="17"/>
  <c r="M1785" i="17"/>
  <c r="M1786" i="17"/>
  <c r="M1787" i="17"/>
  <c r="M1788" i="17"/>
  <c r="M1789" i="17"/>
  <c r="M1790" i="17"/>
  <c r="M1791" i="17"/>
  <c r="M1792" i="17"/>
  <c r="M1793" i="17"/>
  <c r="M1794" i="17"/>
  <c r="M1795" i="17"/>
  <c r="M1796" i="17"/>
  <c r="M1797" i="17"/>
  <c r="M1798" i="17"/>
  <c r="M1799" i="17"/>
  <c r="M1800" i="17"/>
  <c r="M1801" i="17"/>
  <c r="M1802" i="17"/>
  <c r="M1803" i="17"/>
  <c r="M1804" i="17"/>
  <c r="M1805" i="17"/>
  <c r="M1806" i="17"/>
  <c r="M1807" i="17"/>
  <c r="M1808" i="17"/>
  <c r="M1809" i="17"/>
  <c r="M1810" i="17"/>
  <c r="M1811" i="17"/>
  <c r="M1812" i="17"/>
  <c r="M1813" i="17"/>
  <c r="M1814" i="17"/>
  <c r="M1815" i="17"/>
  <c r="M1816" i="17"/>
  <c r="M1817" i="17"/>
  <c r="M1818" i="17"/>
  <c r="M1819" i="17"/>
  <c r="M1820" i="17"/>
  <c r="M1821" i="17"/>
  <c r="M1822" i="17"/>
  <c r="M1823" i="17"/>
  <c r="M1824" i="17"/>
  <c r="M1825" i="17"/>
  <c r="M1826" i="17"/>
  <c r="M1827" i="17"/>
  <c r="M1828" i="17"/>
  <c r="M1829" i="17"/>
  <c r="M1830" i="17"/>
  <c r="M1831" i="17"/>
  <c r="M1832" i="17"/>
  <c r="M1833" i="17"/>
  <c r="M1834" i="17"/>
  <c r="M1835" i="17"/>
  <c r="M1836" i="17"/>
  <c r="M1837" i="17"/>
  <c r="M1838" i="17"/>
  <c r="M1839" i="17"/>
  <c r="M1840" i="17"/>
  <c r="M1841" i="17"/>
  <c r="M1842" i="17"/>
  <c r="M1843" i="17"/>
  <c r="M1844" i="17"/>
  <c r="M1845" i="17"/>
  <c r="M1846" i="17"/>
  <c r="M1847" i="17"/>
  <c r="M1848" i="17"/>
  <c r="M1849" i="17"/>
  <c r="M1850" i="17"/>
  <c r="M1851" i="17"/>
  <c r="M1852" i="17"/>
  <c r="M1853" i="17"/>
  <c r="M1854" i="17"/>
  <c r="M1855" i="17"/>
  <c r="M1856" i="17"/>
  <c r="M1857" i="17"/>
  <c r="M1858" i="17"/>
  <c r="M1859" i="17"/>
  <c r="M1860" i="17"/>
  <c r="M1861" i="17"/>
  <c r="M1862" i="17"/>
  <c r="M1863" i="17"/>
  <c r="M1864" i="17"/>
  <c r="M1865" i="17"/>
  <c r="M1866" i="17"/>
  <c r="M1867" i="17"/>
  <c r="M1868" i="17"/>
  <c r="M1869" i="17"/>
  <c r="M1870" i="17"/>
  <c r="M1871" i="17"/>
  <c r="M1872" i="17"/>
  <c r="M1873" i="17"/>
  <c r="M1874" i="17"/>
  <c r="M1875" i="17"/>
  <c r="M1876" i="17"/>
  <c r="M1877" i="17"/>
  <c r="M1878" i="17"/>
  <c r="M1879" i="17"/>
  <c r="M1880" i="17"/>
  <c r="M1881" i="17"/>
  <c r="M1882" i="17"/>
  <c r="M1883" i="17"/>
  <c r="M1884" i="17"/>
  <c r="M1885" i="17"/>
  <c r="M1886" i="17"/>
  <c r="M1887" i="17"/>
  <c r="M1888" i="17"/>
  <c r="M1889" i="17"/>
  <c r="M1890" i="17"/>
  <c r="M1891" i="17"/>
  <c r="M1892" i="17"/>
  <c r="M1893" i="17"/>
  <c r="M1894" i="17"/>
  <c r="M1895" i="17"/>
  <c r="M1896" i="17"/>
  <c r="M1897" i="17"/>
  <c r="M1898" i="17"/>
  <c r="M1899" i="17"/>
  <c r="M1900" i="17"/>
  <c r="M1901" i="17"/>
  <c r="M1902" i="17"/>
  <c r="M1903" i="17"/>
  <c r="M1904" i="17"/>
  <c r="M1905" i="17"/>
  <c r="M1906" i="17"/>
  <c r="M2" i="12"/>
  <c r="M3" i="12"/>
  <c r="M4" i="12"/>
  <c r="M5" i="12"/>
  <c r="M6" i="12"/>
  <c r="M7" i="12"/>
  <c r="M8" i="12"/>
  <c r="M9" i="12"/>
  <c r="M10" i="12"/>
  <c r="M11" i="12"/>
  <c r="M12" i="12"/>
  <c r="M13" i="12"/>
  <c r="M14" i="12"/>
  <c r="M15" i="12"/>
  <c r="M16" i="12"/>
  <c r="M17" i="12"/>
  <c r="M18" i="12"/>
  <c r="M19" i="12"/>
  <c r="M20" i="12"/>
  <c r="M21" i="12"/>
  <c r="M22" i="12"/>
  <c r="M23" i="12"/>
  <c r="M24" i="12"/>
  <c r="M25" i="12"/>
  <c r="M26" i="12"/>
  <c r="M27" i="12"/>
  <c r="M28" i="12"/>
  <c r="M29" i="12"/>
  <c r="M30" i="12"/>
  <c r="M31" i="12"/>
  <c r="M32" i="12"/>
  <c r="M33" i="12"/>
  <c r="M34" i="12"/>
  <c r="M35" i="12"/>
  <c r="M36" i="12"/>
  <c r="M37" i="12"/>
  <c r="M2" i="11"/>
  <c r="M3" i="11"/>
  <c r="M4" i="11"/>
  <c r="M5" i="11"/>
  <c r="M6" i="11"/>
  <c r="M7" i="11"/>
  <c r="M8" i="11"/>
  <c r="M9" i="11"/>
  <c r="M10" i="11"/>
  <c r="M11" i="11"/>
  <c r="M12" i="11"/>
  <c r="M13" i="11"/>
  <c r="M14" i="11"/>
  <c r="M15" i="1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alcChain>
</file>

<file path=xl/sharedStrings.xml><?xml version="1.0" encoding="utf-8"?>
<sst xmlns="http://schemas.openxmlformats.org/spreadsheetml/2006/main" count="77176" uniqueCount="13482">
  <si>
    <t>Element Name</t>
  </si>
  <si>
    <t>Definition</t>
  </si>
  <si>
    <t>Option Set</t>
  </si>
  <si>
    <t>Domain -&gt; Entity -&gt; Category</t>
  </si>
  <si>
    <t>Status</t>
  </si>
  <si>
    <t>Format</t>
  </si>
  <si>
    <t>Change Notes</t>
  </si>
  <si>
    <t>Usage Notes</t>
  </si>
  <si>
    <t>Global ID</t>
  </si>
  <si>
    <t>Alternate Name</t>
  </si>
  <si>
    <t>Technical Name</t>
  </si>
  <si>
    <t>Use Case/Connection</t>
  </si>
  <si>
    <t>URL</t>
  </si>
  <si>
    <t>Domain</t>
  </si>
  <si>
    <t>Entity</t>
  </si>
  <si>
    <t>Category</t>
  </si>
  <si>
    <t>New Association</t>
  </si>
  <si>
    <t>Use Case / Connection</t>
  </si>
  <si>
    <t>Element Change Status</t>
  </si>
  <si>
    <t>Data Model ID</t>
  </si>
  <si>
    <t>Ability Grouping Status</t>
  </si>
  <si>
    <t>An indication of whether the school has students who are ability grouped for classroom instruction in mathematics or English/reading/language arts.</t>
  </si>
  <si>
    <t xml:space="preserve">Yes
No
</t>
  </si>
  <si>
    <t>000328</t>
  </si>
  <si>
    <t>AbilityGroupingStatus</t>
  </si>
  <si>
    <t>K-12 -&gt; Civil Rights Data Collection</t>
  </si>
  <si>
    <t>Absent Attendance Category</t>
  </si>
  <si>
    <t>K12 -&gt; K12 Student -&gt; Attendance</t>
  </si>
  <si>
    <t>000599</t>
  </si>
  <si>
    <t>AbsentAttendanceCategory</t>
  </si>
  <si>
    <t>Academic Award Date</t>
  </si>
  <si>
    <t>The year, month and day or year and month on which the academic award was conferred.</t>
  </si>
  <si>
    <t>None</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</si>
  <si>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Workforce -&gt; Workforce Program Participant -&gt; Academic Record -&gt; Academic Award</t>
  </si>
  <si>
    <t>YYYY-MM-DD or YYYY-MM</t>
  </si>
  <si>
    <t>000001</t>
  </si>
  <si>
    <t>AcademicAwardDate</t>
  </si>
  <si>
    <t>Postsecondary Education -&gt; Complete College America
Postsecondary Education -&gt; IPEDS
Postsecondary Education -&gt; Transition</t>
  </si>
  <si>
    <t>Academic Award Level Conferred</t>
  </si>
  <si>
    <t>An indicator of the category of award conferred by a college, university, or other postsecondary education institution as official recognition for the successful completion of a program of study.</t>
  </si>
  <si>
    <t>000002</t>
  </si>
  <si>
    <t>AcademicAwardLevelConferred</t>
  </si>
  <si>
    <t>K-12 -&gt; High School Feedback Report
Postsecondary Education -&gt; Complete College America
Postsecondary Education -&gt; IPEDS
Postsecondary Education -&gt; Transition</t>
  </si>
  <si>
    <t>Academic Award Prerequisite Type</t>
  </si>
  <si>
    <t>Prerequisite conditions for earning an academic award.</t>
  </si>
  <si>
    <t>Postsecondary -&gt; PS Student -&gt; Academic Record -&gt; Academic Award
Postsecondary -&gt; PS Student -&gt; Institution Enrollment -&gt; Prior Academic Award</t>
  </si>
  <si>
    <t>001666</t>
  </si>
  <si>
    <t>AcademicAwardPrerequisiteType</t>
  </si>
  <si>
    <t>Academic Award Requirements URL</t>
  </si>
  <si>
    <t>A URL to a page that describes the requirements for the credential.</t>
  </si>
  <si>
    <t>Alphanumeric - 512 characters maximum</t>
  </si>
  <si>
    <t>001665</t>
  </si>
  <si>
    <t>AcademicAwardRequirementsURL</t>
  </si>
  <si>
    <t>Academic Award Title</t>
  </si>
  <si>
    <t>The descriptive title for the academic award.</t>
  </si>
  <si>
    <t>Alphanumeric - 80 characters maximum</t>
  </si>
  <si>
    <t>000003</t>
  </si>
  <si>
    <t>AcademicAwardTitle</t>
  </si>
  <si>
    <t>Postsecondary Education -&gt; Transition</t>
  </si>
  <si>
    <t>Academic Honors Type</t>
  </si>
  <si>
    <t>A designation of the type of academic distinctions earned by or awarded to the student.</t>
  </si>
  <si>
    <t>K12 -&gt; K12 Student -&gt; Academic Record</t>
  </si>
  <si>
    <t>000004</t>
  </si>
  <si>
    <t>AcademicHonorsType</t>
  </si>
  <si>
    <t>K-12 -&gt; High School Generated Transcript
K-12 -&gt; LEA-to-LEA Student Record Exchange
K-12 -&gt; LEA-to-SEA Student Record Exchange</t>
  </si>
  <si>
    <t>Academic Rank</t>
  </si>
  <si>
    <t>Postsecondary -&gt; PS Staff -&gt; Employment</t>
  </si>
  <si>
    <t>000740</t>
  </si>
  <si>
    <t>AcademicRank</t>
  </si>
  <si>
    <t>Postsecondary Education -&gt; IPEDS -&gt; HR</t>
  </si>
  <si>
    <t>Academic Term Designator</t>
  </si>
  <si>
    <t>The academic term for which the data apply.</t>
  </si>
  <si>
    <t>Needs to be used in combination with Predominant Calendar System element in order to determine if the option set is referring to a semester, quarter, or some other term length.</t>
  </si>
  <si>
    <t>000727</t>
  </si>
  <si>
    <t>AcademicTermDesignator</t>
  </si>
  <si>
    <t>Postsecondary Education -&gt; Complete College America
Postsecondary Education -&gt; Student Achievement Measure</t>
  </si>
  <si>
    <t>Academic Year Designator</t>
  </si>
  <si>
    <t>The academic year for which the data apply.</t>
  </si>
  <si>
    <t>YYYY-YYYY</t>
  </si>
  <si>
    <t>000726</t>
  </si>
  <si>
    <t>AcademicYearDesignator</t>
  </si>
  <si>
    <t>Alphanumeric - 30 characters maximum</t>
  </si>
  <si>
    <t>001157</t>
  </si>
  <si>
    <t>000385</t>
  </si>
  <si>
    <t>K-12 -&gt; LEA Assessments
K-12 -&gt; SEA Assessments
School Readiness</t>
  </si>
  <si>
    <t>Accommodations Needed Type</t>
  </si>
  <si>
    <t>Postsecondary -&gt; PS Student -&gt; Disability</t>
  </si>
  <si>
    <t>001277</t>
  </si>
  <si>
    <t>Accountability Report Title</t>
  </si>
  <si>
    <t>The title of the accountability report.</t>
  </si>
  <si>
    <t>K12 -&gt; LEA -&gt; Accountability</t>
  </si>
  <si>
    <t>000005</t>
  </si>
  <si>
    <t>AccountabilityReportTitle</t>
  </si>
  <si>
    <t>Accreditation Agency</t>
  </si>
  <si>
    <t>The agency that accredited a program.</t>
  </si>
  <si>
    <t>Organization Name may be used with Organization Type='Accrediting Organization' when Accreditation Agency is set to 'Other Accreditation Agency.</t>
  </si>
  <si>
    <t>000982</t>
  </si>
  <si>
    <t>AccreditationAgency</t>
  </si>
  <si>
    <t>Early Learning -&gt; Program Quality</t>
  </si>
  <si>
    <t>Accreditation Agency Name</t>
  </si>
  <si>
    <t>The full name of an agency that accredited a school.</t>
  </si>
  <si>
    <t>Alphanumeric - 300 characters maximum</t>
  </si>
  <si>
    <t>001526</t>
  </si>
  <si>
    <t>AccreditationAgencyName</t>
  </si>
  <si>
    <t>Accreditation Award Date</t>
  </si>
  <si>
    <t>The year, month and day when an accreditation was awarded.</t>
  </si>
  <si>
    <t>YYYY-MM-DD</t>
  </si>
  <si>
    <t>000840</t>
  </si>
  <si>
    <t>AccreditationAwardDate</t>
  </si>
  <si>
    <t>Accreditation Expiration Date</t>
  </si>
  <si>
    <t>The year, month and day when an accreditation expires.</t>
  </si>
  <si>
    <t>000841</t>
  </si>
  <si>
    <t>AccreditationExpirationDate</t>
  </si>
  <si>
    <t>Activity Description</t>
  </si>
  <si>
    <t>A description of the events and procedures that take place under the purview of an organized activity, such as a co-curricular or extra-curricular activity that is offered at an education institution.</t>
  </si>
  <si>
    <t>K12 -&gt; K12 Student -&gt; Academic Record -&gt; Activity
K12 -&gt; K12 Student -&gt; Enrollment -&gt; Activity
Postsecondary -&gt; PS Student -&gt; Academic Record -&gt; Activity</t>
  </si>
  <si>
    <t>001530</t>
  </si>
  <si>
    <t>ActivityDescription</t>
  </si>
  <si>
    <t>Activity Identifier</t>
  </si>
  <si>
    <t>A unique number or alphanumeric code used in the local system to identify an activity, such as a co-curricular or extra-curricular activity that is offered at an education institution.</t>
  </si>
  <si>
    <t>Alphanumeric - 40 characters maximum</t>
  </si>
  <si>
    <t>CEDS "Identifier" elements reflect the intent of the XSD:Token format, i.e. a string in which carriage return, line feed, and tab characters have been removed as well as any internal sequences of two or more spaces and any leading or trailing spaces.</t>
  </si>
  <si>
    <t>000006</t>
  </si>
  <si>
    <t>ActivityIdentifier</t>
  </si>
  <si>
    <t>An Identifier MAY be a Universally Unique Identifier (UUID) / Globally Unique Identifier (GUID), i.e.128-bit unique identifiers generated according to the algorithms and encoding standards of RFC 4122.</t>
  </si>
  <si>
    <t>Activity Involvement Begin Date</t>
  </si>
  <si>
    <t>The year, month and day on which the person began to participate in the activity.</t>
  </si>
  <si>
    <t>000007</t>
  </si>
  <si>
    <t>ActivityInvolvementBeginDate</t>
  </si>
  <si>
    <t>Activity Involvement End Date</t>
  </si>
  <si>
    <t>The year, month and day on which the person ceased to participate in the activity.</t>
  </si>
  <si>
    <t>All CEDS Exit and End Dates represent the last day of the date range specified, such as the last day that a person was enrolled, participated, or received services.</t>
  </si>
  <si>
    <t>000008</t>
  </si>
  <si>
    <t>ActivityInvolvementEndDate</t>
  </si>
  <si>
    <t>Activity Time Involved</t>
  </si>
  <si>
    <t>The amount of time the student participated in the events and procedures of an activity, such as a co-curricular or extra-curricular activity that is offered at an education institution.</t>
  </si>
  <si>
    <t>Numeric</t>
  </si>
  <si>
    <t>001527</t>
  </si>
  <si>
    <t>ActivityTimeInvolved</t>
  </si>
  <si>
    <t>Activity Time Measurement Type</t>
  </si>
  <si>
    <t>The type of measurement for the amount of time the student participated in the events and procedures of an activity, such as a co-curricular or extra-curricular activity that is offered at an education institution.</t>
  </si>
  <si>
    <t>001528</t>
  </si>
  <si>
    <t>ActivityTimeMeasurementType</t>
  </si>
  <si>
    <t>Activity Title</t>
  </si>
  <si>
    <t>The title for a particular activity, such as a co-curricular or extra-curricular activity.</t>
  </si>
  <si>
    <t>Alphanumeric - 60 characters maximum</t>
  </si>
  <si>
    <t>000009</t>
  </si>
  <si>
    <t>ActivityTitle</t>
  </si>
  <si>
    <t>Additional Credit Type</t>
  </si>
  <si>
    <t>The type of credits or units of value available for the completion of a course in addition to Carnegie Units.</t>
  </si>
  <si>
    <t>Adult Education -&gt; Course Section
Career and Technical -&gt; Course
Career and Technical -&gt; Course Section
K12 -&gt; Course Section
K12 -&gt; K12 Course</t>
  </si>
  <si>
    <t>000596</t>
  </si>
  <si>
    <t>AdditionalCreditType</t>
  </si>
  <si>
    <t>Additional Targeted Support and Improvement Status</t>
  </si>
  <si>
    <t>The designation given to a school by the state for additional targeted support and improvement as part of its statewide system of annual meaningful differentiation.</t>
  </si>
  <si>
    <t>New</t>
  </si>
  <si>
    <t>001925</t>
  </si>
  <si>
    <t>AdditionalTargetedSupportAndImprovementStatus</t>
  </si>
  <si>
    <t>Address Apartment Room or Suite Number</t>
  </si>
  <si>
    <t>The apartment, room, or suite number of an address.</t>
  </si>
  <si>
    <t>Updated</t>
  </si>
  <si>
    <t>000019</t>
  </si>
  <si>
    <t>AddressApartmentRoomOrSuiteNumber</t>
  </si>
  <si>
    <t>Early Learning -&gt; Licensing
Early Learning -&gt; Program Compliance
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</si>
  <si>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Address City</t>
  </si>
  <si>
    <t>The name of the city in which an address is located.</t>
  </si>
  <si>
    <t>000040</t>
  </si>
  <si>
    <t>AddressCity</t>
  </si>
  <si>
    <t>Address County Name</t>
  </si>
  <si>
    <t>The name of the county, parish, borough, or comparable unit (within a state) in which an address is located.</t>
  </si>
  <si>
    <t>000190</t>
  </si>
  <si>
    <t>AddressCountyName</t>
  </si>
  <si>
    <t>Address Postal Code</t>
  </si>
  <si>
    <t>A number that identifies each postal delivery area in the United States used as a portion of an address.</t>
  </si>
  <si>
    <t>Alphanumeric - 17 characters maximum</t>
  </si>
  <si>
    <t>000214</t>
  </si>
  <si>
    <t>AddressPostalCode</t>
  </si>
  <si>
    <t>Address Street Number and Name</t>
  </si>
  <si>
    <t>The street number and street name or post office box number of an address.</t>
  </si>
  <si>
    <t>Alphanumeric - 150 characters maximum</t>
  </si>
  <si>
    <t>000269</t>
  </si>
  <si>
    <t>AddressStreetNumberAndName</t>
  </si>
  <si>
    <t>Address Type for Learner or Family</t>
  </si>
  <si>
    <t>The type of address listed for a learner or a parent, guardian, family member or related person.</t>
  </si>
  <si>
    <t>000010</t>
  </si>
  <si>
    <t>AddressTypeForLearnerOrFamily</t>
  </si>
  <si>
    <t>Postsecondary Education -&gt; Complete College America
Postsecondary Education -&gt; IPEDS</t>
  </si>
  <si>
    <t>Address Type for Organization</t>
  </si>
  <si>
    <t>The type of address listed for an organization.</t>
  </si>
  <si>
    <t>001066</t>
  </si>
  <si>
    <t>AddressTypeForOrganization</t>
  </si>
  <si>
    <t>Address Type for Staff</t>
  </si>
  <si>
    <t>The address type for a staff member.</t>
  </si>
  <si>
    <t>000722</t>
  </si>
  <si>
    <t>AddressTypeForStaff</t>
  </si>
  <si>
    <t>Early Learning -&gt; Staff Quality</t>
  </si>
  <si>
    <t>Adequate Yearly Progress Appeal Changed Designation</t>
  </si>
  <si>
    <t>An indication that the appeal resulted in a change in a school or district's AYP designation.</t>
  </si>
  <si>
    <t>K12 -&gt; K12 School -&gt; Accountability
K12 -&gt; LEA -&gt; Accountability</t>
  </si>
  <si>
    <t>000443</t>
  </si>
  <si>
    <t>AYP Appeal Changed Designation</t>
  </si>
  <si>
    <t>AYPAppealChangedDesignation</t>
  </si>
  <si>
    <t>K-12 -&gt; Consolidated State Performance Report</t>
  </si>
  <si>
    <t>Adequate Yearly Progress Appeal Process Date</t>
  </si>
  <si>
    <t>The last date that an appeal of an AYP designation was processed.</t>
  </si>
  <si>
    <t>000444</t>
  </si>
  <si>
    <t>AYP Appeal Process Date</t>
  </si>
  <si>
    <t>AYPAppealProcessDate</t>
  </si>
  <si>
    <t>Adequate Yearly Progress Status</t>
  </si>
  <si>
    <t>An indication of whether the state, district, or school met the Adequate Yearly Progress (AYP) requirements for the school year, as determined by the state-established criteria.</t>
  </si>
  <si>
    <t>K12 -&gt; K12 School -&gt; Accountability
K12 -&gt; LEA -&gt; Accountability
K12 -&gt; SEA -&gt; Accountability</t>
  </si>
  <si>
    <t>000011</t>
  </si>
  <si>
    <t>AYP Status</t>
  </si>
  <si>
    <t>AYPStatus</t>
  </si>
  <si>
    <t>K-12 -&gt; EDFacts</t>
  </si>
  <si>
    <t>Administrative Funding Control</t>
  </si>
  <si>
    <t>The type of education institution as classified by its funding source.</t>
  </si>
  <si>
    <t>K12 -&gt; K12 School -&gt; Directory</t>
  </si>
  <si>
    <t>000012</t>
  </si>
  <si>
    <t>AdministrativeFundingControl</t>
  </si>
  <si>
    <t>Administrative Policy Type</t>
  </si>
  <si>
    <t>A type of administrative policy used by a program.</t>
  </si>
  <si>
    <t>More than one Administrative Policy Type may apply.</t>
  </si>
  <si>
    <t>000983</t>
  </si>
  <si>
    <t>AdministrativePolicyType</t>
  </si>
  <si>
    <t>Admission Consideration Level</t>
  </si>
  <si>
    <t>The level of consideration given a type of admission criteria used at an institution during the selection process.</t>
  </si>
  <si>
    <t>Postsecondary -&gt; PS Institution -&gt; IPEDS Reporting</t>
  </si>
  <si>
    <t>001579</t>
  </si>
  <si>
    <t>AdmissionConsiderationLevel</t>
  </si>
  <si>
    <t>Postsecondary Education -&gt; IPEDS</t>
  </si>
  <si>
    <t>Admission Consideration Type</t>
  </si>
  <si>
    <t>The type of admission consideration used at an institution during the selection process.</t>
  </si>
  <si>
    <t>001580</t>
  </si>
  <si>
    <t>AdmissionConsiderationType</t>
  </si>
  <si>
    <t>Admitted Student</t>
  </si>
  <si>
    <t>Applicant who has been granted an official offer to enroll in a postsecondary institution. Admitted applicants should include wait-listed students who were subsequently offered admission.</t>
  </si>
  <si>
    <t>Postsecondary -&gt; PS Applicant</t>
  </si>
  <si>
    <t>000756</t>
  </si>
  <si>
    <t>AdmittedStudent</t>
  </si>
  <si>
    <t>Postsecondary Education -&gt; Common Data Set</t>
  </si>
  <si>
    <t>Adult Education Certification Type</t>
  </si>
  <si>
    <t>001085</t>
  </si>
  <si>
    <t>AdultEducationCertificationType</t>
  </si>
  <si>
    <t>Adult Education Instructional Program Type</t>
  </si>
  <si>
    <t>The type of instructional program in which an adult is enrolled.</t>
  </si>
  <si>
    <t>Adult Education -&gt; AE Student -&gt; Program Participation</t>
  </si>
  <si>
    <t>001077</t>
  </si>
  <si>
    <t>AdultEducationInstructionalProgramType</t>
  </si>
  <si>
    <t>Adult Education Postsecondary Transition Action</t>
  </si>
  <si>
    <t>The action taken with respect to postsecondary enrollment by the learner after program exit or when co-enrolled in ABE and postsecondary with respect to enrollment in a postsecondary educational or occupational skills program building on prior services or training received.</t>
  </si>
  <si>
    <t>000784</t>
  </si>
  <si>
    <t>AdultEducationPostsecondaryTransitionAction</t>
  </si>
  <si>
    <t>Adult Education Postsecondary Transition Date</t>
  </si>
  <si>
    <t>The year, month and day on which a person previously enrolled in adult education entered and began to receive instructional services or training at a postsecondary institution.</t>
  </si>
  <si>
    <t>001081</t>
  </si>
  <si>
    <t>AdultEducationPostsecondaryTransitionDate</t>
  </si>
  <si>
    <t>Adult Education Provider Type</t>
  </si>
  <si>
    <t>The type of institution responsible for providing adult education instructional services.</t>
  </si>
  <si>
    <t>Adult Education -&gt; AE Provider</t>
  </si>
  <si>
    <t>001078</t>
  </si>
  <si>
    <t>AdultEducationProviderType</t>
  </si>
  <si>
    <t>Adult Education Service Provider Identification System</t>
  </si>
  <si>
    <t>A coding scheme that is used for identification and record-keeping purposes by schools, social services, or other agencies to refer to an institution.</t>
  </si>
  <si>
    <t>Adult Education -&gt; AE Provider
Adult Education -&gt; AE Staff -&gt; Assignment</t>
  </si>
  <si>
    <t>000781</t>
  </si>
  <si>
    <t>AdultEducationServiceProviderIdentificationSystem</t>
  </si>
  <si>
    <t>Adult Education Service Provider Identifier</t>
  </si>
  <si>
    <t>A unique number or alphanumeric code assigned to an institution by a school, school system, a state, or other agency or entity.</t>
  </si>
  <si>
    <t>001076</t>
  </si>
  <si>
    <t>AdultEducationServiceProviderIdentifier</t>
  </si>
  <si>
    <t>Adult Education Special Program Type</t>
  </si>
  <si>
    <t>The type, by location or delivery mode, of adult education instruction program in which an adult participates.</t>
  </si>
  <si>
    <t>Also see Adult Education Instructional Program Type</t>
  </si>
  <si>
    <t>000782</t>
  </si>
  <si>
    <t>AdultEducationSpecialProgramType</t>
  </si>
  <si>
    <t>Adult Education Staff Classification</t>
  </si>
  <si>
    <t>The titles of employment, official status, or rank of adult education staff.</t>
  </si>
  <si>
    <t>Adult Education -&gt; AE Staff -&gt; Employment</t>
  </si>
  <si>
    <t>000786</t>
  </si>
  <si>
    <t>AdultEducationStaffClassification</t>
  </si>
  <si>
    <t>Adult Education Staff Employment Status</t>
  </si>
  <si>
    <t>The condition under which a person has agreed to serve as an employee.</t>
  </si>
  <si>
    <t>001083</t>
  </si>
  <si>
    <t>AdultEducationStaffEmploymentStatus</t>
  </si>
  <si>
    <t>Adult Educational Functioning Level at Intake</t>
  </si>
  <si>
    <t>An individual's entering skill level, as defined by the National Reporting System for Adult Education and determined by an approved standardized assessment at program intake.</t>
  </si>
  <si>
    <t>000779</t>
  </si>
  <si>
    <t>AEFunctioningLevelAtIntake</t>
  </si>
  <si>
    <t>Adult Educational Functioning Level at Posttest</t>
  </si>
  <si>
    <t>An individual's skill level, as defined by the National Reporting System for Adult Education and determined by an approved standardized assessment after a set time period or number of instructional hours.</t>
  </si>
  <si>
    <t>000780</t>
  </si>
  <si>
    <t>AEFunctioningLevelAtPosttest</t>
  </si>
  <si>
    <t>Advanced Placement Course Code</t>
  </si>
  <si>
    <t>Adult Education -&gt; Course Section
Career and Technical -&gt; Course Section
K12 -&gt; Course Section
K12 -&gt; K12 Course
Postsecondary -&gt; Course Section</t>
  </si>
  <si>
    <t>001278</t>
  </si>
  <si>
    <t>AP Course Code</t>
  </si>
  <si>
    <t>AdvancedPlacementCourseCode</t>
  </si>
  <si>
    <t>Advanced Placement Course Self Selection</t>
  </si>
  <si>
    <t>An indication of whether enrollment via self-selection by the student is permitted for all Advanced Placement (AP) courses offered.</t>
  </si>
  <si>
    <t>000017</t>
  </si>
  <si>
    <t>AP Course Self Selection</t>
  </si>
  <si>
    <t>APCourseSelfSelection</t>
  </si>
  <si>
    <t>Advanced Placement Credits Awarded</t>
  </si>
  <si>
    <t>Postsecondary -&gt; PS Student -&gt; Academic Record</t>
  </si>
  <si>
    <t>Integer - greater than or equal to 0</t>
  </si>
  <si>
    <t>000018</t>
  </si>
  <si>
    <t>AP Credits Awarded</t>
  </si>
  <si>
    <t>APCreditsAwarded</t>
  </si>
  <si>
    <t>Agency Course Identifier</t>
  </si>
  <si>
    <t>The course identifier as it may be recorded at the regional or state level to conform to a standardized course classification system.</t>
  </si>
  <si>
    <t>Adult Education -&gt; Course Section -&gt; Course
Career and Technical -&gt; Course Section -&gt; Course
Postsecondary -&gt; Course Section -&gt; Course</t>
  </si>
  <si>
    <t>001280</t>
  </si>
  <si>
    <t>AgencyCourseIdentifier</t>
  </si>
  <si>
    <t>Allergy Reaction Description</t>
  </si>
  <si>
    <t>Describes symptoms know to be associated with a person's reaction to an allergen.</t>
  </si>
  <si>
    <t>Alphanumeric</t>
  </si>
  <si>
    <t>001281</t>
  </si>
  <si>
    <t>AllergyReactionDescription</t>
  </si>
  <si>
    <t>Allergy Severity</t>
  </si>
  <si>
    <t>The level of severity of a person's reaction to an allergen.</t>
  </si>
  <si>
    <t>001282</t>
  </si>
  <si>
    <t>AllergySeverity</t>
  </si>
  <si>
    <t>Allergy Type</t>
  </si>
  <si>
    <t>Type of allergy condition attributed to a person as defined by the SNOWMED Clinical Terms(r) vocabulary.</t>
  </si>
  <si>
    <t>This material includes SNOMED Clinical Terms® (SNOMED CT®) which is used by permission of the International Health Terminology Standards Development Organization (IHTSDO). All rights reserved. SNOMED CT®, was originally created by The College of American Pathologists. “SNOMED” and “SNOMED CT” are registered trademarks of the IHTSDO.</t>
  </si>
  <si>
    <t>001283</t>
  </si>
  <si>
    <t>AllergyType</t>
  </si>
  <si>
    <t>Alternate Adequate Yearly Progress Approach Indicator</t>
  </si>
  <si>
    <t>An indication of whether the district or school used an approved alternate approach for calculating Adequate Yearly Progress (AYP).</t>
  </si>
  <si>
    <t>000014</t>
  </si>
  <si>
    <t>Alternate AYP Approach Indicator</t>
  </si>
  <si>
    <t>AlternateAYPApproachIndicator</t>
  </si>
  <si>
    <t>Alternate Day Name</t>
  </si>
  <si>
    <t>An alternate name used for the school day, typically used for the bell schedule (e.g., Blue day, Red day).</t>
  </si>
  <si>
    <t>K12 -&gt; Calendar -&gt; Session</t>
  </si>
  <si>
    <t>000598</t>
  </si>
  <si>
    <t>AlternateDayName</t>
  </si>
  <si>
    <t>Alternative Route to Certification or Licensure</t>
  </si>
  <si>
    <t>An indication of whether a person is enrolled in an alternative teacher preparation program as defined by Title II.</t>
  </si>
  <si>
    <t>Postsecondary -&gt; PS Student -&gt; Teacher Education/Preparation</t>
  </si>
  <si>
    <t>000769</t>
  </si>
  <si>
    <t>AlternativeRouteToCertificationOrLicensure</t>
  </si>
  <si>
    <t>Postsecondary Education -&gt; Teacher Education</t>
  </si>
  <si>
    <t>Alternative School Focus Type</t>
  </si>
  <si>
    <t>An indication of the specific group of students whose needs the alternative school is designed to meet.</t>
  </si>
  <si>
    <t>000015</t>
  </si>
  <si>
    <t>AlternativeSchoolFocusType</t>
  </si>
  <si>
    <t>American Indian or Alaska Native</t>
  </si>
  <si>
    <t>A person having origins in any of the original peoples of North and South America (including Central America), and who maintains cultural identification through tribal affiliation or community attachment.</t>
  </si>
  <si>
    <t>000016</t>
  </si>
  <si>
    <t>Race American Indian or Alaska Native</t>
  </si>
  <si>
    <t>AmericanIndianOrAlaskaNative</t>
  </si>
  <si>
    <t>Early Learning -&gt; Program Entry
Early Learning -&gt; Staff Quality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</si>
  <si>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Annual Base Contractual Salary</t>
  </si>
  <si>
    <t>The total annual base contractual salary of a person.</t>
  </si>
  <si>
    <t>As defined in IPEDS</t>
  </si>
  <si>
    <t>000744</t>
  </si>
  <si>
    <t>AnnualBaseContractualSalary</t>
  </si>
  <si>
    <t>APIP Interaction Sequence Number</t>
  </si>
  <si>
    <t>The position of this APIP Interaction in a sequence of interactions.</t>
  </si>
  <si>
    <t>Assessments -&gt; Assessment Item -&gt; Assessment Item APIP Interaction</t>
  </si>
  <si>
    <t>001529</t>
  </si>
  <si>
    <t>APIPInteractionSequenceNumber</t>
  </si>
  <si>
    <t>Appealed Adequate Yearly Progress Designation</t>
  </si>
  <si>
    <t>An indication that a school or district appealed its AYP designation.</t>
  </si>
  <si>
    <t>000442</t>
  </si>
  <si>
    <t>Appealed AYP Designation</t>
  </si>
  <si>
    <t>AppealedAYPDesignation</t>
  </si>
  <si>
    <t>Application Date</t>
  </si>
  <si>
    <t>000323</t>
  </si>
  <si>
    <t>ApplicationDate</t>
  </si>
  <si>
    <t>Early Learning -&gt; Program Compliance
Early Learning -&gt; Program Entry</t>
  </si>
  <si>
    <t>Asian</t>
  </si>
  <si>
    <t>A person having origins in any of the original peoples of the Far East, Southeast Asia, or the Indian Subcontinent. This area includes, for example, Cambodia, China, India, Japan, Korea, Malaysia, Pakistan, the Philippine Islands, Thailand, and Vietnam.</t>
  </si>
  <si>
    <t>000020</t>
  </si>
  <si>
    <t>Race Asian</t>
  </si>
  <si>
    <t>Assessment Academic Subject</t>
  </si>
  <si>
    <t>The description of the academic content or subject area (e.g., arts, mathematics, reading, or a foreign language) being evaluated.</t>
  </si>
  <si>
    <t>Assessments -&gt; Assessment
Assessments -&gt; Assessment Asset
Assessments -&gt; Assessment Form
Assessments -&gt; Assessment Form -&gt; Assessment Form Section
Assessments -&gt; Assessment Item
Assessments -&gt; Assessment Subtest</t>
  </si>
  <si>
    <t>000021</t>
  </si>
  <si>
    <t>AssessmentAcademicSubject</t>
  </si>
  <si>
    <t>College Readiness
K-12 -&gt; EDFacts
K-12 -&gt; LEA Assessments
K-12 -&gt; SEA Assessments</t>
  </si>
  <si>
    <t>Assessment Accommodation Category</t>
  </si>
  <si>
    <t>A category of accommodations needed for a given assessment.</t>
  </si>
  <si>
    <t>Assessments -&gt; Assessment Participant Session
Assessments -&gt; Assessment Registration
K12 -&gt; K12 Student -&gt; Individualized Program -&gt; Assessment
Postsecondary -&gt; PS Student -&gt; Assessment</t>
  </si>
  <si>
    <t>000383</t>
  </si>
  <si>
    <t>AssessmentAccommodationCategory</t>
  </si>
  <si>
    <t>Assessment Administration Assessment Family</t>
  </si>
  <si>
    <t>The title of the assessment family to be administered.</t>
  </si>
  <si>
    <t>Assessments -&gt; Assessment Administration</t>
  </si>
  <si>
    <t>000967</t>
  </si>
  <si>
    <t>AssessmentAdministrationAssessmentFamily</t>
  </si>
  <si>
    <t>Assessment Administration Code</t>
  </si>
  <si>
    <t>The code given to the assessment event by a state or other authority directing overall administration.</t>
  </si>
  <si>
    <t>000961</t>
  </si>
  <si>
    <t>AssessmentAdministrationCode</t>
  </si>
  <si>
    <t>Assessment Administration Finish Date</t>
  </si>
  <si>
    <t>The finish date of the time period designated for the assessment administration.</t>
  </si>
  <si>
    <t>000964</t>
  </si>
  <si>
    <t>AssessmentAdministrationFinishDate</t>
  </si>
  <si>
    <t>Assessment Administration Finish Time</t>
  </si>
  <si>
    <t>The finish time of the time period designated for the assessment administration.</t>
  </si>
  <si>
    <t>HH:MM:SS</t>
  </si>
  <si>
    <t>000965</t>
  </si>
  <si>
    <t>AssessmentAdministrationFinishTime</t>
  </si>
  <si>
    <t>Assessment Administration Name</t>
  </si>
  <si>
    <t>The name given to an assessment event.</t>
  </si>
  <si>
    <t>000977</t>
  </si>
  <si>
    <t>AssessmentAdministrationName</t>
  </si>
  <si>
    <t>Assessment Administration Organization Name</t>
  </si>
  <si>
    <t>The name of the organization with overall responsibility for the assessment event.</t>
  </si>
  <si>
    <t>000966</t>
  </si>
  <si>
    <t>AssessmentAdministrationOrganizationName</t>
  </si>
  <si>
    <t>Assessment Administration Period Description</t>
  </si>
  <si>
    <t>The period or window in which an assessment is supposed to be administered.</t>
  </si>
  <si>
    <t>001531</t>
  </si>
  <si>
    <t>AssessmentAdministrationPeriodDescription</t>
  </si>
  <si>
    <t>Assessment Administration Start Date</t>
  </si>
  <si>
    <t>The start date of the time period designated for the assessment administration.</t>
  </si>
  <si>
    <t>000962</t>
  </si>
  <si>
    <t>AssessmentAdministrationStartDate</t>
  </si>
  <si>
    <t>Assessment Administration Start Time</t>
  </si>
  <si>
    <t>The start time of the time period designated for the assessment administration.</t>
  </si>
  <si>
    <t>000963</t>
  </si>
  <si>
    <t>AssessmentAdministrationStartTime</t>
  </si>
  <si>
    <t>Assessment Asset Content Mime Type</t>
  </si>
  <si>
    <t>MIME type to specifically indicate the Assessment Asset content type.</t>
  </si>
  <si>
    <t>Assessments -&gt; Assessment Asset</t>
  </si>
  <si>
    <t>001203</t>
  </si>
  <si>
    <t>AssessmentAssetContentMimeType</t>
  </si>
  <si>
    <t>Assessment Asset Content URL</t>
  </si>
  <si>
    <t>The Uniform Resource Locator (URL) location of the external Assessment Asset content.</t>
  </si>
  <si>
    <t>001204</t>
  </si>
  <si>
    <t>AssessmentAssetContentURL</t>
  </si>
  <si>
    <t>Assessment Asset Content XML</t>
  </si>
  <si>
    <t>XML encoded in UTF-8 representing the content of the Assessment Asset.</t>
  </si>
  <si>
    <t>001202</t>
  </si>
  <si>
    <t>AssessmentAssetContentXML</t>
  </si>
  <si>
    <t>Assessment Asset Identifier</t>
  </si>
  <si>
    <t>A unique code identifying the Assessment Asset provided by the authoring system.</t>
  </si>
  <si>
    <t>001198</t>
  </si>
  <si>
    <t>AssessmentAssetIdentifier</t>
  </si>
  <si>
    <t>Assessment Asset Identifier Type</t>
  </si>
  <si>
    <t>The type of identifier that is provided for this asset.</t>
  </si>
  <si>
    <t>001199</t>
  </si>
  <si>
    <t>AssessmentAssetIdentifierType</t>
  </si>
  <si>
    <t>Assessment Asset Name</t>
  </si>
  <si>
    <t>The name of the Assessment Asset.</t>
  </si>
  <si>
    <t>001200</t>
  </si>
  <si>
    <t>AssessmentAssetName</t>
  </si>
  <si>
    <t>Assessment Asset Owner</t>
  </si>
  <si>
    <t>The name of the ownership rights holder or publisher of the asset.</t>
  </si>
  <si>
    <t>001201</t>
  </si>
  <si>
    <t>AssessmentAssetOwner</t>
  </si>
  <si>
    <t>Assessment Asset Published Date</t>
  </si>
  <si>
    <t>The date that this version of the asset was made available for use.</t>
  </si>
  <si>
    <t>001197</t>
  </si>
  <si>
    <t>AssessmentAssetPublishedDate</t>
  </si>
  <si>
    <t>Assessment Asset Type</t>
  </si>
  <si>
    <t>001196</t>
  </si>
  <si>
    <t>AssessmentAssetType</t>
  </si>
  <si>
    <t>Assessment Asset Version</t>
  </si>
  <si>
    <t>A version number or label defined by the publisher.</t>
  </si>
  <si>
    <t>001195</t>
  </si>
  <si>
    <t>AssessmentAssetVersion</t>
  </si>
  <si>
    <t>Assessment Content Standard Type</t>
  </si>
  <si>
    <t>An indication as to whether an assessment conforms to a standard.</t>
  </si>
  <si>
    <t>Assessments -&gt; Assessment Subtest</t>
  </si>
  <si>
    <t>000605</t>
  </si>
  <si>
    <t>AssessmentContentStandardType</t>
  </si>
  <si>
    <t>College Readiness
K-12 -&gt; LEA Assessments
K-12 -&gt; SEA Assessments
School Readiness</t>
  </si>
  <si>
    <t>Assessment Early Learning Developmental Domain</t>
  </si>
  <si>
    <t>Developmental domains related to early learning and used for assessing a child's kindergarten readiness.</t>
  </si>
  <si>
    <t>001000</t>
  </si>
  <si>
    <t>AssessmentEarlyLearningDevelopmentalDomain</t>
  </si>
  <si>
    <t>K-12 -&gt; EDFacts
School Readiness</t>
  </si>
  <si>
    <t>Assessment Family Short Name</t>
  </si>
  <si>
    <t>The abbreviated title of the Assessment Family. An Assessment Family is a set of assessments with a common name, jurisdiction, or focus.</t>
  </si>
  <si>
    <t>Assessments -&gt; Assessment</t>
  </si>
  <si>
    <t>Examples: SAT, GRE, NAEP</t>
  </si>
  <si>
    <t>000933</t>
  </si>
  <si>
    <t>AssessmentFamilyShortName</t>
  </si>
  <si>
    <t>Assessment Family Title</t>
  </si>
  <si>
    <t>The full title of the Assessment Family. An Assessment Family is a set of assessments with a common name, jurisdiction, or focus, such as Graduate Record Exam or National Assessment of Educational Progress.</t>
  </si>
  <si>
    <t>000932</t>
  </si>
  <si>
    <t>AssessmentFamilyTitle</t>
  </si>
  <si>
    <t>Assessments -&gt; Assessment Form</t>
  </si>
  <si>
    <t>001185</t>
  </si>
  <si>
    <t>Assessment Form Adaptive Indicator</t>
  </si>
  <si>
    <t>Indicates that the assessment form was generated using an algorithm rather than a fixed form.</t>
  </si>
  <si>
    <t>001532</t>
  </si>
  <si>
    <t>AssessmentFormAdaptiveIndicator</t>
  </si>
  <si>
    <t>Assessment Form Algorithm Identifier</t>
  </si>
  <si>
    <t>An identifier for algorithm used to generate a custom form for an adaptive test.</t>
  </si>
  <si>
    <t>Assessments -&gt; Assessment Form
Assessments -&gt; Assessment Form -&gt; Assessment Form Section</t>
  </si>
  <si>
    <t>The algorithm is typically used to generate the entire assessment form, but there may be cases in which it is used to generate only one part (Assessment Form Section).</t>
  </si>
  <si>
    <t>001533</t>
  </si>
  <si>
    <t>AssessmentFormAlgorithmIdentifier</t>
  </si>
  <si>
    <t>Assessment Form Algorithm Version</t>
  </si>
  <si>
    <t>The version of the algorithm used to generate a custom form for an adaptive test.</t>
  </si>
  <si>
    <t>001534</t>
  </si>
  <si>
    <t>AssessmentFormAlgorithmVersion</t>
  </si>
  <si>
    <t>Assessment Form GUID</t>
  </si>
  <si>
    <t>The globally unique identifier of an Assessment Form.</t>
  </si>
  <si>
    <t>001535</t>
  </si>
  <si>
    <t>AssessmentFormGUID</t>
  </si>
  <si>
    <t>Assessment Form Intended Administration End Date</t>
  </si>
  <si>
    <t>The ending date of the time period in which the assessment form is intended to be administered.</t>
  </si>
  <si>
    <t>001187</t>
  </si>
  <si>
    <t>AssessmentFormIntendedAdministrationEndDate</t>
  </si>
  <si>
    <t>Assessment Form Name</t>
  </si>
  <si>
    <t>The name of a given assessment form.</t>
  </si>
  <si>
    <t>000024</t>
  </si>
  <si>
    <t>AssessmentFormName</t>
  </si>
  <si>
    <t>College Readiness
K-12 -&gt; High School Generated Transcript
K-12 -&gt; LEA Assessments
K-12 -&gt; LEA-to-LEA Student Record Exchange
K-12 -&gt; LEA-to-SEA Student Record Exchange
K-12 -&gt; SEA Assessments
School Readiness</t>
  </si>
  <si>
    <t>Assessment Form Number</t>
  </si>
  <si>
    <t>The number of a given assessment form.</t>
  </si>
  <si>
    <t>Assessments -&gt; Assessment Form
Assessments -&gt; Assessment Registration</t>
  </si>
  <si>
    <t>000366</t>
  </si>
  <si>
    <t>AssessmentFormNumber</t>
  </si>
  <si>
    <t>Assessment Form Platforms Supported</t>
  </si>
  <si>
    <t>A human readable list of delivery platforms the form will support.</t>
  </si>
  <si>
    <t>001188</t>
  </si>
  <si>
    <t>AssessmentFormPlatformsSupported</t>
  </si>
  <si>
    <t>Assessment Form Section GUID</t>
  </si>
  <si>
    <t>The globally unique identifier of an Assessment Form Section using a RFC 4122 compliant hexadecimal string.</t>
  </si>
  <si>
    <t>Assessments -&gt; Assessment Form -&gt; Assessment Form Section</t>
  </si>
  <si>
    <t>000980</t>
  </si>
  <si>
    <t>AssessmentFormSectionGUID</t>
  </si>
  <si>
    <t>Assessment Form Section Identifier</t>
  </si>
  <si>
    <t>001191</t>
  </si>
  <si>
    <t>AssessmentFormSectionIdentifier</t>
  </si>
  <si>
    <t>Assessment Form Section Item Field Test Indicator</t>
  </si>
  <si>
    <t>Indicates that the assessment item is being field tested on this form of the test, and is not to be included for scoring.</t>
  </si>
  <si>
    <t>Assessments -&gt; Assessment Form -&gt; Assessment Form Section -&gt; Assessment Item</t>
  </si>
  <si>
    <t>001536</t>
  </si>
  <si>
    <t>AssessmentFormSectionItemFieldTestIndicator</t>
  </si>
  <si>
    <t>Assessment Form Section Reentry</t>
  </si>
  <si>
    <t>Indicates that this section can be re-entered, meaning the test taker can return to this section after they have left the section. A common example of this is a two section test where one section does not allow the use of a calculator and the other does. Typically the test taker cannot return to the non-calculator section after they have used a calculator.</t>
  </si>
  <si>
    <t>001194</t>
  </si>
  <si>
    <t>AssessmentFormSectionReentry</t>
  </si>
  <si>
    <t>Assessment Form Section Sealed</t>
  </si>
  <si>
    <t>Indicates this section is sealed, meaning the test taker cannot enter the section until authorized by the proctor.</t>
  </si>
  <si>
    <t>001193</t>
  </si>
  <si>
    <t>AssessmentFormSectionSealed</t>
  </si>
  <si>
    <t>Assessment Form Section Sequence Number</t>
  </si>
  <si>
    <t>The position of the assessment section presented in the sequence of sections within an assessment form.</t>
  </si>
  <si>
    <t>000979</t>
  </si>
  <si>
    <t>AssessmentFormSectionSequenceNumber</t>
  </si>
  <si>
    <t>Assessment Form Section Time Limit</t>
  </si>
  <si>
    <t>If this section is timed, then this will identify the maximum amount of time the test taker can spend within this section.</t>
  </si>
  <si>
    <t>001192</t>
  </si>
  <si>
    <t>AssessmentFormSectionTimeLimit</t>
  </si>
  <si>
    <t>Assessment Form Section Version</t>
  </si>
  <si>
    <t>The version number of the Assessment Form Section.</t>
  </si>
  <si>
    <t>001189</t>
  </si>
  <si>
    <t>AssessmentFormSectionVersion</t>
  </si>
  <si>
    <t>Assessment Form Subtest Container Only</t>
  </si>
  <si>
    <t>In a hierarchy of subtests, this indicates that this tier is only used as a level in the hierarchy and does not represent a scoring model.</t>
  </si>
  <si>
    <t>001215</t>
  </si>
  <si>
    <t>AssessmentFormSubtestContainerOnly</t>
  </si>
  <si>
    <t>Assessment Form Subtest Item Weight Correct</t>
  </si>
  <si>
    <t>A weighting factor for how the item score is used to compute a sub-test score when the item is correct or partially correct. Item weight of 1 indicates the full item score is used. A weight of .5 would indicate the item only contributes one half of the item score to the subtest. A weight of 0 indicates the item does not affect the sub test score.</t>
  </si>
  <si>
    <t>Assessments -&gt; Assessment Form -&gt; Assessment Form Subtest Assessment Item</t>
  </si>
  <si>
    <t>001010</t>
  </si>
  <si>
    <t>AssessmentFormSubtestItemWeightCorrect</t>
  </si>
  <si>
    <t>Assessment Form Subtest Item Weight Incorrect</t>
  </si>
  <si>
    <t>A weighting factor for how the item score is used to compute a sub-test score when the item is attempted and incorrect. Item weight should be a negative value if the item subtracts from the score if missed.</t>
  </si>
  <si>
    <t>001012</t>
  </si>
  <si>
    <t>AssessmentFormSubtestItemWeightIncorrect</t>
  </si>
  <si>
    <t>Assessment Form Subtest Item Weight Not Attempted</t>
  </si>
  <si>
    <t>A weighting factor for how the item score is used to compute a sub-test score when the item has not been attempted by the student. Item weight should be a negative value if the item subtracts from the score if not attempted.</t>
  </si>
  <si>
    <t>001013</t>
  </si>
  <si>
    <t>AssessmentFormSubtestItemWeightNotAttempted</t>
  </si>
  <si>
    <t>Assessment Form Subtest Tier</t>
  </si>
  <si>
    <t>001214</t>
  </si>
  <si>
    <t>AssessmentFormSubtestTier</t>
  </si>
  <si>
    <t>Assessment Form Version</t>
  </si>
  <si>
    <t>The version number of the Assessment Form.</t>
  </si>
  <si>
    <t>001183</t>
  </si>
  <si>
    <t>AssessmentFormVersion</t>
  </si>
  <si>
    <t>Assessment GUID</t>
  </si>
  <si>
    <t>The globally unique identifier of an Assessment using a RFC 4122 compliant hexadecimal string.</t>
  </si>
  <si>
    <t>000981</t>
  </si>
  <si>
    <t>AssessmentGUID</t>
  </si>
  <si>
    <t>Assessment Identification System</t>
  </si>
  <si>
    <t>A coding scheme that is used for identification and record-keeping purposes by schools, social services, or other agencies to refer to an assessment.</t>
  </si>
  <si>
    <t>000365</t>
  </si>
  <si>
    <t>AssessmentIdentificationSystem</t>
  </si>
  <si>
    <t>K-12 -&gt; High School Feedback Report
K-12 -&gt; High School Generated Transcript
K-12 -&gt; LEA Assessments
K-12 -&gt; LEA-to-LEA Student Record Exchange
K-12 -&gt; LEA-to-SEA Student Record Exchange
K-12 -&gt; SEA Assessments</t>
  </si>
  <si>
    <t>Assessment Identifier</t>
  </si>
  <si>
    <t>001067</t>
  </si>
  <si>
    <t>AssessmentIdentifier</t>
  </si>
  <si>
    <t>College Readiness
K-12 -&gt; High School Feedback Report
K-12 -&gt; High School Generated Transcript
K-12 -&gt; LEA Assessments
K-12 -&gt; LEA-to-LEA Student Record Exchange
K-12 -&gt; LEA-to-SEA Student Record Exchange
K-12 -&gt; SEA Assessments
School Readiness</t>
  </si>
  <si>
    <t>Assessment Item Adaptive Indicator</t>
  </si>
  <si>
    <t>This indicator determines whether an assessment item is an adaptive item.</t>
  </si>
  <si>
    <t>Assessments -&gt; Assessment Item -&gt; Assessment Item APIP</t>
  </si>
  <si>
    <t>001139</t>
  </si>
  <si>
    <t>AssessmentItemAdaptiveIndicator</t>
  </si>
  <si>
    <t>Assessment Item Allotted Time</t>
  </si>
  <si>
    <t>The amount of time allotted for a specific item.</t>
  </si>
  <si>
    <t>Assessments -&gt; Assessment Item</t>
  </si>
  <si>
    <t>000403</t>
  </si>
  <si>
    <t>AssessmentItemAllottedTime</t>
  </si>
  <si>
    <t>K-12 -&gt; LEA Assessments
K-12 -&gt; SEA Assessments</t>
  </si>
  <si>
    <t>Assessment Item APIP Item Body XML</t>
  </si>
  <si>
    <t>The item body contains the text, graphics, media objects, and interactions that describe the item's content and information about how it is structured. The body is presented by combining it with stylesheet information, either explicitly or implicitly using the default style rules of the delivery or authoring system. This element contains the appropriate XML from the IMS Global APIP Specification defining the various item body interactions.</t>
  </si>
  <si>
    <t>001138</t>
  </si>
  <si>
    <t>AssessmentItemAPIPItemBodyXML</t>
  </si>
  <si>
    <t>Assessment Item APIP Modal Feedback XML</t>
  </si>
  <si>
    <t>Modal feedback is shown to the candidate directly following response processing. The value of an outcome variable is used in conjunction with the showHide and identifier attributes to determine whether or not the feedback is shown in a similar way to feedbackElement. The XML from the IMS Global APIP Specification would be included.</t>
  </si>
  <si>
    <t>001137</t>
  </si>
  <si>
    <t>AssessmentItemAPIPModalFeedbackXML</t>
  </si>
  <si>
    <t>Assessment Item APIP Outcome Declaration XML</t>
  </si>
  <si>
    <t>001134</t>
  </si>
  <si>
    <t>AssessmentItemAPIPOutcomeDeclarationXML</t>
  </si>
  <si>
    <t>Assessment Item APIP Response Declaration XML</t>
  </si>
  <si>
    <t>001133</t>
  </si>
  <si>
    <t>AssessmentItemAPIPResponseDeclarationXML</t>
  </si>
  <si>
    <t>Assessment Item APIP Response Processing Template URL</t>
  </si>
  <si>
    <t>These templates are described using the processing language defined in IMS Global APIP specification and are distributed (in XML form) along with it. Delivery engines that support generalized response processing do not need to implement special mechanisms to support them as a template file can be parsed directly while processing the assessment item that refers to it. This element provides the URL for the template.</t>
  </si>
  <si>
    <t>001131</t>
  </si>
  <si>
    <t>AssessmentItemAPIPResponseProcessingTemplateURL</t>
  </si>
  <si>
    <t>Assessment Item APIP Response Processing XML</t>
  </si>
  <si>
    <t>Response processing is the process by which the Delivery Engine assigns outcomes based on the learner's responses. The outcomes may be used to provide feedback to the learner Feedback is either provided immediately following the end of the learner's attempt or it is provided at some later time, perhaps as part of a summary report on the item session. The XML from the IMS Global APIP Specification would be included.</t>
  </si>
  <si>
    <t>001132</t>
  </si>
  <si>
    <t>AssessmentItemAPIPResponseProcessingXML</t>
  </si>
  <si>
    <t>Assessment Item APIP Template Declaration XML</t>
  </si>
  <si>
    <t>001135</t>
  </si>
  <si>
    <t>AssessmentItemAPIPTemplateDeclarationXML</t>
  </si>
  <si>
    <t>Assessment Item APIP Template Processing XML</t>
  </si>
  <si>
    <t>Template processing consists of one or more template rules that are followed by the cloning engine or delivery system in order to assign values to the template variables. Template processing is identical in form to responseProcessing except that the purpose is to assign values to template variables, not outcome variables. The XML from the IMS Global APIP Specification would be included.</t>
  </si>
  <si>
    <t>001136</t>
  </si>
  <si>
    <t>AssessmentItemAPIPTemplateProcessingXML</t>
  </si>
  <si>
    <t>Assessment Item Bank Identifier</t>
  </si>
  <si>
    <t>If the assessment is provided with an item bank, then this identifies the item bank: a unique code or number used by the item banking system.</t>
  </si>
  <si>
    <t>001181</t>
  </si>
  <si>
    <t>AssessmentItemBankIdentifier</t>
  </si>
  <si>
    <t>Assessment Item Bank Name</t>
  </si>
  <si>
    <t>If the assessment is provided with an item bank, then this is the name of the item bank.</t>
  </si>
  <si>
    <t>001182</t>
  </si>
  <si>
    <t>AssessmentItemBankName</t>
  </si>
  <si>
    <t>Assessment Item Body Associate Interaction XML</t>
  </si>
  <si>
    <t>An associate interaction presents candidates with a number of choices and allows them to create associations between them. The XML from the IMS Global APIP Specification would be included.</t>
  </si>
  <si>
    <t>001123</t>
  </si>
  <si>
    <t>AssessmentItemBodyAssociateInteractionXML</t>
  </si>
  <si>
    <t>Assessment Item Body Choice Interaction XML</t>
  </si>
  <si>
    <t>The choice interaction presents a set of choices to the candidate. The candidate's task is to select one or more of the choices, up to a maximum of maxChoices. The interaction is always initialized with no choices selected. The XML from the IMS Global APIP Specification would be included.</t>
  </si>
  <si>
    <t>001112</t>
  </si>
  <si>
    <t>AssessmentItemBodyChoiceInteractionXML</t>
  </si>
  <si>
    <t>Assessment Item Body Custom Interaction XML</t>
  </si>
  <si>
    <t>Assessments -&gt; Assessment Item -&gt; Assessment Item Body Custom Interaction</t>
  </si>
  <si>
    <t>001102</t>
  </si>
  <si>
    <t>AssessmentItemBodyCustomInteractionXML</t>
  </si>
  <si>
    <t>Assessment Item Body Drawing Interaction XML</t>
  </si>
  <si>
    <t>The drawing interaction allows the candidate to use a common set of drawing tools to modify a given graphical image (the canvas). It must be bound to a response variable with base-type file and single cardinality. The result is a file in the same format as the original image. The XML from the IMS Global APIP Specification would be included.</t>
  </si>
  <si>
    <t>001103</t>
  </si>
  <si>
    <t>AssessmentItemBodyDrawingInteractionXML</t>
  </si>
  <si>
    <t>Assessment Item Body End Attempt Interaction XML</t>
  </si>
  <si>
    <t>The end attempt interaction is a special type of interaction which allows item authors to provide the candidate with control over the way in which the candidate terminates an attempt. The candidate can use the interaction to terminate the attempt (triggering response processing) immediately, typically to request a hint. It must be bound to a response variable with base-type boolean and single cardinality. The XML from the IMS Global APIP Specification would be included.</t>
  </si>
  <si>
    <t>001121</t>
  </si>
  <si>
    <t>AssessmentItemBodyEndAttemptInteractionXML</t>
  </si>
  <si>
    <t>Assessment Item Body Extended Text Interaction XML</t>
  </si>
  <si>
    <t>An extended text interaction allows the candidate to enter an extended amount of text. The XML from the IMS Global APIP Specification would be included.</t>
  </si>
  <si>
    <t>001120</t>
  </si>
  <si>
    <t>AssessmentItemBodyExtendedTextInteractionXML</t>
  </si>
  <si>
    <t>Assessment Item Body Gap Match Interaction XML</t>
  </si>
  <si>
    <t>A gap match interaction contains a number gaps that the candidate can fill from an associated set of choices. The candidate must be able to review the content with the gaps filled in context, as indicated by their choices. The XML from the IMS Global APIP Specification would be included.</t>
  </si>
  <si>
    <t>001104</t>
  </si>
  <si>
    <t>AssessmentItemBodyGapMatchInteractionXML</t>
  </si>
  <si>
    <t>Assessment Item Body Graphic Gap Match Interaction XML</t>
  </si>
  <si>
    <t>A graphic gap-match interaction is a graphical interaction with a set of gaps that are defined as areas (hotspots) of the graphic image and an additional set of gap choices that are defined outside the image. The candidate must associate the gap choices with the gaps in the image and be able to review the image with the gaps filled in context, as indicated by their choices. Care should be taken when designing these interactions to ensure that the gaps in the image are a suitable size to receive the required gap choices. It must be clear to the candidate which hotspot each choice has been associated with. When associated, choices must appear wholly inside the gaps if at all possible and, where overlaps are required, should not hide each other completely. If the candidate indicates the association by positioning the choice over the gap (e.g., drag and drop) the system should 'snap' it to the nearest position that satisfies these requirements. The XML from the IMS Global APIP Specification would be included.</t>
  </si>
  <si>
    <t>001106</t>
  </si>
  <si>
    <t>AssessmentItemBodyGraphicGapMatchInteractionXML</t>
  </si>
  <si>
    <t>Assessment Item Body Graphic Order Interaction XML</t>
  </si>
  <si>
    <t>A graphic order interaction is a graphic interaction with a corresponding set of choices that are defined as areas of the graphic image. The candidate's task is to impose an ordering on the areas (hotspots). The order hotspot interaction should only be used when the spatial relationship of the choices with respect to each other (as represented by the graphic image) is important to the needs of the item. Otherwise, orderInteraction should be used instead with separate material for each option. The XML from the IMS Global APIP Specification would be included.</t>
  </si>
  <si>
    <t>001108</t>
  </si>
  <si>
    <t>AssessmentItemBodyGraphicOrderInteractionXML</t>
  </si>
  <si>
    <t>Assessment Item Body Hot Spot Interaction XML</t>
  </si>
  <si>
    <t>A hotspot interaction is a graphical interaction with a corresponding set of choices that are defined as areas of the graphic image. The candidate's task is to select one or more of the areas (hotspots). The hotspot interaction should only be used when the spatial relationship of the choices with respect to each other (as represented by the graphic image) is important to the needs of the item. Otherwise, choiceInteraction should be used instead with separate material for each option. The XML from the IMS Global APIP Specification would be included.</t>
  </si>
  <si>
    <t>001107</t>
  </si>
  <si>
    <t>AssessmentItemBodyHotSpotInteractionXML</t>
  </si>
  <si>
    <t>Assessment Item Body Hottext Interaction XML</t>
  </si>
  <si>
    <t>The hottext interaction presents a set of choices to the candidate represented as selectable runs of text embedded within a surrounding context, such as a simple passage of text. Like choiceInteraction, the candidate's task is to select one or more of the choices, up to a maximum of maxChoices. The interaction is initialized from the defaultValue of the associated response variable, a NULL value indicating that no choices are selected (the usual case). The XML from the IMS Global APIP Specification would be included.</t>
  </si>
  <si>
    <t>001116</t>
  </si>
  <si>
    <t>AssessmentItemBodyHottextInteractionXML</t>
  </si>
  <si>
    <t>Assessment Item Body Inline Choice Interaction XML</t>
  </si>
  <si>
    <t>A inline choice is an inline interaction that presents the user with a set of choices, each of which is a simple piece of text. The candidate's task is to select one of the choices. Unlike the Choice Interaction, the delivery engine must allow the candidate to review their choice within the context of the surrounding text.</t>
  </si>
  <si>
    <t>001114</t>
  </si>
  <si>
    <t>AssessmentItemBodyInlineChoiceInteractionXML</t>
  </si>
  <si>
    <t>Assessment Item Body Match Interaction XML</t>
  </si>
  <si>
    <t>A match interaction presents candidates with two sets of choices and allows them to create associates between pairs of choices in the two sets, but not between pairs of choices in the same set. Further restrictions can still be placed on the allowable associations using the matchMax attribute of the choices. The XML from the IMS Global APIP Specification would be included.</t>
  </si>
  <si>
    <t>001105</t>
  </si>
  <si>
    <t>AssessmentItemBodyMatchInteractionXML</t>
  </si>
  <si>
    <t>Assessment Item Body Media Interaction XML</t>
  </si>
  <si>
    <t>The media interaction allows more control over the way the candidate interacts with a time-based media object and allows the number of times the media object was experienced to be reported in the value of the associated response variable, which must be of base-type integer and single cardinality. The XML from the IMS Global APIP Specification would be included.</t>
  </si>
  <si>
    <t>001115</t>
  </si>
  <si>
    <t>AssessmentItemBodyMediaInteractionXML</t>
  </si>
  <si>
    <t>Assessment Item Body Order Interaction XML</t>
  </si>
  <si>
    <t>In an order interaction the candidate's task is to reorder the choices, the order in which the choices are displayed initially is significant. By default the candidate's task is to order all of the choices but a subset of the choices can be requested using the maxChoices and minChoices attributes. When specified the candidate must select a subset of the choices and impose an ordering on them. The XML from the IMS Global APIP Specification would be included.</t>
  </si>
  <si>
    <t>001117</t>
  </si>
  <si>
    <t>AssessmentItemBodyOrderInteractionXML</t>
  </si>
  <si>
    <t>Assessment Item Body Position Object Interaction XML</t>
  </si>
  <si>
    <t>The position object interaction consists of a single image which must be positioned on another graphic image (the stage) by the candidate. Like selectPointInteraction, the associated response may have an areaMapping that scores the response on the basis of comparing it against predefined areas but the delivery engine must not indicate these areas of the stage. Only the actual position(s) selected by the candidate shall be indicated. The XML from the IMS Global APIP Specification would be included.</t>
  </si>
  <si>
    <t>001118</t>
  </si>
  <si>
    <t>AssessmentItemBodyPositionObjectInteractionXML</t>
  </si>
  <si>
    <t>Assessment Item Body Select Point Interaction</t>
  </si>
  <si>
    <t>A graphic associate interaction is a graphic interaction with a corresponding set of choices that are defined as areas of the graphic image. The candidate's task is to associate the areas (hotspots) with each other. The graphic associate interaction should only be used when the graphical relationship of the choices with respect to each other (as represented by the graphic image) is important to the needs of the item. Otherwise, associateInteraction should be used instead with separate Material for each option. The XML from the IMS Global APIP Specification would be included.</t>
  </si>
  <si>
    <t>001110</t>
  </si>
  <si>
    <t>AssessmentItemBodySelectPointInteraction</t>
  </si>
  <si>
    <t>Assessment Item Body Select Point Interaction XML</t>
  </si>
  <si>
    <t>Like hotspotInteraction, a select point interaction is a graphic interaction. The candidate's task is to select one or more points. The associated response may have an areaMapping that scores the response on the basis of comparing it against predefined areas but the delivery engine must not indicate these areas of the image. Only the actual point(s) selected by the candidate shall be indicated. The XML from the IMS Global APIP Specification would be included.</t>
  </si>
  <si>
    <t>001109</t>
  </si>
  <si>
    <t>AssessmentItemBodySelectPointInteractionXML</t>
  </si>
  <si>
    <t>Assessment Item Body Slider Interaction XML</t>
  </si>
  <si>
    <t>The slider interaction presents the candidate with a control for selecting a numerical value between a lower and upper bound. It must be bound to a response variable with single cardinality with a base-type of either integer or float. The XML from the IMS Global APIP Specification would be included.</t>
  </si>
  <si>
    <t>001111</t>
  </si>
  <si>
    <t>AssessmentItemBodySliderInteractionXML</t>
  </si>
  <si>
    <t>Assessment Item Body Text</t>
  </si>
  <si>
    <t>The complete text of an assessment item including all applicable parts such as stimulus, stem, and possible response options presented.</t>
  </si>
  <si>
    <t>001267</t>
  </si>
  <si>
    <t>AssessmentItemBodyText</t>
  </si>
  <si>
    <t>Assessment Item Body Text Entry Interaction XML</t>
  </si>
  <si>
    <t>A textEntry interaction obtains a simple piece of text from the candidate. Like inlineChoiceInteraction, the delivery engine must allow the candidate to review their choice within the context of the surrounding text. The XML from the IMS Global APIP Specification would be included.</t>
  </si>
  <si>
    <t>001119</t>
  </si>
  <si>
    <t>AssessmentItemBodyTextEntryInteractionXML</t>
  </si>
  <si>
    <t>Assessment Item Body Upload Interaction XML</t>
  </si>
  <si>
    <t>The upload interaction allows the candidate to upload a pre-prepared file representing their response. It must be bound to a response variable with base-type file and single cardinality. The XML from the IMS Global APIP Specification would be included.</t>
  </si>
  <si>
    <t>001222</t>
  </si>
  <si>
    <t>AssessmentItemBodyUploadInteractionXML</t>
  </si>
  <si>
    <t>Assessment Item Characteristic Type</t>
  </si>
  <si>
    <t>The type of psychometric measure provided for assessment item.</t>
  </si>
  <si>
    <t>Assessments -&gt; Assessment Item -&gt; Assessment Item Characteristic</t>
  </si>
  <si>
    <t>000392</t>
  </si>
  <si>
    <t>AssessmentItemCharacteristicType</t>
  </si>
  <si>
    <t>Assessment Item Characteristic Value</t>
  </si>
  <si>
    <t>A psychometric measure provided for an assessment item.</t>
  </si>
  <si>
    <t>000709</t>
  </si>
  <si>
    <t>AssessmentItemCharacteristicValue</t>
  </si>
  <si>
    <t>Assessment Item Difficulty</t>
  </si>
  <si>
    <t>The percentage of students who answered the item correctly during trial testing of the item.</t>
  </si>
  <si>
    <t>Numeric - up to 3 digits before and 2 digits after decimal place</t>
  </si>
  <si>
    <t>000391</t>
  </si>
  <si>
    <t>AssessmentItemDifficulty</t>
  </si>
  <si>
    <t>Assessment Item Distractor Analysis</t>
  </si>
  <si>
    <t>The analysis of the distractors provided for a specific assessment.</t>
  </si>
  <si>
    <t>Alphanumeric - 100 characters maximum</t>
  </si>
  <si>
    <t>000398</t>
  </si>
  <si>
    <t>AssessmentItemDistractorAnalysis</t>
  </si>
  <si>
    <t>Assessment Item Identifier</t>
  </si>
  <si>
    <t>The identifier that uniquely identifies an assessment item.</t>
  </si>
  <si>
    <t>000630</t>
  </si>
  <si>
    <t>AssessmentItemIdentifier</t>
  </si>
  <si>
    <t>Assessment Item Interaction Type</t>
  </si>
  <si>
    <t>The assessment item body interaction type as defined by IMS Global specifications.</t>
  </si>
  <si>
    <t>001158</t>
  </si>
  <si>
    <t>AssessmentItemInteractionType</t>
  </si>
  <si>
    <t>Assessment Item Linking Item Indicator</t>
  </si>
  <si>
    <t>Indicates that the item is intended to be administered in two different grades for the goal of establishing cross grade comparison.</t>
  </si>
  <si>
    <t>001261</t>
  </si>
  <si>
    <t>AssessmentItemLinkingItemIndicator</t>
  </si>
  <si>
    <t>Assessment Item Maximum Score</t>
  </si>
  <si>
    <t>The maximum number of points possible for the assessment item.</t>
  </si>
  <si>
    <t>000707</t>
  </si>
  <si>
    <t>AssessmentItemMaximumScore</t>
  </si>
  <si>
    <t>Assessment Item Minimum Score</t>
  </si>
  <si>
    <t>The minimum number of points possible for the assessment item.</t>
  </si>
  <si>
    <t>000708</t>
  </si>
  <si>
    <t>AssessmentItemMinimumScore</t>
  </si>
  <si>
    <t>Assessment Item Possible Response Correct Indicator</t>
  </si>
  <si>
    <t>Indicates that the possible response is the correct response.</t>
  </si>
  <si>
    <t>Assessments -&gt; Assessment Item -&gt; Assessment Item Possible Response</t>
  </si>
  <si>
    <t>001217</t>
  </si>
  <si>
    <t>AssessmentItemPossibleResponseCorrectIndicator</t>
  </si>
  <si>
    <t>Assessment Item Possible Response Feedback Message</t>
  </si>
  <si>
    <t>A message provided to the person being assessed after giving a response that matches the possible response.</t>
  </si>
  <si>
    <t>000904</t>
  </si>
  <si>
    <t>AssessmentItemPossibleResponseFeedbackMessage</t>
  </si>
  <si>
    <t>School Readiness</t>
  </si>
  <si>
    <t>Assessment Item Possible Response Option</t>
  </si>
  <si>
    <t>The possible response presented to the participant within a selected-response/multiple-choice assessment item.</t>
  </si>
  <si>
    <t>001269</t>
  </si>
  <si>
    <t>AssessmentItemPossibleResponseOption</t>
  </si>
  <si>
    <t>Assessment Item Possible Response Sequence Number</t>
  </si>
  <si>
    <t>The position of this response in the list of responses displayed, such as for a multiple choice item type.</t>
  </si>
  <si>
    <t>000905</t>
  </si>
  <si>
    <t>AssessmentItemPossibleResponseSequenceNumber</t>
  </si>
  <si>
    <t>Assessment Item Possible Response Value</t>
  </si>
  <si>
    <t>The description of each distracter on an assessment item, explaining why it is there, what misunderstandings it exposes.</t>
  </si>
  <si>
    <t>000908</t>
  </si>
  <si>
    <t>AssessmentItemPossibleResponse</t>
  </si>
  <si>
    <t>Assessment Item Release Status</t>
  </si>
  <si>
    <t>Indicates that the assessment item has been released to the public.</t>
  </si>
  <si>
    <t>001263</t>
  </si>
  <si>
    <t>AssessmentItemReleaseStatus</t>
  </si>
  <si>
    <t>Assessment Item Response Aid Set Used</t>
  </si>
  <si>
    <t>A tool or aid set used while viewing the item. This can include things like a calculator, reference tools, etc.</t>
  </si>
  <si>
    <t>Assessments -&gt; Assessment Item -&gt; Assessment Item Response</t>
  </si>
  <si>
    <t>This a permissible set of tools suggested for use for successful completion of a test question, not an accommodation.</t>
  </si>
  <si>
    <t>000406</t>
  </si>
  <si>
    <t>AssessmentItemResponseAidSetUsed</t>
  </si>
  <si>
    <t>Assessment Item Response Choice Pattern</t>
  </si>
  <si>
    <t>The distribution of responses for each choice in the assessment item.</t>
  </si>
  <si>
    <t>000393</t>
  </si>
  <si>
    <t>AssessmentItemResponseChoicePattern</t>
  </si>
  <si>
    <t>Assessment Item Response Descriptive Feedback</t>
  </si>
  <si>
    <t>The formative descriptive feedback that was given to a learner in response to the results from a scored/evaluated assessment item.</t>
  </si>
  <si>
    <t>000891</t>
  </si>
  <si>
    <t>AssessmentItemResponseDescriptiveFeedback</t>
  </si>
  <si>
    <t>Assessment Item Response Descriptive Feedback Date</t>
  </si>
  <si>
    <t>The date and time the descriptive feedback was entered in response to the results from a scored/evaluated assessment item.</t>
  </si>
  <si>
    <t>YYYY-MM-DDTHH:MM:SS</t>
  </si>
  <si>
    <t>001537</t>
  </si>
  <si>
    <t>AssessmentItemResponseDescriptiveFeedbackDate</t>
  </si>
  <si>
    <t>Assessment Item Response Duration</t>
  </si>
  <si>
    <t>HH:MM:SS or HH:MM:SS.sss</t>
  </si>
  <si>
    <t>000402</t>
  </si>
  <si>
    <t>AssessmentItemResponseDuration</t>
  </si>
  <si>
    <t>Assessment Item Response First Attempt Duration</t>
  </si>
  <si>
    <t>The amount of time in seconds or milliseconds that a person took to give an initial response, a first attempt to answer a formative assessment item.</t>
  </si>
  <si>
    <t>000957</t>
  </si>
  <si>
    <t>AssessmentItemResponseFirstAttemptDuration</t>
  </si>
  <si>
    <t>Assessment Item Response Hint Count</t>
  </si>
  <si>
    <t>000955</t>
  </si>
  <si>
    <t>AssessmentItemResponseHintCount</t>
  </si>
  <si>
    <t>Assessment Item Response Hint Included Answer</t>
  </si>
  <si>
    <t>Indicates that one of the hints presented included the correct answer.</t>
  </si>
  <si>
    <t>000956</t>
  </si>
  <si>
    <t>AssessmentItemResponseHintIncludedAnswer</t>
  </si>
  <si>
    <t>Assessment Item Response Scaffolding Item Flag</t>
  </si>
  <si>
    <t>000954</t>
  </si>
  <si>
    <t>AssessmentItemResponseScaffoldingItemFlag</t>
  </si>
  <si>
    <t>Assessment Item Response Score Status</t>
  </si>
  <si>
    <t>The status of scoring a person's response to an assessment item.</t>
  </si>
  <si>
    <t>001538</t>
  </si>
  <si>
    <t>AssessmentItemResponseScoreStatus</t>
  </si>
  <si>
    <t>Assessment Item Response Score Value</t>
  </si>
  <si>
    <t>The score given to a person's response to an assessment item.</t>
  </si>
  <si>
    <t>000724</t>
  </si>
  <si>
    <t>AssessmentItemResponseScoreValue</t>
  </si>
  <si>
    <t>Assessment Item Response Security Issue</t>
  </si>
  <si>
    <t>The description of security issue, if any, related to a learner's response to an assessment item.</t>
  </si>
  <si>
    <t>For example: Suspected plagiarism ; Computer left test window ; Excessive response time ; Proctor suspected copying ; Student identity not confirmed ; No proctor present ; Student carried wireless mobile device during test ; Student terminated test early and restarted ; Excessive erasures on test form ; Response pattern identical to another student's</t>
  </si>
  <si>
    <t>000969</t>
  </si>
  <si>
    <t>AssessmentItemResponseSecurityIssue</t>
  </si>
  <si>
    <t>Assessment Item Response Start Date</t>
  </si>
  <si>
    <t>The date on which the assessment item was presented to the learner.</t>
  </si>
  <si>
    <t>000959</t>
  </si>
  <si>
    <t>AssessmentItemResponseStartDate</t>
  </si>
  <si>
    <t>Assessment Item Response Start Time</t>
  </si>
  <si>
    <t>The time of day that the assessment item was presented to the learner.</t>
  </si>
  <si>
    <t>000958</t>
  </si>
  <si>
    <t>AssessmentItemResponseStartTime</t>
  </si>
  <si>
    <t>Assessment Item Response Status</t>
  </si>
  <si>
    <t>The status of the response for a given item.</t>
  </si>
  <si>
    <t>000405</t>
  </si>
  <si>
    <t>AssessmentItemResponseStatus</t>
  </si>
  <si>
    <t>Assessment Item Response Theory DIF Value</t>
  </si>
  <si>
    <t>Assessments -&gt; Assessment Item -&gt; Assessment Item Response Theory</t>
  </si>
  <si>
    <t>001264</t>
  </si>
  <si>
    <t>AssessmentItemResponseTheoryDIFValue</t>
  </si>
  <si>
    <t>Assessment Item Response Theory Kappa Algorithm</t>
  </si>
  <si>
    <t>The algorithm used to derive the Assessment Item Kappa Value</t>
  </si>
  <si>
    <t>001266</t>
  </si>
  <si>
    <t>AssessmentItemResponseTheoryKappaAlgorithm</t>
  </si>
  <si>
    <t>Assessment Item Response Theory Kappa Value</t>
  </si>
  <si>
    <t>The measure used to represent the degree of agreement among raters.</t>
  </si>
  <si>
    <t>001265</t>
  </si>
  <si>
    <t>AssessmentItemResponseTheoryKappaValue</t>
  </si>
  <si>
    <t>Assessment Item Response Theory Parameter A</t>
  </si>
  <si>
    <t>The Item Response Theory value representing the discrimination of the item. The a parameter is found by taking the slope of the line tangent to the item characteristic curve at the inflection point, B. The parameter is the steepness of the curve at its steepest point.</t>
  </si>
  <si>
    <t>001251</t>
  </si>
  <si>
    <t>AssessmentItemResponseTheoryParameterA</t>
  </si>
  <si>
    <t>Assessment Item Response Theory Parameter B</t>
  </si>
  <si>
    <t>001252</t>
  </si>
  <si>
    <t>AssessmentItemResponseTheoryParameterB</t>
  </si>
  <si>
    <t>Assessment Item Response Theory Parameter C</t>
  </si>
  <si>
    <t>The Item Response Theory value for multiple choice items representing the guessing of the item. The c parameter is a lower asymptote. It is the low point of the curve as it moves to negative infinity on the horizontal axis. You can think of c as the probability that a chicken would get the item right.</t>
  </si>
  <si>
    <t>001254</t>
  </si>
  <si>
    <t>AssessmentItemResponseTheoryParameterC</t>
  </si>
  <si>
    <t>Assessment Item Response Theory Parameter D1</t>
  </si>
  <si>
    <t>001255</t>
  </si>
  <si>
    <t>AssessmentItemResponseTheoryParameterD1</t>
  </si>
  <si>
    <t>Assessment Item Response Theory Parameter D2</t>
  </si>
  <si>
    <t>001256</t>
  </si>
  <si>
    <t>AssessmentItemResponseTheoryParameterD2</t>
  </si>
  <si>
    <t>Assessment Item Response Theory Parameter D3</t>
  </si>
  <si>
    <t>001257</t>
  </si>
  <si>
    <t>AssessmentItemResponseTheoryParameterD3</t>
  </si>
  <si>
    <t>Assessment Item Response Theory Parameter D4</t>
  </si>
  <si>
    <t>001258</t>
  </si>
  <si>
    <t>AssessmentItemResponseTheoryParameterD4</t>
  </si>
  <si>
    <t>Assessment Item Response Theory Parameter D5</t>
  </si>
  <si>
    <t>001259</t>
  </si>
  <si>
    <t>AssessmentItemResponseTheoryParameterD5</t>
  </si>
  <si>
    <t>Assessment Item Response Theory Parameter D6</t>
  </si>
  <si>
    <t>001260</t>
  </si>
  <si>
    <t>AssessmentItemResponseTheoryParameterD6</t>
  </si>
  <si>
    <t>Assessment Item Response Theory Parameter Difficulty Category</t>
  </si>
  <si>
    <t>A category for the difficulty of the item based on the Item Response Theory value.</t>
  </si>
  <si>
    <t>001253</t>
  </si>
  <si>
    <t>AssessmentItemResponseTheoryParameterDifficultyCategory</t>
  </si>
  <si>
    <t>Assessment Item Response Theory Point Biserial Correlation Value</t>
  </si>
  <si>
    <t>001262</t>
  </si>
  <si>
    <t>AssessmentItemResponseTheoryPointBiserialCorrelationValue</t>
  </si>
  <si>
    <t>Assessment Item Response Value</t>
  </si>
  <si>
    <t>001063</t>
  </si>
  <si>
    <t>AssessmentItemResponseValue</t>
  </si>
  <si>
    <t>Assessment Item Result XML</t>
  </si>
  <si>
    <t>See http://www.imsglobal.org/question/qtiv2p1/imsqti_resultv2p1.html#element10818</t>
  </si>
  <si>
    <t>001284</t>
  </si>
  <si>
    <t>AssessmentItemResultXML</t>
  </si>
  <si>
    <t>Assessment Item Stem</t>
  </si>
  <si>
    <t>The statement of the question or prompt for an Assessment Item to which the student responds.</t>
  </si>
  <si>
    <t>000400</t>
  </si>
  <si>
    <t>AssessmentItemStem</t>
  </si>
  <si>
    <t>Assessment Item Stimulus</t>
  </si>
  <si>
    <t>001268</t>
  </si>
  <si>
    <t>AssessmentItemStimulus</t>
  </si>
  <si>
    <t>Assessment Item Text Complexity System</t>
  </si>
  <si>
    <t>The scaling system used to specify the text complexity of an assessment item.</t>
  </si>
  <si>
    <t>000907</t>
  </si>
  <si>
    <t>AssessmentItemTextComplexitySystem</t>
  </si>
  <si>
    <t>Assessment Item Text Complexity Value</t>
  </si>
  <si>
    <t>The complexity of the text using the scaling system defined by Text Complexity System, e.g. Lexile™ for assessment items with a reading passage.</t>
  </si>
  <si>
    <t>000906</t>
  </si>
  <si>
    <t>AssessmentItemTextComplexityValue</t>
  </si>
  <si>
    <t>Assessment Item Type</t>
  </si>
  <si>
    <t>The specific type of assessment item.</t>
  </si>
  <si>
    <t>000390</t>
  </si>
  <si>
    <t>AssessmentItemType</t>
  </si>
  <si>
    <t>Assessment Language</t>
  </si>
  <si>
    <t>The language in which the assessment form is designed to be delivered.</t>
  </si>
  <si>
    <t>001089</t>
  </si>
  <si>
    <t>AssessmentLanguage</t>
  </si>
  <si>
    <t>Assessment Level for Which Designed</t>
  </si>
  <si>
    <t>The typical grade or combination of grade-levels, developmental levels, or age-levels for which an assessment is designed.</t>
  </si>
  <si>
    <t>000177</t>
  </si>
  <si>
    <t>AssessmentLevelForWhichDesigned</t>
  </si>
  <si>
    <t>K-12 -&gt; High School Generated Transcript
K-12 -&gt; LEA Assessments
K-12 -&gt; LEA-to-LEA Student Record Exchange
K-12 -&gt; LEA-to-SEA Student Record Exchange
K-12 -&gt; SEA Assessments
School Readiness</t>
  </si>
  <si>
    <t>Assessment Need Alternative Representation Type</t>
  </si>
  <si>
    <t>Defines as part of an Assessment Personal Needs Profile the default presentation mode of the associated Alternative Representations accessibility.</t>
  </si>
  <si>
    <t>Assessments -&gt; Assessment Personal Needs Profile -&gt; Assessment Need Profile Content</t>
  </si>
  <si>
    <t>001041</t>
  </si>
  <si>
    <t>AssessmentNeedAlternativeRepresentationType</t>
  </si>
  <si>
    <t>Assessment Need Background Color</t>
  </si>
  <si>
    <t>This is the preferred Background color for screen enhancement defined as part of an Assessment Personal Needs Profile.</t>
  </si>
  <si>
    <t>Assessments -&gt; Assessment Personal Needs Profile -&gt; Assessment Need Screen Enhancement</t>
  </si>
  <si>
    <t>Color hex code (alphanumeric - 6 characters)</t>
  </si>
  <si>
    <t>001053</t>
  </si>
  <si>
    <t>AssessmentNeedBackgroundColor</t>
  </si>
  <si>
    <t>Assessment Need Braille Dot Pressure</t>
  </si>
  <si>
    <t>Defines as part of an Assessment Personal Needs Profile the resistance pressure of Braille display pins.</t>
  </si>
  <si>
    <t>Assessments -&gt; Assessment Personal Needs Profile -&gt; Assessment Need Profile Display</t>
  </si>
  <si>
    <t>Numeric - up to 4 digits after decimal place</t>
  </si>
  <si>
    <t>001036</t>
  </si>
  <si>
    <t>AssessmentNeedBrailleDotPressure</t>
  </si>
  <si>
    <t>Assessment Need Braille Grade Type</t>
  </si>
  <si>
    <t>Defines as part of an Assessment Personal Needs Profile the grade of Braille to use when using a Braille display.</t>
  </si>
  <si>
    <t>001032</t>
  </si>
  <si>
    <t>AssessmentNeedBrailleGradeType</t>
  </si>
  <si>
    <t>Assessment Need Braille Mark Type</t>
  </si>
  <si>
    <t>Defines as part of an Assessment Personal Needs Profile what textual properties to mark when using a Braille display.</t>
  </si>
  <si>
    <t>001035</t>
  </si>
  <si>
    <t>AssessmentNeedBrailleMarkType</t>
  </si>
  <si>
    <t>Assessment Need Braille Status Cell Type</t>
  </si>
  <si>
    <t>Defines as part of an Assessment Personal Needs Profile the preferred presence or location of a Braille display status cell.</t>
  </si>
  <si>
    <t>001037</t>
  </si>
  <si>
    <t>AssessmentNeedBrailleStatusCellType</t>
  </si>
  <si>
    <t>Assessment Need Directions Only</t>
  </si>
  <si>
    <t>Defines as part of an Assessment Personal Needs Profile whether or not the verbal alternative content presentation should be applied to directive content only.</t>
  </si>
  <si>
    <t>001045</t>
  </si>
  <si>
    <t>AssessmentNeedDirectionsOnly</t>
  </si>
  <si>
    <t>Assessment Need Foreground Color</t>
  </si>
  <si>
    <t>This is the preferred Foreground color for screen enhancement defined as part of an Assessment Personal Needs Profile.</t>
  </si>
  <si>
    <t>001052</t>
  </si>
  <si>
    <t>AssessmentNeedForegroundColor</t>
  </si>
  <si>
    <t>Assessment Need Hazard Type</t>
  </si>
  <si>
    <t>Defines as part of an Assessment Personal Needs Profile a characteristic of a digital resource that may be specified as being dangerous to a user.</t>
  </si>
  <si>
    <t>001024</t>
  </si>
  <si>
    <t>AssessmentNeedHazardType</t>
  </si>
  <si>
    <t>Assessment Need Increased Whitespacing Type</t>
  </si>
  <si>
    <t>Defines the user preferences for white spacing in lines, words and characters as part of an Assessment Personal Needs Profile.</t>
  </si>
  <si>
    <t>001054</t>
  </si>
  <si>
    <t>AssessmentNeedIncreasedWhitespacingType</t>
  </si>
  <si>
    <t>Assessment Need Invert Color Choice</t>
  </si>
  <si>
    <t>Defines as part of an Assessment Personal Needs Profile the Access for All (AfA) preference to invert the foreground and background Colors.</t>
  </si>
  <si>
    <t>001030</t>
  </si>
  <si>
    <t>AssessmentNeedInvertColorChoice</t>
  </si>
  <si>
    <t>Assessment Need Item Translation Display Language Type</t>
  </si>
  <si>
    <t>Defines as part of an Assessment Personal Needs Profile the default language for the displayed translation.</t>
  </si>
  <si>
    <t>001038</t>
  </si>
  <si>
    <t>AssessmentNeedItemTranslationDisplayLanguageType</t>
  </si>
  <si>
    <t>Assessment Need Keyword Translation Language Type</t>
  </si>
  <si>
    <t>Defines as part of an Assessment Personal Needs Profile the default language for the keyword translation.</t>
  </si>
  <si>
    <t>001039</t>
  </si>
  <si>
    <t>AssessmentNeedKeywordTranslationLanguageType</t>
  </si>
  <si>
    <t>Assessment Need Language Type</t>
  </si>
  <si>
    <t>Defines as part of an Assessment Personal Needs Profile a preference for the language of the user interface.</t>
  </si>
  <si>
    <t>Assessments -&gt; Assessment Personal Needs Profile</t>
  </si>
  <si>
    <t>001023</t>
  </si>
  <si>
    <t>AssessmentNeedLanguageType</t>
  </si>
  <si>
    <t>Assessment Need Line Reader Highlight Color</t>
  </si>
  <si>
    <t>The color defined as part of an Assessment Personal Needs Profile to be used to highlight the point of line reader activity i.e. the line being read.</t>
  </si>
  <si>
    <t>001050</t>
  </si>
  <si>
    <t>AssessmentNeedLineReaderHighlightColor</t>
  </si>
  <si>
    <t>Assessment Need Link Indication Type</t>
  </si>
  <si>
    <t>Defines as part of an Assessment Personal Needs Profile the characteristics of presentation for a hyperlink when using a screen reader.</t>
  </si>
  <si>
    <t>001027</t>
  </si>
  <si>
    <t>AssessmentNeedLinkIndicationType</t>
  </si>
  <si>
    <t>Assessment Need Magnification</t>
  </si>
  <si>
    <t>Defines as part of an Assessment Personal Needs Profile the preferred magnification of the screen as a factor of a screen’s original size.</t>
  </si>
  <si>
    <t>001031</t>
  </si>
  <si>
    <t>AssessmentNeedMagnification</t>
  </si>
  <si>
    <t>Assessment Need Masking Type</t>
  </si>
  <si>
    <t>001046</t>
  </si>
  <si>
    <t>AssessmentNeedMaskingType</t>
  </si>
  <si>
    <t>Assessment Need Number of Braille Cells</t>
  </si>
  <si>
    <t>Defines as part of an Assessment Personal Needs Profile the number of active Braille cells in a Braille display.</t>
  </si>
  <si>
    <t>001034</t>
  </si>
  <si>
    <t>AssessmentNeedNumberOfBrailleCells</t>
  </si>
  <si>
    <t>Assessment Need Number of Braille Dots Type</t>
  </si>
  <si>
    <t>Defines as part of an Assessment Personal Needs Profile the number of dots in a Braille cell.</t>
  </si>
  <si>
    <t>001033</t>
  </si>
  <si>
    <t>AssessmentNeedNumberOfBrailleDotsType</t>
  </si>
  <si>
    <t>Assessment Need Overlay Color</t>
  </si>
  <si>
    <t>This is the preferred color for the overlay for screen enhancement defined as part of an Assessment Personal Needs Profile.</t>
  </si>
  <si>
    <t>001051</t>
  </si>
  <si>
    <t>AssessmentNeedOverlayColor</t>
  </si>
  <si>
    <t>Assessment Need Pitch</t>
  </si>
  <si>
    <t>Defines as part of an Assessment Personal Needs Profile the pitch of a speech synthesizer.</t>
  </si>
  <si>
    <t>001087</t>
  </si>
  <si>
    <t>AssessmentNeedPitch</t>
  </si>
  <si>
    <t>Assessment Need Read at Start Preference</t>
  </si>
  <si>
    <t>Used as part of an Assessment Personal Needs Profile to define if the spoken play-back should commence from the start of a recording or not.</t>
  </si>
  <si>
    <t>001043</t>
  </si>
  <si>
    <t>AssessmentNeedReadAtStartPreference</t>
  </si>
  <si>
    <t>Assessment Need Signing Type</t>
  </si>
  <si>
    <t>Defines as part of an Assessment Personal Needs Profile the type of signing preferred by the user.</t>
  </si>
  <si>
    <t>001040</t>
  </si>
  <si>
    <t>AssessmentNeedSigningType</t>
  </si>
  <si>
    <t>Assessment Need Sound File URL</t>
  </si>
  <si>
    <t>The URI of the sound file that is to be played to the user as an expression of encouragement when Masking is specified as part of an Assessment Personal Needs Profile. It is left to the system to determine when to play this audio file.</t>
  </si>
  <si>
    <t>001048</t>
  </si>
  <si>
    <t>AssessmentNeedSoundFileURL</t>
  </si>
  <si>
    <t>Assessment Need Speech Rate</t>
  </si>
  <si>
    <t>Defines as part of an Assessment Personal Needs Profile the rate of speech of a speech synthesizer.</t>
  </si>
  <si>
    <t>001028</t>
  </si>
  <si>
    <t>AssessmentNeedSpeechRate</t>
  </si>
  <si>
    <t>Assessment Need Spoken Source Preference Type</t>
  </si>
  <si>
    <t>Defines as part of an Assessment Personal Needs Profile the preferred spoken audio form.</t>
  </si>
  <si>
    <t>001042</t>
  </si>
  <si>
    <t>AssessmentNeedSpokenSourcePreferenceType</t>
  </si>
  <si>
    <t>Assessment Need Support Tool Type</t>
  </si>
  <si>
    <t>Defines as part of an Assessment Personal Needs Profile the electronic tool associated with a resource.</t>
  </si>
  <si>
    <t>001025</t>
  </si>
  <si>
    <t>AssessmentNeedSupportToolType</t>
  </si>
  <si>
    <t>Assessment Need Text Messaging String</t>
  </si>
  <si>
    <t>001047</t>
  </si>
  <si>
    <t>AssessmentNeedTextMessagingString</t>
  </si>
  <si>
    <t>Assessment Need Time Multiplier</t>
  </si>
  <si>
    <t>Assessments -&gt; Assessment Personal Needs Profile -&gt; Assessment Need Profile Control</t>
  </si>
  <si>
    <t>Alphanumeric - 9 characters maximum</t>
  </si>
  <si>
    <t>001049</t>
  </si>
  <si>
    <t>AssessmentNeedTimeMultiplier</t>
  </si>
  <si>
    <t>Assessment Need Type</t>
  </si>
  <si>
    <t>A type of need identified for a learner as part of an assessment need profile.</t>
  </si>
  <si>
    <t>001127</t>
  </si>
  <si>
    <t>AssessmentNeedType</t>
  </si>
  <si>
    <t>Assessment Need Usage Type</t>
  </si>
  <si>
    <t>Defines as part of an Assessment Personal Needs Profile the rating for the collection of Access for All (AfA) needs and preferences.</t>
  </si>
  <si>
    <t>001026</t>
  </si>
  <si>
    <t>AssessmentNeedUsageType</t>
  </si>
  <si>
    <t>Assessment Need User Spoken Preference Type</t>
  </si>
  <si>
    <t>Used as part of an Assessment Personal Needs Profile to define the type of material that should be rendered using the read aloud alternative content.</t>
  </si>
  <si>
    <t>001044</t>
  </si>
  <si>
    <t>AssessmentNeedUserSpokenPreferenceType</t>
  </si>
  <si>
    <t>Assessment Need Volume</t>
  </si>
  <si>
    <t>Defines as part of an Assessment Personal Needs Profile the volume of a speech synthesizer.</t>
  </si>
  <si>
    <t>001029</t>
  </si>
  <si>
    <t>AssessmentNeedVolume</t>
  </si>
  <si>
    <t>Assessment Objective</t>
  </si>
  <si>
    <t>This is the objective that the assessment is measuring.</t>
  </si>
  <si>
    <t>000382</t>
  </si>
  <si>
    <t>AssessmentObjective</t>
  </si>
  <si>
    <t>Assessment Participant Session Database Name</t>
  </si>
  <si>
    <t>The name of the database that was used to administer the test.</t>
  </si>
  <si>
    <t>Assessments -&gt; Assessment Participant Session</t>
  </si>
  <si>
    <t>001539</t>
  </si>
  <si>
    <t>AssessmentParticipantSessionDatabaseName</t>
  </si>
  <si>
    <t>Assessment Participant Session Delivery Device Details</t>
  </si>
  <si>
    <t>The details about the device or platform by with which the assessment was delivered to the learner.</t>
  </si>
  <si>
    <t>For example web browser version and screen resolution.</t>
  </si>
  <si>
    <t>001003</t>
  </si>
  <si>
    <t>AssessmentParticipantSessionDeliveryDeviceDetails</t>
  </si>
  <si>
    <t>Assessment Participant Session GUID</t>
  </si>
  <si>
    <t>A globally unique identifier for an instance of a person taking an assessment.</t>
  </si>
  <si>
    <t>001540</t>
  </si>
  <si>
    <t>AssessmentParticipantSessionGUID</t>
  </si>
  <si>
    <t>Assessment Participant Session Language</t>
  </si>
  <si>
    <t>The language that the assessment is administered.</t>
  </si>
  <si>
    <t>000371</t>
  </si>
  <si>
    <t>AssessmentParticipantSessionLanguage</t>
  </si>
  <si>
    <t>Assessment Participant Session Platform Type</t>
  </si>
  <si>
    <t>The platform with which the assessment was delivered to the student during the assessment session.</t>
  </si>
  <si>
    <t>Assessments -&gt; Assessment Participant Session
Assessments -&gt; Assessment Registration</t>
  </si>
  <si>
    <t>000386</t>
  </si>
  <si>
    <t>AssessmentParticipantSessionPlatformType</t>
  </si>
  <si>
    <t>Assessment Participant Session Platform User Agent</t>
  </si>
  <si>
    <t>001152</t>
  </si>
  <si>
    <t>AssessmentParticipantSessionPlatformUserAgent</t>
  </si>
  <si>
    <t>Assessment Participant Session Security Issue</t>
  </si>
  <si>
    <t>Describes an issue related to the security of a testing instrument identified during a specific instance of delivering an assessment to a specific person during a specific time period.</t>
  </si>
  <si>
    <t>001130</t>
  </si>
  <si>
    <t>AssessmentParticipantSessionSecurityIssue</t>
  </si>
  <si>
    <t>Assessment Participant Session Time Assessed</t>
  </si>
  <si>
    <t>000407</t>
  </si>
  <si>
    <t>AssessmentParticipantSessionTimeAssessed</t>
  </si>
  <si>
    <t>Assessment Performance Level Descriptive Feedback</t>
  </si>
  <si>
    <t>A feedback message designed to be reported with the assessment performance level.</t>
  </si>
  <si>
    <t>Assessments -&gt; Assessment Performance Level
Assessments -&gt; Assessment Result -&gt; Assessment Performance Level
Assessments -&gt; Assessment Subtest -&gt; Assessment Performance Level</t>
  </si>
  <si>
    <t>001218</t>
  </si>
  <si>
    <t>AssessmentPerformanceLevelDescriptiveFeedback</t>
  </si>
  <si>
    <t>Assessment Performance Level Identifier</t>
  </si>
  <si>
    <t>A unique number or alphanumeric code assigned to an assessment performance level.</t>
  </si>
  <si>
    <t>000717</t>
  </si>
  <si>
    <t>AssessmentPerformanceLevelIdentifier</t>
  </si>
  <si>
    <t>Assessment Performance Level Label</t>
  </si>
  <si>
    <t>A label representing the performance level appropriate for use on a report.</t>
  </si>
  <si>
    <t>Alphanumeric - 20 characters maximum</t>
  </si>
  <si>
    <t>000718</t>
  </si>
  <si>
    <t>AssessmentPerformanceLevelLabel</t>
  </si>
  <si>
    <t>Assessment Performance Level Lower Cut Score</t>
  </si>
  <si>
    <t>Lowest possible score for the performance level.</t>
  </si>
  <si>
    <t>000418</t>
  </si>
  <si>
    <t>AssessmentPerformanceLevelLowerCutScore</t>
  </si>
  <si>
    <t>Assessment Performance Level Score Metric</t>
  </si>
  <si>
    <t>The metric or scale used for score reporting.</t>
  </si>
  <si>
    <t>000417</t>
  </si>
  <si>
    <t>AssessmentPerformanceLevelScoreMetric</t>
  </si>
  <si>
    <t>Assessment Performance Level Upper Cut Score</t>
  </si>
  <si>
    <t>Highest possible score for the performance level.</t>
  </si>
  <si>
    <t>000419</t>
  </si>
  <si>
    <t>AssessmentPerformanceLevelUpperCutScore</t>
  </si>
  <si>
    <t>Assessment Personal Needs Profile Activate by Default</t>
  </si>
  <si>
    <t>Determines if the alternative accessible content is rendered as the default content for the learner.</t>
  </si>
  <si>
    <t>This flag may apply to any need within the Assessment Personal Need Profile.</t>
  </si>
  <si>
    <t>001005</t>
  </si>
  <si>
    <t>AssessmentPersonalNeedsProfileActivateByDefault</t>
  </si>
  <si>
    <t>Assessment Personal Needs Profile Assigned Support</t>
  </si>
  <si>
    <t>Defines whether or not the individual needs the kind of support defined by the entity.</t>
  </si>
  <si>
    <t>001004</t>
  </si>
  <si>
    <t>AssessmentPersonalNeedsProfileAssignedSupport</t>
  </si>
  <si>
    <t>Assessment Provider</t>
  </si>
  <si>
    <t>Identifies the provider or publisher of the assessment.</t>
  </si>
  <si>
    <t>AIF property</t>
  </si>
  <si>
    <t>001006</t>
  </si>
  <si>
    <t>AssessmentProvider</t>
  </si>
  <si>
    <t>Assessment Purpose</t>
  </si>
  <si>
    <t>The reason for which an assessment is designed or delivered.</t>
  </si>
  <si>
    <t>Assessments -&gt; Assessment
Assessments -&gt; Assessment Subtest</t>
  </si>
  <si>
    <t>This element might have multiple occurrences associated with any one assessment.</t>
  </si>
  <si>
    <t>000026</t>
  </si>
  <si>
    <t>AssessmentPurpose</t>
  </si>
  <si>
    <t>Assessment Registration Assignor Identifier</t>
  </si>
  <si>
    <t>The unique identifier of the person who assigned the assessment to the learner.</t>
  </si>
  <si>
    <t>Assessments -&gt; Assessment Registration</t>
  </si>
  <si>
    <t>000889</t>
  </si>
  <si>
    <t>AssessmentRegistrationAssignorIdentifier</t>
  </si>
  <si>
    <t>Assessment Registration Completion Status</t>
  </si>
  <si>
    <t>The completion and scoring status for an instance of a person taking an assessment.</t>
  </si>
  <si>
    <t>001541</t>
  </si>
  <si>
    <t>AssessmentRegistrationCompletionStatus</t>
  </si>
  <si>
    <t>Assessment Registration Completion Status Date Time</t>
  </si>
  <si>
    <t>The date and time the completion and scoring status was changed for an instance of a person taking an assessment.</t>
  </si>
  <si>
    <t>001542</t>
  </si>
  <si>
    <t>AssessmentRegistrationCompletionStatusDateTime</t>
  </si>
  <si>
    <t>Assessment Registration Creation Date</t>
  </si>
  <si>
    <t>Date/time assignment is made.</t>
  </si>
  <si>
    <t>001017</t>
  </si>
  <si>
    <t>AssessmentRegistrationCreationDate</t>
  </si>
  <si>
    <t>Assessment Registration Days of Instruction</t>
  </si>
  <si>
    <t>The number of days of instruction the student has taken prior to testing.</t>
  </si>
  <si>
    <t>001015</t>
  </si>
  <si>
    <t>AssessmentRegistrationDaysOfInstruction</t>
  </si>
  <si>
    <t>Assessment Registration Grade Level to Be Assessed</t>
  </si>
  <si>
    <t>The grade or level at which the learner is to be assessed.</t>
  </si>
  <si>
    <t>001057</t>
  </si>
  <si>
    <t>AssessmentRegistrationGradeLevelToBeAssessed</t>
  </si>
  <si>
    <t>Assessment Registration Participation Indicator</t>
  </si>
  <si>
    <t>An indication of whether a student participated in an assessment.</t>
  </si>
  <si>
    <t>000025</t>
  </si>
  <si>
    <t>AssessmentRegistrationParticipationIndicator</t>
  </si>
  <si>
    <t>Assessment Registration Reason Not Completing</t>
  </si>
  <si>
    <t>The primary reason a participant did not complete an assessment.</t>
  </si>
  <si>
    <t>This may apply to any learner, but is used particularly for reporting based on children with disabilities (IDEA).</t>
  </si>
  <si>
    <t>000540</t>
  </si>
  <si>
    <t>AssessmentRegistrationReasonNotCompleting</t>
  </si>
  <si>
    <t>K-12 -&gt; EDFacts
K-12 -&gt; LEA Assessments
K-12 -&gt; SEA Assessments
School Readiness</t>
  </si>
  <si>
    <t>Assessment Registration Retest Indicator</t>
  </si>
  <si>
    <t>Indicates if this registration is for a retest (retake). Retest can occur if a student failed a prior attempt and is eligible to retake. Other retest scenarios also can occur.</t>
  </si>
  <si>
    <t>001016</t>
  </si>
  <si>
    <t>AssessmentRegistrationRetestIndicator</t>
  </si>
  <si>
    <t>Assessment Registration Score Publish Date</t>
  </si>
  <si>
    <t>001056</t>
  </si>
  <si>
    <t>AssessmentRegistrationScorePublishDate</t>
  </si>
  <si>
    <t>Assessment Registration Test Attempt Identifier</t>
  </si>
  <si>
    <t>A unique identifier for the test attempt assigned by the delivery system.</t>
  </si>
  <si>
    <t>001162</t>
  </si>
  <si>
    <t>AssessmentRegistrationTestAttemptIdentifier</t>
  </si>
  <si>
    <t>Assessment Registration Testing Indicator</t>
  </si>
  <si>
    <t>Indicates rules about use of results based on Special Events before, during or after the test. The option set values are determined by the testing program.</t>
  </si>
  <si>
    <t>For example, "do not score", "do not report".</t>
  </si>
  <si>
    <t>001055</t>
  </si>
  <si>
    <t>AssessmentRegistrationTestingIndicator</t>
  </si>
  <si>
    <t>Assessment Result Data Type</t>
  </si>
  <si>
    <t>Assessments -&gt; Assessment Result</t>
  </si>
  <si>
    <t>001543</t>
  </si>
  <si>
    <t>AssessmentResultDataType</t>
  </si>
  <si>
    <t>Assessment Result Date Created</t>
  </si>
  <si>
    <t>The date on which the assessment result was generated.</t>
  </si>
  <si>
    <t>000971</t>
  </si>
  <si>
    <t>AssessmentResultDateCreated</t>
  </si>
  <si>
    <t>Assessment Result Date Updated</t>
  </si>
  <si>
    <t>000970</t>
  </si>
  <si>
    <t>AssessmentResultDateUpdated</t>
  </si>
  <si>
    <t>Assessment Result Descriptive Feedback</t>
  </si>
  <si>
    <t>The formative descriptive feedback that was given to a learner based on a scored/evaluated portion of an assessment as recorded in the result entity.</t>
  </si>
  <si>
    <t>000890</t>
  </si>
  <si>
    <t>AssessmentResultDescriptiveFeedback</t>
  </si>
  <si>
    <t>Assessment Result Descriptive Feedback Date Time</t>
  </si>
  <si>
    <t>The date and time the descriptive feedback was entered for a scored/evaluated portion of an assessment.</t>
  </si>
  <si>
    <t>Assessments -&gt; Assessment Item -&gt; Assessment Item Response
Assessments -&gt; Assessment Result</t>
  </si>
  <si>
    <t>001545</t>
  </si>
  <si>
    <t>AssessmentResultDescriptiveFeedbackDateTime</t>
  </si>
  <si>
    <t>Assessment Result Descriptive Feedback Source</t>
  </si>
  <si>
    <t>Identifies the source of the descriptive feedback that was given to a learner based on a scored/evaluated portion of an assessment. May indicate if this is teacher, scorer, or system generated feedback. Values for this attribute would be determined by the assessment program.</t>
  </si>
  <si>
    <t>001092</t>
  </si>
  <si>
    <t>AssessmentResultDescriptiveFeedbackSource</t>
  </si>
  <si>
    <t>Assessment Result Diagnostic Statement</t>
  </si>
  <si>
    <t>001219</t>
  </si>
  <si>
    <t>AssessmentResultDiagnosticStatement</t>
  </si>
  <si>
    <t>Assessment Result Number of Responses</t>
  </si>
  <si>
    <t>The number of responses that are included with the Student Score Set. Responses are those items that were attempted (partially or fully answered) by the student and not necessarily the number of items in the assessment (which can be determined from the assessment object).</t>
  </si>
  <si>
    <t>001009</t>
  </si>
  <si>
    <t>AssessmentResultNumberOfResponses</t>
  </si>
  <si>
    <t>Assessment Result Preliminary Indicator</t>
  </si>
  <si>
    <t>001007</t>
  </si>
  <si>
    <t>AssessmentResultPreliminaryIndicator</t>
  </si>
  <si>
    <t>Assessment Result Pretest Outcome</t>
  </si>
  <si>
    <t>The results of a pre-test in academic subjects.</t>
  </si>
  <si>
    <t>000572</t>
  </si>
  <si>
    <t>AssessmentResultPretestOutcome</t>
  </si>
  <si>
    <t>K-12 -&gt; EDFacts
K-12 -&gt; LEA Assessments
K-12 -&gt; SEA Assessments</t>
  </si>
  <si>
    <t>Assessment Result Score Standard Error</t>
  </si>
  <si>
    <t>The measure of sampling variability and measurement error for the score, the amount of error to be expected in the score.</t>
  </si>
  <si>
    <t>See http://nces.ed.gov/nationsreportcard/NDEHelp/WebHelp/standard_error.htm</t>
  </si>
  <si>
    <t>001546</t>
  </si>
  <si>
    <t>AssessmentResultScoreStandardError</t>
  </si>
  <si>
    <t>Assessment Result Score Type</t>
  </si>
  <si>
    <t>Indicates the purpose for which this assessment score instance was recorded.</t>
  </si>
  <si>
    <t>001547</t>
  </si>
  <si>
    <t>AssessmentResultScoreType</t>
  </si>
  <si>
    <t>Assessment Result Score Value</t>
  </si>
  <si>
    <t>A meaningful raw score, derived score, or statistical expression of the performance of a person on an assessment. The type of result is indicated by the Assessment Score Metric Type element. The results can be expressed as a number, percentile, range, level, etc. The score relates to all scored items or a sub test scoring one aspect of performance on the test. This value may or may not correspond to one or more Performance Levels.</t>
  </si>
  <si>
    <t>Alphanumeric - 35 characters maximum</t>
  </si>
  <si>
    <t>000245</t>
  </si>
  <si>
    <t>AssessmentResultScoreValue</t>
  </si>
  <si>
    <t>College Readiness
K-12 -&gt; High School Generated Transcript
K-12 -&gt; LEA Assessments
K-12 -&gt; LEA-to-LEA Student Record Exchange
K-12 -&gt; LEA-to-SEA Student Record Exchange
K-12 -&gt; SEA Assessments
Postsecondary Education -&gt; Teacher Education
Postsecondary Education -&gt; Transition
School Readiness</t>
  </si>
  <si>
    <t>Assessment Revision Date</t>
  </si>
  <si>
    <t>The month, day, and year that the conceptual design for the assessment was most recently revised substantially.</t>
  </si>
  <si>
    <t>001544</t>
  </si>
  <si>
    <t>AssessmentRevisionDate</t>
  </si>
  <si>
    <t>Assessment Score Metric Type</t>
  </si>
  <si>
    <t>The specific method used to report the performance and achievement of the assessment. This is the metric that is being used to derive the scores.</t>
  </si>
  <si>
    <t>Assessments -&gt; Assessment
Assessments -&gt; Assessment Result
Assessments -&gt; Assessment Subtest</t>
  </si>
  <si>
    <t>000369</t>
  </si>
  <si>
    <t>AssessmentScoreMetricType</t>
  </si>
  <si>
    <t>College Readiness
K-12 -&gt; SEA Assessments
School Readiness</t>
  </si>
  <si>
    <t>Assessment Secure Indicator</t>
  </si>
  <si>
    <t>Indicates whether or not the assessment is a secure assessment.</t>
  </si>
  <si>
    <t>Assessments -&gt; Assessment Administration
Assessments -&gt; Assessment Form</t>
  </si>
  <si>
    <t>000384</t>
  </si>
  <si>
    <t>AssessmentSecureIndicator</t>
  </si>
  <si>
    <t>Assessment Session Actual End Date Time</t>
  </si>
  <si>
    <t>Date and time the assessment actually ended.</t>
  </si>
  <si>
    <t>Assessments -&gt; Assessment Participant Session
Assessments -&gt; Assessment Session</t>
  </si>
  <si>
    <t>001022</t>
  </si>
  <si>
    <t>AssessmentSessionActualEndDateTime</t>
  </si>
  <si>
    <t>Assessment Session Actual Start Date Time</t>
  </si>
  <si>
    <t>Date and time the assessment actually began.</t>
  </si>
  <si>
    <t>001021</t>
  </si>
  <si>
    <t>AssessmentSessionActualStartDateTime</t>
  </si>
  <si>
    <t>Assessment Session Administrator Identifier</t>
  </si>
  <si>
    <t>The unique identifier of the person overseeing the administration of an assessment. This is typically at a district or school level or at an administrator at a testing facility.</t>
  </si>
  <si>
    <t>Assessments -&gt; Assessment Session</t>
  </si>
  <si>
    <t>000410</t>
  </si>
  <si>
    <t>AssessmentSessionAdministratorIdentifier</t>
  </si>
  <si>
    <t>Assessment Session Allotted Time</t>
  </si>
  <si>
    <t>The duration of time allotted for the assessment session.</t>
  </si>
  <si>
    <t>000408</t>
  </si>
  <si>
    <t>AssessmentSessionAllottedTime</t>
  </si>
  <si>
    <t>Assessment Session Location</t>
  </si>
  <si>
    <t>Alphanumeric - 45 characters maximum</t>
  </si>
  <si>
    <t>000597</t>
  </si>
  <si>
    <t>AssessmentSessionLocation</t>
  </si>
  <si>
    <t>Assessment Session Proctor Identifier</t>
  </si>
  <si>
    <t>The unique identifier of the person overseeing the assessment session in the setting.</t>
  </si>
  <si>
    <t>000411</t>
  </si>
  <si>
    <t>AssessmentSessionProctorIdentifier</t>
  </si>
  <si>
    <t>Assessment Session Scheduled End Date Time</t>
  </si>
  <si>
    <t>Date and time the assessment is scheduled to end.</t>
  </si>
  <si>
    <t>001020</t>
  </si>
  <si>
    <t>AssessmentSessionScheduledEndDateTime</t>
  </si>
  <si>
    <t>Assessment Session Scheduled Start Date Time</t>
  </si>
  <si>
    <t>Date and time the assessment is scheduled to begin.</t>
  </si>
  <si>
    <t>001019</t>
  </si>
  <si>
    <t>AssessmentSessionScheduledStartDateTime</t>
  </si>
  <si>
    <t>Assessment Session Security Issue</t>
  </si>
  <si>
    <t>The description of a security issue, if any, discovered for an administration of an assessment, such as suspected cheating by a student or a teacher changing answers after a student takes the test.</t>
  </si>
  <si>
    <t>000968</t>
  </si>
  <si>
    <t>AssessmentSessionSecurityIssue</t>
  </si>
  <si>
    <t>Assessment Session Special Circumstance Type</t>
  </si>
  <si>
    <t>An unusual event occurred during the administration of the assessment. This could include fire alarm, student became ill, etc.</t>
  </si>
  <si>
    <t>000389</t>
  </si>
  <si>
    <t>AssessmentSessionSpecialCircumstanceType</t>
  </si>
  <si>
    <t>Assessment Session Special Event Description</t>
  </si>
  <si>
    <t>Describes special events that occur before during or after the assessment session that may impact use of results according to rules related to the Assessment Registration Testing Indicator.</t>
  </si>
  <si>
    <t>001093</t>
  </si>
  <si>
    <t>AssessmentSessionSpecialEventDescription</t>
  </si>
  <si>
    <t>Assessment Session Staff Role Type</t>
  </si>
  <si>
    <t>The type of role served related to the administration of an assessment session.</t>
  </si>
  <si>
    <t>001212</t>
  </si>
  <si>
    <t>AssessmentSessionStaffRoleType</t>
  </si>
  <si>
    <t>Assessment Session Type</t>
  </si>
  <si>
    <t>The type of session that is scheduled.</t>
  </si>
  <si>
    <t>001018</t>
  </si>
  <si>
    <t>AssessmentSessionType</t>
  </si>
  <si>
    <t>Assessment Shared with Parents</t>
  </si>
  <si>
    <t>An indication of whether assessment results are shared with parents.</t>
  </si>
  <si>
    <t>000858</t>
  </si>
  <si>
    <t>AssessmentSharedWithParents</t>
  </si>
  <si>
    <t>Assessment Short Name</t>
  </si>
  <si>
    <t>An abbreviated title for an assessment.</t>
  </si>
  <si>
    <t>000931</t>
  </si>
  <si>
    <t>AssessmentShortName</t>
  </si>
  <si>
    <t>Assessment Subtest Abbreviation</t>
  </si>
  <si>
    <t>000368</t>
  </si>
  <si>
    <t>College Readiness
K-12 -&gt; SEA Assessments</t>
  </si>
  <si>
    <t>Assessment Subtest Description</t>
  </si>
  <si>
    <t>The description of the subtest (e.g., vocabulary, measurement, or geometry).</t>
  </si>
  <si>
    <t>000274</t>
  </si>
  <si>
    <t>AssessmentSubtestDescription</t>
  </si>
  <si>
    <t>Assessment Subtest Identifier</t>
  </si>
  <si>
    <t>A unique number or alphanumeric code assigned to an assessment subtest.</t>
  </si>
  <si>
    <t>000367</t>
  </si>
  <si>
    <t>AssessmentSubtestIdentifier</t>
  </si>
  <si>
    <t>Assessment Subtest Identifier Type</t>
  </si>
  <si>
    <t>The type of identifier that is provided for a Subtest.</t>
  </si>
  <si>
    <t>001014</t>
  </si>
  <si>
    <t>AssessmentSubtestIdentifierType</t>
  </si>
  <si>
    <t>Assessment Subtest Maximum Value</t>
  </si>
  <si>
    <t>The maximum value for the measurement.</t>
  </si>
  <si>
    <t>000396</t>
  </si>
  <si>
    <t>AssessmentSubtestMaximumValue</t>
  </si>
  <si>
    <t>Assessment Subtest Minimum Value</t>
  </si>
  <si>
    <t>The minimum value possible for the measurement.</t>
  </si>
  <si>
    <t>000395</t>
  </si>
  <si>
    <t>AssessmentSubtestMinimumValue</t>
  </si>
  <si>
    <t>Assessment Subtest Optimal Value</t>
  </si>
  <si>
    <t>The optimal value for this measurement.</t>
  </si>
  <si>
    <t>The Optimal Value may be the same as the Maximum Value, the Minimum Value, or something in between.</t>
  </si>
  <si>
    <t>000397</t>
  </si>
  <si>
    <t>AssessmentSubtestScaleOptimalValue</t>
  </si>
  <si>
    <t>Assessment Subtest Published Date</t>
  </si>
  <si>
    <t>The date on which the Subtest was published.</t>
  </si>
  <si>
    <t>001091</t>
  </si>
  <si>
    <t>AssessmentSubtestPublishedDate</t>
  </si>
  <si>
    <t>Assessment Subtest Rules</t>
  </si>
  <si>
    <t>A description of the rules to produce a student test/subtest score from for a grouping of student item scores.</t>
  </si>
  <si>
    <t>000719</t>
  </si>
  <si>
    <t>AssessmentSubtestRules</t>
  </si>
  <si>
    <t>Assessment Subtest Title</t>
  </si>
  <si>
    <t>The name or title of the subtest.</t>
  </si>
  <si>
    <t>000275</t>
  </si>
  <si>
    <t>AssessmentSubtestTitle</t>
  </si>
  <si>
    <t>College Readiness
K-12 -&gt; High School Generated Transcript
K-12 -&gt; LEA Assessments
K-12 -&gt; LEA-to-LEA Student Record Exchange
K-12 -&gt; LEA-to-SEA Student Record Exchange
K-12 -&gt; SEA Assessments
Postsecondary Education -&gt; Transition
School Readiness</t>
  </si>
  <si>
    <t>Assessment Subtest Version</t>
  </si>
  <si>
    <t>The version of the subtest that is included for the assessment.</t>
  </si>
  <si>
    <t>000388</t>
  </si>
  <si>
    <t>AssessmentSubtestVersion</t>
  </si>
  <si>
    <t>Assessment Title</t>
  </si>
  <si>
    <t>The title or name of the assessment.</t>
  </si>
  <si>
    <t>Assessments -&gt; Assessment
K12 -&gt; K12 Student -&gt; Individualized Program -&gt; Assessment</t>
  </si>
  <si>
    <t>000028</t>
  </si>
  <si>
    <t>AssessmentTitle</t>
  </si>
  <si>
    <t>Assessment Type</t>
  </si>
  <si>
    <t>The category of an assessment based on format and content.</t>
  </si>
  <si>
    <t>000029</t>
  </si>
  <si>
    <t>AssessmentType</t>
  </si>
  <si>
    <t>000415</t>
  </si>
  <si>
    <t>Assignment End Date</t>
  </si>
  <si>
    <t>The last year, month and day on which the assignment is valid.</t>
  </si>
  <si>
    <t>000527</t>
  </si>
  <si>
    <t>AssignmentEndDate</t>
  </si>
  <si>
    <t>Assignment Start Date</t>
  </si>
  <si>
    <t>The year, month and day from which the assignment is valid.</t>
  </si>
  <si>
    <t>000526</t>
  </si>
  <si>
    <t>AssignmentStartDate</t>
  </si>
  <si>
    <t>Attendance Event Date</t>
  </si>
  <si>
    <t>The date on which an attendance event takes place.</t>
  </si>
  <si>
    <t>001649</t>
  </si>
  <si>
    <t>AttendanceEventDate</t>
  </si>
  <si>
    <t>Attendance Event Type</t>
  </si>
  <si>
    <t>The type of attendance event.</t>
  </si>
  <si>
    <t>Adult Education -&gt; Course Section -&gt; Attendance
Career and Technical -&gt; Course Section -&gt; Attendance
K12 -&gt; Course Section -&gt; Attendance
K12 -&gt; K12 Student -&gt; Attendance</t>
  </si>
  <si>
    <t>000601</t>
  </si>
  <si>
    <t>AttendanceEventType</t>
  </si>
  <si>
    <t>Attendance Status</t>
  </si>
  <si>
    <t>The status of a person's attendance associated with an Attendance Event Type and Attendance Event Date in an organization-person-role context.</t>
  </si>
  <si>
    <t>000076</t>
  </si>
  <si>
    <t>AttendanceStatus</t>
  </si>
  <si>
    <t>Authentication Identity Provider End Date</t>
  </si>
  <si>
    <t>Authentication and Authorization -&gt; Authentication Identity Provider</t>
  </si>
  <si>
    <t>001172</t>
  </si>
  <si>
    <t>AuthenticationIdentityProviderEndDate</t>
  </si>
  <si>
    <t>Authentication Identity Provider Login Identifier</t>
  </si>
  <si>
    <t>The login identifier for the person for the specified Authentication Identity Provider.</t>
  </si>
  <si>
    <t>001170</t>
  </si>
  <si>
    <t>AuthenticationIdentityProviderLoginIdentifier</t>
  </si>
  <si>
    <t>Authentication Identity Provider Name</t>
  </si>
  <si>
    <t>The name of a provider that can authenticate the identity of an person.</t>
  </si>
  <si>
    <t>001168</t>
  </si>
  <si>
    <t>AuthenticationIdentityProviderName</t>
  </si>
  <si>
    <t>Authentication Identity Provider Start Date</t>
  </si>
  <si>
    <t>001171</t>
  </si>
  <si>
    <t>AuthenticationIdentityProviderStartDate</t>
  </si>
  <si>
    <t>Authentication Identity Provider URI</t>
  </si>
  <si>
    <t>001169</t>
  </si>
  <si>
    <t>AuthenticationIdentityProviderURI</t>
  </si>
  <si>
    <t>Authorization Acceptance Indicator</t>
  </si>
  <si>
    <t>Indicates authorizer agreement to a document or plan, such as plan for delivery of student services, program, or improvement plan.</t>
  </si>
  <si>
    <t>K12 -&gt; K12 Student -&gt; Individualized Program -&gt; Authorization</t>
  </si>
  <si>
    <t>001721</t>
  </si>
  <si>
    <t>AuthorizationAcceptanceIndicator</t>
  </si>
  <si>
    <t>Authorization Application Name</t>
  </si>
  <si>
    <t>The name of a data system or application which an authenticated person may access.</t>
  </si>
  <si>
    <t>Authentication and Authorization -&gt; Authorization Application</t>
  </si>
  <si>
    <t>Alphanumeric - 120 characters maximum</t>
  </si>
  <si>
    <t>001173</t>
  </si>
  <si>
    <t>AuthorizationApplicationName</t>
  </si>
  <si>
    <t>Authorization Application Role Name</t>
  </si>
  <si>
    <t>The user role for which the person is allowed.</t>
  </si>
  <si>
    <t>001175</t>
  </si>
  <si>
    <t>AuthorizationApplicationRoleName</t>
  </si>
  <si>
    <t>Authorization Application URI</t>
  </si>
  <si>
    <t>The Uniform Resource Identifier (URI) of a data system or application which an authenticated person may access.</t>
  </si>
  <si>
    <t>001174</t>
  </si>
  <si>
    <t>AuthorizationApplicationURI</t>
  </si>
  <si>
    <t>Authorization Date</t>
  </si>
  <si>
    <t>The date the authorization occurred.</t>
  </si>
  <si>
    <t>001725</t>
  </si>
  <si>
    <t>AuthorizationDate</t>
  </si>
  <si>
    <t>Authorization Decision Explanation</t>
  </si>
  <si>
    <t>Authorizer's explanation regarding the authorization decision.</t>
  </si>
  <si>
    <t>001722</t>
  </si>
  <si>
    <t>AuthorizationDecisionExplanation</t>
  </si>
  <si>
    <t>Authorization End Date</t>
  </si>
  <si>
    <t>001177</t>
  </si>
  <si>
    <t>AuthorizationEndDate</t>
  </si>
  <si>
    <t>Authorization Start Date</t>
  </si>
  <si>
    <t>001176</t>
  </si>
  <si>
    <t>AuthorizationStartDate</t>
  </si>
  <si>
    <t>Authorizer Type</t>
  </si>
  <si>
    <t>Type of person who authorized the decision or document.</t>
  </si>
  <si>
    <t>001720</t>
  </si>
  <si>
    <t>AuthorizerType</t>
  </si>
  <si>
    <t>Available Carnegie Unit Credit</t>
  </si>
  <si>
    <t>Measured in Carnegie units, the amount of credit available to a student who successfully meets the objectives of the course. A course meeting every day for one period of the school day over the span of a school year offers one Carnegie unit. A Carnegie unit is thus a measure of "seat time" rather than a measure of attainment of the course objectives.</t>
  </si>
  <si>
    <t>Adult Education -&gt; Course Section -&gt; Course
Career and Technical -&gt; Course
Career and Technical -&gt; Course Section -&gt; Course
K12 -&gt; Course Section -&gt; Course
K12 -&gt; K12 Course</t>
  </si>
  <si>
    <t>Numeric - up to 2 digits after decimal place</t>
  </si>
  <si>
    <t>000030</t>
  </si>
  <si>
    <t>AvailableCarnegieUnitCredit</t>
  </si>
  <si>
    <t>K-12 -&gt; High School Generated Transcript
K-12 -&gt; LEA-to-LEA Student Record Exchange
K-12 -&gt; LEA-to-SEA Student Record Exchange
K-12 -&gt; Teacher-Student Data Link -&gt; Class Section</t>
  </si>
  <si>
    <t>Available Utilized Instructional Space</t>
  </si>
  <si>
    <t>An indication that the instruction space in a school is used in the calculation of student capacity.</t>
  </si>
  <si>
    <t>Facilities -&gt; Facility -&gt; Utilization</t>
  </si>
  <si>
    <t>001902</t>
  </si>
  <si>
    <t>AvailableUtilizedInstructionalSpace</t>
  </si>
  <si>
    <t>Awaiting Foster Care Status</t>
  </si>
  <si>
    <t>An indication of whether this child is awaiting foster care.</t>
  </si>
  <si>
    <t>001929</t>
  </si>
  <si>
    <t>AwaitingFosterCareStatus</t>
  </si>
  <si>
    <t>Awaiting Initial IDEA Evaluation Status</t>
  </si>
  <si>
    <t>000031</t>
  </si>
  <si>
    <t>AwaitingInitialIDEAEvaluationStatus</t>
  </si>
  <si>
    <t>Barrier to Educating Homeless</t>
  </si>
  <si>
    <t>Barriers to the enrollment and success of homeless children and youths.</t>
  </si>
  <si>
    <t>K12 -&gt; LEA -&gt; Program Specific Federal Reporting</t>
  </si>
  <si>
    <t>000449</t>
  </si>
  <si>
    <t>BarrierToEducatingHomeless</t>
  </si>
  <si>
    <t>Billable Basis Type</t>
  </si>
  <si>
    <t>The event/action that results in a billable action.</t>
  </si>
  <si>
    <t>Early Learning -&gt; Early Learning Program</t>
  </si>
  <si>
    <t>001582</t>
  </si>
  <si>
    <t>BillableBasisType</t>
  </si>
  <si>
    <t>Birthdate</t>
  </si>
  <si>
    <t>The year, month and day on which a person was born.</t>
  </si>
  <si>
    <t>000033</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</si>
  <si>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</si>
  <si>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Birthdate Verification</t>
  </si>
  <si>
    <t>The evidence by which a child's date of birth is confirmed.</t>
  </si>
  <si>
    <t>K12 -&gt; K12 Student -&gt; Demographic
K12 -&gt; K12 Student -&gt; Migrant</t>
  </si>
  <si>
    <t>000428</t>
  </si>
  <si>
    <t>BirthdateVerification</t>
  </si>
  <si>
    <t>K-12 -&gt; Migrant Student Data Exchange</t>
  </si>
  <si>
    <t>Black or African American</t>
  </si>
  <si>
    <t>A person having origins in any of the black racial groups of Africa.</t>
  </si>
  <si>
    <t>000034</t>
  </si>
  <si>
    <t>Race Black or African American</t>
  </si>
  <si>
    <t>BlackOrAfricanAmerican</t>
  </si>
  <si>
    <t>Blended Learning Model Type</t>
  </si>
  <si>
    <t>A type of formal education program in which a student learns at least in part through online learning, with some element of student control over time, place, path, and/or pace; at least in part in a supervised brick-and-mortar location away from home; and the modalities along each student’s learning path within a course or subject are connected to provide an integrated learning experience.</t>
  </si>
  <si>
    <t>This may be an attribute of a Course (as designed) or a Class Section (as delivered). It also may be attributed to a school, institution, or program for "whole-school" blended models.</t>
  </si>
  <si>
    <t>001287</t>
  </si>
  <si>
    <t>BlendedLearningModelType</t>
  </si>
  <si>
    <t>Board Charges</t>
  </si>
  <si>
    <t>The charges assessed students for an academic year for the maximum meal plan available.</t>
  </si>
  <si>
    <t>000750</t>
  </si>
  <si>
    <t>BoardCharges</t>
  </si>
  <si>
    <t>Postsecondary Education -&gt; IPEDS -&gt; IC-Price of Attendance</t>
  </si>
  <si>
    <t>Books and Supplies Costs</t>
  </si>
  <si>
    <t>The average cost for books and supplies for a typical student for an entire academic year (or program). Does not include unusual costs for special groups of students (e.g., engineering or art majors) unless they constitute the majority of students at an institution.</t>
  </si>
  <si>
    <t>000751</t>
  </si>
  <si>
    <t>BooksAndSuppliesCosts</t>
  </si>
  <si>
    <t>Building Addition Code</t>
  </si>
  <si>
    <t>A unique number or alphanumeric code assigned to a building addition by a school, school system, state, or other agency or entity.</t>
  </si>
  <si>
    <t>Facilities -&gt; Facility -&gt; Identification</t>
  </si>
  <si>
    <t>001776</t>
  </si>
  <si>
    <t>BuildingAdditionCode</t>
  </si>
  <si>
    <t>Building Addition Description</t>
  </si>
  <si>
    <t>A description of the permanent structure added to the original building.</t>
  </si>
  <si>
    <t>001775</t>
  </si>
  <si>
    <t>BuildingAdditionDescription</t>
  </si>
  <si>
    <t>Building Administrative Space Type</t>
  </si>
  <si>
    <t>The space designed primarily for conducting administrative and business functions.</t>
  </si>
  <si>
    <t>Facilities -&gt; Facility -&gt; Design</t>
  </si>
  <si>
    <t>001813</t>
  </si>
  <si>
    <t>BuildingAdministrativeSpaceType</t>
  </si>
  <si>
    <t>Building Air Distribution System Type</t>
  </si>
  <si>
    <t>The primary means by which air is circulated, freshened, and exhausted.</t>
  </si>
  <si>
    <t>Facilities -&gt; Facility -&gt; Condition</t>
  </si>
  <si>
    <t>001790</t>
  </si>
  <si>
    <t>BuildingAirDistributionSystemType</t>
  </si>
  <si>
    <t>Building Architect Name</t>
  </si>
  <si>
    <t>The name of the architect of record for the building.</t>
  </si>
  <si>
    <t>001834</t>
  </si>
  <si>
    <t>BuildingArchitectName</t>
  </si>
  <si>
    <t>Building Architectural Firm Name</t>
  </si>
  <si>
    <t>The name of the architectural firm responsible for the building design.</t>
  </si>
  <si>
    <t>001835</t>
  </si>
  <si>
    <t>BuildingArchitecturalFirmName</t>
  </si>
  <si>
    <t>Building Area</t>
  </si>
  <si>
    <t>The sum of the areas at each floor level included within the principal outside faces of exterior walls, including roofed areas with finished floors that may not have exterior walls, but are connected to the main building. This sum should include all stories or areas having floor surfaces with clear standing head room (6.5 feet or 1.98 meters) but omit architectural setbacks or projections.</t>
  </si>
  <si>
    <t>001764</t>
  </si>
  <si>
    <t>BuildingArea</t>
  </si>
  <si>
    <t>Building Art Specialty Space Type</t>
  </si>
  <si>
    <t>The space designed to support the teaching and learning of 2 dimensional or 3 dimensional visual arts.</t>
  </si>
  <si>
    <t>001814</t>
  </si>
  <si>
    <t>BuildingArtSpecialtySpaceType</t>
  </si>
  <si>
    <t>Building Assembly Space Type</t>
  </si>
  <si>
    <t>An area designed primarily for theater productions, assemblies, and other large gatherings.</t>
  </si>
  <si>
    <t>001836</t>
  </si>
  <si>
    <t>BuildingAssemblySpaceType</t>
  </si>
  <si>
    <t>Building Basic Classroom Design Type</t>
  </si>
  <si>
    <t>A classroom designed for instruction of a particular age group, but not a specific subject.</t>
  </si>
  <si>
    <t>001815</t>
  </si>
  <si>
    <t>BuildingBasicClassroomDesignType</t>
  </si>
  <si>
    <t>Building Capacity Factor Indicator</t>
  </si>
  <si>
    <t>A designation as to whether the space is included in the calculation of school building capacity under state or local guidelines.</t>
  </si>
  <si>
    <t>001903</t>
  </si>
  <si>
    <t>BuildingCapacityFactorIndicator</t>
  </si>
  <si>
    <t>Building Career-Technical Education Space Type</t>
  </si>
  <si>
    <t>The classroom, laboratory, or shop specially located, designed, furnished, and equipped to support instruction of technical and technology related curriculum, usually tied to particular industry, for example, bio-tech, construction, or agriculture.</t>
  </si>
  <si>
    <t>001817</t>
  </si>
  <si>
    <t>BuildingCareer-TechnicalEducationSpaceType</t>
  </si>
  <si>
    <t>Building Charter School Realty Access Type</t>
  </si>
  <si>
    <t>The type of real estate vehicle through which a public charter school has access and control of its building space.</t>
  </si>
  <si>
    <t>Facilities -&gt; Facility -&gt; Management</t>
  </si>
  <si>
    <t>001865</t>
  </si>
  <si>
    <t>BuildingCharterSchoolRealtyAccessType</t>
  </si>
  <si>
    <t>Building Circulation Space Type</t>
  </si>
  <si>
    <t>A space designed to enable people to move within the building.</t>
  </si>
  <si>
    <t>001818</t>
  </si>
  <si>
    <t>BuildingCirculationSpaceType</t>
  </si>
  <si>
    <t>Building Cleaning Standard Type</t>
  </si>
  <si>
    <t>The standard for cleanliness, and benchmarks for how much space can be assigned to one properly supplied custodian to meet these standards.</t>
  </si>
  <si>
    <t>001866</t>
  </si>
  <si>
    <t>BuildingCleaningStandardType</t>
  </si>
  <si>
    <t>Building Communications Management Component System Type</t>
  </si>
  <si>
    <t>The type of system, interface, and management components for carrying voice, video, and data throughout a building.</t>
  </si>
  <si>
    <t>001791</t>
  </si>
  <si>
    <t>BuildingCommunicationsManagementComponentSystemType</t>
  </si>
  <si>
    <t>Building Community Use Space Type</t>
  </si>
  <si>
    <t>The space designed primarily for community or shared use.</t>
  </si>
  <si>
    <t>001855</t>
  </si>
  <si>
    <t>BuildingCommunityUseSpaceType</t>
  </si>
  <si>
    <t>Building Cooling Generation System Type</t>
  </si>
  <si>
    <t>The type of mechanical systems and building designs used for cooling.</t>
  </si>
  <si>
    <t>001794</t>
  </si>
  <si>
    <t>BuildingCoolingGenerationSystemType</t>
  </si>
  <si>
    <t>Building Date of Certificate of Occupancy</t>
  </si>
  <si>
    <t>The month, day and year in which a certificate of occupancy was granted by the appropriate local authority.</t>
  </si>
  <si>
    <t>001880</t>
  </si>
  <si>
    <t>BuildingDateOfCertificateOfOccupancy</t>
  </si>
  <si>
    <t>Building Design Type</t>
  </si>
  <si>
    <t>The primary design or purpose of a building, as determined by its physical layout and built-in systems and equipment, regardless of its current use.</t>
  </si>
  <si>
    <t>001816</t>
  </si>
  <si>
    <t>BuildingDesignType</t>
  </si>
  <si>
    <t>Building Electrical System Type</t>
  </si>
  <si>
    <t>The components and system required to distribute electricity throughout the building or site.</t>
  </si>
  <si>
    <t>001795</t>
  </si>
  <si>
    <t>BuildingElectricalSystemType</t>
  </si>
  <si>
    <t>Building Energy Conservation Measure Type</t>
  </si>
  <si>
    <t>The type of modification to, or replacement of, a piece of equipment or building shell/system that increases energy efficiency.</t>
  </si>
  <si>
    <t>001868</t>
  </si>
  <si>
    <t>BuildingEnergyConservationMeasureType</t>
  </si>
  <si>
    <t>Building Energy Service Company Name</t>
  </si>
  <si>
    <t>The name of the company that designs, procures, finances, installs, maintains, and guarantees the performance of energy conservation measures in an owner's facility or facilities.</t>
  </si>
  <si>
    <t>001869</t>
  </si>
  <si>
    <t>BuildingEnergyServiceCompanyName</t>
  </si>
  <si>
    <t>Building Energy Source Type</t>
  </si>
  <si>
    <t>The source of energy that directly powers a school district facility or building system.</t>
  </si>
  <si>
    <t>001870</t>
  </si>
  <si>
    <t>BuildingEnergySourceType</t>
  </si>
  <si>
    <t>Building Environmental or Energy Performance Rating Category</t>
  </si>
  <si>
    <t>The primary groupings that rating organizations use to evaluate environmental sustainability and energy use.</t>
  </si>
  <si>
    <t>001819</t>
  </si>
  <si>
    <t>BuildingEnvironmentalOrEnergyPerformanceRatingCategory</t>
  </si>
  <si>
    <t>Building Fire Protection System Type</t>
  </si>
  <si>
    <t>The type of system that protects the facility against fire.</t>
  </si>
  <si>
    <t>001798</t>
  </si>
  <si>
    <t>BuildingFireProtectionSystemType</t>
  </si>
  <si>
    <t>Building Food Service Space Type</t>
  </si>
  <si>
    <t>The space located, designed, furnished and equipped to support meal programs.</t>
  </si>
  <si>
    <t>001821</t>
  </si>
  <si>
    <t>BuildingFoodServiceSpaceType</t>
  </si>
  <si>
    <t>Building Full Service Kitchen Type</t>
  </si>
  <si>
    <t>The type of kitchen housed in the facility as defined by whether it prepares food to be served onsite and/or at additional locations.</t>
  </si>
  <si>
    <t>001843</t>
  </si>
  <si>
    <t>BuildingFullServiceKitchenType</t>
  </si>
  <si>
    <t>Building Heating Generation System Type</t>
  </si>
  <si>
    <t>The method by which the heat is distributed and delivered throughout the room(s) or building.</t>
  </si>
  <si>
    <t>001799</t>
  </si>
  <si>
    <t>BuildingHeatingGenerationSystemType</t>
  </si>
  <si>
    <t>Building Historic Status</t>
  </si>
  <si>
    <t>An indication of whether or not a building is eligible to be or has been declared a landmark or historic building.</t>
  </si>
  <si>
    <t>001772</t>
  </si>
  <si>
    <t>BuildingHistoricStatus</t>
  </si>
  <si>
    <t>Building Hours of Public Use Per Week</t>
  </si>
  <si>
    <t>The number of hours that all or part of a building is used for purposes other than general education by the community or other organizations.</t>
  </si>
  <si>
    <t>Integer</t>
  </si>
  <si>
    <t>001856</t>
  </si>
  <si>
    <t>BuildingHoursOfPublicUsePerWeek</t>
  </si>
  <si>
    <t>Building HVAC System Type</t>
  </si>
  <si>
    <t>The building service system that provides for heating, ventilation and air-conditioning.</t>
  </si>
  <si>
    <t>001800</t>
  </si>
  <si>
    <t>BuildingHVACSystemType</t>
  </si>
  <si>
    <t>Building Indoor Athletic or Physical Education Space Type</t>
  </si>
  <si>
    <t>The indoor space designed, located, furnished, and equipped for instruction and support of a physical education curriculum and athletic program.</t>
  </si>
  <si>
    <t>001822</t>
  </si>
  <si>
    <t>BuildingIndoorAthleticOrPhysicalEducationSpaceType</t>
  </si>
  <si>
    <t>Building Institutional Equipment Description</t>
  </si>
  <si>
    <t>Equipment that is installed for use in support of instructional program such as kilns for art, planetarium equipment for astronomy, fitness equipment for physical education.</t>
  </si>
  <si>
    <t>001801</t>
  </si>
  <si>
    <t>BuildingInstitutionalEquipmentDescription</t>
  </si>
  <si>
    <t>Building Instructional Space Factor Type</t>
  </si>
  <si>
    <t>A designation as to whether the space is considered an instructional space under state or local guidelines.</t>
  </si>
  <si>
    <t>001851</t>
  </si>
  <si>
    <t>BuildingInstructionalSpaceFactorType</t>
  </si>
  <si>
    <t>Building Joint Use Rationale Type</t>
  </si>
  <si>
    <t>The reasons for permitting and participating in joint-use.</t>
  </si>
  <si>
    <t>001852</t>
  </si>
  <si>
    <t>BuildingJointUseRationaleType</t>
  </si>
  <si>
    <t>Building Joint Use Scheduling Type</t>
  </si>
  <si>
    <t>The type of designation of non school district users by the amount of time they have access to public school for joint use.</t>
  </si>
  <si>
    <t>001853</t>
  </si>
  <si>
    <t>BuildingJointUseSchedulingType</t>
  </si>
  <si>
    <t>Building Joint User Type</t>
  </si>
  <si>
    <t>The types of users sharing school district controlled, owned, or utilized facilities.</t>
  </si>
  <si>
    <t>001854</t>
  </si>
  <si>
    <t>BuildingJointUserType</t>
  </si>
  <si>
    <t>Building Library or Media Center Specialty Space Type</t>
  </si>
  <si>
    <t>The primary and auxiliary space designed to provide and support student and staff access to books, periodicals, software, videos, and the Internet.</t>
  </si>
  <si>
    <t>001823</t>
  </si>
  <si>
    <t>BuildingLibraryOrMediaCenterSpecialtySpaceType</t>
  </si>
  <si>
    <t>Building Mechanical Conveying System Type</t>
  </si>
  <si>
    <t>Mechanical means for moving people and equipment within buildings.</t>
  </si>
  <si>
    <t>001802</t>
  </si>
  <si>
    <t>BuildingMechanicalConveyingSystemType</t>
  </si>
  <si>
    <t>Building Mechanical System Type</t>
  </si>
  <si>
    <t>The major manufactured systems required to operate a building.</t>
  </si>
  <si>
    <t>001809</t>
  </si>
  <si>
    <t>BuildingMechanicalSystemType</t>
  </si>
  <si>
    <t>Building Net Area of Instructional Space</t>
  </si>
  <si>
    <t>The area of space directly used for instruction excluding circulation, administration, student services, and building support.</t>
  </si>
  <si>
    <t>001857</t>
  </si>
  <si>
    <t>BuildingNetAreaOfInstructionalSpace</t>
  </si>
  <si>
    <t>Building Number of Stories</t>
  </si>
  <si>
    <t>The number of stories in a building, excluding the basement if its ceiling is less than three feet above ground level.</t>
  </si>
  <si>
    <t>001785</t>
  </si>
  <si>
    <t>BuildingNumberOfStories</t>
  </si>
  <si>
    <t>Building Number of Teaching Stations</t>
  </si>
  <si>
    <t>The number of teaching stations, as defined by how many spaces have, or could have, a teacher assigned to them for classroom instruction.</t>
  </si>
  <si>
    <t>001858</t>
  </si>
  <si>
    <t>BuildingNumberOfTeachingStations</t>
  </si>
  <si>
    <t>Building Operations or Maintenance Space Type</t>
  </si>
  <si>
    <t>The area designed primarily for conducting activities concerned with maintaining the grounds, buildings, and equipment.</t>
  </si>
  <si>
    <t>001824</t>
  </si>
  <si>
    <t>BuildingOperationsOrMaintenanceSpaceType</t>
  </si>
  <si>
    <t>Building Outdoor Athletic or Physical Education Space Type</t>
  </si>
  <si>
    <t>The outdoor space designed, located, furnished, and equipped for instruction and support of a physical education curriculum and athletic program.</t>
  </si>
  <si>
    <t>001825</t>
  </si>
  <si>
    <t>BuildingOutdoorAthleticOrPhysicalEducationSpaceType</t>
  </si>
  <si>
    <t>Building Outdoor or Non-athletic Space Type</t>
  </si>
  <si>
    <t>The outdoor space located, designed, furnished, and equipped primarily for recreation, play and outdoor environmental education.</t>
  </si>
  <si>
    <t>001826</t>
  </si>
  <si>
    <t>BuildingOutdoorOrNon-athleticSpaceType</t>
  </si>
  <si>
    <t>Building Performing Arts Specialty Space Type</t>
  </si>
  <si>
    <t>The space designed, located, furnished, and equipped for instruction and support of music and drama curricula and productions.</t>
  </si>
  <si>
    <t>001827</t>
  </si>
  <si>
    <t>BuildingPerformingArtsSpecialtySpaceType</t>
  </si>
  <si>
    <t>Building Plumbing System Type</t>
  </si>
  <si>
    <t>The component of an on-site system for supplying, eliminating, and treating water.</t>
  </si>
  <si>
    <t>001803</t>
  </si>
  <si>
    <t>BuildingPlumbingSystemType</t>
  </si>
  <si>
    <t>Building Primary Use Type</t>
  </si>
  <si>
    <t>The primary use type of the building in which a school is located.</t>
  </si>
  <si>
    <t>001777</t>
  </si>
  <si>
    <t>BuildingPrimaryUseType</t>
  </si>
  <si>
    <t>Building Public Use Policy Description</t>
  </si>
  <si>
    <t>A description of the policy that enables the community or other organizations to use all or part of a building for purposes other than general education.</t>
  </si>
  <si>
    <t>001859</t>
  </si>
  <si>
    <t>BuildingPublicUsePolicyDescription</t>
  </si>
  <si>
    <t>Building School Design Type</t>
  </si>
  <si>
    <t>The physical layout and character of a school facility, as determined by age groups served and educational programs provided.</t>
  </si>
  <si>
    <t>001828</t>
  </si>
  <si>
    <t>BuildingSchoolDesignType</t>
  </si>
  <si>
    <t>Building Science Specialty Space Type</t>
  </si>
  <si>
    <t>The space designed, located, furnished, and equipped for instruction and experimentation in science.</t>
  </si>
  <si>
    <t>001829</t>
  </si>
  <si>
    <t>BuildingScienceSpecialtySpaceType</t>
  </si>
  <si>
    <t>Building Security System Type</t>
  </si>
  <si>
    <t>The type of system that protects the facility from intrusion.</t>
  </si>
  <si>
    <t>001804</t>
  </si>
  <si>
    <t>BuildingSecuritySystemType</t>
  </si>
  <si>
    <t>Building Site Improvement Description</t>
  </si>
  <si>
    <t>A description of the designed and constructed improvements made to a site.</t>
  </si>
  <si>
    <t>001850</t>
  </si>
  <si>
    <t>BuildingSiteImprovementDescription</t>
  </si>
  <si>
    <t>Building Site Number</t>
  </si>
  <si>
    <t>The number of the building on the site, if more than one building shares the same address.</t>
  </si>
  <si>
    <t>000602</t>
  </si>
  <si>
    <t>BuildingSiteNumber</t>
  </si>
  <si>
    <t>Building Site Use Restrictions Type</t>
  </si>
  <si>
    <t>A characterization of a site that would define restrictions or opportunities.</t>
  </si>
  <si>
    <t>001860</t>
  </si>
  <si>
    <t>BuildingSiteUseRestrictionsType</t>
  </si>
  <si>
    <t>Building Space Design Type</t>
  </si>
  <si>
    <t>The primary design or purpose of a space, as determined by its physical layout and built-in systems and equipment, regardless of its current use.</t>
  </si>
  <si>
    <t>001831</t>
  </si>
  <si>
    <t>BuildingSpaceDesignType</t>
  </si>
  <si>
    <t>Building Space Utilization Area</t>
  </si>
  <si>
    <t>The area in square feet measured between the principal wall that faces at or near floor level, including alcove spaces, and the outer limits of space designed to serve the activity. Structural space is excluded.</t>
  </si>
  <si>
    <t>001861</t>
  </si>
  <si>
    <t>BuildingSpaceUtilizationArea</t>
  </si>
  <si>
    <t>Building Special Education Specialty Space Type</t>
  </si>
  <si>
    <t>The space designed, located, furnished, and equipped to support instruction of children with special physical, emotional, and/or educational needs.</t>
  </si>
  <si>
    <t>001832</t>
  </si>
  <si>
    <t>BuildingSpecialEducationSpecialtySpaceType</t>
  </si>
  <si>
    <t>Building Student Support Space Type</t>
  </si>
  <si>
    <t>The space designed to provide student support services such as administrative, technical (e.g., guidance and health), and logistical support to facilitate and enhance instruction.</t>
  </si>
  <si>
    <t>001833</t>
  </si>
  <si>
    <t>BuildingStudentSupportSpaceType</t>
  </si>
  <si>
    <t>Building System Type</t>
  </si>
  <si>
    <t>The type of system that is installed in the building or site.</t>
  </si>
  <si>
    <t>001811</t>
  </si>
  <si>
    <t>BuildingSystemType</t>
  </si>
  <si>
    <t>Building Technology Wiring System Type</t>
  </si>
  <si>
    <t>The means through which voice, video, audio, and data information are conveyed.</t>
  </si>
  <si>
    <t>001807</t>
  </si>
  <si>
    <t>BuildingTechnologyWiringSystemType</t>
  </si>
  <si>
    <t>Building Unassigned Space Indicator</t>
  </si>
  <si>
    <t>An indication that the space in a school, including circulation, administration offices, support spaces, and common areas, is not part of the calculation for capacity.</t>
  </si>
  <si>
    <t>001863</t>
  </si>
  <si>
    <t>BuildingUnassignedSpaceIndicator</t>
  </si>
  <si>
    <t>Building Use Type</t>
  </si>
  <si>
    <t>How a building is principally used, regardless of its original design.</t>
  </si>
  <si>
    <t>001206</t>
  </si>
  <si>
    <t>BuildingUseType</t>
  </si>
  <si>
    <t>Building Vertical Transportation System Type</t>
  </si>
  <si>
    <t>The type of system used to convey persons or freight between floors.</t>
  </si>
  <si>
    <t>001812</t>
  </si>
  <si>
    <t>BuildingVerticalTransportationSystemType</t>
  </si>
  <si>
    <t>Building Year Built</t>
  </si>
  <si>
    <t>The year a building was constructed, as indicated by cornerstone or official government records.</t>
  </si>
  <si>
    <t>YYYY</t>
  </si>
  <si>
    <t>001788</t>
  </si>
  <si>
    <t>BuildingYearBuilt</t>
  </si>
  <si>
    <t>Building Year of Last Modernization</t>
  </si>
  <si>
    <t>The most recent year that a comprehensive upgrade of ALL major building systems and components was completed, such that it functions as a modern building, as measured by a facility condition index not greater than 15%.</t>
  </si>
  <si>
    <t>001789</t>
  </si>
  <si>
    <t>BuildingYearOfLastModernization</t>
  </si>
  <si>
    <t>Calendar Code</t>
  </si>
  <si>
    <t>A unique number assigned by a school district to a school calendar.</t>
  </si>
  <si>
    <t>000494</t>
  </si>
  <si>
    <t>CalendarCode</t>
  </si>
  <si>
    <t>Calendar Description</t>
  </si>
  <si>
    <t>A description or identification of the calendar.</t>
  </si>
  <si>
    <t>000495</t>
  </si>
  <si>
    <t>CalendarDescription</t>
  </si>
  <si>
    <t>Calendar Event Date</t>
  </si>
  <si>
    <t>The date of the scheduled or unscheduled calendar event.</t>
  </si>
  <si>
    <t>K12 -&gt; Calendar -&gt; Event</t>
  </si>
  <si>
    <t>001275</t>
  </si>
  <si>
    <t>CalendarEventDate</t>
  </si>
  <si>
    <t>Calendar Event Day Name</t>
  </si>
  <si>
    <t>A name used for the day of the calendar event.</t>
  </si>
  <si>
    <t>001276</t>
  </si>
  <si>
    <t>CalendarEventDayName</t>
  </si>
  <si>
    <t>Calendar Event Type</t>
  </si>
  <si>
    <t>A type of scheduled or unscheduled calendar event.</t>
  </si>
  <si>
    <t>000603</t>
  </si>
  <si>
    <t>CalendarEventType</t>
  </si>
  <si>
    <t>Campus Residency Type</t>
  </si>
  <si>
    <t>A person's residency arrangement as defined in the Free Application for Federal Student Aid (FAFSA).</t>
  </si>
  <si>
    <t>Postsecondary -&gt; PS Student -&gt; Demographic</t>
  </si>
  <si>
    <t>000035</t>
  </si>
  <si>
    <t>CampusResidencyType</t>
  </si>
  <si>
    <t>Campus Status</t>
  </si>
  <si>
    <t>The generalized use or control of a campus, independent of program type.</t>
  </si>
  <si>
    <t>001778</t>
  </si>
  <si>
    <t>CampusStatus</t>
  </si>
  <si>
    <t>The primary purpose for which a campus is designed and/or used.</t>
  </si>
  <si>
    <t>001897</t>
  </si>
  <si>
    <t>CampusType</t>
  </si>
  <si>
    <t>Cardiopulmonary Resuscitation Certification Expiration Date</t>
  </si>
  <si>
    <t>The date an individual's cardiopulmonary resuscitation (CPR) training certification expires.</t>
  </si>
  <si>
    <t>001059</t>
  </si>
  <si>
    <t>CPR Certification Expiration Date</t>
  </si>
  <si>
    <t>CPRCertificationExpirationDate</t>
  </si>
  <si>
    <t>Career and Technical Education Completer</t>
  </si>
  <si>
    <t>An indication of a student who reached a state-defined threshold of a career and technical education program/pathway.</t>
  </si>
  <si>
    <t>000036</t>
  </si>
  <si>
    <t>CTE Completer</t>
  </si>
  <si>
    <t>CTECompleter</t>
  </si>
  <si>
    <t>Career and Technical Education Concentrator</t>
  </si>
  <si>
    <t>An indication of a student who has met the state-defined threshold of career and technical education concentrators, as defined in the State's approved Perkins IV State Plan.</t>
  </si>
  <si>
    <t>Career and Technical -&gt; CTE Student -&gt; Program Participation
Postsecondary -&gt; PS Student -&gt; CTE</t>
  </si>
  <si>
    <t>000037</t>
  </si>
  <si>
    <t>CTE Concentrator</t>
  </si>
  <si>
    <t>CTEConcentrator</t>
  </si>
  <si>
    <t>K-12 -&gt; EDFacts
K-12 -&gt; High School Generated Transcript
K-12 -&gt; LEA-to-LEA Student Record Exchange
K-12 -&gt; LEA-to-SEA Student Record Exchange</t>
  </si>
  <si>
    <t>Career and Technical Education Graduation Rate Inclusion</t>
  </si>
  <si>
    <t>An indication of how CTE concentrators are included in the state's computation of its graduation rate.</t>
  </si>
  <si>
    <t>K12 -&gt; SEA -&gt; Accountability</t>
  </si>
  <si>
    <t>000075</t>
  </si>
  <si>
    <t>CTE Graduation Rate Inclusion</t>
  </si>
  <si>
    <t>CTEGraduationRateInclusion</t>
  </si>
  <si>
    <t>Career and Technical Education Instructor Industry Certification</t>
  </si>
  <si>
    <t>An indication of whether a Career and Technical Education (CTE) instructor holds a current industry-recognized credential related to their teaching field.</t>
  </si>
  <si>
    <t>Career and Technical -&gt; CTE Staff -&gt; Credential or License
K12 -&gt; K12 Staff -&gt; Credential or License
Postsecondary -&gt; PS Staff -&gt; Credential or License</t>
  </si>
  <si>
    <t>001318</t>
  </si>
  <si>
    <t>CTE Instructor Industry Certification</t>
  </si>
  <si>
    <t>CTEInstructorIndustryCertification</t>
  </si>
  <si>
    <t>Career and Technical Education Nontraditional Completion</t>
  </si>
  <si>
    <t>An indication that the CTE student has completed a CTE program in a nontraditional field (where one gender comprises less than 25 percent of the persons employed in those occupations or fields of work).</t>
  </si>
  <si>
    <t>Career and Technical -&gt; CTE Student -&gt; Academic Record
Postsecondary -&gt; PS Student -&gt; CTE</t>
  </si>
  <si>
    <t>000593</t>
  </si>
  <si>
    <t>CTE Nontraditional Completion</t>
  </si>
  <si>
    <t>CTENontraditionalCompletion</t>
  </si>
  <si>
    <t>Career and Technical Education Participant</t>
  </si>
  <si>
    <t>An indication a student has met the state-defined threshold of Career and Technical Education participation as defined in the State's approved Perkins IV State Plan.</t>
  </si>
  <si>
    <t>000592</t>
  </si>
  <si>
    <t>CTE Participant</t>
  </si>
  <si>
    <t>CTEParticipant</t>
  </si>
  <si>
    <t>Career Cluster</t>
  </si>
  <si>
    <t>The career cluster that defines the industry or occupational focus which may be associated with a career pathways program, plan of study, or course.</t>
  </si>
  <si>
    <t>001288</t>
  </si>
  <si>
    <t>CareerCluster</t>
  </si>
  <si>
    <t>Career Education Plan Date</t>
  </si>
  <si>
    <t>The date on which an individual's professional development career plan was last updated.</t>
  </si>
  <si>
    <t>001289</t>
  </si>
  <si>
    <t>CareerEducationPlanDate</t>
  </si>
  <si>
    <t>Career Education Plan Type</t>
  </si>
  <si>
    <t>An indication of whether an individual completed an individualized guidance and counseling plan</t>
  </si>
  <si>
    <t>001290</t>
  </si>
  <si>
    <t>CareerEducationPlanType</t>
  </si>
  <si>
    <t>Career Pathways Program Participation Exit Date</t>
  </si>
  <si>
    <t>The year, month and day on which the person ceased to participate in a program.</t>
  </si>
  <si>
    <t>Adult Education -&gt; AE Student -&gt; Program Participation
Career and Technical -&gt; CTE Student -&gt; Program Participation
Postsecondary -&gt; PS Student -&gt; CTE
Workforce -&gt; Workforce Program Participant -&gt; Program Participation</t>
  </si>
  <si>
    <t>001583</t>
  </si>
  <si>
    <t>CareerPathwaysProgramParticipationExitDate</t>
  </si>
  <si>
    <t>Career Pathways Program Participation Indicator</t>
  </si>
  <si>
    <t>An indication of an individual who is participating in a program that is a component of or leads to a specific or recognized career pathway, as defined by the state.</t>
  </si>
  <si>
    <t>001291</t>
  </si>
  <si>
    <t>CareerPathwaysProgramParticipationIndicator</t>
  </si>
  <si>
    <t>Career Pathways Program Participation Start Date</t>
  </si>
  <si>
    <t>The year, month and day on which the person began to participate in a career pathway program.</t>
  </si>
  <si>
    <t>001584</t>
  </si>
  <si>
    <t>CareerPathwaysProgramParticipationStartDate</t>
  </si>
  <si>
    <t>Career Technical Education Nontraditional Gender Status</t>
  </si>
  <si>
    <t>An indication of whether CTE participants were members of an underrepresented gender group (where one gender comprises less than 25 percent of the persons employed in those occupations or field of work).</t>
  </si>
  <si>
    <t>000588</t>
  </si>
  <si>
    <t>CTE Nontraditional Gender Status</t>
  </si>
  <si>
    <t>CTENontraditionalGenderStatus</t>
  </si>
  <si>
    <t>Career-Technical-Adult Education Displaced Homemaker Indicator</t>
  </si>
  <si>
    <t>Adult Education -&gt; AE Student -&gt; Status
Career and Technical -&gt; CTE Student -&gt; Program Participation
Postsecondary -&gt; PS Student -&gt; CTE</t>
  </si>
  <si>
    <t>000084</t>
  </si>
  <si>
    <t>CTE-AE Displaced Homemaker Indicator</t>
  </si>
  <si>
    <t>CTEAEDisplacedHomemakerIndicator</t>
  </si>
  <si>
    <t>Carnegie Basic Classification</t>
  </si>
  <si>
    <t>The Basic Classification is an update of the traditional classification framework developed by the Carnegie Commission on Higher Education in 1970 to support its research program, and later published in 1973 for use by other researchers.</t>
  </si>
  <si>
    <t>Postsecondary -&gt; PS Institution -&gt; Directory</t>
  </si>
  <si>
    <t>000038</t>
  </si>
  <si>
    <t>CarnegieBasicClassification</t>
  </si>
  <si>
    <t>K-12 -&gt; High School Feedback Report
Postsecondary Education -&gt; Transition</t>
  </si>
  <si>
    <t>Charter School Approval Year</t>
  </si>
  <si>
    <t>The school year in which a charter school was initially approved.</t>
  </si>
  <si>
    <t>001293</t>
  </si>
  <si>
    <t>CharterSchoolApprovalYear</t>
  </si>
  <si>
    <t>Charter School Authorizer Type</t>
  </si>
  <si>
    <t>The type of agency that authorized the establishment or continuation of a charter school.</t>
  </si>
  <si>
    <t>K12 -&gt; K12 School -&gt; Directory -&gt; Charter School Authorizer</t>
  </si>
  <si>
    <t>001292</t>
  </si>
  <si>
    <t>CharterSchoolAuthorizerType</t>
  </si>
  <si>
    <t>Charter School Contract Approval Date</t>
  </si>
  <si>
    <t>The effective date of the contract (or charter) that an approved charter school authorizer authorized the charter school to operate in the state under the state's charter school legislation.</t>
  </si>
  <si>
    <t>001652</t>
  </si>
  <si>
    <t>CharterSchoolContractApprovalDate</t>
  </si>
  <si>
    <t>Charter School Contract Id Number</t>
  </si>
  <si>
    <t>The unique number the SEA assigns to the contract (or charter) that authorizes the charter school to operate in the state under the state's charter school legislation.</t>
  </si>
  <si>
    <t>001651</t>
  </si>
  <si>
    <t>CharterSchoolContractIdNumber</t>
  </si>
  <si>
    <t>Charter School Contract Renewal Date</t>
  </si>
  <si>
    <t>The date by which the charter school must renew its contract (or charter) with an approved charter school authorizer in order to continue to operate in the state under the state's charter school legislation.</t>
  </si>
  <si>
    <t>001653</t>
  </si>
  <si>
    <t>CharterSchoolContractRenewalDate</t>
  </si>
  <si>
    <t>Charter School Indicator</t>
  </si>
  <si>
    <t>An indication that a public school provides free public elementary and/or secondary education to eligible students under a specific charter executed, pursuant to a state charter school law, by an authorized chartering agency/authority and that is designated by such authority to be a public charter school.</t>
  </si>
  <si>
    <t>K12 -&gt; K12 School -&gt; Directory
K12 -&gt; LEA -&gt; Directory</t>
  </si>
  <si>
    <t>When the element is used for an LEA, it means the LEA is a Charter District meaning any and all schools under the authority of the LEA are charter schools. Don't flag an LEA as a charter district if it has a mix of charter schools and non-charter schools.</t>
  </si>
  <si>
    <t>000039</t>
  </si>
  <si>
    <t>CharterSchoolIndicator</t>
  </si>
  <si>
    <t>Charter School Management Organization Type</t>
  </si>
  <si>
    <t>The type of organization that is a separate legal entity that 1) contracts with one or more charter schools to manage, operate, and oversee the charter schools; or 2) holds a charter, or charters, to operate multiple charter schools.</t>
  </si>
  <si>
    <t>K12 -&gt; K12 School -&gt; Directory -&gt; Charter School Management Organization
K12 -&gt; Organization -&gt; Identification</t>
  </si>
  <si>
    <t>001650</t>
  </si>
  <si>
    <t>CharterSchoolManagementOrganizationType</t>
  </si>
  <si>
    <t>Charter School Open Enrollment Indicator</t>
  </si>
  <si>
    <t>Indicates that the charter school offers open enrollment.</t>
  </si>
  <si>
    <t>001548</t>
  </si>
  <si>
    <t>CharterSchoolOpenEnrollmentIndicator</t>
  </si>
  <si>
    <t>Charter School Type</t>
  </si>
  <si>
    <t>The category of charter school.</t>
  </si>
  <si>
    <t>000710</t>
  </si>
  <si>
    <t>CharterSchoolType</t>
  </si>
  <si>
    <t>Child Development Associate Type</t>
  </si>
  <si>
    <t>Type of Child Development Associate credential as defined by options.</t>
  </si>
  <si>
    <t>000806</t>
  </si>
  <si>
    <t>CDA Type</t>
  </si>
  <si>
    <t>ChildDevelopmentAssociateType</t>
  </si>
  <si>
    <t>Child Developmental Screening Status</t>
  </si>
  <si>
    <t>The result of a brief standardized screening tool aiding in the identification of children at risk of a developmental delay/disorder.</t>
  </si>
  <si>
    <t>000314</t>
  </si>
  <si>
    <t>ChildDevelopmentalScreeningStatus</t>
  </si>
  <si>
    <t>Early Learning -&gt; Program Compliance</t>
  </si>
  <si>
    <t>Child Identification System</t>
  </si>
  <si>
    <t>A coding scheme that is used for identification and record-keeping purposes by programs, schools, social services, or other agencies to refer to a child.</t>
  </si>
  <si>
    <t>000785</t>
  </si>
  <si>
    <t>ChildIdentificationSystem</t>
  </si>
  <si>
    <t>Early Learning -&gt; Access to Services
Early Learning -&gt; Program Quality
Early Learning -&gt; Staff Quality
School Readiness</t>
  </si>
  <si>
    <t>Child Identifier</t>
  </si>
  <si>
    <t>A unique number or alphanumeric code assigned to a child by a school, school system, a state, or other agency or entity.</t>
  </si>
  <si>
    <t>001080</t>
  </si>
  <si>
    <t>ChildIdentifier</t>
  </si>
  <si>
    <t>Child Outcomes Summary Progress A Indicator</t>
  </si>
  <si>
    <t>Indicates that the child demonstrates progress in positive social-emotional skills, including social relationships.</t>
  </si>
  <si>
    <t>001504</t>
  </si>
  <si>
    <t>COS Progress A Indicator</t>
  </si>
  <si>
    <t>COSProgressAIndicator</t>
  </si>
  <si>
    <t>Child Outcomes Summary Progress B Indicator</t>
  </si>
  <si>
    <t>Indicates that the child demonstrates progress in acquisition and use of knowledge and skills, including early language/communication.</t>
  </si>
  <si>
    <t>001505</t>
  </si>
  <si>
    <t>COS Progress B Indicator</t>
  </si>
  <si>
    <t>COSProgressBIndicator</t>
  </si>
  <si>
    <t>Child Outcomes Summary Progress C Indicator</t>
  </si>
  <si>
    <t>Indicates that the child demonstrates progress in use of appropriate behaviors to meet their needs.</t>
  </si>
  <si>
    <t>001506</t>
  </si>
  <si>
    <t>COS Progress C Indicator</t>
  </si>
  <si>
    <t>COSProgressCIndicator</t>
  </si>
  <si>
    <t>Child Outcomes Summary Rating A</t>
  </si>
  <si>
    <t>Child's level of functioning in positive social-emotional skills (including social relationships).</t>
  </si>
  <si>
    <t>001507</t>
  </si>
  <si>
    <t>COS Rating A</t>
  </si>
  <si>
    <t>COSRatingA</t>
  </si>
  <si>
    <t>Child Outcomes Summary Rating B</t>
  </si>
  <si>
    <t>Child's level of functioning in the acquisition and use of knowledge and skills (including early language/communication.</t>
  </si>
  <si>
    <t>001508</t>
  </si>
  <si>
    <t>COS Rating B</t>
  </si>
  <si>
    <t>COSRatingB</t>
  </si>
  <si>
    <t>Child Outcomes Summary Rating C</t>
  </si>
  <si>
    <t>Child's level of functioning in the use of appropriate behaviors to meet their needs.</t>
  </si>
  <si>
    <t>001509</t>
  </si>
  <si>
    <t>COS Rating C</t>
  </si>
  <si>
    <t>COSRatingC</t>
  </si>
  <si>
    <t>City of Birth</t>
  </si>
  <si>
    <t>K12 -&gt; K12 Student -&gt; Demographic</t>
  </si>
  <si>
    <t>000426</t>
  </si>
  <si>
    <t>CityOfBirth</t>
  </si>
  <si>
    <t>Class Beginning Time</t>
  </si>
  <si>
    <t>An indication of the time of day the class begins.</t>
  </si>
  <si>
    <t>000519</t>
  </si>
  <si>
    <t>ClassBeginningTime</t>
  </si>
  <si>
    <t>Early Learning -&gt; Access to Services
Early Learning -&gt; Program Quality</t>
  </si>
  <si>
    <t>Class Ending Time</t>
  </si>
  <si>
    <t>An indication of the time of day the class ends.</t>
  </si>
  <si>
    <t>000520</t>
  </si>
  <si>
    <t>ClassEndingTime</t>
  </si>
  <si>
    <t>Class Meeting Days</t>
  </si>
  <si>
    <t>The day(s) of the week (e.g., Monday, Wednesday) that the class meets or an indication that a class meets "out-of-school" or "self-paced".</t>
  </si>
  <si>
    <t>Adult Education -&gt; Course Section
Career and Technical -&gt; Course Section
K12 -&gt; Course Section</t>
  </si>
  <si>
    <t>000521</t>
  </si>
  <si>
    <t>ClassMeetingDays</t>
  </si>
  <si>
    <t>Class Period</t>
  </si>
  <si>
    <t>An indication of the portion of a typical daily session in which students receive instruction in a specified subject (e.g., morning, sixth period, block period, or AB schedules).</t>
  </si>
  <si>
    <t>000522</t>
  </si>
  <si>
    <t>ClassPeriod</t>
  </si>
  <si>
    <t>Class Ranking Date</t>
  </si>
  <si>
    <t>The date class ranking was determined.</t>
  </si>
  <si>
    <t>YYYY-MM-DD or YYYY-MM or YYYY</t>
  </si>
  <si>
    <t>000042</t>
  </si>
  <si>
    <t>ClassRankingDate</t>
  </si>
  <si>
    <t>Classification of Instructional Program Code</t>
  </si>
  <si>
    <t>A six-digit code in the form xx.xxxx that identifies instructional program specialties within educational institutions.</t>
  </si>
  <si>
    <t>000043</t>
  </si>
  <si>
    <t>CIP Code</t>
  </si>
  <si>
    <t>CIPCode</t>
  </si>
  <si>
    <t>Classification of Instructional Program Use</t>
  </si>
  <si>
    <t>An indicator of whether the CIP Code is referencing an enrollment program or an award program.</t>
  </si>
  <si>
    <t>Adult Education -&gt; AE Student -&gt; Academic Record -&gt; Academic Award
Career and Technical -&gt; CTE Student -&gt; Academic Record -&gt; Academic Award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</si>
  <si>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000044</t>
  </si>
  <si>
    <t>CIP Use</t>
  </si>
  <si>
    <t>CIPUse</t>
  </si>
  <si>
    <t>Classification of Instructional Program Version</t>
  </si>
  <si>
    <t>The version of CIP being reported.</t>
  </si>
  <si>
    <t>000045</t>
  </si>
  <si>
    <t>CIP Version</t>
  </si>
  <si>
    <t>CIPVersion</t>
  </si>
  <si>
    <t>Classroom Identifier</t>
  </si>
  <si>
    <t>A unique number or alphanumeric code assigned to a room by a school, school system, state, or other agency or entity.</t>
  </si>
  <si>
    <t>000364</t>
  </si>
  <si>
    <t>ClassroomIdentifier</t>
  </si>
  <si>
    <t>Classroom Position Type</t>
  </si>
  <si>
    <t>The type of position the staff member holds in the specific course section.</t>
  </si>
  <si>
    <t>000622</t>
  </si>
  <si>
    <t>ClassroomPositionType</t>
  </si>
  <si>
    <t>Cohort Description</t>
  </si>
  <si>
    <t>A description of the student cohort.</t>
  </si>
  <si>
    <t>000711</t>
  </si>
  <si>
    <t>CohortDescription</t>
  </si>
  <si>
    <t>Cohort Exclusion</t>
  </si>
  <si>
    <t>Those persons who may be removed (deleted) from a cohort (or subcohort). For the Graduation Rates and Fall Enrollment retention rate reporting, persons may be removed from a cohort if they left the institution for one of the following reasons: death or total and permanent disability; service in the armed forces (including those called to active duty); service with a foreign aid service of the federal government, such as the Peace Corps; or service on official church missions.</t>
  </si>
  <si>
    <t>Postsecondary -&gt; PS Student -&gt; Institution Enrollment</t>
  </si>
  <si>
    <t>000106</t>
  </si>
  <si>
    <t>CohortExclusion</t>
  </si>
  <si>
    <t>Cohort Graduation Year</t>
  </si>
  <si>
    <t>000584</t>
  </si>
  <si>
    <t>CohortGraduationYear</t>
  </si>
  <si>
    <t>K-12 -&gt; EDFacts
Persistence and Attainment of Nontraditional Students</t>
  </si>
  <si>
    <t>Cohort Year</t>
  </si>
  <si>
    <t>The school year in which the student entered the baseline group used for computing completion rates (e.g., high school, program).</t>
  </si>
  <si>
    <t>K12 -&gt; K12 Student -&gt; Enrollment
Postsecondary -&gt; PS Student -&gt; K12 Transcript</t>
  </si>
  <si>
    <t>000046</t>
  </si>
  <si>
    <t>CohortYear</t>
  </si>
  <si>
    <t>Community-based Type</t>
  </si>
  <si>
    <t>Non domestic residence in which the early learning setting is located.</t>
  </si>
  <si>
    <t>001633</t>
  </si>
  <si>
    <t>CommunityBasedType</t>
  </si>
  <si>
    <t>Competency Association Connection Citation</t>
  </si>
  <si>
    <t>Any citation appropriate to evidence the connection between nodes</t>
  </si>
  <si>
    <t>Competencies -&gt; Competency Definition -&gt; Competency Association</t>
  </si>
  <si>
    <t>001402</t>
  </si>
  <si>
    <t>Learning Standard Item Association Connection Citation</t>
  </si>
  <si>
    <t>CompetencyAssociationConnectionCitation</t>
  </si>
  <si>
    <t>Competency Association Destination Node Name</t>
  </si>
  <si>
    <t>Name of the destination node when the Competency Association is used as a connector in a learning map.</t>
  </si>
  <si>
    <t>001403</t>
  </si>
  <si>
    <t>Learning Standard Item Association Destination Node Name</t>
  </si>
  <si>
    <t>CompetencyAssociationDestinationNodeName</t>
  </si>
  <si>
    <t>Competency Association Destination Node URI</t>
  </si>
  <si>
    <t>URI of the destination node when the Competency Association is used as a connector in a learning map.</t>
  </si>
  <si>
    <t>001404</t>
  </si>
  <si>
    <t>Learning Standard Item Association Destination Node URI</t>
  </si>
  <si>
    <t>CompetencyAssociationDestinationNodeURI</t>
  </si>
  <si>
    <t>Competency Association Identifier URI</t>
  </si>
  <si>
    <t>A URI that establishes uniqueness of an association between a competency definition and another competency item or other objects such as learning resources.</t>
  </si>
  <si>
    <t>Competencies -&gt; Competency Definition -&gt; Competency Association
Learning Resources -&gt; Learning Resource</t>
  </si>
  <si>
    <t>000871</t>
  </si>
  <si>
    <t>Learning Standard Item Association Identifier URI</t>
  </si>
  <si>
    <t>CompetencyAssociationIdentifierURI</t>
  </si>
  <si>
    <t>Competency Association Origin Node Name</t>
  </si>
  <si>
    <t>Name of the origin node when the Competency Association is used as a connector in a learning map.</t>
  </si>
  <si>
    <t>001405</t>
  </si>
  <si>
    <t>Learning Standard Item Association Origin Node Name</t>
  </si>
  <si>
    <t>CompetencyAssociationOriginNodeName</t>
  </si>
  <si>
    <t>Competency Association Origin Node URI</t>
  </si>
  <si>
    <t>URI of the origin node when the Competency Association is used as a connector in a learning map.</t>
  </si>
  <si>
    <t>001406</t>
  </si>
  <si>
    <t>Learning Standard Item Association Origin Node URI</t>
  </si>
  <si>
    <t>CompetencyAssociationOriginNodeURI</t>
  </si>
  <si>
    <t>Competency Association Type</t>
  </si>
  <si>
    <t>Defines the nature of the association between a Competency Definition and an associated data object such as a Learning Resource, an Assessment Item, or even another Competency Definition.</t>
  </si>
  <si>
    <t>000869</t>
  </si>
  <si>
    <t>Learning Standard Item Association Type</t>
  </si>
  <si>
    <t>CompetencyAssociationType</t>
  </si>
  <si>
    <t>Competency Association Weight</t>
  </si>
  <si>
    <t>Indicates the relative significance this connection has for the destination node in a learning map.</t>
  </si>
  <si>
    <t>Numeric - up to 3 digits after decimal place</t>
  </si>
  <si>
    <t>This element is used to support learning maps and may be used in two ways 1) use a 1.000 to flag incoming nodes as important prerequisites/predecessors and 0.000 to indicate those with less significance, or 2) to indicate a levels of significance for the connection as a decimal between 0.000 and 1.000.</t>
  </si>
  <si>
    <t>001407</t>
  </si>
  <si>
    <t>Learning Standard Item Association Weight</t>
  </si>
  <si>
    <t>CompetencyAssociationWeight</t>
  </si>
  <si>
    <t>Competency Definition Blooms Taxonomy Domain</t>
  </si>
  <si>
    <t>Competencies -&gt; Competency Definition</t>
  </si>
  <si>
    <t>000875</t>
  </si>
  <si>
    <t>Learning Standard Item Blooms Taxonomy Domain, Competency Item Blooms Taxonomy Domain</t>
  </si>
  <si>
    <t>CompetencyDefinitionBloomsTaxonomyDomain</t>
  </si>
  <si>
    <t>Competency Definition Code</t>
  </si>
  <si>
    <t>A human-referenceable code designated by the publisher to identify the item in the hierarchy of competency definitions.</t>
  </si>
  <si>
    <t>Competencies -&gt; Competency Definition
K12 -&gt; K12 Student -&gt; Individualized Program -&gt; Goal
K12 -&gt; K12 Student -&gt; Individualized Program -&gt; Progress Report -&gt; Goal</t>
  </si>
  <si>
    <t>000692</t>
  </si>
  <si>
    <t>Learning Standard Item Code, Competency Item Code</t>
  </si>
  <si>
    <t>CompetencyDefinitionCode</t>
  </si>
  <si>
    <t>Competency Definition Concept Keyword</t>
  </si>
  <si>
    <t>The significant topicality of the competency definition using free-text keywords and phrases.</t>
  </si>
  <si>
    <t>000887</t>
  </si>
  <si>
    <t>Learning Standard Item Concept Keyword, Competency Item Concept Keyword</t>
  </si>
  <si>
    <t>CompetencyDefinitionConceptKeyword</t>
  </si>
  <si>
    <t>Competency Definition Concept Term</t>
  </si>
  <si>
    <t>The topicality of the competency definition, e.g. "Pythagorean Theorem," "Trigonometric functions," "Forces and energy," "Scientific method," "Oral history," etc.</t>
  </si>
  <si>
    <t>000888</t>
  </si>
  <si>
    <t>Learning Standard Item Concept Term, Competency Item Concept Term</t>
  </si>
  <si>
    <t>CompetencyDefinitionConceptTerm</t>
  </si>
  <si>
    <t>Competency Definition Current Version Indicator</t>
  </si>
  <si>
    <t>Indicates that this is the most current version of the Competency Definition.</t>
  </si>
  <si>
    <t>This element supports version histories at the statement level. If corrections have been made to individual items/statements that are not part of a new Competency Framework, the elements 'Competency Definition Previous Version Identifier' and 'Competency Definition Current Version Indicator' provide a reference to historical versions of the current statement. In such uses the 'Competency Definition Code' could be the same for multiple versions of a statement and 'Competency Definition URL' could resolve to the most current version of the statement.</t>
  </si>
  <si>
    <t>001525</t>
  </si>
  <si>
    <t>Learning Standard Item Current Version Indicator, Competency Item Current Version Indicator</t>
  </si>
  <si>
    <t>CompetencyDefinitionCurrentVersionIndicator</t>
  </si>
  <si>
    <t>Competency Definition Education Level</t>
  </si>
  <si>
    <t>The education level, grade level or primary instructional level at which a Competency Definition is intended.</t>
  </si>
  <si>
    <t>More than one Learning Standard Grade Level may be associated with one Learning Standard Item.</t>
  </si>
  <si>
    <t>000725</t>
  </si>
  <si>
    <t>Learning Standard Item Education Level, Competency Item Education Level</t>
  </si>
  <si>
    <t>CompetencyDefinitionEducationLevel</t>
  </si>
  <si>
    <t>Competency Definition Identifier</t>
  </si>
  <si>
    <t>The globally unique identifier (GUID) issued by the publisher of the competency framework that uniquely identifies the definition in the hierarchy of competency definitions using a RFC 4122 compliant 32-character hexadecimal string, such as 21EC2020-3AEA-1069-A2DD-08002B30309D.</t>
  </si>
  <si>
    <t>000689</t>
  </si>
  <si>
    <t>Learning Standard Item Identifier, Competency Item Identifier</t>
  </si>
  <si>
    <t>CompetencyDefinitionIdentifier</t>
  </si>
  <si>
    <t>Competency Definition Language</t>
  </si>
  <si>
    <t>The default language of the text used for the content in the competency definition statement.</t>
  </si>
  <si>
    <t>000881</t>
  </si>
  <si>
    <t>Learning Standard Item Language, Competency Item Language</t>
  </si>
  <si>
    <t>CompetencyDefinitionLanguage</t>
  </si>
  <si>
    <t>Competency Definition License</t>
  </si>
  <si>
    <t>The full text or URL reference to a legal document giving official permission to do something with the competency definition statement.</t>
  </si>
  <si>
    <t>000883</t>
  </si>
  <si>
    <t>Learning Standard Item License, Competency Item License</t>
  </si>
  <si>
    <t>CompetencyDefinitionLicense</t>
  </si>
  <si>
    <t>Competency Definition Multiple Intelligence</t>
  </si>
  <si>
    <t>Classification of the Competency Definition using intelligences defined for Howard Earl Gardner's Theory of Multiple Intelligences.</t>
  </si>
  <si>
    <t>000876</t>
  </si>
  <si>
    <t>Learning Standard Item Multiple Intelligence, Competency Item Multiple Intelligence</t>
  </si>
  <si>
    <t>CompetencyDefinitionMultipleIntelligence</t>
  </si>
  <si>
    <t>Competency Definition Node Accessibility Profile</t>
  </si>
  <si>
    <t>When the Competency Definition is used as a node in a learning map, this element supports alternative pathways based on a learner's accessibility profile. The type selected indicates which accessibility profile the node is designed to address.</t>
  </si>
  <si>
    <t>001408</t>
  </si>
  <si>
    <t>Learning Standard Item Node Accessibility Profile, Competency Item Node Accessibility Profile</t>
  </si>
  <si>
    <t>CompetencyDefinitionNodeAccessibilityProfile</t>
  </si>
  <si>
    <t>Competency Definition Notes</t>
  </si>
  <si>
    <t>Information about the derivation of a Competency Definition Statement.</t>
  </si>
  <si>
    <t>001249</t>
  </si>
  <si>
    <t>Learning Standard Item Notes, Competency Item Notes</t>
  </si>
  <si>
    <t>CompetencyDefinitionNotes</t>
  </si>
  <si>
    <t>Competency Definition Parent Code</t>
  </si>
  <si>
    <t>A human-referenceable code designated by the publisher to identify the parent item in the hierarchy of competency definitions.</t>
  </si>
  <si>
    <t>000873</t>
  </si>
  <si>
    <t>Learning Standard Item Parent Code, Competency Item Parent Code</t>
  </si>
  <si>
    <t>CompetencyDefinitionParentCode</t>
  </si>
  <si>
    <t>Competency Definition Parent Identifier</t>
  </si>
  <si>
    <t>The globally unique identifier (GUID) issued by the publisher of the competency framework that uniquely identifies the parent item in the hierarchy of competency definitions using a RFC 4122 compliant 32-character hexadecimal string, such as 21EC2020-3AEA-1069-A2DD-08002B30309D.</t>
  </si>
  <si>
    <t>000872</t>
  </si>
  <si>
    <t>Learning Standard Item Parent Identifier, Competency Item Parent Identifier</t>
  </si>
  <si>
    <t>CompetencyDefinitionParentIdentifier</t>
  </si>
  <si>
    <t>Competency Definition Parent URL</t>
  </si>
  <si>
    <t>A network-resolvable Uniform Resource Locator (URL) pointing to the authoritative reference for the hierarchal parent of the competency definition.</t>
  </si>
  <si>
    <t>001094</t>
  </si>
  <si>
    <t>Learning Standard Item Parent URL, Competency Item Parent URL</t>
  </si>
  <si>
    <t>CompetencyDefinitionParentURL</t>
  </si>
  <si>
    <t>Competency Definition Prerequisite Identifier</t>
  </si>
  <si>
    <t>The unique identifier of an immediate prerequisite Competency Definition, a competency needed prior to learning this one. (Some items may have no prerequisites while others may have one or more prerequisites. This should only be used to represent the immediate predecessors in a competency-based pathway, i.e. not prerequisites of prerequisites.)</t>
  </si>
  <si>
    <t>Learning Standard Item Prerequisite Identifier, Competency Item Prerequisite Identifier</t>
  </si>
  <si>
    <t>CompetencyDefinitionPrerequisiteIdentifier</t>
  </si>
  <si>
    <t>Competency Definition Previous Version Identifier</t>
  </si>
  <si>
    <t>The unique identifier of the previous version of the Competency Definition if the statement was modified.</t>
  </si>
  <si>
    <t>001524</t>
  </si>
  <si>
    <t>Learning Standard Item Previous Version Identifier, Competency Item Previous Version Identifier</t>
  </si>
  <si>
    <t>CompetencyDefinitionPreviousVersionIdentifier</t>
  </si>
  <si>
    <t>Competency Definition Sequence</t>
  </si>
  <si>
    <t>A set of one or more alphanumeric characters and/or symbols denoting the positioning of the statement being described in a sequential listing of statements.</t>
  </si>
  <si>
    <t>Based on ASN's ListID. (add reference URL)</t>
  </si>
  <si>
    <t>001570</t>
  </si>
  <si>
    <t>Learning Standard Item Sequence, Competency Item Sequence</t>
  </si>
  <si>
    <t>CompetencyDefinitionSequence</t>
  </si>
  <si>
    <t>Competency Definition Short Name</t>
  </si>
  <si>
    <t>The short name or label for the competency definition or its node in a competency framework.</t>
  </si>
  <si>
    <t>001409</t>
  </si>
  <si>
    <t>Learning Standard Item Node Name, Competency Item Node Name</t>
  </si>
  <si>
    <t>CompetencyDefinitionShortName</t>
  </si>
  <si>
    <t>Competency Definition Statement</t>
  </si>
  <si>
    <t>The text of the statement. The textual content that either describes a specific competency or describes a less granular group of competencies within the taxonomy of the competency framework.</t>
  </si>
  <si>
    <t>000690</t>
  </si>
  <si>
    <t>Learning Standard Item Statement, Competency Item Statement</t>
  </si>
  <si>
    <t>CompetencyDefinitionStatement</t>
  </si>
  <si>
    <t>Competency Definition Testability Type</t>
  </si>
  <si>
    <t>Indicates if the competency described in the Competency Definition Statement can be tested using one or more assessment items.</t>
  </si>
  <si>
    <t>001411</t>
  </si>
  <si>
    <t>Learning Standard Item Testability Type, Competency Item Testability Type</t>
  </si>
  <si>
    <t>CompetencyDefinitionTestabilityType</t>
  </si>
  <si>
    <t>Competency Definition Text Complexity Maximum Value</t>
  </si>
  <si>
    <t>The maximum value in the range of text complexity applicable to a language competency definition using the scaling system defined by Text Complexity System, e.g. Lexile(tm).</t>
  </si>
  <si>
    <t>001155</t>
  </si>
  <si>
    <t>Learning Standard Item Text Complexity Maximum Value, Competency Item Text Complexity Maximum Value</t>
  </si>
  <si>
    <t>CompetencyDefinitionTextComplexityMaximumValue</t>
  </si>
  <si>
    <t>Competency Definition Text Complexity Minimum Value</t>
  </si>
  <si>
    <t>The minimum value in the range of text complexity applicable to a language competency definition using the scaling system defined by Text Complexity System, e.g. Lexile(tm).</t>
  </si>
  <si>
    <t>001154</t>
  </si>
  <si>
    <t>Learning Standard Item Text Complexity Minimum Value, Competency Item Text Complexity Minimum Value</t>
  </si>
  <si>
    <t>CompetencyDefinitionTextComplexityMinimumValue</t>
  </si>
  <si>
    <t>Competency Definition Text Complexity System</t>
  </si>
  <si>
    <t>The scaling system used to specify the text complexity of a competency item.</t>
  </si>
  <si>
    <t>000910</t>
  </si>
  <si>
    <t>Learning Standard Item Text Complexity System, Competency Item Text Complexity System</t>
  </si>
  <si>
    <t>CompetencyDefinitionTextComplexitySystem</t>
  </si>
  <si>
    <t>Competency Definition Type</t>
  </si>
  <si>
    <t>The class of statement in the structure of statements in the Competency Framework according to a controlled vocabulary, specified as a textual label.</t>
  </si>
  <si>
    <t>000691</t>
  </si>
  <si>
    <t>Learning Standard Item Type, Competency Item Type</t>
  </si>
  <si>
    <t>CompetencyDefinitionType</t>
  </si>
  <si>
    <t>Competency Definition Type URL</t>
  </si>
  <si>
    <t>The class of statement in the structure of statements in the Competency Framework according to a controlled vocabulary, specified as a URI referencing a controlled vocabulary.</t>
  </si>
  <si>
    <t>001757</t>
  </si>
  <si>
    <t>Competency Item Type URL</t>
  </si>
  <si>
    <t>CompetencyDefinitionTypeURL</t>
  </si>
  <si>
    <t>Competency Definition Typical Age Range Maximum</t>
  </si>
  <si>
    <t>The typical maximum age at which a person learns the defined competency.</t>
  </si>
  <si>
    <t>Use this element with "Competency Definition Typical Age Range Minimum" instead of "Competency Item Typical Age Range"</t>
  </si>
  <si>
    <t>001909</t>
  </si>
  <si>
    <t>CompetencyDefinitionTypicalAgeRangeMaximum</t>
  </si>
  <si>
    <t>Competency Definition Typical Age Range Minimum</t>
  </si>
  <si>
    <t>The typical minimum age at which a person learns the defined competency.</t>
  </si>
  <si>
    <t>Use this element with "Competency Definition Typical Age Range Maximum" instead of "Competency Item Typical Age Range"</t>
  </si>
  <si>
    <t>001908</t>
  </si>
  <si>
    <t>CompetencyDefinitionTypicalAgeRangeMinimum</t>
  </si>
  <si>
    <t>Competency Definition URL</t>
  </si>
  <si>
    <t>A network-resolvable Uniform Resource Locator (URL) pointing to the authoritative reference for the competency definition.</t>
  </si>
  <si>
    <t>Competencies -&gt; Competency Definition
Credentials -&gt; Credential Definition
K12 -&gt; K12 Student -&gt; Individualized Program -&gt; Goal
K12 -&gt; K12 Student -&gt; Individualized Program -&gt; Progress Report -&gt; Goal</t>
  </si>
  <si>
    <t>000874</t>
  </si>
  <si>
    <t>Learning Standard Item URL, Competency Item URL</t>
  </si>
  <si>
    <t>CompetencyDefinitionURL</t>
  </si>
  <si>
    <t>Competency Definition Valid End Date</t>
  </si>
  <si>
    <t>The year, month and day the competency definition was deprecated/replaced by the jurisdiction in which it was intended to apply.</t>
  </si>
  <si>
    <t>When not specified, the entity is assumed to contain the most current version of the specified competency definition. All CEDS Exit and End Dates represent the last day of the date range specified, in this case the last day the competency definition was valid.</t>
  </si>
  <si>
    <t>001511</t>
  </si>
  <si>
    <t>Learning Standard Item Valid End Date, Competency Item Valid End Date</t>
  </si>
  <si>
    <t>CompetencyDefinitionValidEndDate</t>
  </si>
  <si>
    <t>Competency Definition Valid Start Date</t>
  </si>
  <si>
    <t>The year, month and day the competency definition was adopted by the jurisdiction in which it was intended to apply.</t>
  </si>
  <si>
    <t>001512</t>
  </si>
  <si>
    <t>Learning Standard Item Valid Start Date, Competency Item Valid Start Date</t>
  </si>
  <si>
    <t>CompetencyDefinitionValidStartDate</t>
  </si>
  <si>
    <t>Competency Definition Version</t>
  </si>
  <si>
    <t>A label assigned by the publisher indicating the version of the competency framework statement.</t>
  </si>
  <si>
    <t>001250</t>
  </si>
  <si>
    <t>Learning Standard Item Version, Competency Item Version</t>
  </si>
  <si>
    <t>CompetencyDefinitionVersion</t>
  </si>
  <si>
    <t>Competency Framework Creator</t>
  </si>
  <si>
    <t>The person or organization chiefly responsible for the intellectual content of the competency framework.</t>
  </si>
  <si>
    <t>Competencies -&gt; Competency Framework</t>
  </si>
  <si>
    <t>000696</t>
  </si>
  <si>
    <t>Learning Standard Document Creator</t>
  </si>
  <si>
    <t>CompetencyFrameworkCreator</t>
  </si>
  <si>
    <t>Competency Framework Description</t>
  </si>
  <si>
    <t>A textual description of the scope and contents of the competency framework.</t>
  </si>
  <si>
    <t>000697</t>
  </si>
  <si>
    <t>Learning Standard Document Description</t>
  </si>
  <si>
    <t>CompetencyFrameworkDescription</t>
  </si>
  <si>
    <t>Competency Framework Identifier URI</t>
  </si>
  <si>
    <t>An unambiguous reference to the competency framework using a network-resolvable URI.</t>
  </si>
  <si>
    <t>Competencies -&gt; Competency Definition
Competencies -&gt; Competency Framework</t>
  </si>
  <si>
    <t>000693</t>
  </si>
  <si>
    <t>Learning Standard Document Identifier URI</t>
  </si>
  <si>
    <t>CompetencyFrameworkIdentifierURI</t>
  </si>
  <si>
    <t>Competency Framework Jurisdiction</t>
  </si>
  <si>
    <t>A legal, quasi-legal, organizational or institutional domain of the entity mandating the use of the statement--e.g., California.</t>
  </si>
  <si>
    <t>000699</t>
  </si>
  <si>
    <t>Learning Standard Document Jurisdiction</t>
  </si>
  <si>
    <t>CompetencyFrameworkJurisdiction</t>
  </si>
  <si>
    <t>Competency Framework Language</t>
  </si>
  <si>
    <t>The default language of the text used for the content in the competency framework.</t>
  </si>
  <si>
    <t>000880</t>
  </si>
  <si>
    <t>Learning Standard Document Language</t>
  </si>
  <si>
    <t>CompetencyFrameworkLanguage</t>
  </si>
  <si>
    <t>Competency Framework License</t>
  </si>
  <si>
    <t>A legal document giving official permission to do something with the competency framework.</t>
  </si>
  <si>
    <t>000882</t>
  </si>
  <si>
    <t>Learning Standard Document License</t>
  </si>
  <si>
    <t>CompetencyFrameworkLicense</t>
  </si>
  <si>
    <t>Competency Framework Publication Date</t>
  </si>
  <si>
    <t>The date on which this content was first published.</t>
  </si>
  <si>
    <t>This may or may not be different from the Learning Standard Document Valid Start Date.</t>
  </si>
  <si>
    <t>001569</t>
  </si>
  <si>
    <t>Learning Standard Document Publication Date</t>
  </si>
  <si>
    <t>CompetencyFrameworkPublicationDate</t>
  </si>
  <si>
    <t>Competency Framework Publication Status</t>
  </si>
  <si>
    <t>The publication status of the competency framework.</t>
  </si>
  <si>
    <t>000698</t>
  </si>
  <si>
    <t>Learning Standard Document Publication Status</t>
  </si>
  <si>
    <t>CompetencyFrameworkPublicationStatus</t>
  </si>
  <si>
    <t>Competency Framework Publisher</t>
  </si>
  <si>
    <t>The entity responsible for making the competency framework available.</t>
  </si>
  <si>
    <t>000884</t>
  </si>
  <si>
    <t>Learning Standard Document Publisher</t>
  </si>
  <si>
    <t>CompetencyFrameworkPublisher</t>
  </si>
  <si>
    <t>Competency Framework Rights</t>
  </si>
  <si>
    <t>The information about rights held in and over the resource.</t>
  </si>
  <si>
    <t>000885</t>
  </si>
  <si>
    <t>Learning Standard Document Rights</t>
  </si>
  <si>
    <t>CompetencyFrameworkRights</t>
  </si>
  <si>
    <t>Competency Framework Rights Holder</t>
  </si>
  <si>
    <t>The person or organization owning or managing rights over the competency framework.</t>
  </si>
  <si>
    <t>000886</t>
  </si>
  <si>
    <t>Learning Standard Document Rights Holder</t>
  </si>
  <si>
    <t>CompetencyFrameworkRightsHolder</t>
  </si>
  <si>
    <t>Competency Framework Source URL</t>
  </si>
  <si>
    <t>A URL that resolves to the original or authoritative competency framework document.</t>
  </si>
  <si>
    <t>This is the URL of a human-readable artifact. Often this document is published in html and/or pdf and is used by the standard setting entity as part of its approval process.</t>
  </si>
  <si>
    <t>001907</t>
  </si>
  <si>
    <t>CompetencyFrameworkSourceURL</t>
  </si>
  <si>
    <t>Competency Framework Subject</t>
  </si>
  <si>
    <t>The topic or academic subject of the competency framework.</t>
  </si>
  <si>
    <t>000702</t>
  </si>
  <si>
    <t>Learning Standard Document Subject</t>
  </si>
  <si>
    <t>CompetencyFrameworkSubject</t>
  </si>
  <si>
    <t>Competency Framework Title</t>
  </si>
  <si>
    <t>The name of the competency framework.</t>
  </si>
  <si>
    <t>000694</t>
  </si>
  <si>
    <t>Learning Standard Document Title</t>
  </si>
  <si>
    <t>CompetencyFrameworkTitle</t>
  </si>
  <si>
    <t>Competency Framework Valid End Date</t>
  </si>
  <si>
    <t>The year, month and day the competency framework was deprecated/replaced by the jurisdiction in which it was intended to apply.</t>
  </si>
  <si>
    <t>000701</t>
  </si>
  <si>
    <t>Learning Standard Document Valid End Date</t>
  </si>
  <si>
    <t>CompetencyFrameworkValidEndDate</t>
  </si>
  <si>
    <t>Competency Framework Valid Start Date</t>
  </si>
  <si>
    <t>The year, month and day the competency framework was adopted by the jurisdiction in which it was intended to apply.</t>
  </si>
  <si>
    <t>000700</t>
  </si>
  <si>
    <t>Learning Standard Document Valid Start Date</t>
  </si>
  <si>
    <t>CompetencyFrameworkValidStartDate</t>
  </si>
  <si>
    <t>Competency Framework Version</t>
  </si>
  <si>
    <t>Defines the revision of the competency framework as a version number or date.</t>
  </si>
  <si>
    <t>000695</t>
  </si>
  <si>
    <t>Learning Standard Document Version</t>
  </si>
  <si>
    <t>CompetencyFrameworkVersion</t>
  </si>
  <si>
    <t>Competency Set Completion Criteria</t>
  </si>
  <si>
    <t>The criteria for the set of competencies that represent completion or partial completion of a unit, course, program, degree, certification, or other achievement/award. Specifies whether completion requires achievement of all items in the set or some number of items.</t>
  </si>
  <si>
    <t>The criteria may be ‘all’ competencies in the set or ‘at-least’ # of competencies. Sets may be nested, e.g. all in subset A and 3 of 5 from subset B.</t>
  </si>
  <si>
    <t>000877</t>
  </si>
  <si>
    <t>CompetencySetCompletionCriteria</t>
  </si>
  <si>
    <t>Competency Set Completion Criteria Threshold</t>
  </si>
  <si>
    <t>The minimum number of competencies in the set that must be achieved for completion or partial completion of a unit, course, program, degree, certification, or other achievement/award.</t>
  </si>
  <si>
    <t>000878</t>
  </si>
  <si>
    <t>CompetencySetCompletionCriteriaThreshold</t>
  </si>
  <si>
    <t>Component or Fixture Check Date</t>
  </si>
  <si>
    <t>Facilities -&gt; Facility -&gt; Condition -&gt; Component Or Fixture</t>
  </si>
  <si>
    <t>001898</t>
  </si>
  <si>
    <t>ComponentOrFixtureCheckDate</t>
  </si>
  <si>
    <t>Component or Fixture Scheduled Serviced Date</t>
  </si>
  <si>
    <t>The month, day, and year a major component, system, equipment, or fixture is scheduled to be serviced for preventive or routine maintenance.</t>
  </si>
  <si>
    <t>001900</t>
  </si>
  <si>
    <t>ComponentOrFixtureScheduledServicedDate</t>
  </si>
  <si>
    <t>Component or Fixture Serviced Date</t>
  </si>
  <si>
    <t>The month, day, and year a system, component, equipment, or fixture was serviced for repair or routine maintenance.</t>
  </si>
  <si>
    <t>001899</t>
  </si>
  <si>
    <t>ComponentOrFixtureServicedDate</t>
  </si>
  <si>
    <t>Component or Fixture Useful Life</t>
  </si>
  <si>
    <t>The anticipated time (in years) from the time of installation or service that a properly maintained system, component, equipment, or fixture is expected to operate effectively and efficiently.</t>
  </si>
  <si>
    <t>001901</t>
  </si>
  <si>
    <t>ComponentOrFixtureUsefulLife</t>
  </si>
  <si>
    <t>Comprehensive Fee</t>
  </si>
  <si>
    <t>A single fixed amount of money charged by an institution that covers tuition, required fees, room, and board. For some institutions, this amount may also cover books and supplies.</t>
  </si>
  <si>
    <t>000754</t>
  </si>
  <si>
    <t>ComprehensiveFee</t>
  </si>
  <si>
    <t>Comprehensive Support and Improvement Status</t>
  </si>
  <si>
    <t>The designation given to a school by the state for comprehensive support and improvement as part of its statewide system of annual meaningful differentiation.</t>
  </si>
  <si>
    <t>001923</t>
  </si>
  <si>
    <t>ComprehensiveSupportAndImprovementStatus</t>
  </si>
  <si>
    <t>Consent to Evaluation Date</t>
  </si>
  <si>
    <t>The date the consent to evaluation occurred.</t>
  </si>
  <si>
    <t>K12 -&gt; K12 Student -&gt; Individualized Program -&gt; Eligibility -&gt; Authorization</t>
  </si>
  <si>
    <t>001727</t>
  </si>
  <si>
    <t>ConsentToEvaluationDate</t>
  </si>
  <si>
    <t>Consent to Evaluation Indicator</t>
  </si>
  <si>
    <t>Indication parent agreed to evaluate student.</t>
  </si>
  <si>
    <t>001726</t>
  </si>
  <si>
    <t>ConsentToEvaluationIndicator</t>
  </si>
  <si>
    <t>Consolidated Migrant Education Program Funds Status</t>
  </si>
  <si>
    <t>An indication of whether the school has a school-wide program, as defined by current law, in which federal Migrant Education Program (MEP) funds are consolidated.</t>
  </si>
  <si>
    <t>K12 -&gt; K12 School -&gt; Federal Funds</t>
  </si>
  <si>
    <t>000542</t>
  </si>
  <si>
    <t>Consolidated MEP Funds Status</t>
  </si>
  <si>
    <t>ConsolidatedMEPFundsStatus</t>
  </si>
  <si>
    <t>Continuation of Services Reason</t>
  </si>
  <si>
    <t>Reason why the student is being served under the continuation of services provision of the MEP.</t>
  </si>
  <si>
    <t>K12 -&gt; K12 Student -&gt; Migrant</t>
  </si>
  <si>
    <t>000429</t>
  </si>
  <si>
    <t>ContinuationOfServicesReason</t>
  </si>
  <si>
    <t>Continuing License Date</t>
  </si>
  <si>
    <t>The year, month and day on which a program or center received its continuing license.</t>
  </si>
  <si>
    <t>000349</t>
  </si>
  <si>
    <t>ContinuingLicenseDate</t>
  </si>
  <si>
    <t>Early Learning -&gt; Licensing
Early Learning -&gt; Program Compliance</t>
  </si>
  <si>
    <t>Contract Days of Service Per Year</t>
  </si>
  <si>
    <t>The number of days per year that a person is expected to work as outlined specifically in his or her employment agreement.</t>
  </si>
  <si>
    <t>K12 -&gt; K12 Staff -&gt; Employment</t>
  </si>
  <si>
    <t>000047</t>
  </si>
  <si>
    <t>ContractDaysOfServicePerYear</t>
  </si>
  <si>
    <t>K-12 -&gt; Teacher Compensation Survey</t>
  </si>
  <si>
    <t>Contract Type</t>
  </si>
  <si>
    <t>The type of employment contract used by an institution.</t>
  </si>
  <si>
    <t>Option set defined in IPEDS</t>
  </si>
  <si>
    <t>000737</t>
  </si>
  <si>
    <t>ContractType</t>
  </si>
  <si>
    <t>Control of Institution</t>
  </si>
  <si>
    <t>000048</t>
  </si>
  <si>
    <t>ControlOfInstitution</t>
  </si>
  <si>
    <t>Core Academic Course</t>
  </si>
  <si>
    <t>The course meets the state definition of a core academic course.</t>
  </si>
  <si>
    <t>Career and Technical -&gt; Course
K12 -&gt; K12 Course</t>
  </si>
  <si>
    <t>000518</t>
  </si>
  <si>
    <t>CoreAcademicCourse</t>
  </si>
  <si>
    <t>Correctional Education Facility Type</t>
  </si>
  <si>
    <t>The type of facility in which an inmate receives correctional education services.</t>
  </si>
  <si>
    <t>001296</t>
  </si>
  <si>
    <t>CorrectionalEducationFacilityType</t>
  </si>
  <si>
    <t>Correctional Education Reentry Services Participation Indicator</t>
  </si>
  <si>
    <t>An indication of whether an adult correctional education student who receives instructional services (e.g., life skills, cognitive restructuring, etc.) to support reentry into society.</t>
  </si>
  <si>
    <t>001297</t>
  </si>
  <si>
    <t>CorrectionalEducationReentryServicesParticipationIndicator</t>
  </si>
  <si>
    <t>Corrective Action Type</t>
  </si>
  <si>
    <t>The types of corrective actions under ESEA as amended.</t>
  </si>
  <si>
    <t>K12 -&gt; K12 School -&gt; Accountability</t>
  </si>
  <si>
    <t>000049</t>
  </si>
  <si>
    <t>CorrectiveActionType</t>
  </si>
  <si>
    <t>Count Date</t>
  </si>
  <si>
    <t>The effective month, day, and year on which the data was counted.</t>
  </si>
  <si>
    <t>Implementation Variables -&gt; Report</t>
  </si>
  <si>
    <t>Implementation Note: This element is not defined in the CEDS Normalized Data Schema (NDS) reference model. It represents an implementation variable. Typical use would be in a reporting data store (RDS) rather than in a unit level operational data store.</t>
  </si>
  <si>
    <t>001760</t>
  </si>
  <si>
    <t>CountDate</t>
  </si>
  <si>
    <t>Country Code</t>
  </si>
  <si>
    <t>The unique two character International Organization for Standardization (ISO) code for the country in which an address is located.</t>
  </si>
  <si>
    <t>000050</t>
  </si>
  <si>
    <t>CountryCode</t>
  </si>
  <si>
    <t>Early Learning -&gt; Program Entry
Early Learning -&gt; Staff Quality
Early Learning -&gt; Workforce Development
Postsecondary Education -&gt; Complete College America
Postsecondary Education -&gt; IPEDS</t>
  </si>
  <si>
    <t>Country of Birth Code</t>
  </si>
  <si>
    <t>The unique two digit International Organization for Standardization (ISO) code for the country in which a person is born.</t>
  </si>
  <si>
    <t>000051</t>
  </si>
  <si>
    <t>CountryOfBirthCode</t>
  </si>
  <si>
    <t>K-12 -&gt; High School Generated Transcript
K-12 -&gt; LEA-to-LEA Student Record Exchange
K-12 -&gt; LEA-to-SEA Student Record Exchange
K-12 -&gt; Migrant Student Data Exchange</t>
  </si>
  <si>
    <t>County ANSI Code</t>
  </si>
  <si>
    <t>County code as defined for the identification of counties and equivalent areas of the United States, Puerto Rico, and the insular areas as established by the American National Standards Institute (ANSI) Inter-National Committee for Information Technology Standards (INCITS) in specification BSR INCITS 31-200x or more current updates. See https://www.census.gov/library/reference/code-lists/ansi.html#par_statelist.</t>
  </si>
  <si>
    <t>Integer - 5 digits with leading zeros</t>
  </si>
  <si>
    <t>001209</t>
  </si>
  <si>
    <t>CountyANSICode</t>
  </si>
  <si>
    <t>Course Academic Grade</t>
  </si>
  <si>
    <t>Adult Education -&gt; Course Section -&gt; Enrollment
Career and Technical -&gt; Course Section -&gt; Enrollment
Postsecondary -&gt; Course Section -&gt; Enrollment</t>
  </si>
  <si>
    <t>Alphanumeric - 15 characters maximum</t>
  </si>
  <si>
    <t>000053</t>
  </si>
  <si>
    <t>CourseAcademicGrade</t>
  </si>
  <si>
    <t>Course Academic Grade Scale Code</t>
  </si>
  <si>
    <t>The grading scale used by an academic educational institution for an academic course.</t>
  </si>
  <si>
    <t>Adult Education -&gt; Course Section
Career and Technical -&gt; Course Section
Postsecondary -&gt; Course Section</t>
  </si>
  <si>
    <t>Integer - 2 digits with leading zeros</t>
  </si>
  <si>
    <t>Based on the American Medical Colleges Admissions Services (AMCAS) grade scale, values 01 through 99. See Appendix E of the PESC XML High School Transcript Implementation Guide for a complete list of code values. 3-digit values (500 and above) established in earlier versions of the standard for miscellaneous grades are deprecated.</t>
  </si>
  <si>
    <t>001298</t>
  </si>
  <si>
    <t>CourseAcademicGradeScaleCode</t>
  </si>
  <si>
    <t>Course Academic Grade Status Code</t>
  </si>
  <si>
    <t>Additional information regarding the context of the given grade.</t>
  </si>
  <si>
    <t>Adult Education -&gt; Course Section -&gt; Enrollment -&gt; Student Course Section Mark
Career and Technical -&gt; Course Section -&gt; Enrollment -&gt; Student Course Section Mark
Postsecondary -&gt; Course Section -&gt; Enrollment -&gt; Student Course Section Mark</t>
  </si>
  <si>
    <t>001299</t>
  </si>
  <si>
    <t>CourseAcademicGradeStatusCode</t>
  </si>
  <si>
    <t>Course Add Date</t>
  </si>
  <si>
    <t>The date an individual was added to an academic course at a school.</t>
  </si>
  <si>
    <t>001300</t>
  </si>
  <si>
    <t>CourseAddDate</t>
  </si>
  <si>
    <t>Course Aligned with Standards</t>
  </si>
  <si>
    <t>An indication whether a course is aligned with the established standards of a curriculum framework.</t>
  </si>
  <si>
    <t>000013</t>
  </si>
  <si>
    <t>CourseAlignedWithStandards</t>
  </si>
  <si>
    <t>Course Applicable Education Level</t>
  </si>
  <si>
    <t>The education level, grade level or primary instructional level at which a course is intended.</t>
  </si>
  <si>
    <t>Adult Education -&gt; Course Section
Career and Technical -&gt; Course Section
K12 -&gt; Course Section
K12 -&gt; K12 Course</t>
  </si>
  <si>
    <t>001301</t>
  </si>
  <si>
    <t>CourseApplicableEducationLevel</t>
  </si>
  <si>
    <t>Course Begin Date</t>
  </si>
  <si>
    <t>The year, month and day an instance of a course officially began.</t>
  </si>
  <si>
    <t>000054</t>
  </si>
  <si>
    <t>CourseBeginDate</t>
  </si>
  <si>
    <t>Course Certification Description</t>
  </si>
  <si>
    <t>A description of the certification or recognition associated with this course (ex. Networking, CAD, etc.)</t>
  </si>
  <si>
    <t>001302</t>
  </si>
  <si>
    <t>CourseCertificationDescription</t>
  </si>
  <si>
    <t>Course Code System</t>
  </si>
  <si>
    <t>A system that is used to identify the organization of subject matter and related learning experiences provided for the instruction of students.</t>
  </si>
  <si>
    <t>000056</t>
  </si>
  <si>
    <t>CourseCodeSystem</t>
  </si>
  <si>
    <t>Course Credit Basis Type</t>
  </si>
  <si>
    <t>The type of enrollment associated with the credit hours for the course.</t>
  </si>
  <si>
    <t>001303</t>
  </si>
  <si>
    <t>CourseCreditBasisType</t>
  </si>
  <si>
    <t>Course Credit Level Type</t>
  </si>
  <si>
    <t>The level of credit associated with the credit hours earned for the course.</t>
  </si>
  <si>
    <t>001304</t>
  </si>
  <si>
    <t>CourseCreditLevelType</t>
  </si>
  <si>
    <t>Course Credit Units</t>
  </si>
  <si>
    <t>000057</t>
  </si>
  <si>
    <t>CourseCreditUnits</t>
  </si>
  <si>
    <t>Course Department Name</t>
  </si>
  <si>
    <t>Department with jurisdiction over this course.</t>
  </si>
  <si>
    <t>Adult Education -&gt; Course Section -&gt; Course
Career and Technical -&gt; Course
Career and Technical -&gt; Course Section -&gt; Course
K12 -&gt; Course Section -&gt; Course
K12 -&gt; K12 Course
K12 -&gt; K12 Student -&gt; Academic Record</t>
  </si>
  <si>
    <t>001549</t>
  </si>
  <si>
    <t>CourseDepartmentName</t>
  </si>
  <si>
    <t>Course Description</t>
  </si>
  <si>
    <t>A description of the course content and/or goals. Reference may be made to state or national content standards.</t>
  </si>
  <si>
    <t>000517</t>
  </si>
  <si>
    <t>CourseDescription</t>
  </si>
  <si>
    <t>Course Drop Date</t>
  </si>
  <si>
    <t>The date on which the individual drops or withdraws from the course.</t>
  </si>
  <si>
    <t>001305</t>
  </si>
  <si>
    <t>CourseDropDate</t>
  </si>
  <si>
    <t>Postsecondary Education -&gt; Student Achievement Measure</t>
  </si>
  <si>
    <t>Course End Date</t>
  </si>
  <si>
    <t>The year, month and day an instance of a course ends.</t>
  </si>
  <si>
    <t>000059</t>
  </si>
  <si>
    <t>CourseEndDate</t>
  </si>
  <si>
    <t>Course Funding Program</t>
  </si>
  <si>
    <t>A program through which the course is funded.</t>
  </si>
  <si>
    <t>This may be a program targeted to a specific student population (e.g. SPED, ESOL) and the funding guidelines may specify that all or some of the students in the course are members of the subgroup.</t>
  </si>
  <si>
    <t>001306</t>
  </si>
  <si>
    <t>CourseFundingProgram</t>
  </si>
  <si>
    <t>Course Grade Point Average Applicability</t>
  </si>
  <si>
    <t>An indicator of whether or not this course being described is included in the computation of the student’s Grade Point Average (GPA).</t>
  </si>
  <si>
    <t>Adult Education -&gt; Course Section
Career and Technical -&gt; Course
Career and Technical -&gt; Course Section
K12 -&gt; Course Section
K12 -&gt; K12 Course
Postsecondary -&gt; Course Section</t>
  </si>
  <si>
    <t>000060</t>
  </si>
  <si>
    <t>Course GPA Applicability</t>
  </si>
  <si>
    <t>CourseGPAApplicability</t>
  </si>
  <si>
    <t>Course Honors Type</t>
  </si>
  <si>
    <t>An indication that the course is or can be counted as an honors course.</t>
  </si>
  <si>
    <t>001307</t>
  </si>
  <si>
    <t>CourseHonorsType</t>
  </si>
  <si>
    <t>Course Identifier</t>
  </si>
  <si>
    <t>The actual code that identifies the organization of subject matter and related learning experiences provided for the instruction of students.</t>
  </si>
  <si>
    <t>000055</t>
  </si>
  <si>
    <t>CourseIdentifier</t>
  </si>
  <si>
    <t>K-12 -&gt; High School Generated Transcript
K-12 -&gt; LEA-to-LEA Student Record Exchange
K-12 -&gt; LEA-to-SEA Student Record Exchange
K-12 -&gt; Teacher-Student Data Link -&gt; Class Section
Postsecondary Education -&gt; Transition</t>
  </si>
  <si>
    <t>Course Instruction Method</t>
  </si>
  <si>
    <t>The primary method of instruction used for the course.</t>
  </si>
  <si>
    <t>001308</t>
  </si>
  <si>
    <t>CourseInstructionMethod</t>
  </si>
  <si>
    <t>Course Instruction Site Name</t>
  </si>
  <si>
    <t>The name of the location at which the course is taught.</t>
  </si>
  <si>
    <t>001309</t>
  </si>
  <si>
    <t>CourseInstructionSiteName</t>
  </si>
  <si>
    <t>Course Instruction Site Type</t>
  </si>
  <si>
    <t>An indication of the type of location at which the course is taught.</t>
  </si>
  <si>
    <t>001310</t>
  </si>
  <si>
    <t>CourseInstructionSiteType</t>
  </si>
  <si>
    <t>Course Interaction Mode</t>
  </si>
  <si>
    <t>The primary type of interaction, synchronous or asynchronous, defined for the course.</t>
  </si>
  <si>
    <t>This may be an attribute of a Course (as designed) or an instance of a Class Section (as delivered).</t>
  </si>
  <si>
    <t>001311</t>
  </si>
  <si>
    <t>CourseInteractionMode</t>
  </si>
  <si>
    <t>Course Level Characteristic</t>
  </si>
  <si>
    <t>An indication of the general nature and difficulty of instruction provided throughout a course.</t>
  </si>
  <si>
    <t>000061</t>
  </si>
  <si>
    <t>CourseLevelCharacteristic</t>
  </si>
  <si>
    <t>Course Level Type</t>
  </si>
  <si>
    <t>The level of work which is reflected in the credits associated with the academic course being described or the level of the typical individual taking the academic course.</t>
  </si>
  <si>
    <t>001312</t>
  </si>
  <si>
    <t>CourseLevelType</t>
  </si>
  <si>
    <t>Course Narrative Explanation Grade</t>
  </si>
  <si>
    <t>The narrative of the grade awarded to an individual in an academic course in those cases where a course does not receive a letter or numeric grade included in the grading scale of the Course Academic Grade Qualifier.</t>
  </si>
  <si>
    <t>001313</t>
  </si>
  <si>
    <t>CourseNarrativeExplanationGrade</t>
  </si>
  <si>
    <t>Course Number</t>
  </si>
  <si>
    <t>Adult Education -&gt; AE Student -&gt; Course
Adult Education -&gt; Course Section
Career and Technical -&gt; Course Section
Postsecondary -&gt; Course Section</t>
  </si>
  <si>
    <t>001314</t>
  </si>
  <si>
    <t>CourseNumber</t>
  </si>
  <si>
    <t>Course Override School</t>
  </si>
  <si>
    <t>000063</t>
  </si>
  <si>
    <t>CourseOverrideSchool</t>
  </si>
  <si>
    <t>Course Quality Points Earned</t>
  </si>
  <si>
    <t>000064</t>
  </si>
  <si>
    <t>CourseQualityPointsEarned</t>
  </si>
  <si>
    <t>Course Repeat Code</t>
  </si>
  <si>
    <t>Indicates that an academic course has been repeated by a student and how that repeat is to be computed in the student's academic grade average.</t>
  </si>
  <si>
    <t>000065</t>
  </si>
  <si>
    <t>CourseRepeatCode</t>
  </si>
  <si>
    <t>Course Repeatability Maximum Number</t>
  </si>
  <si>
    <t>The maximum number of times the course may be taken or completed for credit.</t>
  </si>
  <si>
    <t>001667</t>
  </si>
  <si>
    <t>CourseRepeatabilityMaximumNumber</t>
  </si>
  <si>
    <t>Course Section Assessment Reporting Method</t>
  </si>
  <si>
    <t>The method that the instructor of the course uses to report the performance and achievement of all students. It may be a qualitative method such as individualized teacher comments or a quantitative method such as a letter or a numerical grade. In some cases, more than one type of reporting method may be used.</t>
  </si>
  <si>
    <t>Adult Education -&gt; Course Section -&gt; Course
Career and Technical -&gt; Course Section -&gt; Course
K12 -&gt; Course Section -&gt; Course</t>
  </si>
  <si>
    <t>000027</t>
  </si>
  <si>
    <t>CourseSectionAssessmentReportingMethod</t>
  </si>
  <si>
    <t>K-12 -&gt; High School Generated Transcript
School Readiness</t>
  </si>
  <si>
    <t>Course Section Enrollment Status End Date</t>
  </si>
  <si>
    <t>The date on which the enrollment status ended related to a student enrolled in an instance of a course.</t>
  </si>
  <si>
    <t>K12 -&gt; Course Section -&gt; Enrollment</t>
  </si>
  <si>
    <t>Enrollment statuses may overlap, for example at one point in time a student may be both pre-registered and wait-listed for enrollment in a course, the start dates may be different and the end dates may be the same as the start date for "enrolled" status when the student moves off the wait list. All CEDS Exit and End Dates represent the last day of the date range specified, such as the last day that a person was enrolled, participated, or received services.</t>
  </si>
  <si>
    <t>000975</t>
  </si>
  <si>
    <t>CourseSectionEnrollmentStatusEndDate</t>
  </si>
  <si>
    <t>Course Section Enrollment Status Start Date</t>
  </si>
  <si>
    <t>The date on which the enrollment status began related to a student enrolled in an instance of a course.</t>
  </si>
  <si>
    <t>Enrollment statuses may overlap, for example at one point in time a student may be both pre-registered and wait listed for enrollment in a course, the start dates may be different and the end dates may be the same as the start date for "enrolled" status when the student moves off the wait list.</t>
  </si>
  <si>
    <t>000974</t>
  </si>
  <si>
    <t>CourseSectionEnrollmentStatusStartDate</t>
  </si>
  <si>
    <t>Course Section Enrollment Status Type</t>
  </si>
  <si>
    <t>The status related to a student enrollment in an instance of a course.</t>
  </si>
  <si>
    <t>000976</t>
  </si>
  <si>
    <t>CourseSectionEnrollmentStatusType</t>
  </si>
  <si>
    <t>Course Section Entry Type</t>
  </si>
  <si>
    <t>The process by which a student enters a school (Course Section) during a given academic session.</t>
  </si>
  <si>
    <t>000650</t>
  </si>
  <si>
    <t>CourseSectionEntryType</t>
  </si>
  <si>
    <t>K-12 -&gt; Teacher-Student Data Link -&gt; Enrollment</t>
  </si>
  <si>
    <t>Course Section Exit Type</t>
  </si>
  <si>
    <t>The circumstances under which the student exited from membership in a course section.</t>
  </si>
  <si>
    <t>000652</t>
  </si>
  <si>
    <t>CourseSectionExitType</t>
  </si>
  <si>
    <t>Course Section Exit Withdrawal Date</t>
  </si>
  <si>
    <t>The year, month and day of the first day after the date of a person's last enrollment in a course section.</t>
  </si>
  <si>
    <t>000651</t>
  </si>
  <si>
    <t>CourseSectionExitWithdrawalDate</t>
  </si>
  <si>
    <t>Course Section Identifier</t>
  </si>
  <si>
    <t>A unique number or alphanumeric code assigned by an institution, school, school system, state, or other agency or entity for a particular course-section.</t>
  </si>
  <si>
    <t>000978</t>
  </si>
  <si>
    <t>CourseSectionIdentifier</t>
  </si>
  <si>
    <t>Course Section Instructional Delivery Mode</t>
  </si>
  <si>
    <t>The primary setting or medium of delivery for the course.</t>
  </si>
  <si>
    <t>001161</t>
  </si>
  <si>
    <t>CourseSectionInstructionalDeliveryMode</t>
  </si>
  <si>
    <t>Course Section Maximum Capacity</t>
  </si>
  <si>
    <t>The maximum number of students the Course Section can maintain.</t>
  </si>
  <si>
    <t>001655</t>
  </si>
  <si>
    <t>CourseSectionMaximumCapacity</t>
  </si>
  <si>
    <t>Course Section Number</t>
  </si>
  <si>
    <t>The number assigned to differentiate among distinct occurrences of courses that have the same course abbreviation and number but are considered to be different courses.</t>
  </si>
  <si>
    <t>001315</t>
  </si>
  <si>
    <t>CourseSectionNumber</t>
  </si>
  <si>
    <t>Course Section Single Sex Class Status</t>
  </si>
  <si>
    <t>Section in a co-educational school where only male or only female students are permitted to take the course.</t>
  </si>
  <si>
    <t>000258</t>
  </si>
  <si>
    <t>CourseSectionSingleSexClassStatus</t>
  </si>
  <si>
    <t>K-12 -&gt; Civil Rights Data Collection
K-12 -&gt; Teacher-Student Data Link -&gt; Class Section</t>
  </si>
  <si>
    <t>Course Section Time Required for Completion</t>
  </si>
  <si>
    <t>The actual or estimated number of clock minutes required for course completion. This number is especially important for career and technical education course and may represent (in minutes) the clock hour requirement of the course, the number of minutes (or clock hours) of class time per week, times the number of equivalent weeks the class typically meets.</t>
  </si>
  <si>
    <t>000101</t>
  </si>
  <si>
    <t>CourseSectionTimeRequiredForCompletion</t>
  </si>
  <si>
    <t>K-12 -&gt; Teacher-Student Data Link -&gt; Class Section</t>
  </si>
  <si>
    <t>Course Subject Abbreviation</t>
  </si>
  <si>
    <t>Alphanumeric - 10 characters maximum</t>
  </si>
  <si>
    <t>000066</t>
  </si>
  <si>
    <t>CourseSubjectAbbreviation</t>
  </si>
  <si>
    <t>Course Title</t>
  </si>
  <si>
    <t>000067</t>
  </si>
  <si>
    <t>Course Total</t>
  </si>
  <si>
    <t>The total number of courses listed on a transcript. Used as a check digit for integrity purposes.</t>
  </si>
  <si>
    <t>001316</t>
  </si>
  <si>
    <t>CourseTotal</t>
  </si>
  <si>
    <t>Credential Advanced Standing Description</t>
  </si>
  <si>
    <t>A description of a credential that reduced the time or cost of attaining this credential.</t>
  </si>
  <si>
    <t>Credentials -&gt; Credential Award</t>
  </si>
  <si>
    <t>001734</t>
  </si>
  <si>
    <t>CredentialAdvancedStandingDescription</t>
  </si>
  <si>
    <t>Credential Advanced Standing URL</t>
  </si>
  <si>
    <t>A URL that resolves to information about a credential that reduced the time or cost of attaining this credential.</t>
  </si>
  <si>
    <t>001735</t>
  </si>
  <si>
    <t>CredentialAdvancedStandingURL</t>
  </si>
  <si>
    <t>Credential Award Approver Name</t>
  </si>
  <si>
    <t>Pronouncement of a favorable judgment by the agent being referenced.</t>
  </si>
  <si>
    <t>001737</t>
  </si>
  <si>
    <t>CredentialAwardApproverName</t>
  </si>
  <si>
    <t>Credential Award End Date</t>
  </si>
  <si>
    <t>001164</t>
  </si>
  <si>
    <t>Credential End Date</t>
  </si>
  <si>
    <t>CredentialAwardEndDate</t>
  </si>
  <si>
    <t>Credential Award Evidence URL</t>
  </si>
  <si>
    <t>A URL to a page that describes the evidence that the learner met the criteria for attainment of the credential award.</t>
  </si>
  <si>
    <t>001669</t>
  </si>
  <si>
    <t>CredentialAwardEvidenceURL</t>
  </si>
  <si>
    <t>Credential Award Issuer Name</t>
  </si>
  <si>
    <t>Alphanumeric - 128 characters maximum</t>
  </si>
  <si>
    <t>000898</t>
  </si>
  <si>
    <t>CredentialAwardIssuerName</t>
  </si>
  <si>
    <t>Credential Award Issuer Origin URL</t>
  </si>
  <si>
    <t>Used only if an award is issued electronically for the achievement.</t>
  </si>
  <si>
    <t>000900</t>
  </si>
  <si>
    <t>CredentialAwardIssuerOriginURL</t>
  </si>
  <si>
    <t>Credential Award Start Date</t>
  </si>
  <si>
    <t>Diploma or Credential Award Date is the same concept but used when only month and year are known or needed.</t>
  </si>
  <si>
    <t>001163</t>
  </si>
  <si>
    <t>Credential Start Date</t>
  </si>
  <si>
    <t>CredentialAwardStartDate</t>
  </si>
  <si>
    <t>Credential Completion Date</t>
  </si>
  <si>
    <t>The date on which the person's requirements for earning a credential were met or completed.</t>
  </si>
  <si>
    <t>001664</t>
  </si>
  <si>
    <t>CredentialCompletionDate</t>
  </si>
  <si>
    <t>Credential Definition Agent Role Type</t>
  </si>
  <si>
    <t>The role that an organization or person has in relation to this Credential Definition based on terms defined by Credential Engine.</t>
  </si>
  <si>
    <t>Credentials -&gt; Credential Definition Agent</t>
  </si>
  <si>
    <t>001914</t>
  </si>
  <si>
    <t>CredentialDefinitionAgentRoleType</t>
  </si>
  <si>
    <t>Credential Definition Alternate Name</t>
  </si>
  <si>
    <t>An alias for the credential, which may include acronyms, alpha-numeric notations, and other forms of name abbreviations in common use such as PhD, MA, and BA.</t>
  </si>
  <si>
    <t>Credentials -&gt; Credential Definition</t>
  </si>
  <si>
    <t>001736</t>
  </si>
  <si>
    <t>Credential Alternate Name</t>
  </si>
  <si>
    <t>CredentialDefinitionAlternateName</t>
  </si>
  <si>
    <t>Credential Definition Assessment Method Type</t>
  </si>
  <si>
    <t>The method used to conduct the assessment being referenced.</t>
  </si>
  <si>
    <t>001738</t>
  </si>
  <si>
    <t>Credential Assessment Method Type</t>
  </si>
  <si>
    <t>CredentialDefinitionAssessmentMethodType</t>
  </si>
  <si>
    <t>Credential Definition Category System</t>
  </si>
  <si>
    <t>This element recognizes formal adoption of categories for the Achievement Category Type to aid in comparability of data when a formally adopted vocabulary is used.</t>
  </si>
  <si>
    <t>001245</t>
  </si>
  <si>
    <t>Credential Category System</t>
  </si>
  <si>
    <t>CredentialDefinitionCategorySystem</t>
  </si>
  <si>
    <t>Credential Definition Category Type</t>
  </si>
  <si>
    <t>000892</t>
  </si>
  <si>
    <t>Credential Category Type</t>
  </si>
  <si>
    <t>CredentialDefinitionCategoryType</t>
  </si>
  <si>
    <t>Credential Definition Criteria</t>
  </si>
  <si>
    <t>000896</t>
  </si>
  <si>
    <t>Credential Criteria</t>
  </si>
  <si>
    <t>CredentialDefinitionCriteria</t>
  </si>
  <si>
    <t>Credential Definition Criteria URL</t>
  </si>
  <si>
    <t>001153</t>
  </si>
  <si>
    <t>Credential Criteria URL</t>
  </si>
  <si>
    <t>CredentialDefinitionCriteriaURL</t>
  </si>
  <si>
    <t>Credential Definition Date Effective</t>
  </si>
  <si>
    <t>Effective date of the content of a credential definition.</t>
  </si>
  <si>
    <t>This is the date the content/definition of the credential became effective, not necessarily the date that one or more credentialing organizations began offering the credential.</t>
  </si>
  <si>
    <t>001910</t>
  </si>
  <si>
    <t>CredentialDefinitionDateEffective</t>
  </si>
  <si>
    <t>Credential Definition Description</t>
  </si>
  <si>
    <t>000895</t>
  </si>
  <si>
    <t>Credential Description</t>
  </si>
  <si>
    <t>CredentialDefinitionDescription</t>
  </si>
  <si>
    <t>Credential Definition Estimated Duration</t>
  </si>
  <si>
    <t>The estimated amount of time in minutes it will take to earn the credential.</t>
  </si>
  <si>
    <t>HH:MM</t>
  </si>
  <si>
    <t>001741</t>
  </si>
  <si>
    <t>Credential Estimated Duration</t>
  </si>
  <si>
    <t>CredentialDefinitionEstimatedDuration</t>
  </si>
  <si>
    <t>Credential Definition Identifier</t>
  </si>
  <si>
    <t>Credentials -&gt; Credential Definition
Credentials -&gt; Credential Offered</t>
  </si>
  <si>
    <t>Credential Identifier</t>
  </si>
  <si>
    <t>CredentialDefinitionIdentifier</t>
  </si>
  <si>
    <t>Credential Definition Identifier System</t>
  </si>
  <si>
    <t>001739</t>
  </si>
  <si>
    <t>Credential Identifier System</t>
  </si>
  <si>
    <t>CredentialDefinitionIdentifierSystem</t>
  </si>
  <si>
    <t>Credential Definition Intended Purpose Type</t>
  </si>
  <si>
    <t>The intended type of application of the credential by the holder.</t>
  </si>
  <si>
    <t>001749</t>
  </si>
  <si>
    <t>Credential Intended Purpose Type</t>
  </si>
  <si>
    <t>CredentialDefinitionIntendedPurposeType</t>
  </si>
  <si>
    <t>Credential Definition Jurisdiction Region</t>
  </si>
  <si>
    <t>The geo-political region in which the credential is applicable.</t>
  </si>
  <si>
    <t>GeoJSON</t>
  </si>
  <si>
    <t>001743</t>
  </si>
  <si>
    <t>Credential Jurisdiction Region</t>
  </si>
  <si>
    <t>CredentialDefinitionJurisdictionRegion</t>
  </si>
  <si>
    <t>Credential Definition Jurisdiction Region Exception</t>
  </si>
  <si>
    <t>A geo-political region in which the credential does not apply.</t>
  </si>
  <si>
    <t>001744</t>
  </si>
  <si>
    <t>Credential Jurisdiction Region Exception</t>
  </si>
  <si>
    <t>CredentialDefinitionJurisdictionRegionException</t>
  </si>
  <si>
    <t>Credential Definition Keywords</t>
  </si>
  <si>
    <t>Keywords or key phrases describing aspects of a credential considered useful for its discovery.</t>
  </si>
  <si>
    <t>001745</t>
  </si>
  <si>
    <t>Credential Keywords</t>
  </si>
  <si>
    <t>CredentialDefinitionKeywords</t>
  </si>
  <si>
    <t>Credential Definition Maximum Duration</t>
  </si>
  <si>
    <t>The maximum amount of time in minutes it will take to earn the described credential.</t>
  </si>
  <si>
    <t>001746</t>
  </si>
  <si>
    <t>Credential Maximum Duration</t>
  </si>
  <si>
    <t>CredentialDefinitionMaximumDuration</t>
  </si>
  <si>
    <t>Credential Definition Minimum Age</t>
  </si>
  <si>
    <t>The minimum allowed age in years at which a person is eligible for the credential.</t>
  </si>
  <si>
    <t>001747</t>
  </si>
  <si>
    <t>Credential Minimum Age</t>
  </si>
  <si>
    <t>CredentialDefinitionMinimumAge</t>
  </si>
  <si>
    <t>Credential Definition Minimum Duration</t>
  </si>
  <si>
    <t>The minimum amount of time in minutes it will take to earn the described credential.</t>
  </si>
  <si>
    <t>001748</t>
  </si>
  <si>
    <t>Credential Minimum Duration</t>
  </si>
  <si>
    <t>CredentialDefinitionMinimumDuration</t>
  </si>
  <si>
    <t>Credential Definition NAICS Industry Type</t>
  </si>
  <si>
    <t>The North American Industry Classification System (NAICS) class identifier for an industry associated with the credential.</t>
  </si>
  <si>
    <t>See http://www.census.gov/eos/www/naics/</t>
  </si>
  <si>
    <t>Integer - exactly 6 digits</t>
  </si>
  <si>
    <t>001742</t>
  </si>
  <si>
    <t>Credential NAICS Industry Type</t>
  </si>
  <si>
    <t>CredentialDefinitionNAICSIndustryType</t>
  </si>
  <si>
    <t>Credential Definition Status Type</t>
  </si>
  <si>
    <t>The status of the credential offered by a credentialing organization.</t>
  </si>
  <si>
    <t>001740</t>
  </si>
  <si>
    <t>Credential Status Type</t>
  </si>
  <si>
    <t>CredentialDefinitionStatusType</t>
  </si>
  <si>
    <t>Credential Definition Title</t>
  </si>
  <si>
    <t>000893</t>
  </si>
  <si>
    <t>Credential Title</t>
  </si>
  <si>
    <t>CredentialDefinitionTitle</t>
  </si>
  <si>
    <t>Credential Definition Validation Method Description</t>
  </si>
  <si>
    <t>Description of the methods used to evaluate the validity and reliability of a credential earned by a person.</t>
  </si>
  <si>
    <t>001752</t>
  </si>
  <si>
    <t>Credential Validation Method Description</t>
  </si>
  <si>
    <t>CredentialDefinitionValidationMethodDescription</t>
  </si>
  <si>
    <t>Credential Definition Verification Type</t>
  </si>
  <si>
    <t>A resource describing the means by which someone can verify whether a credential has been attained by a person.</t>
  </si>
  <si>
    <t>001753</t>
  </si>
  <si>
    <t>Credential Verification Type</t>
  </si>
  <si>
    <t>CredentialDefinitionVerificationType</t>
  </si>
  <si>
    <t>Credential Definition Version</t>
  </si>
  <si>
    <t>An alphanumeric identifier of a version of the credential being described that is unique within the organizational context.</t>
  </si>
  <si>
    <t>001754</t>
  </si>
  <si>
    <t>Credential Version</t>
  </si>
  <si>
    <t>CredentialDefinitionVersion</t>
  </si>
  <si>
    <t>Credential Evidence Statement</t>
  </si>
  <si>
    <t>A narrative that may connect multiple pieces of evidence OR an IRI or document describing the work that the recipient did to earn the achievement. This can be a page that links out to other pages if linking directly to the work is infeasible. May be used in an array of multiple values.</t>
  </si>
  <si>
    <t>000901</t>
  </si>
  <si>
    <t>CredentialEvidenceStatement</t>
  </si>
  <si>
    <t>Credential Expiration Date</t>
  </si>
  <si>
    <t>The year, month and day on which an active credential held by a person will expire.</t>
  </si>
  <si>
    <t>000069</t>
  </si>
  <si>
    <t>CredentialExpirationDate</t>
  </si>
  <si>
    <t>Credential Image URL</t>
  </si>
  <si>
    <t>Typical use is for online display of a badge image.</t>
  </si>
  <si>
    <t>000894</t>
  </si>
  <si>
    <t>CredentialImageURL</t>
  </si>
  <si>
    <t>Credential Issuance Date</t>
  </si>
  <si>
    <t>000070</t>
  </si>
  <si>
    <t>Credential Issuer Revocation List URL</t>
  </si>
  <si>
    <t>The URL to a document that includes a list of credential award assertions an issuer has revoked.</t>
  </si>
  <si>
    <t>001662</t>
  </si>
  <si>
    <t>CredentialIssuerRevocationListURL</t>
  </si>
  <si>
    <t>Credential Offered End Date</t>
  </si>
  <si>
    <t>The last date a credential was offered.</t>
  </si>
  <si>
    <t>Credentials -&gt; Credential Offered</t>
  </si>
  <si>
    <t>001912</t>
  </si>
  <si>
    <t>CredentialOfferedEndDate</t>
  </si>
  <si>
    <t>Credential Offered Start Date</t>
  </si>
  <si>
    <t>The first date a credential was offered.</t>
  </si>
  <si>
    <t>001911</t>
  </si>
  <si>
    <t>CredentialOfferedStartDate</t>
  </si>
  <si>
    <t>Credential or License Award Entity</t>
  </si>
  <si>
    <t>The name of the organization awarding the individual's credential or license.</t>
  </si>
  <si>
    <t>001587</t>
  </si>
  <si>
    <t>CredentialOrLicenseAwardEntity</t>
  </si>
  <si>
    <t>Credential Revoked Date</t>
  </si>
  <si>
    <t>An empty string means the assertion was not revoked. Some uses (e.g. OpenBadges) may append time info in ISO 8601 format.</t>
  </si>
  <si>
    <t>001660</t>
  </si>
  <si>
    <t>CredentialRevokedDate</t>
  </si>
  <si>
    <t>Credential Revoked Indicator</t>
  </si>
  <si>
    <t>Indicates whether the credential has been revoked by the credential provider.</t>
  </si>
  <si>
    <t>001751</t>
  </si>
  <si>
    <t>CredentialRevokedIndicator</t>
  </si>
  <si>
    <t>Credential Revoked Reason</t>
  </si>
  <si>
    <t>Published reason for revocation of a credential award.</t>
  </si>
  <si>
    <t>001661</t>
  </si>
  <si>
    <t>CredentialRevokedReason</t>
  </si>
  <si>
    <t>Credential Type</t>
  </si>
  <si>
    <t>An indication of the category of credential a person holds.</t>
  </si>
  <si>
    <t>000071</t>
  </si>
  <si>
    <t>CredentialType</t>
  </si>
  <si>
    <t>Credit Hours Applied Other Program</t>
  </si>
  <si>
    <t>Codes identifying the set of credit hours taken in other programs or degrees that were applied to the individual's degree.</t>
  </si>
  <si>
    <t>Adult Education -&gt; AE Student -&gt; Academic Record -&gt; Academic Award
Career and Technical -&gt; CTE Student -&gt; Academic Record -&gt; Academic Award
K12 -&gt; K12 Student -&gt; Academic Record -&gt; Academic Award
Postsecondary -&gt; PS Student -&gt; Academic Record -&gt; Academic Award
Workforce -&gt; Workforce Program Participant -&gt; Academic Record -&gt; Academic Award</t>
  </si>
  <si>
    <t>001317</t>
  </si>
  <si>
    <t>CreditHoursAppliedOtherProgram</t>
  </si>
  <si>
    <t>Credit Unit Type</t>
  </si>
  <si>
    <t>The type of credits or units of value awarded for the completion of a course.</t>
  </si>
  <si>
    <t>000072</t>
  </si>
  <si>
    <t>CreditUnitType</t>
  </si>
  <si>
    <t>Credit Value</t>
  </si>
  <si>
    <t>The amount of credit available to the student who successfully meets the objectives of the course or learning opportunity based on the units defined by Credit Unit Type.</t>
  </si>
  <si>
    <t>Adult Education -&gt; Course Section -&gt; Course
Career and Technical -&gt; Course
Career and Technical -&gt; Course Section -&gt; Course
K12 -&gt; K12 Course
K12 -&gt; K12 Student -&gt; Graduation Plan -&gt; Course
Postsecondary -&gt; Course Section -&gt; Course</t>
  </si>
  <si>
    <t>000058</t>
  </si>
  <si>
    <t>CreditValue</t>
  </si>
  <si>
    <t>Credits Attempted Cumulative</t>
  </si>
  <si>
    <t>000073</t>
  </si>
  <si>
    <t>CreditsAttemptedCumulative</t>
  </si>
  <si>
    <t>Credits Earned Cumulative</t>
  </si>
  <si>
    <t>000074</t>
  </si>
  <si>
    <t>CreditsEarnedCumulative</t>
  </si>
  <si>
    <t>Credits Required</t>
  </si>
  <si>
    <t>The total number of credits required for a student to graduate from the school of enrollment or complete a program.</t>
  </si>
  <si>
    <t>K12 -&gt; K12 Student -&gt; Graduation Plan
K12 -&gt; K12 Student -&gt; Graduation Plan -&gt; Subject Area
K12 -&gt; K12 Student -&gt; Program
K12 -&gt; Program</t>
  </si>
  <si>
    <t>May be compared to the sum of Number of Credits Earned for courses associated with the program of study to determine the remaining credits that the student needs to complete the program.</t>
  </si>
  <si>
    <t>001574</t>
  </si>
  <si>
    <t>CreditsRequired</t>
  </si>
  <si>
    <t>Crisis Code</t>
  </si>
  <si>
    <t>A unique number or alphanumeric code used to identify a crisis. This code should be able to accommodate numerous crises within a single school year. It is associated with the displaced student identifier in order to link a crisis to a student who was displaced or otherwise affected by the event. If the same code values are to be used over multiple years, it is important to have enough crisis-specific items (e.g., school year, date/time) to keep the events unique over time.</t>
  </si>
  <si>
    <t>K12 -&gt; Calendar -&gt; Crisis</t>
  </si>
  <si>
    <t>000611</t>
  </si>
  <si>
    <t>CrisisCode</t>
  </si>
  <si>
    <t>Crisis Description</t>
  </si>
  <si>
    <t>A description of the crisis that caused the displacement of students.</t>
  </si>
  <si>
    <t>001550</t>
  </si>
  <si>
    <t>CrisisDescription</t>
  </si>
  <si>
    <t>Crisis End Date</t>
  </si>
  <si>
    <t>The date on which the crisis ceased to affect the agency.</t>
  </si>
  <si>
    <t>001552</t>
  </si>
  <si>
    <t>CrisisEndDate</t>
  </si>
  <si>
    <t>Crisis Name</t>
  </si>
  <si>
    <t>The name of the crisis that caused the displacement of students.</t>
  </si>
  <si>
    <t>000612</t>
  </si>
  <si>
    <t>CrisisName</t>
  </si>
  <si>
    <t>Crisis Start Date</t>
  </si>
  <si>
    <t>The year, month and day on which the crisis affected the agency. This date may not be the same as the date the crisis occurred if evacuation orders are implemented in anticipation of a crisis.</t>
  </si>
  <si>
    <t>000614</t>
  </si>
  <si>
    <t>CrisisStartDate</t>
  </si>
  <si>
    <t>Crisis Type</t>
  </si>
  <si>
    <t>The type or category of crisis (ex., chemical, earthquake, flood, wildfire, etc.).</t>
  </si>
  <si>
    <t>000613</t>
  </si>
  <si>
    <t>CrisisType</t>
  </si>
  <si>
    <t>Critical Teacher Shortage Area Candidate</t>
  </si>
  <si>
    <t>An indication of whether a person is pursuing licensure/certification in a field designated as a shortage area as defined by Title II.</t>
  </si>
  <si>
    <t>When used in conjunction with the element Classification of Instructional Program, the field of study can be determined.</t>
  </si>
  <si>
    <t>000770</t>
  </si>
  <si>
    <t>CriticalTeacherShortageAreaCandidate</t>
  </si>
  <si>
    <t>CTDL Audience Level Type</t>
  </si>
  <si>
    <t>Type of level indicating a point in a progression through an educational or training context, for which the credential is intended; select from an existing enumeration of such types.</t>
  </si>
  <si>
    <t>001913</t>
  </si>
  <si>
    <t>ceterms:AudienceLevel</t>
  </si>
  <si>
    <t>CTDLAudienceLevelType</t>
  </si>
  <si>
    <t>CTDL Organization Type</t>
  </si>
  <si>
    <t>The type of credentialing organization or entity as defined by the Credential Transparency Description Language.</t>
  </si>
  <si>
    <t>Credentials -&gt; Credential Award -&gt; Credential Issuer
Credentials -&gt; Credential Definition Agent</t>
  </si>
  <si>
    <t>Includes free-standing medical, law or other first-professional schools, schools that offer postbaccalaureate certificates only, those that offer graduate programs only, etc.</t>
  </si>
  <si>
    <t>001755</t>
  </si>
  <si>
    <t>CTDLOrganizationType</t>
  </si>
  <si>
    <t>Curriculum Framework Type</t>
  </si>
  <si>
    <t>An indication of the standard curriculum used for this course.</t>
  </si>
  <si>
    <t>000712</t>
  </si>
  <si>
    <t>CurriculumFrameworkType</t>
  </si>
  <si>
    <t>Custodial Parent or Guardian Indicator</t>
  </si>
  <si>
    <t>An indication that a person has legal custody of a child.</t>
  </si>
  <si>
    <t xml:space="preserve">Yes
No
Unknown
</t>
  </si>
  <si>
    <t>000329</t>
  </si>
  <si>
    <t>CustodialParentOrGuardianIndicator</t>
  </si>
  <si>
    <t>Date of Transition Plan</t>
  </si>
  <si>
    <t>The date transition steps and services were added to the individualized service plan.</t>
  </si>
  <si>
    <t>001367</t>
  </si>
  <si>
    <t>DateOfTransitionPlan</t>
  </si>
  <si>
    <t>Date State Received Title III Allocation</t>
  </si>
  <si>
    <t>Annual date the State receives the Title III allocation from U.S. Department of Education (ED).</t>
  </si>
  <si>
    <t>K12 -&gt; SEA -&gt; Federal Funds</t>
  </si>
  <si>
    <t>000455</t>
  </si>
  <si>
    <t>DateStateReceivedTitleIIIAllocation</t>
  </si>
  <si>
    <t>Date Title III Funds Available to Subgrantees</t>
  </si>
  <si>
    <t>Annual date that Title III funds are available to approved subgrantees.</t>
  </si>
  <si>
    <t>000456</t>
  </si>
  <si>
    <t>DateTitleIIIFundsAvailableToSubgrantees</t>
  </si>
  <si>
    <t>Days Available Per Week</t>
  </si>
  <si>
    <t>The number of days per week the site or classroom is open for children to attend.</t>
  </si>
  <si>
    <t>000355</t>
  </si>
  <si>
    <t>DaysAvailablePerWeek</t>
  </si>
  <si>
    <t>Early Learning -&gt; Access to Services
Early Learning -&gt; Licensing
Early Learning -&gt; Program Compliance
Early Learning -&gt; Program Quality</t>
  </si>
  <si>
    <t>Days in Session</t>
  </si>
  <si>
    <t>The total number of days that the school was or is anticipated to be in session during the school year. Also included are days on which the education institution facility is closed and the student body as a whole is engaged in planned activities off-campus under the guidance and direction of staff members.</t>
  </si>
  <si>
    <t>K12 -&gt; K12 School -&gt; Session</t>
  </si>
  <si>
    <t>000496</t>
  </si>
  <si>
    <t>DaysInSession</t>
  </si>
  <si>
    <t>Declined Services Date</t>
  </si>
  <si>
    <t>The date recommended services were declined.</t>
  </si>
  <si>
    <t>K12 -&gt; K12 Student -&gt; Individualized Program -&gt; Services</t>
  </si>
  <si>
    <t>001712</t>
  </si>
  <si>
    <t>DeclinedServicesDate</t>
  </si>
  <si>
    <t>Degree Applicability</t>
  </si>
  <si>
    <t>000077</t>
  </si>
  <si>
    <t>DegreeApplicability</t>
  </si>
  <si>
    <t>Degree or Certificate Conferring Date</t>
  </si>
  <si>
    <t>The year, month and day on which a person received a degree or certificate.</t>
  </si>
  <si>
    <t>000344</t>
  </si>
  <si>
    <t>DegreeOrCertificateConferringDate</t>
  </si>
  <si>
    <t>Early Learning -&gt; Program Compliance
Early Learning -&gt; Staff Quality
Early Learning -&gt; Workforce Development</t>
  </si>
  <si>
    <t>Degree or Certificate Seeking Student</t>
  </si>
  <si>
    <t>Person is enrolled in courses for credit and recognized by the institution as seeking a degree, certificate, or other formal award. High school students also enrolled in postsecondary courses for credit are not considered degree/certificate-seeking.</t>
  </si>
  <si>
    <t>000078</t>
  </si>
  <si>
    <t>DegreeOrCertificateSeekingStudent</t>
  </si>
  <si>
    <t>Degree or Certificate Title or Subject</t>
  </si>
  <si>
    <t>The name of the degree or certificate earned by a person. This includes honorary degrees conferred upon an individual.</t>
  </si>
  <si>
    <t>000342</t>
  </si>
  <si>
    <t>DegreeOrCertificateTitleOrSubject</t>
  </si>
  <si>
    <t>Degree or Certificate Type</t>
  </si>
  <si>
    <t>The type of degree or certificate earned by a person.</t>
  </si>
  <si>
    <t>000343</t>
  </si>
  <si>
    <t>DegreeOrCertificateType</t>
  </si>
  <si>
    <t>Demographic Race Two or More Races</t>
  </si>
  <si>
    <t>A person having origins in any of more than one of the racial groups.</t>
  </si>
  <si>
    <t>To support backward compatibility for systems that cannot derive this, i.e. systems that use a single race/ethnicity element rather than separate flags that can indicate one or more ethnicities.</t>
  </si>
  <si>
    <t>000973</t>
  </si>
  <si>
    <t>DemographicRaceTwoOrMoreRaces</t>
  </si>
  <si>
    <t>Dental Insurance Coverage Type</t>
  </si>
  <si>
    <t>The source of insurance covering an person's dental care.</t>
  </si>
  <si>
    <t>000336</t>
  </si>
  <si>
    <t>DentalInsuranceCoverageType</t>
  </si>
  <si>
    <t>Early Learning -&gt; Program Entry</t>
  </si>
  <si>
    <t>Dental Screening Date</t>
  </si>
  <si>
    <t>The year, month and day of a dental screening</t>
  </si>
  <si>
    <t>000706</t>
  </si>
  <si>
    <t>DentalScreeningDate</t>
  </si>
  <si>
    <t>Dental Screening Status</t>
  </si>
  <si>
    <t>The condition of a person's mouth or oral cavity; more specifically the condition of the hard tissues (i.e., teeth and jaws) and the soft tissues (i.e., gums, tongue, lips, palate, mouth floor, and inner cheeks). Good oral health denotes the absence of clinically manifested disease or abnormalities of the oral cavity.</t>
  </si>
  <si>
    <t>000310</t>
  </si>
  <si>
    <t>DentalScreeningStatus</t>
  </si>
  <si>
    <t>Dependency Status</t>
  </si>
  <si>
    <t>A person's classification as dependent or independent with regards to eligibility for Title IV Federal Student aid.</t>
  </si>
  <si>
    <t>000079</t>
  </si>
  <si>
    <t>DependencyStatus</t>
  </si>
  <si>
    <t>Persistence and Attainment of Nontraditional Students
Postsecondary Education -&gt; IPEDS</t>
  </si>
  <si>
    <t>Desegregation Order or Plan</t>
  </si>
  <si>
    <t>An indication whether the LEA is covered by a desegregation plan either ordered by a court or entered into with the Office for Civil Rights under Title VI of the Civil Rights Act of 1964.</t>
  </si>
  <si>
    <t>000080</t>
  </si>
  <si>
    <t>DesegregationOrderOrPlan</t>
  </si>
  <si>
    <t>Designated Graduation School Identifier</t>
  </si>
  <si>
    <t>The NCES school identification number that identifies the school or facility from which a student expects to graduate.</t>
  </si>
  <si>
    <t>000436</t>
  </si>
  <si>
    <t>DesignatedGraduationSchoolIdentifier</t>
  </si>
  <si>
    <t>Developmental Education Referral Status</t>
  </si>
  <si>
    <t>001588</t>
  </si>
  <si>
    <t>DevelopmentalEducationReferralStatus</t>
  </si>
  <si>
    <t>Postsecondary Education -&gt; Voluntary Framework of Accountability</t>
  </si>
  <si>
    <t>Developmental Education Type</t>
  </si>
  <si>
    <t>An indicator of the category of developmental education.</t>
  </si>
  <si>
    <t>Adult Education -&gt; Course Section
Career and Technical -&gt; Course Section
Postsecondary -&gt; Course Section
Postsecondary -&gt; PS Student -&gt; Institution Enrollment</t>
  </si>
  <si>
    <t>001589</t>
  </si>
  <si>
    <t>DevelopmentalEducationType</t>
  </si>
  <si>
    <t>Developmental Evaluation Finding</t>
  </si>
  <si>
    <t>Child developmental delay/disability determined by procedure used by appropriate qualified personnel.</t>
  </si>
  <si>
    <t>000315</t>
  </si>
  <si>
    <t>DevelopmentalEvaluationFinding</t>
  </si>
  <si>
    <t>Diagnostic Statement Source</t>
  </si>
  <si>
    <t>Identifies the source of the Diagnostic Statement based on a scored/evaluated portion of an assessment.</t>
  </si>
  <si>
    <t>001008</t>
  </si>
  <si>
    <t>DiagnosticStatementSource</t>
  </si>
  <si>
    <t>Differential Shift Pay Indicator</t>
  </si>
  <si>
    <t>An indication of whether staff receive differential shift pay.</t>
  </si>
  <si>
    <t>000868</t>
  </si>
  <si>
    <t>DifferentialShiftPayIndicator</t>
  </si>
  <si>
    <t>Diploma or Credential Award Date</t>
  </si>
  <si>
    <t>The month and year on which the diploma/credential is awarded to a student in recognition of his/her completion of the curricular requirements.</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</si>
  <si>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Postsecondary -&gt; PS Student -&gt; K12 Transcript
Workforce -&gt; Workforce Program Participant -&gt; Academic Record -&gt; Academic Award</t>
  </si>
  <si>
    <t>YYYY-MM</t>
  </si>
  <si>
    <t>000081</t>
  </si>
  <si>
    <t>DiplomaOrCredentialAwardDate</t>
  </si>
  <si>
    <t>Early Learning -&gt; Staff Quality
K-12 -&gt; High School Feedback Report
K-12 -&gt; High School Generated Transcript
K-12 -&gt; LEA-to-LEA Student Record Exchange
K-12 -&gt; LEA-to-SEA Student Record Exchange
Postsecondary Education -&gt; Transition</t>
  </si>
  <si>
    <t>Directory Information Block Status</t>
  </si>
  <si>
    <t>An indication of whether a individual requested a Family Education Rights and Privacy Act (FERPA) block to withhold the release of the person's directory information.</t>
  </si>
  <si>
    <t>K12 -&gt; K12 Student -&gt; Enrollment
Postsecondary -&gt; PS Student -&gt; Term Enrollment</t>
  </si>
  <si>
    <t>001590</t>
  </si>
  <si>
    <t>DirectoryInformationBlockStatus</t>
  </si>
  <si>
    <t>Postsecondary Education -&gt; Student Achievement Measure
Postsecondary Education -&gt; Voluntary Framework of Accountability</t>
  </si>
  <si>
    <t>Disability Condition Status Type</t>
  </si>
  <si>
    <t>A code indicating the disability condition status.</t>
  </si>
  <si>
    <t>001319</t>
  </si>
  <si>
    <t>Disability Condition Status Code</t>
  </si>
  <si>
    <t>DisabilityConditionStatusCode</t>
  </si>
  <si>
    <t>Disability Condition Type</t>
  </si>
  <si>
    <t>Codes identifying the set of disability conditions.</t>
  </si>
  <si>
    <t>Disability Conditional Type may be used in K12 to specify a disability other than Primary Disability Type.</t>
  </si>
  <si>
    <t>001320</t>
  </si>
  <si>
    <t>DisabilityConditionType</t>
  </si>
  <si>
    <t>Disability Determination Source Type</t>
  </si>
  <si>
    <t>Codes identifying the set of disability determination sources.</t>
  </si>
  <si>
    <t>001321</t>
  </si>
  <si>
    <t>DisabilityDeterminationSourceType</t>
  </si>
  <si>
    <t>Disability Status</t>
  </si>
  <si>
    <t>An indication of whether a person is classified as disabled under the American's with Disability Act (ADA).</t>
  </si>
  <si>
    <t>000577</t>
  </si>
  <si>
    <t>DisabilityStatus</t>
  </si>
  <si>
    <t>Disciplinary Action End Date</t>
  </si>
  <si>
    <t>The year, month and day on which a discipline action ends.</t>
  </si>
  <si>
    <t>K12 -&gt; Incident
K12 -&gt; K12 Student -&gt; Discipline</t>
  </si>
  <si>
    <t>000082</t>
  </si>
  <si>
    <t>DisciplinaryActionEndDate</t>
  </si>
  <si>
    <t>Disciplinary Action IEP Placement Meeting Indicator</t>
  </si>
  <si>
    <t>An indication as to whether an offense and/or disciplinary action resulted in a meeting of a student’s Individualized Education Program (IEP) team to determine appropriate placement.</t>
  </si>
  <si>
    <t>K12 -&gt; K12 Student -&gt; Discipline</t>
  </si>
  <si>
    <t>001322</t>
  </si>
  <si>
    <t>DisciplinaryActionIEPPlacementMeetingIndicator</t>
  </si>
  <si>
    <t>Disciplinary Action Start Date</t>
  </si>
  <si>
    <t>The year, month and day on which a discipline action begins.</t>
  </si>
  <si>
    <t>000083</t>
  </si>
  <si>
    <t>DisciplinaryActionStartDate</t>
  </si>
  <si>
    <t>Disciplinary Action Taken</t>
  </si>
  <si>
    <t>Identifies the consequences of an incident for the student(s) involved in an incident as perpetrator(s).</t>
  </si>
  <si>
    <t>000488</t>
  </si>
  <si>
    <t>DisciplinaryActionTaken</t>
  </si>
  <si>
    <t>Discipline Action Length Difference Reason</t>
  </si>
  <si>
    <t>The reason for the difference, if any, between the official and actual lengths of a student’s disciplinary assignment.</t>
  </si>
  <si>
    <t>000609</t>
  </si>
  <si>
    <t>DisciplineActionLengthDifferenceReason</t>
  </si>
  <si>
    <t>Discipline Method for Firearms Incidents</t>
  </si>
  <si>
    <t>The method used to discipline students who are not children with disabilities (IDEA) involved in firearms and other outcomes of firearms incidents.</t>
  </si>
  <si>
    <t>000555</t>
  </si>
  <si>
    <t>DisciplineMethodForFirearmsIncidents</t>
  </si>
  <si>
    <t>Discipline Method of Children with Disabilities</t>
  </si>
  <si>
    <t>The type of suspension or expulsion used for the discipline of children with disabilities.</t>
  </si>
  <si>
    <t>000538</t>
  </si>
  <si>
    <t>DisciplineMethodOfChildrenWithDisabilities</t>
  </si>
  <si>
    <t>Discipline Reason</t>
  </si>
  <si>
    <t>The reason why the student was disciplined.</t>
  </si>
  <si>
    <t>000545</t>
  </si>
  <si>
    <t>DisciplineReason</t>
  </si>
  <si>
    <t>Dislocated Worker Status</t>
  </si>
  <si>
    <t>An individual who has been terminated or laid off, or who has received a notice of termination or layoff from employment, or an individual who was self-employed but is unemployed as a result of general economic conditions in the community in which the individual resides or because of natural disasters.</t>
  </si>
  <si>
    <t>000776</t>
  </si>
  <si>
    <t>DislocatedWorkerStatus</t>
  </si>
  <si>
    <t>Displaced Student Status</t>
  </si>
  <si>
    <t>A student who was enrolled, or eligible for enrollment, but has enrolled in another place because of a crisis.</t>
  </si>
  <si>
    <t>K12 -&gt; K12 Student -&gt; Enrollment</t>
  </si>
  <si>
    <t>000610</t>
  </si>
  <si>
    <t>DisplacedStudentStatus</t>
  </si>
  <si>
    <t>Distance Education Course Enrollment</t>
  </si>
  <si>
    <t>Postsecondary -&gt; PS Student -&gt; Term Enrollment</t>
  </si>
  <si>
    <t>Element defined in IPEDS</t>
  </si>
  <si>
    <t>000728</t>
  </si>
  <si>
    <t>DistanceEducationCourseEnrollment</t>
  </si>
  <si>
    <t>Postsecondary Education -&gt; IPEDS -&gt; Fall Enrollment</t>
  </si>
  <si>
    <t>Distance Education Program Enrollment Indicator</t>
  </si>
  <si>
    <t>An individual's enrollment in a program for which all the required coursework for program completion is able to be completed via distance education courses. Distance education is education that uses one or more technologies to deliver instruction to individuals who are separated from the instructor and to support regular and substantive interaction between the individuals and the instructor synchronously or asynchronously.</t>
  </si>
  <si>
    <t>Postsecondary -&gt; PS Institution -&gt; Program
Postsecondary -&gt; PS Student -&gt; Institution Enrollment -&gt; Program</t>
  </si>
  <si>
    <t>001323</t>
  </si>
  <si>
    <t>DistanceEducationProgramEnrollmentIndicator</t>
  </si>
  <si>
    <t>Do Not Publish Indicator</t>
  </si>
  <si>
    <t>An indication that the record should not be published.</t>
  </si>
  <si>
    <t>001928</t>
  </si>
  <si>
    <t>DoNotPublishIndicator</t>
  </si>
  <si>
    <t>Doctoral Candidacy Admit Indicator</t>
  </si>
  <si>
    <t>The individual's status in being admitted as a doctoral candidate.</t>
  </si>
  <si>
    <t>Postsecondary -&gt; PS Student -&gt; Graduate Student</t>
  </si>
  <si>
    <t>001324</t>
  </si>
  <si>
    <t>DoctoralCandidacyAdmitIndicator</t>
  </si>
  <si>
    <t>Doctoral Candidacy Date</t>
  </si>
  <si>
    <t>The date on which the individual was admitted to doctoral candidate status.</t>
  </si>
  <si>
    <t>001325</t>
  </si>
  <si>
    <t>DoctoralCandidacyDate</t>
  </si>
  <si>
    <t>Doctoral Exam Taken Date</t>
  </si>
  <si>
    <t>The date on which the individual took an exam for advancement in, continuation or completion of a doctoral program.</t>
  </si>
  <si>
    <t>001326</t>
  </si>
  <si>
    <t>DoctoralExamTakenDate</t>
  </si>
  <si>
    <t>Doctoral Exams Required Type</t>
  </si>
  <si>
    <t>A qualifier identifying the types of exams required of doctoral level individuals.</t>
  </si>
  <si>
    <t>001327</t>
  </si>
  <si>
    <t>DoctoralExamsRequiredType</t>
  </si>
  <si>
    <t>DQP Categories of Learning</t>
  </si>
  <si>
    <t>Adult Education -&gt; AE Student -&gt; Academic Record -&gt; Academic Award
Career and Technical -&gt; CTE Student -&gt; Academic Record -&gt; Academic Award
Postsecondary -&gt; PS Student -&gt; Academic Record -&gt; Academic Award
Postsecondary -&gt; PS Student -&gt; Institution Enrollment -&gt; Prior Academic Award
Workforce -&gt; Workforce Program Participant -&gt; Academic Record -&gt; Academic Award</t>
  </si>
  <si>
    <t>001641</t>
  </si>
  <si>
    <t>DQPCategoriesOfLearning</t>
  </si>
  <si>
    <t>Dual Credit Dual Enrollment Credits Awarded</t>
  </si>
  <si>
    <t>000085</t>
  </si>
  <si>
    <t>DualCreditDualEnrollmentCreditsAwarded</t>
  </si>
  <si>
    <t>Duration Length in Minutes</t>
  </si>
  <si>
    <t>The number of minutes in an instance.</t>
  </si>
  <si>
    <t>001716</t>
  </si>
  <si>
    <t>DurationLengthinMinutes</t>
  </si>
  <si>
    <t>Duration of Disciplinary Action</t>
  </si>
  <si>
    <t>The length, in school days, of the disciplinary action.</t>
  </si>
  <si>
    <t>000511</t>
  </si>
  <si>
    <t>DurationOfDisciplinaryAction</t>
  </si>
  <si>
    <t>Early Childhood Credential</t>
  </si>
  <si>
    <t>The credential related to early childhood education or development held by a person.</t>
  </si>
  <si>
    <t>000345</t>
  </si>
  <si>
    <t>EarlyChildhoodCredential</t>
  </si>
  <si>
    <t>Early Childhood Degree or Certificate Holder</t>
  </si>
  <si>
    <t>Staff has a degree in early childhood regardless of level.</t>
  </si>
  <si>
    <t>000789</t>
  </si>
  <si>
    <t>EarlyChildhoodDegreeOrCertificateHolder</t>
  </si>
  <si>
    <t>Early Childhood Education and Assistance Program Eligibility</t>
  </si>
  <si>
    <t>Denotes whether the family member can receive Early Childhood Education and Assistance Program (ECEAP) information for the child in question.</t>
  </si>
  <si>
    <t>001591</t>
  </si>
  <si>
    <t>EarlyChildhoodEducationAndAssistanceProgramEligibility</t>
  </si>
  <si>
    <t>Early Childhood Program Enrollment Type</t>
  </si>
  <si>
    <t>The system outlining activities and procedures based on a set of required services and standards in which the child is enrolled.</t>
  </si>
  <si>
    <t>000829</t>
  </si>
  <si>
    <t>EarlyChildhoodProgramEnrollmentType</t>
  </si>
  <si>
    <t>Early Childhood Services Offered</t>
  </si>
  <si>
    <t>A type of service offered by an organization that adapts the curriculum, materials, or instruction for students identified as needing additional resources.</t>
  </si>
  <si>
    <t>001553</t>
  </si>
  <si>
    <t>EarlyChildhoodServicesOffered</t>
  </si>
  <si>
    <t>Early Childhood Services Received</t>
  </si>
  <si>
    <t>The types of service that adapts the curriculum, materials, or instruction for students identified as needing additional resources.</t>
  </si>
  <si>
    <t>000321</t>
  </si>
  <si>
    <t>EarlyChildhoodServicesReceived</t>
  </si>
  <si>
    <t>Early Childhood Setting</t>
  </si>
  <si>
    <t>000356</t>
  </si>
  <si>
    <t>EarlyChildhoodSetting</t>
  </si>
  <si>
    <t>Early Learning Application Identifier</t>
  </si>
  <si>
    <t>Identifier for the application for enrollment or direct services filled out on behalf of a child</t>
  </si>
  <si>
    <t>001597</t>
  </si>
  <si>
    <t>EarlyLearningApplicationIdentifier</t>
  </si>
  <si>
    <t>Early Learning Application Required Document</t>
  </si>
  <si>
    <t>Identifies a specific document required for enrollment.</t>
  </si>
  <si>
    <t>001599</t>
  </si>
  <si>
    <t>EarlyLearningApplicationRequiredDocument</t>
  </si>
  <si>
    <t>Early Learning Class Group Curriculum Type</t>
  </si>
  <si>
    <t>The type of curriculum used in an early learning classroom or group.</t>
  </si>
  <si>
    <t>000823</t>
  </si>
  <si>
    <t>EarlyLearningClassGroupCurriculumType</t>
  </si>
  <si>
    <t>Early Learning Class Group Identifier</t>
  </si>
  <si>
    <t>A unique number or alphanumeric code assigned by a school, school system, a state, or other agency or entity for a particular early learning class or group.</t>
  </si>
  <si>
    <t>000820</t>
  </si>
  <si>
    <t>EarlyLearningClassGroupIdentifier</t>
  </si>
  <si>
    <t>Early Learning Class Group Name</t>
  </si>
  <si>
    <t>Name of an early learning class or group.</t>
  </si>
  <si>
    <t>000821</t>
  </si>
  <si>
    <t>EarlyLearningClassGroupName</t>
  </si>
  <si>
    <t>Early Learning Core Knowledge Area</t>
  </si>
  <si>
    <t>A description of the core knowledge areas addressed by Early Learning professional development.</t>
  </si>
  <si>
    <t>000813</t>
  </si>
  <si>
    <t>EarlyLearningCoreKnowledgeArea</t>
  </si>
  <si>
    <t>Early Learning Education Staff Classification</t>
  </si>
  <si>
    <t>The title/role of employment, official status, or rank of education staff</t>
  </si>
  <si>
    <t>001602</t>
  </si>
  <si>
    <t>EarlyLearningEducationStaffClassification</t>
  </si>
  <si>
    <t>Early Learning Employment Separation Reason</t>
  </si>
  <si>
    <t>The primary reason for the termination of the employment relationship.</t>
  </si>
  <si>
    <t>001632</t>
  </si>
  <si>
    <t>Early Learning Enrollment Application Document Identifier</t>
  </si>
  <si>
    <t>Identifier for an enrollment application document record.</t>
  </si>
  <si>
    <t>001593</t>
  </si>
  <si>
    <t>EarlyLearningEnrollmentApplicationDocumentIdentifier</t>
  </si>
  <si>
    <t>Early Learning Enrollment Application Document Name</t>
  </si>
  <si>
    <t>Document name for an enrollment application document record.</t>
  </si>
  <si>
    <t>001594</t>
  </si>
  <si>
    <t>EarlyLearningEnrollmentApplicationDocumentName</t>
  </si>
  <si>
    <t>Early Learning Enrollment Application Document Type</t>
  </si>
  <si>
    <t>Document type for an enrollment application document record.</t>
  </si>
  <si>
    <t>001595</t>
  </si>
  <si>
    <t>EarlyLearningEnrollmentApplicationDocumentType</t>
  </si>
  <si>
    <t>Early Learning Enrollment Application Verification Date</t>
  </si>
  <si>
    <t>Date the required document was verified for the enrollment application</t>
  </si>
  <si>
    <t>001592</t>
  </si>
  <si>
    <t>EarlyLearningEnrollmentApplicationVerificationDate</t>
  </si>
  <si>
    <t>Early Learning Enrollment Application Verification Reason Type</t>
  </si>
  <si>
    <t>Identifies the reason for verification of enrollment application information</t>
  </si>
  <si>
    <t>001600</t>
  </si>
  <si>
    <t>EarlyLearningEnrollmentApplicationVerificationReasonType</t>
  </si>
  <si>
    <t>Early Learning Federal Funding Type</t>
  </si>
  <si>
    <t>Federal source, even if administered by state or local, that contributes to the EL program.</t>
  </si>
  <si>
    <t>001328</t>
  </si>
  <si>
    <t>EarlyLearningFederalFundingType</t>
  </si>
  <si>
    <t>Early Learning Group Size</t>
  </si>
  <si>
    <t>The number of slots/spaces available.</t>
  </si>
  <si>
    <t>001329</t>
  </si>
  <si>
    <t>EarlyLearningGroupSize</t>
  </si>
  <si>
    <t>Early Learning Group Size Standards Met</t>
  </si>
  <si>
    <t>An indication of whether a program meets NAEYC or NAFCC standards for infant group sizes.</t>
  </si>
  <si>
    <t>000824</t>
  </si>
  <si>
    <t>EarlyLearningGroupSizeStandardsMet</t>
  </si>
  <si>
    <t>Early Learning Local Revenue Source</t>
  </si>
  <si>
    <t>Funds that originate at the local level, and not from the state or federal level, that contribute to EL program.</t>
  </si>
  <si>
    <t>001603</t>
  </si>
  <si>
    <t>EarlyLearningLocalRevenueSource</t>
  </si>
  <si>
    <t>Early Learning Oldest Age Authorized to Serve</t>
  </si>
  <si>
    <t>001225</t>
  </si>
  <si>
    <t>EarlyLearningOIdestAgeAuthorizedToServe</t>
  </si>
  <si>
    <t>Early Learning -&gt; Licensing
Early Learning -&gt; Program Compliance
Early Learning -&gt; Program Quality
School Readiness</t>
  </si>
  <si>
    <t>Early Learning Other Federal Funding Sources</t>
  </si>
  <si>
    <t>The other contributing funding sources.</t>
  </si>
  <si>
    <t>001335</t>
  </si>
  <si>
    <t>EarlyLearningOtherFederalFundingSources</t>
  </si>
  <si>
    <t>Early Learning Outcome Measurement Level</t>
  </si>
  <si>
    <t>Use for outcome measures in early learning.</t>
  </si>
  <si>
    <t>001336</t>
  </si>
  <si>
    <t>EarlyLearningOutcomeMeasurementLevel</t>
  </si>
  <si>
    <t>Early Learning Outcome Time Point</t>
  </si>
  <si>
    <t>The point in time for which the result is used for an outcome measure.</t>
  </si>
  <si>
    <t>001503</t>
  </si>
  <si>
    <t>EarlyLearningOutcomeTimePoint</t>
  </si>
  <si>
    <t>Early Learning Professional Development Topic Area</t>
  </si>
  <si>
    <t>The topical area of competence needed for Staff professional development.</t>
  </si>
  <si>
    <t>001337</t>
  </si>
  <si>
    <t>EarlyLearningProfessionalDevelopmentTopicArea</t>
  </si>
  <si>
    <t>Early Learning Program Annual Operating Weeks</t>
  </si>
  <si>
    <t>The number of operating weeks per year for an early learning program.</t>
  </si>
  <si>
    <t>Integer - between 0 and 52</t>
  </si>
  <si>
    <t>000825</t>
  </si>
  <si>
    <t>EarlyLearningProgramAnnualOperatingWeeks</t>
  </si>
  <si>
    <t>Early Learning Program Developmental Screening Status</t>
  </si>
  <si>
    <t>An indication of whether a program ensures that all children served by the program are receiving developmental screenings.</t>
  </si>
  <si>
    <t>000848</t>
  </si>
  <si>
    <t>EarlyLearningProgramDevelopmentalScreeningStatus</t>
  </si>
  <si>
    <t>Early Learning Program Eligibility Category</t>
  </si>
  <si>
    <t>Category under which the person is eligible for an early childhood program or service.</t>
  </si>
  <si>
    <t>000304</t>
  </si>
  <si>
    <t>EarlyLearningProgramEligibilityCategory</t>
  </si>
  <si>
    <t>Early Learning Program Eligibility Expiration Date</t>
  </si>
  <si>
    <t>001338</t>
  </si>
  <si>
    <t>EarlyLearningProgramEligibilityExpirationDate</t>
  </si>
  <si>
    <t>Early Learning Program Eligibility Status</t>
  </si>
  <si>
    <t>The status of eligibility for the child.</t>
  </si>
  <si>
    <t>001339</t>
  </si>
  <si>
    <t>EarlyLearningProgramEligibilityStatus</t>
  </si>
  <si>
    <t>Early Learning Program Eligibility Status Date</t>
  </si>
  <si>
    <t>The date of status of eligibility.</t>
  </si>
  <si>
    <t>001340</t>
  </si>
  <si>
    <t>EarlyLearningProgramEligibilityStatusDate</t>
  </si>
  <si>
    <t>Early Learning Program License Revocation Status</t>
  </si>
  <si>
    <t>An indication of whether a program's license was revoked due to violations as determined by the state.</t>
  </si>
  <si>
    <t>000838</t>
  </si>
  <si>
    <t>EarlyLearningProgramLicenseRevocationStatus</t>
  </si>
  <si>
    <t>Early Learning Program License Suspension Status</t>
  </si>
  <si>
    <t>An indication of whether a program's license was suspended due to violations as determined by the state.</t>
  </si>
  <si>
    <t>000837</t>
  </si>
  <si>
    <t>EarlyLearningProgramLicenseSuspensionStatus</t>
  </si>
  <si>
    <t>Early Learning Program Licensing Status</t>
  </si>
  <si>
    <t>The current licensing status for an early learning program.</t>
  </si>
  <si>
    <t>000828</t>
  </si>
  <si>
    <t>EarlyLearningProgramLicensingStatus</t>
  </si>
  <si>
    <t>Early Learning Program Year</t>
  </si>
  <si>
    <t>The year the program is operating.</t>
  </si>
  <si>
    <t>000864</t>
  </si>
  <si>
    <t>EarlyLearningProgramYear</t>
  </si>
  <si>
    <t>Early Learning Service Professional Staff Classification</t>
  </si>
  <si>
    <t>The title/role of employment, official status, or rank of early learning service professionals</t>
  </si>
  <si>
    <t>001636</t>
  </si>
  <si>
    <t>EarlyLearningServiceProfessionalStaffClassification</t>
  </si>
  <si>
    <t>Early Learning Service Type</t>
  </si>
  <si>
    <t>A type of service provided to a child.</t>
  </si>
  <si>
    <t>001604</t>
  </si>
  <si>
    <t>EarlyLearningServiceType</t>
  </si>
  <si>
    <t>Early Learning Staff Total College Credits Earned</t>
  </si>
  <si>
    <t>Total number of college credits earned, including all credits within a degree and outside a degree, regardless of whether they all are early childhood credits.</t>
  </si>
  <si>
    <t>000792</t>
  </si>
  <si>
    <t>EarlyLearningStaffTotalCollegeCreditsEarned</t>
  </si>
  <si>
    <t>Early Learning State Revenue Source</t>
  </si>
  <si>
    <t>001605</t>
  </si>
  <si>
    <t>EarlyLearningStateRevenueSource</t>
  </si>
  <si>
    <t>Early Learning Trainer Core Knowledge Area</t>
  </si>
  <si>
    <t>A description of the core knowledge expertise of a trainer of a professional development experience.</t>
  </si>
  <si>
    <t>001606</t>
  </si>
  <si>
    <t>EarlyLearningTrainerCoreKnowledgeArea</t>
  </si>
  <si>
    <t>Early Learning Youngest Age Authorized to Serve</t>
  </si>
  <si>
    <t>000633</t>
  </si>
  <si>
    <t>EarlyLearningYoungestAgeAuthorizedToServe</t>
  </si>
  <si>
    <t>Economic Disadvantage Status</t>
  </si>
  <si>
    <t>An indication that the student met the State criteria for classification as having an economic disadvantage.</t>
  </si>
  <si>
    <t>K12 -&gt; K12 Student -&gt; Economically Disadvantaged</t>
  </si>
  <si>
    <t>000086</t>
  </si>
  <si>
    <t>EconomicDisadvantageStatus</t>
  </si>
  <si>
    <t>Economic Research Service Rural-Urban Continuum Code</t>
  </si>
  <si>
    <t>Rural-Urban Continuum Codes form a classification scheme that distinguishes metropolitan (metro) counties by the population size of their metro area, and nonmetropolitan (nonmetro) counties by degree of urbanization and adjacency to a metro area or areas. The metro and nonmetro categories have been subdivided into three metro and six nonmetro groupings, resulting in a nine-part county codification. The codes allow researchers working with county data to break such data into finer residential groups beyond a simple metro-nonmetro dichotomy, particularly for the analysis of trends in nonmetro areas that may be related to degree of rurality and metro proximity.</t>
  </si>
  <si>
    <t>000862</t>
  </si>
  <si>
    <t>ERS Rural-Urban Continuum Code</t>
  </si>
  <si>
    <t>ERSRuralUrbanContinuumCode</t>
  </si>
  <si>
    <t>Early Learning -&gt; Program Quality
Early Learning -&gt; Staff Quality</t>
  </si>
  <si>
    <t>Education Verification Method</t>
  </si>
  <si>
    <t>The method by which the formal education is verified.</t>
  </si>
  <si>
    <t>001607</t>
  </si>
  <si>
    <t>EducationVerificationMethod</t>
  </si>
  <si>
    <t>Educational Services After Removal</t>
  </si>
  <si>
    <t>An indication of whether children (students) were provided educational services when removed from the regular school program for disciplinary reasons.</t>
  </si>
  <si>
    <t>000578</t>
  </si>
  <si>
    <t>EducationalServicesAfterRemoval</t>
  </si>
  <si>
    <t>Electronic Mail Address</t>
  </si>
  <si>
    <t>The numbers, letters, and symbols used to identify an electronic mail (e-mail) user within the network to which the person or organization belongs.</t>
  </si>
  <si>
    <t>Alphanumeric - between 7 and 128 characters</t>
  </si>
  <si>
    <t>000088</t>
  </si>
  <si>
    <t>Email Address</t>
  </si>
  <si>
    <t>ElectronicMailAddress</t>
  </si>
  <si>
    <t>Electronic Mail Address Type</t>
  </si>
  <si>
    <t>The type of electronic mail (e-mail) address listed for a person or organization.</t>
  </si>
  <si>
    <t>000089</t>
  </si>
  <si>
    <t>Email Address Type</t>
  </si>
  <si>
    <t>ElectronicMailAddressType</t>
  </si>
  <si>
    <t>Elementary-Middle Additional Indicator Status</t>
  </si>
  <si>
    <t>000091</t>
  </si>
  <si>
    <t>ElementaryMiddleAdditionalIndicatorStatus</t>
  </si>
  <si>
    <t>Eligibility Evaluation Date</t>
  </si>
  <si>
    <t>The date when the evaluation to determine eligibility was conducted.</t>
  </si>
  <si>
    <t>K12 -&gt; K12 Student -&gt; Individualized Program -&gt; Eligibility -&gt; Evaluation</t>
  </si>
  <si>
    <t>001731</t>
  </si>
  <si>
    <t>EligibilityEvaluationDate</t>
  </si>
  <si>
    <t>Eligibility Evaluation Description</t>
  </si>
  <si>
    <t>Description of evaluation procedure and result used for determining eligibility.</t>
  </si>
  <si>
    <t>001730</t>
  </si>
  <si>
    <t>EligibilityEvaluationDescription</t>
  </si>
  <si>
    <t>Eligibility Parent Observations Explanation</t>
  </si>
  <si>
    <t>Explanation of parent's observations of student’s characteristics and history used for determining eligibility.</t>
  </si>
  <si>
    <t>001732</t>
  </si>
  <si>
    <t>EligibilityParentObservationsExplanation</t>
  </si>
  <si>
    <t>Eligibility Priority Points</t>
  </si>
  <si>
    <t>Priority points used to determine eligibility and placement order</t>
  </si>
  <si>
    <t>001618</t>
  </si>
  <si>
    <t>EligibilityPriorityPoints</t>
  </si>
  <si>
    <t>Eligibility Status for School Food Service Programs</t>
  </si>
  <si>
    <t>An indication of a student's level of eligibility to participate in the National School Lunch Program for breakfast, lunch, snack, supper, and milk programs.</t>
  </si>
  <si>
    <t>000092</t>
  </si>
  <si>
    <t>EligibilityStatusForSchoolFoodServicePrograms</t>
  </si>
  <si>
    <t>Emergency Contact Indicator</t>
  </si>
  <si>
    <t>Early Learning -&gt; Parent/Guardian -&gt; Relationship
K12 -&gt; Parent/Guardian -&gt; Relationship</t>
  </si>
  <si>
    <t>001341</t>
  </si>
  <si>
    <t>Employed After Exit</t>
  </si>
  <si>
    <t>An individual who is a paid employee or works in his or her own business, profession, or farm, as reported through the State Unemployment Insurance Wage Report, FEDES, or WRIS, after exiting secondary, postsecondary, or adult education or workforce programs.</t>
  </si>
  <si>
    <t xml:space="preserve">Yes
Unknown
</t>
  </si>
  <si>
    <t>Adult Education -&gt; AE Student -&gt; Employment
K12 -&gt; K12 Student -&gt; Employment
Postsecondary -&gt; PS Student -&gt; Employment
Workforce -&gt; Quarterly Employment Record
Workforce -&gt; Workforce Program Participant -&gt; Employment</t>
  </si>
  <si>
    <t>000988</t>
  </si>
  <si>
    <t>EmployedAfterExit</t>
  </si>
  <si>
    <t>Persistence and Attainment of Nontraditional Students</t>
  </si>
  <si>
    <t>Employed Prior to Enrollment</t>
  </si>
  <si>
    <t>An individual who is a paid employee or works in his or her own business, profession, or farm, as reported through the State Unemployment Insurance Wage Report, FEDES, or WRIS, before enrolling in secondary, postsecondary, or adult education or workforce programs.</t>
  </si>
  <si>
    <t>Workforce -&gt; Quarterly Employment Record</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</si>
  <si>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</si>
  <si>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001342</t>
  </si>
  <si>
    <t>EmployedPriorToEnrollment</t>
  </si>
  <si>
    <t>Employed While Enrolled</t>
  </si>
  <si>
    <t>An individual who is a paid employee or works in his or her own business, profession, or farm, as reported through the State Unemployment Insurance Wage Report, FEDES, or WRIS, and at the same time is enrolled in secondary, postsecondary, or adult education or workforce programs.</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</si>
  <si>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</si>
  <si>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000987</t>
  </si>
  <si>
    <t>EmployedWhileEnrolled</t>
  </si>
  <si>
    <t>Employment End Date</t>
  </si>
  <si>
    <t>The year, month and day on which a person ended self-employment or employment with an organization or institution.</t>
  </si>
  <si>
    <t>000795</t>
  </si>
  <si>
    <t>EmploymentEndDate</t>
  </si>
  <si>
    <t>Employment Location</t>
  </si>
  <si>
    <t>The state or other location in which an individual is found employed.</t>
  </si>
  <si>
    <t>Workforce Notes: The most commonly available indication of where employment is located is at the state level. While federal data resources provide indicators outside of the United States, these resources will not represent the majority of the students found employed, which will be based on state UI Wage Data. There may, in some instances, be multiple states where employment is found. Note that it may be desirable to collect these data over time, in a longitudinal sense, to measure things related to persistence, change, and growth in employment.</t>
  </si>
  <si>
    <t>000990</t>
  </si>
  <si>
    <t>EmploymentLocation</t>
  </si>
  <si>
    <t>Employment NAICS Code</t>
  </si>
  <si>
    <t>The North American Industry Classification System (NAICS) code associated with an individual's employment.</t>
  </si>
  <si>
    <t>Adult Education -&gt; AE Student -&gt; Employment
Credentials -&gt; Credential Definition
K12 -&gt; K12 Student -&gt; Employment
Postsecondary -&gt; PS Student -&gt; Employment
Workforce -&gt; Quarterly Employment Record
Workforce -&gt; Workforce Program Participant -&gt; Employment</t>
  </si>
  <si>
    <t>001064</t>
  </si>
  <si>
    <t>EmploymentNAICSCode</t>
  </si>
  <si>
    <t>Employment Record Administrative Data Source</t>
  </si>
  <si>
    <t>Administrative data source of information used to collect employment and earnings-related data.</t>
  </si>
  <si>
    <t>For over 25 years, states have relied upon administrative data sources to document the employment and earnings of students and former students. The sources listed are complementary, rather than alternatives. That is, State UI records only include information for employees within a state's boundaries. The WRIS II system can provide employment data for other states (from their UI wage record systems). State UI records do not include information about federal or postal service employment, nor do they contain information about military enlistments. FEDES provides access to that information. Ideally, an entity will use UI, WRIS (other state UI), and FEDES together.</t>
  </si>
  <si>
    <t>000994</t>
  </si>
  <si>
    <t>EmploymentRecordAdministrativeDataSource</t>
  </si>
  <si>
    <t>Employment Record Reference Period End Date</t>
  </si>
  <si>
    <t>The year, month, and day of the last day of the employment record reference period.</t>
  </si>
  <si>
    <t>The reference quarter is the 13-week period around which employment and earnings data are collected. For unemployment insurance purposes, quarters are defined by 13-week periods. In most state cases, a reference quarter is defined to coincide with an enrollment period (e.g., a term or semester) or as a certain number of quarters after exiting a program, such as "3d quarter after exit." In some cases, states have defined the reference quarter to represent a period where employment and earnings data are collected for all of a previous year's exits and graduates. This is often the October - December quarter. Ultimately, the most value to be gained from the use of employment and earnings data is when data are collected continuously, both in a longitudinal sense for defined cohorts of students, as well as for an "annual set" of students.</t>
  </si>
  <si>
    <t>000993</t>
  </si>
  <si>
    <t>EmploymentRecordReferencePeriodEndDate</t>
  </si>
  <si>
    <t>Employment Record Reference Period Start Date</t>
  </si>
  <si>
    <t>The year, month, and day of the first day of the employment record reference period.</t>
  </si>
  <si>
    <t>The reference quarter is the 13-week period around which employment and earnings data are collected. For unemployment insurance purposes, quarters are defined by 13-week periods. In most state cases, a reference quarter is defined to coincide with an enrollment period (e.g., a term or semester) or as a certain number of quarters after exiting a program, such as "3d quarter after exit." In some cases, states have defined the reference quarter to represent a period where employment and earnings data are collected for all of a previous year's exits and graduates. This is often the October- December quarter. Ultimately, the most value to be gained from the use of employment and earnings data is when data are collected continuously, both in a longitudinal sense for defined cohorts of students, as well as for an "annual set" of students.</t>
  </si>
  <si>
    <t>000992</t>
  </si>
  <si>
    <t>EmploymentRecordReferencePeriodStartDate</t>
  </si>
  <si>
    <t>Employment Separation Reason</t>
  </si>
  <si>
    <t>000620</t>
  </si>
  <si>
    <t>EmploymentSeparationReason</t>
  </si>
  <si>
    <t>Employment Separation Type</t>
  </si>
  <si>
    <t>A designation of the type of separation occurring between a person and the organization.</t>
  </si>
  <si>
    <t>000621</t>
  </si>
  <si>
    <t>EmploymentSeparationType</t>
  </si>
  <si>
    <t>Employment Start Date</t>
  </si>
  <si>
    <t>The year, month and day on which a person began self-employment or employment with an organization or institution.</t>
  </si>
  <si>
    <t>000346</t>
  </si>
  <si>
    <t>EmploymentStartDate</t>
  </si>
  <si>
    <t>Early Learning -&gt; Staff Quality
Early Learning -&gt; Workforce Development</t>
  </si>
  <si>
    <t>Employment Status</t>
  </si>
  <si>
    <t>000347</t>
  </si>
  <si>
    <t>EmploymentStatus</t>
  </si>
  <si>
    <t>Employment Status While Enrolled</t>
  </si>
  <si>
    <t>An indication of the individual's employment status while enrolled.</t>
  </si>
  <si>
    <t>001343</t>
  </si>
  <si>
    <t>EmploymentStatusWhileEnrolled</t>
  </si>
  <si>
    <t>End of Term Status</t>
  </si>
  <si>
    <t>The nature of the student's progress at the end of a given school term.</t>
  </si>
  <si>
    <t>000093</t>
  </si>
  <si>
    <t>EndOfTermStatus</t>
  </si>
  <si>
    <t>End Time</t>
  </si>
  <si>
    <t>The ending hour, minute and second.</t>
  </si>
  <si>
    <t>K12 -&gt; Calendar -&gt; Event
K12 -&gt; K12 Student -&gt; Attendance</t>
  </si>
  <si>
    <t>001920</t>
  </si>
  <si>
    <t>EndTime</t>
  </si>
  <si>
    <t>English Learner Status</t>
  </si>
  <si>
    <t>To be classified as an English learner, an individual must be A, B, and (C or D). For C, an individual can be i, ii, or iii. If C-ii, the individual must be I and II. For D, an individual must be denied i or ii or iii and must be determined by a valid assessment.</t>
  </si>
  <si>
    <t>EnglishLearnerStatus</t>
  </si>
  <si>
    <t>Enrollment Date</t>
  </si>
  <si>
    <t>The year, month and day on which a person is considered officially enrolled in the program.</t>
  </si>
  <si>
    <t>000324</t>
  </si>
  <si>
    <t>EnrollmentDate</t>
  </si>
  <si>
    <t>Enrollment Entry Date</t>
  </si>
  <si>
    <t>The month, day, and year on which a person enters and begins to receive instructional services in a school, institution, program, or class-section during a given session.</t>
  </si>
  <si>
    <t>000097</t>
  </si>
  <si>
    <t>EnrollmentEntryDate</t>
  </si>
  <si>
    <t>Early Learning -&gt; Program Compliance
Early Learning -&gt; Program Entry
K-12 -&gt; EDFacts
K-12 -&gt; High School Generated Transcript
K-12 -&gt; LEA-to-LEA Student Record Exchange
K-12 -&gt; LEA-to-SEA Student Record Exchange
K-12 -&gt; Teacher-Student Data Link -&gt; Enrollment
Postsecondary Education -&gt; Student Achievement Measure</t>
  </si>
  <si>
    <t>Enrollment Exit Date</t>
  </si>
  <si>
    <t>The year, month and day on which the student officially withdrew or graduated, i.e. the date on which the student's enrollment ended.</t>
  </si>
  <si>
    <t>000107</t>
  </si>
  <si>
    <t>EnrollmentExitDate</t>
  </si>
  <si>
    <t>Enrollment in Postsecondary Award Type</t>
  </si>
  <si>
    <t>An indicator of the award level in which the person is currently enrolled.</t>
  </si>
  <si>
    <t>Postsecondary -&gt; PS Student -&gt; Institution Enrollment -&gt; Program</t>
  </si>
  <si>
    <t>000361</t>
  </si>
  <si>
    <t>EnrollmentInPostsecondaryAwardType</t>
  </si>
  <si>
    <t>Enrollment Status</t>
  </si>
  <si>
    <t>An indication as to whether a student's name was, is, or will be officially registered on the roll of a school or schools.</t>
  </si>
  <si>
    <t>000094</t>
  </si>
  <si>
    <t>EnrollmentStatus</t>
  </si>
  <si>
    <t>Entry Date into Postsecondary</t>
  </si>
  <si>
    <t>000098</t>
  </si>
  <si>
    <t>EntryDateIntoPostsecondary</t>
  </si>
  <si>
    <t>Persistence and Attainment of Nontraditional Students
Postsecondary Education -&gt; IPEDS
Postsecondary Education -&gt; Transition</t>
  </si>
  <si>
    <t>Entry Grade Level</t>
  </si>
  <si>
    <t>The grade level or primary instructional level at which a student enters and receives services in a school or an educational institution during a given academic session.</t>
  </si>
  <si>
    <t>Adult Education -&gt; AE Student -&gt; Program Participation
K12 -&gt; K12 Student -&gt; Enrollment</t>
  </si>
  <si>
    <t>000100</t>
  </si>
  <si>
    <t>EntryGradeLevel</t>
  </si>
  <si>
    <t>Entry Type</t>
  </si>
  <si>
    <t>The process by which a student enters a school during a given academic session.</t>
  </si>
  <si>
    <t>000099</t>
  </si>
  <si>
    <t>EntryType</t>
  </si>
  <si>
    <t>Exit Grade Level</t>
  </si>
  <si>
    <t>The grade level or primary instructional level at which a student exits a school, program, or an educational institution.</t>
  </si>
  <si>
    <t>001210</t>
  </si>
  <si>
    <t>ExitGradeLevel</t>
  </si>
  <si>
    <t>Exit or Withdrawal Status</t>
  </si>
  <si>
    <t>An indication as to whether an instance of student exit/withdrawal is considered to be of a permanent or temporary nature.</t>
  </si>
  <si>
    <t>K12 -&gt; Course Section -&gt; Enrollment
K12 -&gt; K12 Student -&gt; Enrollment</t>
  </si>
  <si>
    <t>000108</t>
  </si>
  <si>
    <t>ExitOrWithdrawalStatus</t>
  </si>
  <si>
    <t>Exit or Withdrawal Type</t>
  </si>
  <si>
    <t>ExitOrWithdrawalType</t>
  </si>
  <si>
    <t>K-12 -&gt; EDFacts
K-12 -&gt; LEA-to-LEA Student Record Exchange
K-12 -&gt; LEA-to-SEA Student Record Exchange</t>
  </si>
  <si>
    <t>Exit Reason</t>
  </si>
  <si>
    <t>The documented or assumed reason a student is no longer being served by a special program.</t>
  </si>
  <si>
    <t>000222</t>
  </si>
  <si>
    <t>ExitReason</t>
  </si>
  <si>
    <t>Facilities Identifier</t>
  </si>
  <si>
    <t>A locally assigned unique number or alphanumeric code used to capture precise information on locations specific to a school (e.g., building number, class number, hall number, school bus number, computer station number, or internet protocol (IP) address).</t>
  </si>
  <si>
    <t>000504</t>
  </si>
  <si>
    <t>FacilitiesIdentifier</t>
  </si>
  <si>
    <t>Facilities Management Emergency Type</t>
  </si>
  <si>
    <t>The type of abnormal and urgent circumstances that disrupt the normal operation of the building, threaten the health and safety of the occupants, or require an emergency response.</t>
  </si>
  <si>
    <t>001871</t>
  </si>
  <si>
    <t>FacilitiesManagementEmergencyType</t>
  </si>
  <si>
    <t>Facilities Mandate Authority Type</t>
  </si>
  <si>
    <t>The authority that mandates through law, regulation, or standard that pertains to a specific mandate.</t>
  </si>
  <si>
    <t>001885</t>
  </si>
  <si>
    <t>FacilitiesMandateAuthorityType</t>
  </si>
  <si>
    <t>Facilities Plan Description</t>
  </si>
  <si>
    <t>A description of the management and accountability plan.</t>
  </si>
  <si>
    <t>001882</t>
  </si>
  <si>
    <t>FacilitiesPlanDescription</t>
  </si>
  <si>
    <t>Facilities Plan Type</t>
  </si>
  <si>
    <t>The type of management and accountability plan.</t>
  </si>
  <si>
    <t>001883</t>
  </si>
  <si>
    <t>FacilitiesPlanType</t>
  </si>
  <si>
    <t>Facility Acquisition Date</t>
  </si>
  <si>
    <t>The date the property/facility was acquired.</t>
  </si>
  <si>
    <t>001768</t>
  </si>
  <si>
    <t>FacilityAcquisitionDate</t>
  </si>
  <si>
    <t>Facility Addition Year</t>
  </si>
  <si>
    <t>The year the construction on the addition was completed.</t>
  </si>
  <si>
    <t>001769</t>
  </si>
  <si>
    <t>FacilityAdditionYear</t>
  </si>
  <si>
    <t>Facility Applicable Federal Mandate Type</t>
  </si>
  <si>
    <t>The particular federal law, regulation, or standard that pertains to a school facility.</t>
  </si>
  <si>
    <t>001796</t>
  </si>
  <si>
    <t>FacilityApplicableFederalMandateType</t>
  </si>
  <si>
    <t>Facility Audit Date</t>
  </si>
  <si>
    <t>The month, day, and year of the systematic review or audit of facility quality, management, decision making processes, controls, schedule and cost.</t>
  </si>
  <si>
    <t>001881</t>
  </si>
  <si>
    <t>FacilityAuditDate</t>
  </si>
  <si>
    <t>Facility Audit Type</t>
  </si>
  <si>
    <t>The type of systematic review or audit of facility quality, management, decision making processes, controls, schedule and cost.</t>
  </si>
  <si>
    <t>001864</t>
  </si>
  <si>
    <t>FacilityAuditType</t>
  </si>
  <si>
    <t>Facility Block Number Area</t>
  </si>
  <si>
    <t>The informal description of location sometimes used in rural areas, for example, "from the highway to the railroad tracks."</t>
  </si>
  <si>
    <t>001774</t>
  </si>
  <si>
    <t>BNA</t>
  </si>
  <si>
    <t>FacilityBlockNumberArea</t>
  </si>
  <si>
    <t>Facility Building Name</t>
  </si>
  <si>
    <t>The full, legally accepted or popularly accepted name of a building.</t>
  </si>
  <si>
    <t>001205</t>
  </si>
  <si>
    <t>FacilityBuildingName</t>
  </si>
  <si>
    <t>Facility Building Permanency</t>
  </si>
  <si>
    <t>An indication of whether the building is built for permanent use in the same location or is relocatable.</t>
  </si>
  <si>
    <t>001770</t>
  </si>
  <si>
    <t>FacilityBuildingPermanency</t>
  </si>
  <si>
    <t>Facility Capital Program Management Type</t>
  </si>
  <si>
    <t>The type of management organization for planning, design, and construction of major capital projects.</t>
  </si>
  <si>
    <t>001872</t>
  </si>
  <si>
    <t>FacilityCapitalProgramManagementType</t>
  </si>
  <si>
    <t>Facility Census Tract</t>
  </si>
  <si>
    <t>The census tract number of the school site.</t>
  </si>
  <si>
    <t>Integer - exactly 11 digits</t>
  </si>
  <si>
    <t>001779</t>
  </si>
  <si>
    <t>FacilityCensusTract</t>
  </si>
  <si>
    <t>Facility Compliance Agency Type</t>
  </si>
  <si>
    <t>The type of agency that has ultimate responsibility for the compliance determination.</t>
  </si>
  <si>
    <t>001867</t>
  </si>
  <si>
    <t>FacilityComplianceAgencyType</t>
  </si>
  <si>
    <t>Facility Compliance Determination Date</t>
  </si>
  <si>
    <t>The month, day, and year that the school, building, site, system, component, equipment, or fixture compliance status was determined.</t>
  </si>
  <si>
    <t>001837</t>
  </si>
  <si>
    <t>FacilityComplianceDeterminationDate</t>
  </si>
  <si>
    <t>Facility Compliance Name</t>
  </si>
  <si>
    <t>The name of the inspection or process that indicates conformity to the requirements or standards specified in federal, state, or local standards or codes.</t>
  </si>
  <si>
    <t>001838</t>
  </si>
  <si>
    <t>FacilityComplianceName</t>
  </si>
  <si>
    <t>Facility Compliance Status</t>
  </si>
  <si>
    <t>An indication of whether the school, building, site, system, component, equipment, vehicle, or fixture conforms to the requirements or standards specified in federal, state, or local standards or codes or other officially required guidelines or regulations.</t>
  </si>
  <si>
    <t>001792</t>
  </si>
  <si>
    <t>FacilityComplianceStatus</t>
  </si>
  <si>
    <t>Facility Component Deficiency Description</t>
  </si>
  <si>
    <t>A description of the component, system, or finish that needs replacement, repair, or maintenance to perform at an optimal level.</t>
  </si>
  <si>
    <t>001839</t>
  </si>
  <si>
    <t>FacilityComponentDeficiencyDescription</t>
  </si>
  <si>
    <t>Facility Component Identification Code</t>
  </si>
  <si>
    <t>A unique number or alphanumeric code assigned to a component by a school, school system, state, or other agency or entity.</t>
  </si>
  <si>
    <t>001840</t>
  </si>
  <si>
    <t>FacilityComponentIdentificationCode</t>
  </si>
  <si>
    <t>Facility Construction Date</t>
  </si>
  <si>
    <t>The month, day, and year on which construction of a building, addition, or improvement was completed.</t>
  </si>
  <si>
    <t>001780</t>
  </si>
  <si>
    <t>FacilityConstructionDate</t>
  </si>
  <si>
    <t>Facility Construction Date Type</t>
  </si>
  <si>
    <t>Designation of the nature of the construction completion date.</t>
  </si>
  <si>
    <t>001781</t>
  </si>
  <si>
    <t>FacilityConstructionDateType</t>
  </si>
  <si>
    <t>Facility Construction Material Type</t>
  </si>
  <si>
    <t>The primary material used for the construction of a building.</t>
  </si>
  <si>
    <t>001782</t>
  </si>
  <si>
    <t>FacilityConstructionMaterialType</t>
  </si>
  <si>
    <t>Facility Construction Year</t>
  </si>
  <si>
    <t>The year the building was first constructed.</t>
  </si>
  <si>
    <t>001771</t>
  </si>
  <si>
    <t>FacilityConstructionYear</t>
  </si>
  <si>
    <t>Facility Enrollment Capacity</t>
  </si>
  <si>
    <t>The maximum number of age appropriate students who can be enrolled in a facility such that the district's programmatic, operational, and student/teacher work load requirements are met.</t>
  </si>
  <si>
    <t>001904</t>
  </si>
  <si>
    <t>FacilityEnrollmentCapacity</t>
  </si>
  <si>
    <t>Facility Estimated Cost to Eliminate Deferred Maintenance</t>
  </si>
  <si>
    <t>The estimated cost to bring systems, components, finishes, fixtures, or equipment to a state of good repair.</t>
  </si>
  <si>
    <t>001841</t>
  </si>
  <si>
    <t>FacilityEstimatedCostToEliminateDeferredMaintenance</t>
  </si>
  <si>
    <t>Facility Expected Life</t>
  </si>
  <si>
    <t>The time, in years, of the expected useful life of a facility for the purposes of depreciation.</t>
  </si>
  <si>
    <t>001783</t>
  </si>
  <si>
    <t>FacilityExpectedLife</t>
  </si>
  <si>
    <t>Facility Federal Mandate Interest Type</t>
  </si>
  <si>
    <t>The area of interest controlled by a federal law, regulation, or standard that pertains to a school facility.</t>
  </si>
  <si>
    <t>001797</t>
  </si>
  <si>
    <t>FacilityFederalMandateInterestType</t>
  </si>
  <si>
    <t>Facility Financing Fee Type</t>
  </si>
  <si>
    <t>The type of fee that one must pay when getting a mortgage.</t>
  </si>
  <si>
    <t>Facilities -&gt; Facility -&gt; Budget and Finance</t>
  </si>
  <si>
    <t>001886</t>
  </si>
  <si>
    <t>FacilityFinancingFeeType</t>
  </si>
  <si>
    <t>Facility Furnishings Type</t>
  </si>
  <si>
    <t>Moveable assets that are provided so the building or interior assets can be utilized by occupants for their intended purposes.</t>
  </si>
  <si>
    <t>001820</t>
  </si>
  <si>
    <t>FacilityFurnishingsType</t>
  </si>
  <si>
    <t>Facility Hazardous Condition Expected Remediation Date</t>
  </si>
  <si>
    <t>The month, day, and year by which a hazardous condition of a site or building is expected to be remediated.</t>
  </si>
  <si>
    <t>001842</t>
  </si>
  <si>
    <t>FacilityHazardousConditionExpectedRemediationDate</t>
  </si>
  <si>
    <t>Facility Hazardous Materials or Condition Type</t>
  </si>
  <si>
    <t>The type of hazardous materials or conditions tested for at a site or building.</t>
  </si>
  <si>
    <t>001874</t>
  </si>
  <si>
    <t>FacilityHazardousMaterialsOrConditionType</t>
  </si>
  <si>
    <t>Facility Inspection Score Result Description</t>
  </si>
  <si>
    <t>The description of a meaningful raw score of statistical expression of the performance on an inspection.</t>
  </si>
  <si>
    <t>001846</t>
  </si>
  <si>
    <t>FacilityInspectionScoreResultDescription</t>
  </si>
  <si>
    <t>Facility Inspection Violation Description</t>
  </si>
  <si>
    <t>A description of the standard violation(s) found in the inspection.</t>
  </si>
  <si>
    <t>001847</t>
  </si>
  <si>
    <t>FacilityInspectionViolationDescription</t>
  </si>
  <si>
    <t>Facility Joint Development Type</t>
  </si>
  <si>
    <t>The type of development where two or more entities partner to plan, site, design, and/or build a new school or renovate an existing school to better support the joint use of the building and/or land.</t>
  </si>
  <si>
    <t>001875</t>
  </si>
  <si>
    <t>FacilityJointDevelopmentType</t>
  </si>
  <si>
    <t>Facility Lease Amount</t>
  </si>
  <si>
    <t>The amount of money the school must pay to rent the facility that it is in.</t>
  </si>
  <si>
    <t>001887</t>
  </si>
  <si>
    <t>FacilityLeaseAmount</t>
  </si>
  <si>
    <t>Facility Lease Amount Category</t>
  </si>
  <si>
    <t>The category of payment that a school must pay to rent the facility that it is in.</t>
  </si>
  <si>
    <t>001888</t>
  </si>
  <si>
    <t>FacilityLeaseAmountCategory</t>
  </si>
  <si>
    <t>Facility Lease Type</t>
  </si>
  <si>
    <t>The type of agreement that allows the use and possession of a school, building, or other facility from a third party in return for a regularly scheduled installment payment over an agreed-upon period.</t>
  </si>
  <si>
    <t>001889</t>
  </si>
  <si>
    <t>FacilityLeaseType</t>
  </si>
  <si>
    <t>Facility Licensing Status</t>
  </si>
  <si>
    <t>The status of the facility license.</t>
  </si>
  <si>
    <t>000984</t>
  </si>
  <si>
    <t>FacilityLicensingStatus</t>
  </si>
  <si>
    <t>Facility Location of Hazardous Materials</t>
  </si>
  <si>
    <t>The location at which the identified hazardous material is found.</t>
  </si>
  <si>
    <t>001808</t>
  </si>
  <si>
    <t>FacilityLocationOfHazardousMaterials</t>
  </si>
  <si>
    <t>Facility Maintenance Standard Type</t>
  </si>
  <si>
    <t>The standard for maintenance of a component, system, or building.</t>
  </si>
  <si>
    <t>001876</t>
  </si>
  <si>
    <t>FacilityMaintenanceStandardType</t>
  </si>
  <si>
    <t>Facility Mortgage Interest Amount</t>
  </si>
  <si>
    <t>The amount the borrower pays the lender to compensate the lender for the use of money to purchase a building or facility.</t>
  </si>
  <si>
    <t>001890</t>
  </si>
  <si>
    <t>FacilityMortgageInterestAmount</t>
  </si>
  <si>
    <t>Facility Mortgage Interest Type</t>
  </si>
  <si>
    <t>The type of interest paid on a mortgage to the lender to compensate the lender for the use of money to purchase a building or facility.</t>
  </si>
  <si>
    <t>001891</t>
  </si>
  <si>
    <t>FacilityMortgageInterestType</t>
  </si>
  <si>
    <t>Facility Mortgage Type</t>
  </si>
  <si>
    <t>The status of a mortgage as it relates to priority of payment.</t>
  </si>
  <si>
    <t>001892</t>
  </si>
  <si>
    <t>FacilityMortgageType</t>
  </si>
  <si>
    <t>Facility Naturally Occurring Hazard Type</t>
  </si>
  <si>
    <t>Type of natural hazard that can affect the health, safety and operation of school facilities and their occupants.</t>
  </si>
  <si>
    <t>001877</t>
  </si>
  <si>
    <t>FacilityNaturallyOccurringHazardType</t>
  </si>
  <si>
    <t>Facility Nearby Environmental Hazard Description</t>
  </si>
  <si>
    <t>Description of any type of environmental hazards within range of the facility that has the potential to seriously affect the health, safety and operation of school facilities and their occupants.</t>
  </si>
  <si>
    <t>001810</t>
  </si>
  <si>
    <t>FacilityNearbyEnvironmentalHazardDescription</t>
  </si>
  <si>
    <t>Facility Operations Management Type</t>
  </si>
  <si>
    <t>The type of management arrangements whereby a district oversees and manages its facilities operations.</t>
  </si>
  <si>
    <t>001873</t>
  </si>
  <si>
    <t>FacilityOperationsManagementType</t>
  </si>
  <si>
    <t>Facility Ownership Indicator</t>
  </si>
  <si>
    <t>Indicates the public or private entity holds legal title to the building and/or site.</t>
  </si>
  <si>
    <t>001906</t>
  </si>
  <si>
    <t>FacilityOwnershipIndicator</t>
  </si>
  <si>
    <t>Facility Profit Status</t>
  </si>
  <si>
    <t>An indication of the for-profit status of a facility.</t>
  </si>
  <si>
    <t>000834</t>
  </si>
  <si>
    <t>FacilityProfitStatus</t>
  </si>
  <si>
    <t>Facility Replacement Value</t>
  </si>
  <si>
    <t>The estimated cost of replacing a facility using current per square foot estimates of total project costs.</t>
  </si>
  <si>
    <t>001784</t>
  </si>
  <si>
    <t>FacilityReplacementValue</t>
  </si>
  <si>
    <t>Facility Site Area</t>
  </si>
  <si>
    <t>The total number of acres in a continuous piece of land, to the nearest tenth, including undeveloped areas as well as areas occupied by buildings, walks, drives, parking facilities, and other improvements.</t>
  </si>
  <si>
    <t>Numeric - up to 1 digit after decimal place</t>
  </si>
  <si>
    <t>001773</t>
  </si>
  <si>
    <t>FacilitySiteArea</t>
  </si>
  <si>
    <t>Facility Site Identifier</t>
  </si>
  <si>
    <t>The lot and square number, or equivalent unique municipal number identification, of a parcel of land.</t>
  </si>
  <si>
    <t>001786</t>
  </si>
  <si>
    <t>FacilitySiteIdentifier</t>
  </si>
  <si>
    <t>Facility Site Improvement Location Type</t>
  </si>
  <si>
    <t>The type of location of the designed and constructed improvements made to a site.</t>
  </si>
  <si>
    <t>001787</t>
  </si>
  <si>
    <t>FacilitySiteImprovementLocationType</t>
  </si>
  <si>
    <t>Facility Site Outdoor Area Type</t>
  </si>
  <si>
    <t>The designated constructed outdoor area on a public school site.</t>
  </si>
  <si>
    <t>001830</t>
  </si>
  <si>
    <t>FacilitySiteOutdoorAreaType</t>
  </si>
  <si>
    <t>Facility Space Description</t>
  </si>
  <si>
    <t>A description of the space, as determined by its physical layout and built-in systems and equipment.</t>
  </si>
  <si>
    <t>001207</t>
  </si>
  <si>
    <t>FacilitySpaceDescription</t>
  </si>
  <si>
    <t>Facility Space Use Type</t>
  </si>
  <si>
    <t>The primary use of a space, as determined by its physical layout and built-in systems and equipment, regardless of its original design.</t>
  </si>
  <si>
    <t>001208</t>
  </si>
  <si>
    <t>FacilitySpaceUseType</t>
  </si>
  <si>
    <t>Facility Standard Type</t>
  </si>
  <si>
    <t>An indication of the district or state requirements or guidelines for the design and construction of school facilities.</t>
  </si>
  <si>
    <t>001884</t>
  </si>
  <si>
    <t>FacilityStandardType</t>
  </si>
  <si>
    <t>Facility State or Local Mandate Interest Type</t>
  </si>
  <si>
    <t>The area of interest controlled by a law, rule, regulation, or standard of state and local governments that pertains to public school facilities.</t>
  </si>
  <si>
    <t>001805</t>
  </si>
  <si>
    <t>FacilityStateOrLocalMandateInterestType</t>
  </si>
  <si>
    <t>Facility State or Local Mandate Name</t>
  </si>
  <si>
    <t>The specific law, rule, regulation, or standard of a state or local government that pertains to public school facilities.</t>
  </si>
  <si>
    <t>001806</t>
  </si>
  <si>
    <t>FacilityStateOrLocalMandateName</t>
  </si>
  <si>
    <t>Facility System or Component Condition</t>
  </si>
  <si>
    <t>The rating of the system or component functions under the demands of its regular operation.</t>
  </si>
  <si>
    <t>001793</t>
  </si>
  <si>
    <t>FacilitySystemOrComponentCondition</t>
  </si>
  <si>
    <t>Facility Total Assessed Value</t>
  </si>
  <si>
    <t>The total assessed value of property that constitutes the basis for public borrowing.</t>
  </si>
  <si>
    <t>001896</t>
  </si>
  <si>
    <t>FacilityTotalAssessedValue</t>
  </si>
  <si>
    <t>Facility Utility Provider Type</t>
  </si>
  <si>
    <t>An indication of how utilities are supplied to a site or a building by a company or provider.</t>
  </si>
  <si>
    <t>001878</t>
  </si>
  <si>
    <t>FacilityUtilityProviderType</t>
  </si>
  <si>
    <t>Facility Utility Type</t>
  </si>
  <si>
    <t>The type of utility used in the operation of a facility.</t>
  </si>
  <si>
    <t>001879</t>
  </si>
  <si>
    <t>FacilityUtilityType</t>
  </si>
  <si>
    <t>Faculty and Administration Performance Level</t>
  </si>
  <si>
    <t>The levels used in district evaluation systems for assigning teacher or principal performance ratings.</t>
  </si>
  <si>
    <t>K12 -&gt; K12 Staff -&gt; Professional Development</t>
  </si>
  <si>
    <t>000589</t>
  </si>
  <si>
    <t>FacultyAndAdministrationPerformanceLevel</t>
  </si>
  <si>
    <t>Faculty Status</t>
  </si>
  <si>
    <t>Persons identified by the institution as such and typically those whose initial assignments are made for the purpose of conducting instruction, research or public service as a principal activity (or activities). They may hold academic rank titles of professor, associate professor, assistant professor, instructor, lecturer or the equivalent of any of those academic ranks. Faculty may also include the chancellor/president, provost, vice provosts, deans, directors or the equivalent, as well as associate deans, assistant deans and executive officers of academic departments (chairpersons, heads or the equivalent) if their principal activity is instruction combined with research and/or public service. The designation as "faculty" is separate from the activities to which they may be currently assigned. For example, a newly appointed president of an institution may also be appointed as a faculty member. Graduate, instruction, and research assistants are not included in this category.</t>
  </si>
  <si>
    <t>As defined in IPEDS.</t>
  </si>
  <si>
    <t>000734</t>
  </si>
  <si>
    <t>FacultyStatus</t>
  </si>
  <si>
    <t>Family and Consumer Sciences Course Indicator</t>
  </si>
  <si>
    <t>An indication that the course is associated with the Family and Consumer Sciences plan of study.</t>
  </si>
  <si>
    <t>001344</t>
  </si>
  <si>
    <t>FamilyAndConsumerSciencesCourseIndicator</t>
  </si>
  <si>
    <t>Family Identifier</t>
  </si>
  <si>
    <t>A unique number or alphanumeric code assigned to a family by a school, school system, a state, or other agency or entity.</t>
  </si>
  <si>
    <t>000787</t>
  </si>
  <si>
    <t>FamilyIdentifier</t>
  </si>
  <si>
    <t>Family Income</t>
  </si>
  <si>
    <t>Total income of family from all sources. Income includes money, wages or salary before deductions; net income from non-farm self-employment; net income from farm self-employment; regular payments from Social Security or railroad retirement; payments from unemployment compensation, strike benefits from union funds, workers’ compensation, veterans benefits (with the exception noted below), public assistance (including Temporary Assistance for Needy Families, Supplemental Security Income, Emergency Assistance money payments, and non-Federally funded General Assistance or General Relief money payments); training stipends; alimony, child support, and military family allotments or other regular support from an absent family member or someone not living in the household; private pensions, government employee pensions (including military retirement pay), and regular insurance or annuity payments; college or university scholarships, grants, fellowships, and assistantships; and dividends, interest, net rental income, net royalties, and periodic receipts from estates or trusts; and net gambling or lottery winnings.</t>
  </si>
  <si>
    <t>Family Income is calculated based on the method specified by “Income Calculation Method.”</t>
  </si>
  <si>
    <t>000332</t>
  </si>
  <si>
    <t>FamilyIncome</t>
  </si>
  <si>
    <t>Federal Program Code</t>
  </si>
  <si>
    <t>Numeric - up to 2 digits before and 3 digits after decimal place</t>
  </si>
  <si>
    <t>000547</t>
  </si>
  <si>
    <t>FederalProgramCode</t>
  </si>
  <si>
    <t>Federal Programs Funding Allocation</t>
  </si>
  <si>
    <t>The amount of federal dollars distributed to local education agencies (LEAs), retained by the state education agency (SEA) for program administration or other approved state-level activities (including unallocated, transferred to another state agency, or distributed to entities other than LEAs).</t>
  </si>
  <si>
    <t>Early Learning -&gt; Early Learning Program
K12 -&gt; K12 School -&gt; Federal Funds
K12 -&gt; LEA -&gt; Federal Funds
K12 -&gt; SEA -&gt; Federal Funds</t>
  </si>
  <si>
    <t>000549</t>
  </si>
  <si>
    <t>FederalProgramsFundingAllocation</t>
  </si>
  <si>
    <t>Federal Programs Funding Allocation Type</t>
  </si>
  <si>
    <t>The type of federal program funding allocation or distribution made.</t>
  </si>
  <si>
    <t>000548</t>
  </si>
  <si>
    <t>FederalProgramsFundingAllocationType</t>
  </si>
  <si>
    <t>Federal School Code</t>
  </si>
  <si>
    <t>See http://www.ifap.ed.gov/fedschcodelist/attachments/1112FedSchoolCodeList.xls</t>
  </si>
  <si>
    <t>Alphanumeric - exactly 6 characters in length</t>
  </si>
  <si>
    <t>000111</t>
  </si>
  <si>
    <t>FederalSchoolCode</t>
  </si>
  <si>
    <t>Financial Account Category</t>
  </si>
  <si>
    <t>A label for a grouping of financial accounts, based on type and purpose.</t>
  </si>
  <si>
    <t>001345</t>
  </si>
  <si>
    <t>FinancialAccountCategory</t>
  </si>
  <si>
    <t>Financial Account Description</t>
  </si>
  <si>
    <t>001346</t>
  </si>
  <si>
    <t>FinancialAccountDescription</t>
  </si>
  <si>
    <t>Balance sheet accounts and statement of net position accounts are used to track financial transactions for each fund. Such financial statements only report assets, deferred outflows of resources, liabilities, deferred inflows of resources, and equity accounts and are considered "snapshots" of how these accounts stand as of a certain point in time.</t>
  </si>
  <si>
    <t>K12 -&gt; K12 School -&gt; Finance
K12 -&gt; LEA -&gt; Finance
K12 -&gt; Program -&gt; Finance
K12 -&gt; SEA -&gt; Finance</t>
  </si>
  <si>
    <t>001353</t>
  </si>
  <si>
    <t>A fund is a separate fiscal and accounting entity with a self-balancing set of accounts recording cash and other financial resources, together with all related liabilities and residual equities or balances or changes therein.</t>
  </si>
  <si>
    <t>001347</t>
  </si>
  <si>
    <t>001349</t>
  </si>
  <si>
    <t>001468</t>
  </si>
  <si>
    <t>Financial Account Name</t>
  </si>
  <si>
    <t>001348</t>
  </si>
  <si>
    <t>FinancialAccountName</t>
  </si>
  <si>
    <t>Financial Account Number</t>
  </si>
  <si>
    <t>001554</t>
  </si>
  <si>
    <t>FinancialAccountNumber</t>
  </si>
  <si>
    <t>Financial Account Program Name</t>
  </si>
  <si>
    <t>001645</t>
  </si>
  <si>
    <t>FinancialAccountProgramName</t>
  </si>
  <si>
    <t>Financial Account Program Number</t>
  </si>
  <si>
    <t>001646</t>
  </si>
  <si>
    <t>FinancialAccountProgramNumber</t>
  </si>
  <si>
    <t>Financial Accounting Date</t>
  </si>
  <si>
    <t>The date of a financial transaction or when an account balance is reported.</t>
  </si>
  <si>
    <t>001648</t>
  </si>
  <si>
    <t>FinancialAccountingDate</t>
  </si>
  <si>
    <t>Financial Accounting Period Actual Value</t>
  </si>
  <si>
    <t>The actual value of a financial account for the specified accounting period or fiscal year.</t>
  </si>
  <si>
    <t>001350</t>
  </si>
  <si>
    <t>FinancialAccountingPeriodActualValue</t>
  </si>
  <si>
    <t>Financial Accounting Period Budgeted Value</t>
  </si>
  <si>
    <t>The budgeted value of a financial account for the specified accounting period or fiscal year.</t>
  </si>
  <si>
    <t>001351</t>
  </si>
  <si>
    <t>FinancialAccountingPeriodBudgetedValue</t>
  </si>
  <si>
    <t>Financial Accounting Period Encumbered Value</t>
  </si>
  <si>
    <t>The planned or obligated expense value of a financial account for the specified accounting period or fiscal year.</t>
  </si>
  <si>
    <t>Used for purchase order balances, the value not already included in "Financial Accounting Period Actual Value" as an expense.</t>
  </si>
  <si>
    <t>001644</t>
  </si>
  <si>
    <t>FinancialAccountingPeriodEncumberedValue</t>
  </si>
  <si>
    <t>Financial Accounting Value</t>
  </si>
  <si>
    <t>The value of a financial account balance or transaction.</t>
  </si>
  <si>
    <t>Used to represent a point-in-time transaction or snapshot of an account/fund balance. Use “Financial Accounting Period Budgeted Value”, “Financial Accounting Period Actual Value”, and “Financial Accounting Period Encumbered Value” for values representing a period (with begin and end dates).</t>
  </si>
  <si>
    <t>001647</t>
  </si>
  <si>
    <t>FinancialAccountingValue</t>
  </si>
  <si>
    <t>Financial Aid Applicant</t>
  </si>
  <si>
    <t>Postsecondary -&gt; PS Student -&gt; Financial Aid</t>
  </si>
  <si>
    <t>000763</t>
  </si>
  <si>
    <t>FinancialAidApplicant</t>
  </si>
  <si>
    <t>Financial Aid Application Type</t>
  </si>
  <si>
    <t>The type of financial application completed by an individual.</t>
  </si>
  <si>
    <t>001223</t>
  </si>
  <si>
    <t>FinancialAidApplicationType</t>
  </si>
  <si>
    <t>Financial Aid Award Amount</t>
  </si>
  <si>
    <t>The amount of financial aid awarded to a person for the term/year.</t>
  </si>
  <si>
    <t>000112</t>
  </si>
  <si>
    <t>FinancialAidAwardAmount</t>
  </si>
  <si>
    <t>Postsecondary Education -&gt; Common Data Set
Postsecondary Education -&gt; Complete College America
Postsecondary Education -&gt; IPEDS</t>
  </si>
  <si>
    <t>Financial Aid Award Status</t>
  </si>
  <si>
    <t>An indication of whether the financial aid type being reported is aid that has been awarded, accepted or dispersed.</t>
  </si>
  <si>
    <t>000363</t>
  </si>
  <si>
    <t>FinancialAidAwardStatus</t>
  </si>
  <si>
    <t>Financial Aid Award Type</t>
  </si>
  <si>
    <t>The classification of financial aid awarded to a person for the academic term/year.</t>
  </si>
  <si>
    <t>000113</t>
  </si>
  <si>
    <t>FinancialAidAwardType</t>
  </si>
  <si>
    <t>Financial Aid Income Level</t>
  </si>
  <si>
    <t>001352</t>
  </si>
  <si>
    <t>FinancialAidIncomeLevel</t>
  </si>
  <si>
    <t>Financial Aid Veteran’s Benefit Status</t>
  </si>
  <si>
    <t>An indication of whether a person is receiving Veteran's benefits.</t>
  </si>
  <si>
    <t>001609</t>
  </si>
  <si>
    <t>FinancialAidVeteransBenefitStatus</t>
  </si>
  <si>
    <t>Financial Aid Veteran’s Benefit Type</t>
  </si>
  <si>
    <t>The type of Veteran's benefits a person is receiving.</t>
  </si>
  <si>
    <t>001610</t>
  </si>
  <si>
    <t>FinancialAidVeteransBenefitType</t>
  </si>
  <si>
    <t>Financial Aid Year Designator</t>
  </si>
  <si>
    <t>001611</t>
  </si>
  <si>
    <t>FinancialAidYearDesignator</t>
  </si>
  <si>
    <t>001354</t>
  </si>
  <si>
    <t>This classification permits expenditures to be segregated by instructional level.</t>
  </si>
  <si>
    <t>001555</t>
  </si>
  <si>
    <t>001355</t>
  </si>
  <si>
    <t>001556</t>
  </si>
  <si>
    <t>Financial Need</t>
  </si>
  <si>
    <t>The amount of financial need as determined by an institution using the federal methodology and/or your institution's own standards.</t>
  </si>
  <si>
    <t>Common Data Set definition</t>
  </si>
  <si>
    <t>000765</t>
  </si>
  <si>
    <t>FinancialNeed</t>
  </si>
  <si>
    <t>Financial Need Determination Methodology</t>
  </si>
  <si>
    <t>The methodology used to determine an individual's financial need.</t>
  </si>
  <si>
    <t>Element should be used in combination with Financial Need.</t>
  </si>
  <si>
    <t>001224</t>
  </si>
  <si>
    <t>FinancialNeedDeterminationMethodology</t>
  </si>
  <si>
    <t>Firearm Type</t>
  </si>
  <si>
    <t>The type of firearm.</t>
  </si>
  <si>
    <t>K12 -&gt; Incident</t>
  </si>
  <si>
    <t>000557</t>
  </si>
  <si>
    <t>FirearmType</t>
  </si>
  <si>
    <t>First Aid Certification Expiration Date</t>
  </si>
  <si>
    <t>The date an individual's first aid training certification expires.</t>
  </si>
  <si>
    <t>001060</t>
  </si>
  <si>
    <t>FirstAidCertificationExpirationDate</t>
  </si>
  <si>
    <t>First Entry Date into a US School</t>
  </si>
  <si>
    <t>The year, month and day of a person's initial enrollment into a United States school.</t>
  </si>
  <si>
    <t>K12 -&gt; K12 Student -&gt; Immigrant</t>
  </si>
  <si>
    <t>000529</t>
  </si>
  <si>
    <t>FirstEntryDateIntoUSSchool</t>
  </si>
  <si>
    <t>First Instruction Date</t>
  </si>
  <si>
    <t>The year, month and day of the first day of student instruction for the school year.</t>
  </si>
  <si>
    <t>000497</t>
  </si>
  <si>
    <t>FirstInstructionDate</t>
  </si>
  <si>
    <t>First Name</t>
  </si>
  <si>
    <t>The full legal first name given to a person at birth, baptism, or through legal change.</t>
  </si>
  <si>
    <t>000115</t>
  </si>
  <si>
    <t>FirstName</t>
  </si>
  <si>
    <t>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</si>
  <si>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First Time Postsecondary Student</t>
  </si>
  <si>
    <t>000117</t>
  </si>
  <si>
    <t>FirstTimePostsecondaryStudent</t>
  </si>
  <si>
    <t>Fiscal Period Begin Date</t>
  </si>
  <si>
    <t>The year, month and day on which an accounting period begins.</t>
  </si>
  <si>
    <t>001642</t>
  </si>
  <si>
    <t>FiscalPeriodBeginDate</t>
  </si>
  <si>
    <t>Fiscal Period End Date</t>
  </si>
  <si>
    <t>The year, month and day on which an accounting period ends.</t>
  </si>
  <si>
    <t>001643</t>
  </si>
  <si>
    <t>FiscalPeriodEndDate</t>
  </si>
  <si>
    <t>Fiscal Year</t>
  </si>
  <si>
    <t>001639</t>
  </si>
  <si>
    <t>FiscalYear</t>
  </si>
  <si>
    <t>Fraternity Participation Status</t>
  </si>
  <si>
    <t>Student is in membership of a chiefly social organization of men students at a college or university, usually designated by Greek letters.</t>
  </si>
  <si>
    <t>000761</t>
  </si>
  <si>
    <t>FraternityParticipationStatus</t>
  </si>
  <si>
    <t>Frequency Instances Per Cycle</t>
  </si>
  <si>
    <t>The number of recurrences within a cycle.</t>
  </si>
  <si>
    <t>001714</t>
  </si>
  <si>
    <t>FrequencyInstancesperCycle</t>
  </si>
  <si>
    <t>Frequency Length</t>
  </si>
  <si>
    <t>The number of units within a repeating cycle. Used with Frequency and Frequency Units elements to describe the occurrence of repeating events such as student services delivered 3 times a week for 16 weeks.</t>
  </si>
  <si>
    <t>001715</t>
  </si>
  <si>
    <t>FrequencyLength</t>
  </si>
  <si>
    <t>Frequency of Service</t>
  </si>
  <si>
    <t>001356</t>
  </si>
  <si>
    <t>FrequencyOfService</t>
  </si>
  <si>
    <t>Frequency Unit</t>
  </si>
  <si>
    <t>The unit of time by which a cycle is defined.</t>
  </si>
  <si>
    <t>001713</t>
  </si>
  <si>
    <t>FrequencyUnit</t>
  </si>
  <si>
    <t>Full Time Equivalency</t>
  </si>
  <si>
    <t>The time a person is enrolled, employed, involved, or participates in the organization, divided by the time the organization defines as full-time for that role.</t>
  </si>
  <si>
    <t>Numeric - up to 2 decimal places</t>
  </si>
  <si>
    <t>001921</t>
  </si>
  <si>
    <t>FullTimeEquivalency</t>
  </si>
  <si>
    <t>Full Year Expulsion</t>
  </si>
  <si>
    <t>An expulsion with or without services for a period of one full year (i.e., 365 days).</t>
  </si>
  <si>
    <t>000513</t>
  </si>
  <si>
    <t>FullYearExpulsion</t>
  </si>
  <si>
    <t>Full-Time Employee Benefits</t>
  </si>
  <si>
    <t>The benefits offered by a program/facility/employer for full-time staff.</t>
  </si>
  <si>
    <t>000866</t>
  </si>
  <si>
    <t>FullTimeEmployeeBenefits</t>
  </si>
  <si>
    <t>Full-time Status</t>
  </si>
  <si>
    <t>An indication of whether an individual is employed for a standard number of hours (as determined by civil or organizational policies) in a week, month, or other period of time.</t>
  </si>
  <si>
    <t>000736</t>
  </si>
  <si>
    <t>FullTimeStatus</t>
  </si>
  <si>
    <t>Funds Transfer Amount</t>
  </si>
  <si>
    <t>The total amount of FY appropriated funds transferred from and to each eligible program.</t>
  </si>
  <si>
    <t>K12 -&gt; K12 School -&gt; Federal Funds
K12 -&gt; LEA -&gt; Federal Funds</t>
  </si>
  <si>
    <t>000452</t>
  </si>
  <si>
    <t>FundsTransferAmount</t>
  </si>
  <si>
    <t>GED Preparation Program Participation Status</t>
  </si>
  <si>
    <t>An indication that a student aged 16-19 participates in a General Educational Development (GED) preparation program.</t>
  </si>
  <si>
    <t>000120</t>
  </si>
  <si>
    <t>GEDPreparationProgramParticipationStatus</t>
  </si>
  <si>
    <t>Generation Code or Suffix</t>
  </si>
  <si>
    <t>An appendage, if any, used to denote a person's generation in his family (e.g., Jr., Sr., III).</t>
  </si>
  <si>
    <t>Workforce</t>
  </si>
  <si>
    <t>000121</t>
  </si>
  <si>
    <t>GenerationCodeOrSuffix</t>
  </si>
  <si>
    <t>Early Learning -&gt; Staff Quality
K-12 -&gt; High School Generated Transcript
K-12 -&gt; LEA-to-LEA Student Record Exchange
K-12 -&gt; LEA-to-SEA Student Record Exchange
Postsecondary Education -&gt; Complete College America
Postsecondary Education -&gt; IPEDS</t>
  </si>
  <si>
    <t>Gifted and Talented Indicator</t>
  </si>
  <si>
    <t>An indication that the student is participating in and served by a Gifted/Talented program.</t>
  </si>
  <si>
    <t>000122</t>
  </si>
  <si>
    <t>GiftedAndTalentedIndicator</t>
  </si>
  <si>
    <t>Goal Current Performance Description</t>
  </si>
  <si>
    <t>Current performance explanation related to the annual goal or short-term objectives.</t>
  </si>
  <si>
    <t>K12 -&gt; K12 Student -&gt; Individualized Program -&gt; Goal
K12 -&gt; K12 Student -&gt; Individualized Program -&gt; Progress Report -&gt; Goal</t>
  </si>
  <si>
    <t>001690</t>
  </si>
  <si>
    <t>GoalCurrentPerformanceDescription</t>
  </si>
  <si>
    <t>Goal Description</t>
  </si>
  <si>
    <t>A statement that describes the desired outcomes.</t>
  </si>
  <si>
    <t>000903</t>
  </si>
  <si>
    <t>GoalDescription</t>
  </si>
  <si>
    <t>Goal End Date</t>
  </si>
  <si>
    <t>The date on which the goal expires or has been achieved.</t>
  </si>
  <si>
    <t>For federal reporting use cases some codes are required to be reported and others are not. All CEDS Exit and End Dates represent the last day of the date range specified, such as the last day that a person was enrolled, participated, or received services.</t>
  </si>
  <si>
    <t>001166</t>
  </si>
  <si>
    <t>GoalEndDate</t>
  </si>
  <si>
    <t>Goal Measurement Criterion Accuracy Percent</t>
  </si>
  <si>
    <t>The percent of correct results that will be considered to represent successful achievement of a goal.</t>
  </si>
  <si>
    <t>K12 -&gt; K12 Student -&gt; Individualized Program -&gt; Goal</t>
  </si>
  <si>
    <t>Numeric - between 0 and 1, up to 2 digits</t>
  </si>
  <si>
    <t>001691</t>
  </si>
  <si>
    <t>GoalMeasurementCriterionAccuracyPercent</t>
  </si>
  <si>
    <t>Goal Measurement Criterion Attempts Count</t>
  </si>
  <si>
    <t>The number of attempts representing a completed trial for assessing achievement of a goal.</t>
  </si>
  <si>
    <t>001692</t>
  </si>
  <si>
    <t>GoalMeasurementCriterionAttemptsCount</t>
  </si>
  <si>
    <t>Goal Measurement Criterion Metric</t>
  </si>
  <si>
    <t>A metric used for evaluating achievement of a goal.</t>
  </si>
  <si>
    <t>001693</t>
  </si>
  <si>
    <t>GoalMeasurementCriterionMetric</t>
  </si>
  <si>
    <t>Goal Measurement Criterion Success Count</t>
  </si>
  <si>
    <t>The number of correct results that will be considered to represent successful achievement of a goal.</t>
  </si>
  <si>
    <t>001694</t>
  </si>
  <si>
    <t>GoalMeasurementCriterionSuccessCount</t>
  </si>
  <si>
    <t>Goal Measurement Description</t>
  </si>
  <si>
    <t>The procedures and/or instruments that will be used to measure achievement of a goal or short-term objective.</t>
  </si>
  <si>
    <t>001695</t>
  </si>
  <si>
    <t>GoalMeasurementDescription</t>
  </si>
  <si>
    <t>Goal Measurement Schedule</t>
  </si>
  <si>
    <t>Frequency of evaluation of progress toward meeting the goal or short-term objective.</t>
  </si>
  <si>
    <t>001696</t>
  </si>
  <si>
    <t>GoalMeasurementSchedule</t>
  </si>
  <si>
    <t>Goal Measurement Type</t>
  </si>
  <si>
    <t>Type of evidence appropriate for assessing achievement of a goal or short-term objective.</t>
  </si>
  <si>
    <t>001697</t>
  </si>
  <si>
    <t>GoalMeasurementType</t>
  </si>
  <si>
    <t>Goal Start Date</t>
  </si>
  <si>
    <t>The date on which the goal becomes active.</t>
  </si>
  <si>
    <t>001165</t>
  </si>
  <si>
    <t>GoalStartDate</t>
  </si>
  <si>
    <t>Goal Status</t>
  </si>
  <si>
    <t>Description of status toward achievement of the annual goal or short-term objectives.</t>
  </si>
  <si>
    <t>K12 -&gt; K12 Student -&gt; Individualized Program -&gt; Progress Report -&gt; Goal</t>
  </si>
  <si>
    <t>001703</t>
  </si>
  <si>
    <t>GoalStatus</t>
  </si>
  <si>
    <t>Goal Status Type</t>
  </si>
  <si>
    <t>Status toward achievement of the annual goal or short-term objectives.</t>
  </si>
  <si>
    <t>001702</t>
  </si>
  <si>
    <t>GoalStatusType</t>
  </si>
  <si>
    <t>Goal Success Criteria</t>
  </si>
  <si>
    <t>One or more statements that describes the criteria used by teachers and students to check for attainment of a goal.</t>
  </si>
  <si>
    <t>000902</t>
  </si>
  <si>
    <t>GoalSuccessCriteria</t>
  </si>
  <si>
    <t>Goals for Attending Adult Education</t>
  </si>
  <si>
    <t>A person's reasons for attending an adult education class or program.</t>
  </si>
  <si>
    <t>001079</t>
  </si>
  <si>
    <t>GoalsForAttendingAdultEducation</t>
  </si>
  <si>
    <t>Grade Level When Assessed</t>
  </si>
  <si>
    <t>The grade or developmental level of a student when assessed.</t>
  </si>
  <si>
    <t>000126</t>
  </si>
  <si>
    <t>GradeLevelWhenAssessed</t>
  </si>
  <si>
    <t>K-12 -&gt; High School Generated Transcript
K-12 -&gt; LEA Assessments
K-12 -&gt; LEA-to-LEA Student Record Exchange
K-12 -&gt; LEA-to-SEA Student Record Exchange
K-12 -&gt; SEA Assessments</t>
  </si>
  <si>
    <t>Grade Level When Course Taken</t>
  </si>
  <si>
    <t>Student's grade level at time of course.</t>
  </si>
  <si>
    <t>000125</t>
  </si>
  <si>
    <t>GradeLevelWhenCourseTaken</t>
  </si>
  <si>
    <t>Grade Levels Approved</t>
  </si>
  <si>
    <t>The specific grade or combination of grades approved by an organization to be offered by an education institution.</t>
  </si>
  <si>
    <t>001926</t>
  </si>
  <si>
    <t>GradeLevelsApproved</t>
  </si>
  <si>
    <t>Grade Point Average</t>
  </si>
  <si>
    <t>000127</t>
  </si>
  <si>
    <t>GradePointAverage</t>
  </si>
  <si>
    <t>Grade Point Average Cumulative</t>
  </si>
  <si>
    <t>A measure of average performance in all courses taken by a person during his or her school career as determined for record-keeping purposes. This is obtained by dividing the total grade points received by the total number of credits attempted. This usually includes grade points received and credits attempted in his or her current school as well as those transferred from schools in which the person was previously enrolled.</t>
  </si>
  <si>
    <t>K12 -&gt; K12 Student -&gt; Academic Record
Postsecondary -&gt; PS Applicant
Postsecondary -&gt; PS Student -&gt; Academic Record
Postsecondary -&gt; PS Student -&gt; K12 Transcript</t>
  </si>
  <si>
    <t>Related Connection; linked to Grade Point Average Weighted Indicator, High School Percentile, High School Rank, and Size of High School Graduating Class</t>
  </si>
  <si>
    <t>000128</t>
  </si>
  <si>
    <t>GPA - Cumulative</t>
  </si>
  <si>
    <t>GPACumulative</t>
  </si>
  <si>
    <t>College Readiness
K-12 -&gt; High School Feedback Report
K-12 -&gt; High School Generated Transcript
K-12 -&gt; LEA-to-LEA Student Record Exchange
K-12 -&gt; LEA-to-SEA Student Record Exchange
Postsecondary Education -&gt; Common Data Set
Postsecondary Education -&gt; Transition</t>
  </si>
  <si>
    <t>Grade Point Average Domain</t>
  </si>
  <si>
    <t>The domain to which the Grade Point Average is referencing.</t>
  </si>
  <si>
    <t>Used to indicate to which academic domain a grade point element is referencing</t>
  </si>
  <si>
    <t>000758</t>
  </si>
  <si>
    <t>GPA Domain</t>
  </si>
  <si>
    <t>GradePointAverageDomain</t>
  </si>
  <si>
    <t>Grade Point Average Given Session</t>
  </si>
  <si>
    <t>A measure of average performance in all courses taken by a person during a given session. This is obtained by dividing the total grade points received by the number of credits attempted for the same session.</t>
  </si>
  <si>
    <t>000129</t>
  </si>
  <si>
    <t>GPA - Given Session</t>
  </si>
  <si>
    <t>GPAGivenSession</t>
  </si>
  <si>
    <t>Grade Point Average Weighted Indicator</t>
  </si>
  <si>
    <t>An indication of whether the reported Grade Point Average is weighted or unweighted.</t>
  </si>
  <si>
    <t>000123</t>
  </si>
  <si>
    <t>GPA Weighted Indicator</t>
  </si>
  <si>
    <t>GPAWeightedIndicator</t>
  </si>
  <si>
    <t>Postsecondary Education -&gt; Common Data Set
Postsecondary Education -&gt; Transition</t>
  </si>
  <si>
    <t>Grade Points Earned Cumulative</t>
  </si>
  <si>
    <t>The cumulative number of grade points a person earns by successfully completing courses or examinations during his or her enrollment in the current school as well as those transferred from schools in which the person had been previously enrolled.</t>
  </si>
  <si>
    <t>000130</t>
  </si>
  <si>
    <t>GradePointsEarnedCumulative</t>
  </si>
  <si>
    <t>Grade Value Qualifier</t>
  </si>
  <si>
    <t>Adult Education -&gt; Course Section -&gt; Enrollment -&gt; Student Course Section Mark
Career and Technical -&gt; Course Section -&gt; Enrollment -&gt; Student Course Section Mark
K12 -&gt; Course Section -&gt; Enrollment -&gt; Student Course Section Mark
K12 -&gt; K12 Student -&gt; Academic Record
Postsecondary -&gt; Course Section -&gt; Enrollment -&gt; Student Course Section Mark</t>
  </si>
  <si>
    <t>000616</t>
  </si>
  <si>
    <t>Grades Offered</t>
  </si>
  <si>
    <t>The specific grade or combination of grades offered by an education institution.</t>
  </si>
  <si>
    <t>000131</t>
  </si>
  <si>
    <t>GradesOffered</t>
  </si>
  <si>
    <t>Graduate Assistant IPEDS Occupation Category</t>
  </si>
  <si>
    <t>The Integrated Postsecondary Education Data System (IPEDS) occupational categories used to report graduate assistants.</t>
  </si>
  <si>
    <t>000743</t>
  </si>
  <si>
    <t>GraduateAssistantIPEDSOccupationCategory</t>
  </si>
  <si>
    <t>Graduate Assistant Status</t>
  </si>
  <si>
    <t>000742</t>
  </si>
  <si>
    <t>GraduateAssistantStatus</t>
  </si>
  <si>
    <t>Graduate or Doctoral Exam Results Status</t>
  </si>
  <si>
    <t>The individual's status in completing exams required for graduate or doctoral degree programs.</t>
  </si>
  <si>
    <t>001357</t>
  </si>
  <si>
    <t>GraduateOrDoctoralExamResultsStatus</t>
  </si>
  <si>
    <t>Graduation Rate Survey Cohort Year</t>
  </si>
  <si>
    <t>The academic year in which a student entered as part of the GRS cohort.</t>
  </si>
  <si>
    <t>000132</t>
  </si>
  <si>
    <t>GraduationRateSurveyCohortYear</t>
  </si>
  <si>
    <t>Graduation Rate Survey Indicator</t>
  </si>
  <si>
    <t>An indication of whether or not the student is in a GRS cohort; meaning the student began as a first-time, full-time, degree seeking student in the fall of a given year.</t>
  </si>
  <si>
    <t>000133</t>
  </si>
  <si>
    <t>GraduationRateSurveyIndicator</t>
  </si>
  <si>
    <t>K-12 -&gt; High School Feedback Report</t>
  </si>
  <si>
    <t>Gun Free Schools Act Reporting Status</t>
  </si>
  <si>
    <t>An indication of whether the school or local education agency (LEA) submitted a Gun-Free Schools Act (GFSA) of 1994 report to the state, as defined by Title 18, Section 921.</t>
  </si>
  <si>
    <t>000134</t>
  </si>
  <si>
    <t>GunFreeSchoolsActReportingStatus</t>
  </si>
  <si>
    <t>Harassment or Bullying Policy Status</t>
  </si>
  <si>
    <t>An indication of whether the education unit has adopted written policy prohibiting harassment and bullying on the basis of a civil rights law.</t>
  </si>
  <si>
    <t>000135</t>
  </si>
  <si>
    <t>HarassmentOrBullyingPolicyStatus</t>
  </si>
  <si>
    <t>Hazardous Material or Condition Description</t>
  </si>
  <si>
    <t>A description of the seriousness a threat or hazardous material poses.</t>
  </si>
  <si>
    <t>001844</t>
  </si>
  <si>
    <t>HazardousMaterialOrConditionDescription</t>
  </si>
  <si>
    <t>Hazardous Material or Condition Testing Date</t>
  </si>
  <si>
    <t>The month, day, and year that the site or building is tested for a specific hazardous material.</t>
  </si>
  <si>
    <t>001845</t>
  </si>
  <si>
    <t>HazardousMaterialOrConditionTestingDate</t>
  </si>
  <si>
    <t>Health Screening Equipment Used</t>
  </si>
  <si>
    <t>The screening equipment used for the hearing screening or the method used for the vision screening</t>
  </si>
  <si>
    <t>001358</t>
  </si>
  <si>
    <t>HealthScreeningEquipmentUsed</t>
  </si>
  <si>
    <t>Health Screening Follow-up Recommendation</t>
  </si>
  <si>
    <t>Recommendations for follow-up after a health screening.</t>
  </si>
  <si>
    <t>001359</t>
  </si>
  <si>
    <t>HealthScreeningFollowUpRecommendation</t>
  </si>
  <si>
    <t>Hearing Screening Date</t>
  </si>
  <si>
    <t>The year, month and day of a hearing screening.</t>
  </si>
  <si>
    <t>000705</t>
  </si>
  <si>
    <t>HearingScreeningDate</t>
  </si>
  <si>
    <t>Hearing Screening Status</t>
  </si>
  <si>
    <t>Status of an examination used to measure a person's ability to perceive sounds.</t>
  </si>
  <si>
    <t>000309</t>
  </si>
  <si>
    <t>HearingScreeningStatus</t>
  </si>
  <si>
    <t>High School Course Requirement</t>
  </si>
  <si>
    <t>An indication that this course credit is required for a high school diploma.</t>
  </si>
  <si>
    <t>Adult Education -&gt; Course Section -&gt; Course
Career and Technical -&gt; Course
Career and Technical -&gt; Course Section -&gt; Course
K12 -&gt; Course Section -&gt; Course
K12 -&gt; K12 Course
K12 -&gt; K12 Student -&gt; Graduation Plan -&gt; Course</t>
  </si>
  <si>
    <t>000137</t>
  </si>
  <si>
    <t>HighSchoolCourseRequirement</t>
  </si>
  <si>
    <t>High School Diploma Distinction Type</t>
  </si>
  <si>
    <t>The distinction of the diploma or credential that is awarded to a student in recognition of their completion of the curricular requirements.</t>
  </si>
  <si>
    <t>Adult Education -&gt; AE Student -&gt; Academic Record -&gt; Academic Award
Career and Technical -&gt; CTE Student -&gt; Academic Record -&gt; Academic Award
K12 -&gt; K12 Student -&gt; Academic Record -&gt; Academic Award
Workforce -&gt; Workforce Program Participant -&gt; Academic Record -&gt; Academic Award</t>
  </si>
  <si>
    <t>000713</t>
  </si>
  <si>
    <t>HighSchoolDiplomaDistinctionType</t>
  </si>
  <si>
    <t>High School Diploma Type</t>
  </si>
  <si>
    <t>The type of diploma/credential that is awarded to a person in recognition of his/her completion of the curricular requirements.</t>
  </si>
  <si>
    <t>Adult Education -&gt; AE Student -&gt; Academic Record -&gt; Academic Award
Career and Technical -&gt; CTE Student -&gt; Academic Record -&gt; Academic Award
K12 -&gt; K12 Student -&gt; Academic Record -&gt; Academic Award
Postsecondary -&gt; PS Student -&gt; K12 Transcript
Workforce -&gt; Workforce Program Participant -&gt; Academic Record -&gt; Academic Award</t>
  </si>
  <si>
    <t>Use "Other Diploma" instead of "Other" option.</t>
  </si>
  <si>
    <t>000138</t>
  </si>
  <si>
    <t>HighSchoolDiplomaType</t>
  </si>
  <si>
    <t>K-12 -&gt; High School Feedback Report
K-12 -&gt; High School Generated Transcript
K-12 -&gt; LEA-to-LEA Student Record Exchange
K-12 -&gt; LEA-to-SEA Student Record Exchange
Persistence and Attainment of Nontraditional Students
Postsecondary Education -&gt; IPEDS
Postsecondary Education -&gt; Transition</t>
  </si>
  <si>
    <t>High School Graduation Rate Indicator Status</t>
  </si>
  <si>
    <t>An indication of whether the school or district met the High School Graduation Rate requirement in accordance with state definition for the purposes of determining AYP.</t>
  </si>
  <si>
    <t>000140</t>
  </si>
  <si>
    <t>HighSchoolGraduationRateIndicatorStatus</t>
  </si>
  <si>
    <t>High School Percentile</t>
  </si>
  <si>
    <t>The High School Rank divided by the Size of High School Graduating Class expressed as a percentage.</t>
  </si>
  <si>
    <t>000759</t>
  </si>
  <si>
    <t>HighSchoolPercentile</t>
  </si>
  <si>
    <t>High School Student Class Rank</t>
  </si>
  <si>
    <t>The academic rank of a student in relation to his or her high school graduating class (e.g., 1, 2, 3) based on high school GPA.</t>
  </si>
  <si>
    <t>K12 -&gt; K12 Student -&gt; Academic Record
Postsecondary -&gt; PS Applicant</t>
  </si>
  <si>
    <t>000041</t>
  </si>
  <si>
    <t>HighSchoolStudentClassRank</t>
  </si>
  <si>
    <t>K-12 -&gt; High School Generated Transcript
K-12 -&gt; LEA-to-LEA Student Record Exchange
K-12 -&gt; LEA-to-SEA Student Record Exchange
Postsecondary Education -&gt; Common Data Set</t>
  </si>
  <si>
    <t>Higher Education Institution Accreditation Status</t>
  </si>
  <si>
    <t>An indication of the accreditation status of a higher education institution.</t>
  </si>
  <si>
    <t>000818</t>
  </si>
  <si>
    <t>HigherEducationInstitutionAccredidationStatus</t>
  </si>
  <si>
    <t>Highest Level of Education Completed</t>
  </si>
  <si>
    <t>The extent of formal instruction a person has received (e.g., the highest grade in school completed or its equivalent or the highest degree received).</t>
  </si>
  <si>
    <t>000141</t>
  </si>
  <si>
    <t>HighestLevelOfEducationCompleted</t>
  </si>
  <si>
    <t>Early Learning -&gt; Program Compliance
Early Learning -&gt; Program Entry
Early Learning -&gt; Staff Quality
K-12 -&gt; Teacher Compensation Survey</t>
  </si>
  <si>
    <t>Highly Qualified Teacher Indicator</t>
  </si>
  <si>
    <t>An indication that the teacher has been classified as highly qualified based on assignment.</t>
  </si>
  <si>
    <t>K12 -&gt; K12 Staff -&gt; Credential or License</t>
  </si>
  <si>
    <t>000142</t>
  </si>
  <si>
    <t>HighlyQualifiedTeacherIndicator</t>
  </si>
  <si>
    <t>Hire Date</t>
  </si>
  <si>
    <t>The year, month and day on which a person was hired for a position, or consecutive positions within the same organization and job classification.</t>
  </si>
  <si>
    <t>000143</t>
  </si>
  <si>
    <t>HireDate</t>
  </si>
  <si>
    <t>Early Learning -&gt; Program Compliance
Early Learning -&gt; Staff Quality
Early Learning -&gt; Workforce Development
K-12 -&gt; Teacher Compensation Survey
Postsecondary Education -&gt; IPEDS -&gt; HR</t>
  </si>
  <si>
    <t>Hispanic or Latino Ethnicity</t>
  </si>
  <si>
    <t>An indication that the person traces his or her origin or descent to Mexico, Puerto Rico, Cuba, Central and South America, and other Spanish cultures, regardless of race.</t>
  </si>
  <si>
    <t>000144</t>
  </si>
  <si>
    <t>HispanicOrLatinoEthnicity</t>
  </si>
  <si>
    <t>Homeless Primary Nighttime Residence</t>
  </si>
  <si>
    <t>The primary nighttime residence of the person at the time the person was identified as homeless.</t>
  </si>
  <si>
    <t>000146</t>
  </si>
  <si>
    <t>HomelessPrimaryNighttimeResidence</t>
  </si>
  <si>
    <t>Homeless Serviced Indicator</t>
  </si>
  <si>
    <t>000147</t>
  </si>
  <si>
    <t>HomelessServicedIndicator</t>
  </si>
  <si>
    <t>Homeless Unaccompanied Youth Status</t>
  </si>
  <si>
    <t>K12 -&gt; K12 Student -&gt; Homeless</t>
  </si>
  <si>
    <t>000148</t>
  </si>
  <si>
    <t>HomelessUnaccompaniedYouthStatus</t>
  </si>
  <si>
    <t>Homelessness Status</t>
  </si>
  <si>
    <t>Children and youth who lack a fixed, regular, and adequate nighttime residence. Homeless children and youth include: 1) children and youth who are sharing the housing of other persons due to loss of housing, economic hardship, or a similar reason; are living in motels, hotels, trailer parks, or camping grounds due to the lack of alternative adequate accommodations; are living in emergency or transitional shelters; are abandoned in hospitals; or are awaiting foster care placement; 2) children and youth who have a primary nighttime residence that is a public or private place not designed for or originally used as a regular sleeping accommodation for human beings; or 3) children and youths who are living in cars, parks, public spaces, abandoned buildings, substandard housing, bus or train stations, or similar settings. 4) migratory children who qualify as homeless because the children are living in circumstances described in the above. (See Section 103 of the McKinney Act for a more detailed description of this data element).</t>
  </si>
  <si>
    <t>000149</t>
  </si>
  <si>
    <t>HomelessnessStatus</t>
  </si>
  <si>
    <t>Early Learning -&gt; Program Compliance
Early Learning -&gt; Program Entry
K-12 -&gt; EDFacts
K-12 -&gt; High School Generated Transcript
K-12 -&gt; LEA-to-LEA Student Record Exchange
K-12 -&gt; LEA-to-SEA Student Record Exchange</t>
  </si>
  <si>
    <t>Honors Description</t>
  </si>
  <si>
    <t>A description of the type of academic distinctions earned by or awarded to the person.</t>
  </si>
  <si>
    <t>000150</t>
  </si>
  <si>
    <t>HonorsDescription</t>
  </si>
  <si>
    <t>Hourly Wage</t>
  </si>
  <si>
    <t>Hourly wage associated with the employment position being reported.</t>
  </si>
  <si>
    <t>000797</t>
  </si>
  <si>
    <t>HourlyWage</t>
  </si>
  <si>
    <t>Hours Available Per Day</t>
  </si>
  <si>
    <t>The number of hours per day the site or classroom is open for children to attend.</t>
  </si>
  <si>
    <t>000354</t>
  </si>
  <si>
    <t>HoursAvailablePerDay</t>
  </si>
  <si>
    <t>Hours Worked Per Week</t>
  </si>
  <si>
    <t>The number of hours worked per week in employment.</t>
  </si>
  <si>
    <t>000796</t>
  </si>
  <si>
    <t>HoursWorkedPerWeek</t>
  </si>
  <si>
    <t>IDEA Disability Type</t>
  </si>
  <si>
    <t>A category of disability that describes a person’s impairment defined by the Individuals with Disabilities Education Act.</t>
  </si>
  <si>
    <t>K12 -&gt; K12 Student -&gt; Individualized Program -&gt; Eligibility -&gt; Determination</t>
  </si>
  <si>
    <t>Option set based on IDEA disability categories. Multiple disability condition could be selected. Refer to Primary Disability Type for a single disability condition based on EDFacts.</t>
  </si>
  <si>
    <t>001733</t>
  </si>
  <si>
    <t>IDEADisabilityType</t>
  </si>
  <si>
    <t>IDEA Discipline Method for Firearms Incidents</t>
  </si>
  <si>
    <t>The methods used to discipline students who are children with disabilities (IDEA) involved in firearms and other outcomes of firearms incidents.</t>
  </si>
  <si>
    <t>000556</t>
  </si>
  <si>
    <t>IDEADisciplineMethodForFirearmsIncidents</t>
  </si>
  <si>
    <t>IDEA Educational Environment for Early Childhood</t>
  </si>
  <si>
    <t>The program in which children ages 3 through 5 attend and in which these children receive special education and related services.</t>
  </si>
  <si>
    <t>000559</t>
  </si>
  <si>
    <t>IDEAEducationalEnvironmentForEarlyChildhood</t>
  </si>
  <si>
    <t>IDEA Educational Environment for School Age</t>
  </si>
  <si>
    <t>The setting in which children ages 6 through 21, receive special education and related services.</t>
  </si>
  <si>
    <t>Career and Technical -&gt; CTE Student -&gt; Disability
K12 -&gt; K12 Student -&gt; Disability
K12 -&gt; K12 Student -&gt; Individualized Program
K12 -&gt; K12 Student -&gt; Individualized Program -&gt; IDEA Placement</t>
  </si>
  <si>
    <t>000535</t>
  </si>
  <si>
    <t>IDEAEducationalEnvironmentForSchoolAge</t>
  </si>
  <si>
    <t>IDEA Eligibility Evaluation Category</t>
  </si>
  <si>
    <t>Category of evaluation used for IDEA eligibility.</t>
  </si>
  <si>
    <t>001729</t>
  </si>
  <si>
    <t>IDEAEligibilityEvaluationCategory</t>
  </si>
  <si>
    <t>IDEA IEP Status</t>
  </si>
  <si>
    <t>The status of an individualized services plan for a specified reporting period or on a specified date.</t>
  </si>
  <si>
    <t>001501</t>
  </si>
  <si>
    <t>IDEAIEPStatus</t>
  </si>
  <si>
    <t>IDEA Indicator</t>
  </si>
  <si>
    <t>A person having intellectual disability; hearing impairment, including deafness; speech or language impairment; visual impairment, including blindness; serious emotional disturbance (hereafter referred to as emotional disturbance); orthopedic impairment; autism; traumatic brain injury; developmental delay; other health impairment; specific learning disability; deaf-blindness; or multiple disabilities and who, by reason thereof, receive special education and related services under the Individuals with Disabilities Education Act (IDEA) according to an Individualized Education Program (IEP), Individual Family Service Plan (IFSP), or service plan.</t>
  </si>
  <si>
    <t>000151</t>
  </si>
  <si>
    <t>IDEAIndicator</t>
  </si>
  <si>
    <t>K-12 -&gt; Civil Rights Data Collection
K-12 -&gt; EDFacts
K-12 -&gt; LEA-to-LEA Student Record Exchange
K-12 -&gt; LEA-to-SEA Student Record Exchange</t>
  </si>
  <si>
    <t>IDEA Interim Removal</t>
  </si>
  <si>
    <t>The type of interim removal from current educational setting experienced by children with disabilities (IDEA).</t>
  </si>
  <si>
    <t>000541</t>
  </si>
  <si>
    <t>IDEAInterimRemoval</t>
  </si>
  <si>
    <t>IDEA Interim Removal Reason</t>
  </si>
  <si>
    <t>The reasons why children with disabilities were unilaterally removed from their current educational placement to an interim alternative educational setting.</t>
  </si>
  <si>
    <t>000539</t>
  </si>
  <si>
    <t>IDEAInterimRemovalReason</t>
  </si>
  <si>
    <t>IDEA Part B 619 Potential Eligibility Indicator</t>
  </si>
  <si>
    <t>The determination of whether a child is potentially eligible for Part B 619 services</t>
  </si>
  <si>
    <t>001360</t>
  </si>
  <si>
    <t>IDEAPartB619PotentialEligibilityIndicator</t>
  </si>
  <si>
    <t>IDEA Part C Eligibility Category</t>
  </si>
  <si>
    <t>The category under which a person under 3 years of age is eligible for early intervention services under IDEA Part C.</t>
  </si>
  <si>
    <t>001656</t>
  </si>
  <si>
    <t>IDEAPartCEligibilityCategory</t>
  </si>
  <si>
    <t>IDEA Part C to Part B Notification Date</t>
  </si>
  <si>
    <t>The date that notification is provided to the State Education Agency (SEA) and local education agency (LEA) of residence for a child potentially eligible for Part B (619) preschool services.</t>
  </si>
  <si>
    <t>001500</t>
  </si>
  <si>
    <t>IDEAPartCToPartBNotificationDate</t>
  </si>
  <si>
    <t>IDEA Part C to Part B Notification Opt Out Date</t>
  </si>
  <si>
    <t>The date that parents of a child potentially eligible for Part B preschool services opt out of the impending notification to the local education agency.</t>
  </si>
  <si>
    <t>001364</t>
  </si>
  <si>
    <t>IDEAPartCToPartBNotificationOptOutDate</t>
  </si>
  <si>
    <t>IDEA Part C to Part B Notification Opt Out Indicator</t>
  </si>
  <si>
    <t>Indicates whether parents of a child potentially eligible for Part B preschool services have opted out of the impending notification to the local education agency.</t>
  </si>
  <si>
    <t>001363</t>
  </si>
  <si>
    <t>IDEAPartCToPartBNotificationOptOutIndicator</t>
  </si>
  <si>
    <t>IDEA Placement Rationale</t>
  </si>
  <si>
    <t>The rationale for the placement decision and if applicable, an explanation of the extent, if any, to which the child will not participate with nondisabled children in the regular class and in the activities described in paragraph (a)(4) of CFR. §300.320.</t>
  </si>
  <si>
    <t>K12 -&gt; K12 Student -&gt; Individualized Program -&gt; IDEA Placement</t>
  </si>
  <si>
    <t>001704</t>
  </si>
  <si>
    <t>IDEAPlacementRationale</t>
  </si>
  <si>
    <t>Identification System for Assessment Form Section</t>
  </si>
  <si>
    <t>A coding scheme that is used for identification of an Assessment Form Section.</t>
  </si>
  <si>
    <t>001190</t>
  </si>
  <si>
    <t>IdentificationSystemForAssessmentFormSection</t>
  </si>
  <si>
    <t>IEP Alternative Assessment Rationale</t>
  </si>
  <si>
    <t>K12 -&gt; K12 Student -&gt; Individualized Program -&gt; Assessment</t>
  </si>
  <si>
    <t>IEPAlternativeAssessmentRationale</t>
  </si>
  <si>
    <t>IEP Authorization Document Type</t>
  </si>
  <si>
    <t>Type of Individualized Education Plan document authorized.</t>
  </si>
  <si>
    <t>001719</t>
  </si>
  <si>
    <t>IEPAuthorizationDocumentType</t>
  </si>
  <si>
    <t>IEP Authorization Rejected Portion Description</t>
  </si>
  <si>
    <t>Portion the authorizer does not want executed.</t>
  </si>
  <si>
    <t>001723</t>
  </si>
  <si>
    <t>IEPAuthorizationRejectedPortionDescription</t>
  </si>
  <si>
    <t>IEP Authorization Rejected Portion Explanation</t>
  </si>
  <si>
    <t>Authorizer's explanation for rejected portions.</t>
  </si>
  <si>
    <t>001724</t>
  </si>
  <si>
    <t>IEPAuthorizationRejectedPortionExplanation</t>
  </si>
  <si>
    <t>IEP Eligibility Evaluation Type</t>
  </si>
  <si>
    <t>Purpose within the IEP lifecycle for which the eligibility evaluation is conducted.</t>
  </si>
  <si>
    <t>001728</t>
  </si>
  <si>
    <t>IEPEligibilityEvaluationType</t>
  </si>
  <si>
    <t>IEP Goal Type</t>
  </si>
  <si>
    <t>Legal category for an IEP annual goal or short-term objectives.</t>
  </si>
  <si>
    <t>001698</t>
  </si>
  <si>
    <t>IEPGoalType</t>
  </si>
  <si>
    <t>IEP Present Level Academic Description</t>
  </si>
  <si>
    <t>How the child's disability affects the child's academic achievement.</t>
  </si>
  <si>
    <t>K12 -&gt; K12 Student -&gt; Individualized Program -&gt; IEP Present Levels</t>
  </si>
  <si>
    <t>001705</t>
  </si>
  <si>
    <t>IEPPresentLevelAcademicDescription</t>
  </si>
  <si>
    <t>IEP Present Level Functional Description</t>
  </si>
  <si>
    <t>How the child's disability affects the child's functional performance.</t>
  </si>
  <si>
    <t>001706</t>
  </si>
  <si>
    <t>IEPPresentLevelFunctionalDescription</t>
  </si>
  <si>
    <t>IEP Present Level General Education Description</t>
  </si>
  <si>
    <t>How the child's disability affects the child's involvement and progress in the general education curriculum.</t>
  </si>
  <si>
    <t>001707</t>
  </si>
  <si>
    <t>IEPPresentLevelGeneralEducationDescription</t>
  </si>
  <si>
    <t>IEP Present Level Parent Concern Description</t>
  </si>
  <si>
    <t>Parent’s explanation of their interest in or concerns about the student’s participation in special education.</t>
  </si>
  <si>
    <t>001710</t>
  </si>
  <si>
    <t>IEPPresentLevelParentConcernDescription</t>
  </si>
  <si>
    <t>IEP Present Level Preschool Description</t>
  </si>
  <si>
    <t>For preschool children, as appropriate, how the disability affects the child's participation in appropriate activities.</t>
  </si>
  <si>
    <t>001708</t>
  </si>
  <si>
    <t>IEPPresentLevelPreschoolDescription</t>
  </si>
  <si>
    <t>IEP Present Level Student Concern Description</t>
  </si>
  <si>
    <t>Student’s explanation of his or her interest in or concerns about participation in special education.</t>
  </si>
  <si>
    <t>001711</t>
  </si>
  <si>
    <t>IEPPresentLevelStudentConcernDescription</t>
  </si>
  <si>
    <t>IEP Present Level Student Strengths Description</t>
  </si>
  <si>
    <t>Explanation of perceived strengths and abilities of the student.</t>
  </si>
  <si>
    <t>001709</t>
  </si>
  <si>
    <t>IEPPresentLevelStudentStrengthsDescription</t>
  </si>
  <si>
    <t>IEP Transfer of Rights Statement</t>
  </si>
  <si>
    <t>Beginning not later than one year before the child reaches the age of majority under State law, the IEP must include a statement that the child has been informed of the child's rights under Part B of the Individuals with Disabilities Education Act, if any, that will transfer to the child on reaching the age of majority under §300.520.</t>
  </si>
  <si>
    <t>K12 -&gt; K12 Student -&gt; Individualized Program</t>
  </si>
  <si>
    <t>001682</t>
  </si>
  <si>
    <t>IEPTransferofRightsStatement</t>
  </si>
  <si>
    <t>Immunization Date</t>
  </si>
  <si>
    <t>The year, month and day of an immunization.</t>
  </si>
  <si>
    <t>000306</t>
  </si>
  <si>
    <t>ImmunizationDate</t>
  </si>
  <si>
    <t>Early Learning -&gt; Program Compliance
K-12 -&gt; LEA-to-LEA Student Record Exchange
K-12 -&gt; LEA-to-SEA Student Record Exchange</t>
  </si>
  <si>
    <t>Immunization Policy</t>
  </si>
  <si>
    <t>An indication of whether a program has an immunization policy that specifically indicates that all children are receiving immunizations.</t>
  </si>
  <si>
    <t>000849</t>
  </si>
  <si>
    <t>ImmunizationionPolicy</t>
  </si>
  <si>
    <t>Immunization Record Flag</t>
  </si>
  <si>
    <t>Indicates whether the school or MEP program has immunization records on file for the student.</t>
  </si>
  <si>
    <t>000438</t>
  </si>
  <si>
    <t>ImmunizationRecordFlag</t>
  </si>
  <si>
    <t>Immunization Type</t>
  </si>
  <si>
    <t>An indication of the type of immunization that an individual has satisfactorily received.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</si>
  <si>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001248</t>
  </si>
  <si>
    <t>ImmunizationType</t>
  </si>
  <si>
    <t>Incident Behavior</t>
  </si>
  <si>
    <t>Categories of behavior coded for use in describing an incident.</t>
  </si>
  <si>
    <t>000509</t>
  </si>
  <si>
    <t>IncidentBehavior</t>
  </si>
  <si>
    <t>Incident Cost</t>
  </si>
  <si>
    <t>000505</t>
  </si>
  <si>
    <t>IncidentCost</t>
  </si>
  <si>
    <t>Incident Date</t>
  </si>
  <si>
    <t>The year, month and day on which the incident occurred.</t>
  </si>
  <si>
    <t>000502</t>
  </si>
  <si>
    <t>IncidentDate</t>
  </si>
  <si>
    <t>Incident Description</t>
  </si>
  <si>
    <t>The description for an incident.</t>
  </si>
  <si>
    <t>000508</t>
  </si>
  <si>
    <t>IncidentDescription</t>
  </si>
  <si>
    <t>Incident Identifier</t>
  </si>
  <si>
    <t>A locally assigned unique identifier (within the school or school district) to identify each specific incident or occurrence. The same identifier should be used to document the entire incident even if it included multiple offenses and multiple offenders.</t>
  </si>
  <si>
    <t>000501</t>
  </si>
  <si>
    <t>IncidentIdentifier</t>
  </si>
  <si>
    <t>Incident Injury Type</t>
  </si>
  <si>
    <t>An indication of the occurrence of physical injury to participants involved in the incident and, if so, the level of injury sustained.</t>
  </si>
  <si>
    <t>Incident Injury Type can be linked to any person involved in the incident.</t>
  </si>
  <si>
    <t>000510</t>
  </si>
  <si>
    <t>IncidentInjuryType</t>
  </si>
  <si>
    <t>Incident Location</t>
  </si>
  <si>
    <t>Identifies where the incident occurred and whether or not it occurred on campus.</t>
  </si>
  <si>
    <t>000617</t>
  </si>
  <si>
    <t>IncidentLocation</t>
  </si>
  <si>
    <t>Incident Multiple Offense Type</t>
  </si>
  <si>
    <t>An indication of whether the offense was primary or secondary in nature when a single incident included more than one type of offense.</t>
  </si>
  <si>
    <t>001369</t>
  </si>
  <si>
    <t>IncidentMultipleOffenseType</t>
  </si>
  <si>
    <t>Incident Perpetrator Identifier</t>
  </si>
  <si>
    <t>Identifies the perpetrator of the incident by use of a pre-existing unique identifier assigned to a student or staff member by a school or district.</t>
  </si>
  <si>
    <t>001370</t>
  </si>
  <si>
    <t>IncidentPerpetratorIdentifier</t>
  </si>
  <si>
    <t>Incident Perpetrator Injury Type</t>
  </si>
  <si>
    <t>001371</t>
  </si>
  <si>
    <t>IncidentPerpetratorInjuryType</t>
  </si>
  <si>
    <t>Incident Perpetrator Type</t>
  </si>
  <si>
    <t>Information on the type of individual who committed an incident. A “perpetrator” is an individual involved in an incident as an offender (the person who committed the infraction constituting the incident).</t>
  </si>
  <si>
    <t>001372</t>
  </si>
  <si>
    <t>IncidentPerpetratorType</t>
  </si>
  <si>
    <t>Incident Person Role Type</t>
  </si>
  <si>
    <t>The role or type of participation of a person in a discipline incident.</t>
  </si>
  <si>
    <t>001373</t>
  </si>
  <si>
    <t>IncidentPersonRoleType</t>
  </si>
  <si>
    <t>Incident Regulation Violated Description</t>
  </si>
  <si>
    <t>001374</t>
  </si>
  <si>
    <t>IncidentRegulationViolatedDescription</t>
  </si>
  <si>
    <t>Incident Related to Disability Manifestation</t>
  </si>
  <si>
    <t>Under IDEA §300.530(e), a manifestation determination must occur within 10 days of any decision to change the child’s placement because of a violation of a code of student conduct.</t>
  </si>
  <si>
    <t>001375</t>
  </si>
  <si>
    <t>IncidentRelatedToDisabilityManifestation</t>
  </si>
  <si>
    <t>Incident Reported to Law Enforcement Indicator</t>
  </si>
  <si>
    <t>001376</t>
  </si>
  <si>
    <t>IncidentReportedToLawEnforcementIndicator</t>
  </si>
  <si>
    <t>Incident Reporter Type</t>
  </si>
  <si>
    <t>Information on the type of person who reported the incident. When known and/or if useful, use a more specific option code (e.g., "Counselor" rather than "Professional Staff").</t>
  </si>
  <si>
    <t>000506</t>
  </si>
  <si>
    <t>IncidentReporterType</t>
  </si>
  <si>
    <t>Incident Time</t>
  </si>
  <si>
    <t>An indication of the time of day the incident took place.</t>
  </si>
  <si>
    <t>000503</t>
  </si>
  <si>
    <t>IncidentTime</t>
  </si>
  <si>
    <t>Incident Time Description Code</t>
  </si>
  <si>
    <t>A code for the description of the time of day that an incident took place.</t>
  </si>
  <si>
    <t>000515</t>
  </si>
  <si>
    <t>IncidentTimeDescriptionCode</t>
  </si>
  <si>
    <t>Incident Victim Identifier</t>
  </si>
  <si>
    <t>Identifies the victim of the incident by use of a pre-existing unique identifier assigned to a student or staff member by a school or district.</t>
  </si>
  <si>
    <t>001377</t>
  </si>
  <si>
    <t>IncidentVictimIdentifier</t>
  </si>
  <si>
    <t>Incident Victim Type</t>
  </si>
  <si>
    <t>Information on the type of individual who was injured or otherwise harmed as a direct result of the incident. A “victim” is the individual who suffers injury or harm that directly results from the incident.</t>
  </si>
  <si>
    <t>001378</t>
  </si>
  <si>
    <t>IncidentVictimType</t>
  </si>
  <si>
    <t>Incident Witness Identifier</t>
  </si>
  <si>
    <t>Identifies the witness of the incident by use of a pre-existing unique identifier assigned to a student or staff member by a school or district. Using this data element permits linkage to descriptive information about the individual in the student or staff database.</t>
  </si>
  <si>
    <t>001379</t>
  </si>
  <si>
    <t>IncidentWitnessIdentifier</t>
  </si>
  <si>
    <t>Incident Witness Type</t>
  </si>
  <si>
    <t>001380</t>
  </si>
  <si>
    <t>IncidentWitnessType</t>
  </si>
  <si>
    <t>Included in Counted Family Size</t>
  </si>
  <si>
    <t>Denotes whether this family member is counted in the family size as it pertains to the federal poverty level</t>
  </si>
  <si>
    <t>001612</t>
  </si>
  <si>
    <t>IncludedInCountedFamilySize</t>
  </si>
  <si>
    <t>Inclusive Setting Indicator</t>
  </si>
  <si>
    <t>Indicates that services are provided to the child in a place where children of all abilities learn together.</t>
  </si>
  <si>
    <t>001634</t>
  </si>
  <si>
    <t>InclusiveSettingIndicator</t>
  </si>
  <si>
    <t>Income Calculation Method</t>
  </si>
  <si>
    <t>The calculation method used by a program to determine total family income.</t>
  </si>
  <si>
    <t>000334</t>
  </si>
  <si>
    <t>IncomeCalculationMethod</t>
  </si>
  <si>
    <t>Increased Learning Time Type</t>
  </si>
  <si>
    <t>The types of increased learning time provided.</t>
  </si>
  <si>
    <t>000164</t>
  </si>
  <si>
    <t>IncreasedLearningTimeType</t>
  </si>
  <si>
    <t>Indebtedness Amount Allowed</t>
  </si>
  <si>
    <t>The amount of indebtedness allowed by law to be carried by the school district.</t>
  </si>
  <si>
    <t>K12 -&gt; LEA -&gt; Finance</t>
  </si>
  <si>
    <t>001893</t>
  </si>
  <si>
    <t>IndebtednessAmountAllowed</t>
  </si>
  <si>
    <t>Individualized Program Accommodation Applicability</t>
  </si>
  <si>
    <t>Circumstances in which the accommodation or change to standards or practices will be applied.</t>
  </si>
  <si>
    <t>001686</t>
  </si>
  <si>
    <t>IndividualizedProgramAccommodationApplicability</t>
  </si>
  <si>
    <t>Individualized Program Accommodation Description</t>
  </si>
  <si>
    <t>Description of a specific accommodation or change to standards or practices that will be made.</t>
  </si>
  <si>
    <t>001685</t>
  </si>
  <si>
    <t>IndividualizedProgramAccommodationDescription</t>
  </si>
  <si>
    <t>Individualized Program Date</t>
  </si>
  <si>
    <t>The year, month and day on which the status of an individualized program for a student is significantly altered.</t>
  </si>
  <si>
    <t>001232</t>
  </si>
  <si>
    <t>IndividualizedProgramDate</t>
  </si>
  <si>
    <t>Individualized Program Inclusion Minutes Per Week</t>
  </si>
  <si>
    <t>The number of minutes per week that a student with disabilities is served in a special education setting separate from his or her non-disabled peers.</t>
  </si>
  <si>
    <t>001234</t>
  </si>
  <si>
    <t>IndividualizedProgramInclusionMinutesPerWeek</t>
  </si>
  <si>
    <t>Individualized Program NonInclusion Minutes Per Week</t>
  </si>
  <si>
    <t>The number of minutes per week that a student with disabilities is served in a regular classroom with his or her non-disabled peers.</t>
  </si>
  <si>
    <t>001233</t>
  </si>
  <si>
    <t>IndividualizedProgramNonInclusionMinutesPerWeek</t>
  </si>
  <si>
    <t>Individualized Program Planned Service Duration</t>
  </si>
  <si>
    <t>The length, in hours, that delivery of the service is planned.</t>
  </si>
  <si>
    <t>001520</t>
  </si>
  <si>
    <t>IndividualizedProgramPlannedServiceDuration</t>
  </si>
  <si>
    <t>Individualized Program Planned Service Frequency</t>
  </si>
  <si>
    <t>The frequency that a service is planned to be provided.</t>
  </si>
  <si>
    <t>001519</t>
  </si>
  <si>
    <t>IndividualizedProgramPlannedServiceFrequency</t>
  </si>
  <si>
    <t>Individualized Program Planned Service Start Date</t>
  </si>
  <si>
    <t>The date the service is planned to begin.</t>
  </si>
  <si>
    <t>As decided on by an IFSP/IEP team, including the parent.</t>
  </si>
  <si>
    <t>001381</t>
  </si>
  <si>
    <t>IndividualizedProgramPlannedServiceStartDate</t>
  </si>
  <si>
    <t>Individualized Program Planned Service Type</t>
  </si>
  <si>
    <t>The types of service that adapts the curriculum, materials, or instruction for students identified as needing special education because of a delay or disability.</t>
  </si>
  <si>
    <t>001383</t>
  </si>
  <si>
    <t>IndividualizedProgramPlannedServiceType</t>
  </si>
  <si>
    <t>Individualized Program Service Plan Amendment Description</t>
  </si>
  <si>
    <t>Description of the changes made to the individualized program service plan.</t>
  </si>
  <si>
    <t>K12 -&gt; K12 Student -&gt; Individualized Program -&gt; Amendment</t>
  </si>
  <si>
    <t>001689</t>
  </si>
  <si>
    <t>IndividualizedProgramServicePlanAmendmentDescription</t>
  </si>
  <si>
    <t>Individualized Program Service Plan Amendment Reason Description</t>
  </si>
  <si>
    <t>Description of the reason changes were made to the individualized program service plan.</t>
  </si>
  <si>
    <t>001688</t>
  </si>
  <si>
    <t>IndividualizedProgramServicePlanAmendmentReasonDescription</t>
  </si>
  <si>
    <t>Individualized Program Service Plan Date</t>
  </si>
  <si>
    <t>The year, month and day on which the status of the service plan for a child is established or significantly altered.</t>
  </si>
  <si>
    <t>001236</t>
  </si>
  <si>
    <t>IndividualizedProgramServicePlanDate</t>
  </si>
  <si>
    <t>Individualized Program Service Plan Date Type</t>
  </si>
  <si>
    <t>An indication of the significance of a date to an individualized program.</t>
  </si>
  <si>
    <t>001231</t>
  </si>
  <si>
    <t>IndividualizedProgramDateType</t>
  </si>
  <si>
    <t>Individualized Program Service Plan End Date</t>
  </si>
  <si>
    <t>The year, month and day on which the status of the service plan for a child effectively ends.</t>
  </si>
  <si>
    <t>001683</t>
  </si>
  <si>
    <t>IndividualizedProgramServicePlanEndDate</t>
  </si>
  <si>
    <t>Individualized Program Service Plan Meeting Date</t>
  </si>
  <si>
    <t>The date on which a child's service plan meeting is held.</t>
  </si>
  <si>
    <t>001684</t>
  </si>
  <si>
    <t>IndividualizedProgramServicePlanMeetingDate</t>
  </si>
  <si>
    <t>Individualized Program Service Plan Meeting Location</t>
  </si>
  <si>
    <t>The place in which a child's service plan meeting is held.</t>
  </si>
  <si>
    <t>001237</t>
  </si>
  <si>
    <t>IndividualizedProgramServicePlanMeetingLocation</t>
  </si>
  <si>
    <t>Individualized Program Service Plan Meeting Participants</t>
  </si>
  <si>
    <t>The position titles of individuals who attend the service plan meeting.</t>
  </si>
  <si>
    <t>001238</t>
  </si>
  <si>
    <t>IndividualizedProgramServicePlanMeetingParticipants</t>
  </si>
  <si>
    <t>Individualized Program Service Plan Progress Report Date</t>
  </si>
  <si>
    <t>The date parents are notified of the student’s progress on annual goals and if the progress is sufficient to achieve the goals by the end of the individualized program service plan.</t>
  </si>
  <si>
    <t>K12 -&gt; K12 Student -&gt; Individualized Program -&gt; Progress Report</t>
  </si>
  <si>
    <t>001699</t>
  </si>
  <si>
    <t>IndividualizedProgramServicePlanProgressReportDate</t>
  </si>
  <si>
    <t>Individualized Program Service Plan Progress Report Description</t>
  </si>
  <si>
    <t>A description of the progress report used to notify parents of the student’s progress on annual goals and if the progress is sufficient to achieve the goals by the end of the individualized program service plan.</t>
  </si>
  <si>
    <t>001700</t>
  </si>
  <si>
    <t>IndividualizedProgramServicePlanProgressReportDescription</t>
  </si>
  <si>
    <t>Individualized Program Service Plan Progress Report Schedule</t>
  </si>
  <si>
    <t>Frequency by which parents are notified of the student’s progress on annual goals and if the progress is sufficient to achieve the goals by the end of the individualized program service plan year.</t>
  </si>
  <si>
    <t>001681</t>
  </si>
  <si>
    <t>IndividualizedProgramServicePlanProgressReportSchedule</t>
  </si>
  <si>
    <t>Individualized Program Service Plan Progress Report Type</t>
  </si>
  <si>
    <t>A method by which parents are notified of the student’s progress on annual goals and if the progress is sufficient to achieve the goals by the end of the individualized program service plan.</t>
  </si>
  <si>
    <t>K12 -&gt; K12 Student -&gt; Individualized Program
K12 -&gt; K12 Student -&gt; Individualized Program -&gt; Progress Report</t>
  </si>
  <si>
    <t>001701</t>
  </si>
  <si>
    <t>IndividualizedProgramServicePlanProgressReportType</t>
  </si>
  <si>
    <t>Individualized Program Service Plan Reevaluation Date</t>
  </si>
  <si>
    <t>Date student will be reevaluated for continued placement in a support program(s).</t>
  </si>
  <si>
    <t>001241</t>
  </si>
  <si>
    <t>IndividualizedProgramServicePlanReevaluationDate</t>
  </si>
  <si>
    <t>Individualized Program Service Plan Signature Date</t>
  </si>
  <si>
    <t>The year, month and day on which the service plan document is signed.</t>
  </si>
  <si>
    <t>001240</t>
  </si>
  <si>
    <t>IndividualizedProgramServicePlanSignatureDate</t>
  </si>
  <si>
    <t>Individualized Program Service Plan Signed By</t>
  </si>
  <si>
    <t>The position titles of individuals who sign a written service plan.</t>
  </si>
  <si>
    <t>001239</t>
  </si>
  <si>
    <t>IndividualizedProgramServicePlanSignedBy</t>
  </si>
  <si>
    <t>Individualized Program Transition Plan Type</t>
  </si>
  <si>
    <t>The post-school transition plan for the student recorded on their Individualized Education Program.</t>
  </si>
  <si>
    <t>001235</t>
  </si>
  <si>
    <t>IndividualizedProgramTransitionPlanType</t>
  </si>
  <si>
    <t>Individualized Program Type</t>
  </si>
  <si>
    <t>A designation of the type of program developed for a student.</t>
  </si>
  <si>
    <t>000320</t>
  </si>
  <si>
    <t>IndividualizedProgramType</t>
  </si>
  <si>
    <t>Initial Enrollment Term</t>
  </si>
  <si>
    <t>000165</t>
  </si>
  <si>
    <t>InitialEnrollmentTerm</t>
  </si>
  <si>
    <t>Initial License Date</t>
  </si>
  <si>
    <t>The year, month and day on which a program or center received its initial license.</t>
  </si>
  <si>
    <t>000348</t>
  </si>
  <si>
    <t>InitialLicenseDate</t>
  </si>
  <si>
    <t>Innovative Dollars Spent</t>
  </si>
  <si>
    <t>The total Title V, Part A funds expended by LEAs.</t>
  </si>
  <si>
    <t>000461</t>
  </si>
  <si>
    <t>InnovativeDollarsSpent</t>
  </si>
  <si>
    <t>Innovative Dollars Spent on Strategic Priorities</t>
  </si>
  <si>
    <t>The total amount of Title V, Part A funds expended by LEAs for the four strategic priorities.</t>
  </si>
  <si>
    <t>000462</t>
  </si>
  <si>
    <t>InnovativeDollarsSpentOnStrategicPriorities</t>
  </si>
  <si>
    <t>Innovative Programs Funds Received</t>
  </si>
  <si>
    <t>The total Title V, Part A funds received by LEAs.</t>
  </si>
  <si>
    <t>000464</t>
  </si>
  <si>
    <t>InnovativeProgramsFundsReceived</t>
  </si>
  <si>
    <t>Installation Date</t>
  </si>
  <si>
    <t>The year in which the system, component, equipment, or fixture was originally installed.</t>
  </si>
  <si>
    <t>001848</t>
  </si>
  <si>
    <t>InstallationDate</t>
  </si>
  <si>
    <t>Institution IPEDS UnitID</t>
  </si>
  <si>
    <t>Unique identification number assigned to postsecondary institutions surveyed through the Integrated Postsecondary Education Data System (IPEDS). Also referred to as UNITID or IPEDS ID.</t>
  </si>
  <si>
    <t>000166</t>
  </si>
  <si>
    <t>IPEDS Identifier</t>
  </si>
  <si>
    <t>IPEDSIdentifier</t>
  </si>
  <si>
    <t>Institution Telephone Number Type</t>
  </si>
  <si>
    <t>The type of communication number listed for an organization.</t>
  </si>
  <si>
    <t>000167</t>
  </si>
  <si>
    <t>InstitutionTelephoneNumberType</t>
  </si>
  <si>
    <t>Institutionally Controlled Housing Status</t>
  </si>
  <si>
    <t>An indication of whether an institution has any residence hall or housing facility located on- or off-campus that is owned or controlled by an institution and used by the institution in direct support of or in a manner related to, the institution's educational purposes.</t>
  </si>
  <si>
    <t>000748</t>
  </si>
  <si>
    <t>InstitutionallyControlledHousingStatus</t>
  </si>
  <si>
    <t>Instruction Credit Type</t>
  </si>
  <si>
    <t>Element definition and option set defined in IPEDS; new collection element for the 2012 survey year</t>
  </si>
  <si>
    <t>000741</t>
  </si>
  <si>
    <t>InstructionCreditType</t>
  </si>
  <si>
    <t>Instruction Language</t>
  </si>
  <si>
    <t>The language of instruction, other than English, used in the program or course.</t>
  </si>
  <si>
    <t>000448</t>
  </si>
  <si>
    <t>InstructionLanguage</t>
  </si>
  <si>
    <t>Instructional Activity Hours Attempted</t>
  </si>
  <si>
    <t>The number of credit hours and/or contact hours attempted by a person during a term.</t>
  </si>
  <si>
    <t>000168</t>
  </si>
  <si>
    <t>InstructionalActivityHoursAttempted</t>
  </si>
  <si>
    <t>Instructional Activity Hours Completed</t>
  </si>
  <si>
    <t>The number of credit hours and/or contact hours successfully completed by a person during a term.</t>
  </si>
  <si>
    <t>Adult Education -&gt; AE Student -&gt; Program Participation
Postsecondary -&gt; PS Student -&gt; Term Enrollment</t>
  </si>
  <si>
    <t>000362</t>
  </si>
  <si>
    <t>InstructionalActivityHoursCompleted</t>
  </si>
  <si>
    <t>Postsecondary Education -&gt; Complete College America</t>
  </si>
  <si>
    <t>Instructional Activity Hours Type</t>
  </si>
  <si>
    <t>The unit of measure of student instructional activity.</t>
  </si>
  <si>
    <t>000169</t>
  </si>
  <si>
    <t>InstructionalActivityHoursType</t>
  </si>
  <si>
    <t>Instructional Minutes</t>
  </si>
  <si>
    <t>The total number of instruction minutes in a given session, as determined by time in class, time on task (e.g., engaged in a class), or as estimated by a qualified course designer.</t>
  </si>
  <si>
    <t>000499</t>
  </si>
  <si>
    <t>InstructionalMinutes</t>
  </si>
  <si>
    <t>Instructional Recommendation</t>
  </si>
  <si>
    <t>This provides the next steps for instruction for the student based upon the assessment results and student characteristics.</t>
  </si>
  <si>
    <t>000370</t>
  </si>
  <si>
    <t>InstructionalRecommendation</t>
  </si>
  <si>
    <t>Instructional Staff Contract Length</t>
  </si>
  <si>
    <t>The contracted teaching period for faculty.</t>
  </si>
  <si>
    <t>Option set new for IPEDS in 2012 survey year; IPEDS does not include the Less than 9-month code</t>
  </si>
  <si>
    <t>000735</t>
  </si>
  <si>
    <t>InstructionalStaffContractLength</t>
  </si>
  <si>
    <t>Instructional Staff Faculty Tenure Status</t>
  </si>
  <si>
    <t>An indicator of the type of faculty status a person has if, by institutional definition, a staff member has faculty status.</t>
  </si>
  <si>
    <t>000739</t>
  </si>
  <si>
    <t>InstructionalStaffFacultyTenureStatus</t>
  </si>
  <si>
    <t>Instructional Staff Status</t>
  </si>
  <si>
    <t>000732</t>
  </si>
  <si>
    <t>InstructionalStaffStatus</t>
  </si>
  <si>
    <t>Insurance Coverage</t>
  </si>
  <si>
    <t>The nature of insurance covering an person's hospitalization and other health or medical care.</t>
  </si>
  <si>
    <t>000335</t>
  </si>
  <si>
    <t>InsuranceCoverage</t>
  </si>
  <si>
    <t>Insurance Deductible</t>
  </si>
  <si>
    <t>The dollar amount a school district must pay before its insurance will compensate it for loss.</t>
  </si>
  <si>
    <t>001894</t>
  </si>
  <si>
    <t>InsuranceDeductible</t>
  </si>
  <si>
    <t>Integrated Technology Status</t>
  </si>
  <si>
    <t>An indication of the extent to which the district has effectively and fully integrated technology, as defined by the state.</t>
  </si>
  <si>
    <t>000170</t>
  </si>
  <si>
    <t>IntegratedTechnologyStatus</t>
  </si>
  <si>
    <t>Intended Administration Start Date</t>
  </si>
  <si>
    <t>The beginning date of the time period in which the form is intended to be administered.</t>
  </si>
  <si>
    <t>001186</t>
  </si>
  <si>
    <t>IntendedAdministrationStartDate</t>
  </si>
  <si>
    <t>Internet Access</t>
  </si>
  <si>
    <t>The type of internet access available.</t>
  </si>
  <si>
    <t>000587</t>
  </si>
  <si>
    <t>InternetAccess</t>
  </si>
  <si>
    <t>Interscholastic Sport Participants - Female Only</t>
  </si>
  <si>
    <t>000658</t>
  </si>
  <si>
    <t>InterscholasticSportParticipantsFemaleOnly</t>
  </si>
  <si>
    <t>Interscholastic Sport Participants - Male Only</t>
  </si>
  <si>
    <t>000657</t>
  </si>
  <si>
    <t>InterscholasticSportParticipantsMaleOnly</t>
  </si>
  <si>
    <t>Interscholastic Sports - Female Only</t>
  </si>
  <si>
    <t>000654</t>
  </si>
  <si>
    <t>InterscholasticSportsFemaleOnly</t>
  </si>
  <si>
    <t>Interscholastic Sports - Male Only</t>
  </si>
  <si>
    <t>000653</t>
  </si>
  <si>
    <t>InterscholasticSportsMaleOnly</t>
  </si>
  <si>
    <t>Interscholastic Teams - Female Only</t>
  </si>
  <si>
    <t>000656</t>
  </si>
  <si>
    <t>InterscholasticTeamsFemaleOnly</t>
  </si>
  <si>
    <t>Interscholastic Teams - Male Only</t>
  </si>
  <si>
    <t>000655</t>
  </si>
  <si>
    <t>InterscholasticTeamsMaleOnly</t>
  </si>
  <si>
    <t>IPEDS Collection Year Designator</t>
  </si>
  <si>
    <t>001613</t>
  </si>
  <si>
    <t>IPEDSCollectionYearDesignator</t>
  </si>
  <si>
    <t>IPEDS Finance FASB Financial Position Category</t>
  </si>
  <si>
    <t>IPEDS financial position classification used by degree-granting private, not-for-profit institutions and public institutions using FASB Reporting Standards for reporting the assets, liabilities, and net assets in a manner consistent with the Statement of Financial Position in the General Purpose Financial Statements (GPFS).</t>
  </si>
  <si>
    <t>Postsecondary -&gt; PS Institution -&gt; Finance</t>
  </si>
  <si>
    <t>001671</t>
  </si>
  <si>
    <t>IPEDSFinanceFASBFinancialPositionCategory</t>
  </si>
  <si>
    <t>IPEDS Finance FASB Functional Expense Category</t>
  </si>
  <si>
    <t>(NACUBO FARM, section 700)</t>
  </si>
  <si>
    <t>001659</t>
  </si>
  <si>
    <t>IPEDSFinanceFASBFunctionalExpenseCategory</t>
  </si>
  <si>
    <t>IPEDS Finance FASB Pell Grant Transactions</t>
  </si>
  <si>
    <t>Method of reporting Pell Grants in IPEDS by degree-granting private, not-for-profit institutions and public institutions using FASB Reporting Standards.</t>
  </si>
  <si>
    <t>001680</t>
  </si>
  <si>
    <t>IPEDSFinanceFASBPellGrantTransactions</t>
  </si>
  <si>
    <t>IPEDS Finance FASB Revenue Category</t>
  </si>
  <si>
    <t>IPEDS revenue classification used by degree-granting private, not-for-profit institutions and public institutions using FASB Reporting Standards for reporting revenues and investment return by source in a manner consistent with the definitions from the National Association of College and University Business Officers (NACUBO) Financial Accounting and Reporting Manual for Higher Education (FARM).</t>
  </si>
  <si>
    <t>001673</t>
  </si>
  <si>
    <t>IPEDSFinanceFASBRevenueCategory</t>
  </si>
  <si>
    <t>IPEDS Finance FASB Revenue Restriction Category</t>
  </si>
  <si>
    <t>IPEDS revenue restriction classification used by degree-granting private, not-for-profit institutions and public institutions using FASB Reporting Standards for reporting revenues by restriction.</t>
  </si>
  <si>
    <t>001674</t>
  </si>
  <si>
    <t>IPEDSFinanceFASBRevenueRestrictionCategory</t>
  </si>
  <si>
    <t>IPEDS Finance FASB Scholarships and Fellowships Revenue Category</t>
  </si>
  <si>
    <t>IPEDS revenue category used by degree-granting private, not-for-profit institutions and public institutions using FASB Reporting Standards for the reporting of resources received for supporting student grant aid.</t>
  </si>
  <si>
    <t>001678</t>
  </si>
  <si>
    <t>IPEDSFinanceFASBScholarshipsandFellowshipsRevenueCategory</t>
  </si>
  <si>
    <t>IPEDS Finance GASB Financial Position Category</t>
  </si>
  <si>
    <t>IPEDS financial position classification used by degree-granting public institutions using GASB Reporting Standards for reporting the assets, liabilities, and net position in a manner consistent with the Statement of Net Position in the General Purpose Financial Statements (GPFS).</t>
  </si>
  <si>
    <t>001670</t>
  </si>
  <si>
    <t>IPEDSFinanceGASBFinancialPositionCategory</t>
  </si>
  <si>
    <t>IPEDS Finance GASB Functional Expense Category</t>
  </si>
  <si>
    <t>A functional expense classification is a method of grouping expenses according to the purpose for which the costs are incurred. The classifications tell why an expense was incurred rather than what was purchased.</t>
  </si>
  <si>
    <t>001675</t>
  </si>
  <si>
    <t>IPEDSFinanceGASBFunctionalExpenseCategory</t>
  </si>
  <si>
    <t>IPEDS Finance GASB Revenue Category</t>
  </si>
  <si>
    <t>IPEDS revenue classification used by degree-granting public institutions using GASB Reporting Standards for reporting revenues and other additions by source including all operating revenues, nonoperating revenues, and other additions for the reporting period. This includes unrestricted and restricted revenues and additions, whether expendable or nonexpendable.</t>
  </si>
  <si>
    <t>001672</t>
  </si>
  <si>
    <t>IPEDSFinanceGASBRevenueCategory</t>
  </si>
  <si>
    <t>IPEDS Finance GASB Scholarships and Fellowships Revenue Category</t>
  </si>
  <si>
    <t>IPEDS revenue category used by degree-granting public institutions using GASB Reporting Standards for the reporting of resources received for supporting student scholarships and fellowships.</t>
  </si>
  <si>
    <t>001677</t>
  </si>
  <si>
    <t>IPEDSFinanceGASBScholarshipsandFellowshipsRevenueCategory</t>
  </si>
  <si>
    <t>IPEDS Finance Intercollegiate Athletics Expenses</t>
  </si>
  <si>
    <t>Identifies the functional expense category where the institution allocates its intercollegiate athletics expenses.</t>
  </si>
  <si>
    <t>001679</t>
  </si>
  <si>
    <t>IPEDSFinanceIntercollegiateAthleticsExpenses</t>
  </si>
  <si>
    <t>IPEDS Finance Natural Expense Category</t>
  </si>
  <si>
    <t>A natural expense classification is a method of grouping expenses according to the type of costs that are incurred. The classifications tell what was purchased rather than why an expense was incurred.</t>
  </si>
  <si>
    <t>(NACUBO FARM section 700)</t>
  </si>
  <si>
    <t>001676</t>
  </si>
  <si>
    <t>IPEDSFinanceNaturalExpenseCategory</t>
  </si>
  <si>
    <t>IPEDS Occupational Category</t>
  </si>
  <si>
    <t>The Integrated Postsecondary Education Data System (IPEDS) occupational categories used to report employees.</t>
  </si>
  <si>
    <t>IPEDS reporting categories beginning with the 2012 IPEDS survey year.</t>
  </si>
  <si>
    <t>000731</t>
  </si>
  <si>
    <t>IPEDSOccupationalCategory</t>
  </si>
  <si>
    <t>ISO 639-2 Language Code</t>
  </si>
  <si>
    <t>000317</t>
  </si>
  <si>
    <t>Early Learning -&gt; Program Compliance
Early Learning -&gt; Program Entry
Early Learning -&gt; Staff Quality
Early Learning -&gt; Workforce Development
K-12 -&gt; EDFacts</t>
  </si>
  <si>
    <t>ISO 639-3 Language Code</t>
  </si>
  <si>
    <t>001637</t>
  </si>
  <si>
    <t>ISO 639-5 Language Family</t>
  </si>
  <si>
    <t>001638</t>
  </si>
  <si>
    <t>Itinerant Provider</t>
  </si>
  <si>
    <t>An indication of whether a person provides services at more than one site.</t>
  </si>
  <si>
    <t>001384</t>
  </si>
  <si>
    <t>ItinerantProvider</t>
  </si>
  <si>
    <t>Itinerant Teacher</t>
  </si>
  <si>
    <t>An indication of whether a teacher provides instruction in more than one instructional site.</t>
  </si>
  <si>
    <t>K12 -&gt; K12 Staff -&gt; Assignment</t>
  </si>
  <si>
    <t>000528</t>
  </si>
  <si>
    <t>ItinerantTeacher</t>
  </si>
  <si>
    <t>K12 End of Course Requirement</t>
  </si>
  <si>
    <t>An indication that this course has an end of course examination required by the SEA or LEA.</t>
  </si>
  <si>
    <t>K12 -&gt; K12 Course</t>
  </si>
  <si>
    <t>001386</t>
  </si>
  <si>
    <t>K12EndOfCourseRequirement</t>
  </si>
  <si>
    <t>K12 Staff Classification</t>
  </si>
  <si>
    <t>The titles of employment, official status, or rank of education staff.</t>
  </si>
  <si>
    <t>000087</t>
  </si>
  <si>
    <t>K12StaffClassification</t>
  </si>
  <si>
    <t>Early Learning -&gt; Staff Quality
K-12 -&gt; LEA-to-LEA Student Record Exchange
K-12 -&gt; LEA-to-SEA Student Record Exchange</t>
  </si>
  <si>
    <t>Kindergarten Daily Length</t>
  </si>
  <si>
    <t>The portion of a day that a kindergarten program is provided to the students it serves.</t>
  </si>
  <si>
    <t>K12 -&gt; LEA -&gt; Programs and Services</t>
  </si>
  <si>
    <t>000491</t>
  </si>
  <si>
    <t>KindergartenDailyLength</t>
  </si>
  <si>
    <t>The type of Kindergarten program the student is enrolled in.</t>
  </si>
  <si>
    <t>000714</t>
  </si>
  <si>
    <t>KindergartenProgramParticipationType</t>
  </si>
  <si>
    <t>Language Translation Policy</t>
  </si>
  <si>
    <t>001226</t>
  </si>
  <si>
    <t>LanguageTranslationPolicy</t>
  </si>
  <si>
    <t>Language Type</t>
  </si>
  <si>
    <t>An indication of the function and context in which a person uses a language to communicate.</t>
  </si>
  <si>
    <t>LanguageType</t>
  </si>
  <si>
    <t>Last Instruction Date</t>
  </si>
  <si>
    <t>The year, month and day of the last day of student instruction (including days or times that students are present for purposes of testing and/or evaluation, but not including whole or part-days whose sole purposes is for distribution of report cards).</t>
  </si>
  <si>
    <t>000498</t>
  </si>
  <si>
    <t>LastInstructionDate</t>
  </si>
  <si>
    <t>Last or Surname</t>
  </si>
  <si>
    <t>The full legal last name borne in common by members of a family.</t>
  </si>
  <si>
    <t>000172</t>
  </si>
  <si>
    <t>Last Name</t>
  </si>
  <si>
    <t>LastOrSurname</t>
  </si>
  <si>
    <t>Last Qualifying Move Date</t>
  </si>
  <si>
    <t>The year, month and day of the last qualifying move of a migrant student.</t>
  </si>
  <si>
    <t>000171</t>
  </si>
  <si>
    <t>LastQualifyingMoveDate</t>
  </si>
  <si>
    <t>Latitude</t>
  </si>
  <si>
    <t>The north or south angular distance from the equator that, when combined with longitude, reflects an estimation of where the address is physically situated.</t>
  </si>
  <si>
    <t>000606</t>
  </si>
  <si>
    <t>LEA Full Academic Year</t>
  </si>
  <si>
    <t>An indication of whether a student was in membership in the LEA education unit for a full academic year, according to the state’s definition of Full Academic Year.</t>
  </si>
  <si>
    <t>001762</t>
  </si>
  <si>
    <t>LEAFullAcademicYear</t>
  </si>
  <si>
    <t>Learner Action Actor Identifier</t>
  </si>
  <si>
    <t>Assessments -&gt; Learner Action
K12 -&gt; K12 Student -&gt; Learner Action</t>
  </si>
  <si>
    <t>001557</t>
  </si>
  <si>
    <t>LearnerActionActorIdentifier</t>
  </si>
  <si>
    <t>Learner Action Date Time</t>
  </si>
  <si>
    <t>The date and time at which the action was taken.</t>
  </si>
  <si>
    <t>000937</t>
  </si>
  <si>
    <t>LearnerActionDateTime</t>
  </si>
  <si>
    <t>Learner Action Object Description</t>
  </si>
  <si>
    <t>A description of the object upon which the person has performed the Learner Action.</t>
  </si>
  <si>
    <t>001558</t>
  </si>
  <si>
    <t>LearnerActionObjectDescription</t>
  </si>
  <si>
    <t>Learner Action Object Identifier</t>
  </si>
  <si>
    <t>A globally unique identifier for the object upon which the learning has performed the Learner Action which may be a URL with information about a learning resource or to launch the resource.</t>
  </si>
  <si>
    <t>001559</t>
  </si>
  <si>
    <t>LearnerActionObjectIdentifier</t>
  </si>
  <si>
    <t>Learner Action Object Type</t>
  </si>
  <si>
    <t>The type of object upon which a person has performed the Learner Action.</t>
  </si>
  <si>
    <t>001560</t>
  </si>
  <si>
    <t>LearnerActionObjectType</t>
  </si>
  <si>
    <t>Learner Action Type</t>
  </si>
  <si>
    <t>The type of action taken by the learner.</t>
  </si>
  <si>
    <t>000934</t>
  </si>
  <si>
    <t>LearnerActionType</t>
  </si>
  <si>
    <t>Learner Action Value</t>
  </si>
  <si>
    <t>The value representing input by the learner using an online system, such as a value entered in response to an assessment question, or the URL of a learning resource link clicked.</t>
  </si>
  <si>
    <t>000935</t>
  </si>
  <si>
    <t>LearnerActionValue</t>
  </si>
  <si>
    <t>Learner Activity Add to Grade Book Flag</t>
  </si>
  <si>
    <t>Identifies the assignment as one that is graded.</t>
  </si>
  <si>
    <t>Assessments -&gt; Learner Activity</t>
  </si>
  <si>
    <t>000949</t>
  </si>
  <si>
    <t>LearnerActivityAddToGradeBookFlag</t>
  </si>
  <si>
    <t>Learner Activity Creation Date</t>
  </si>
  <si>
    <t>The creation date of the assignment.</t>
  </si>
  <si>
    <t>000943</t>
  </si>
  <si>
    <t>LearnerActivityCreationDate</t>
  </si>
  <si>
    <t>Learner Activity Description</t>
  </si>
  <si>
    <t>000940</t>
  </si>
  <si>
    <t>LearnerActivityDescription</t>
  </si>
  <si>
    <t>Learner Activity Due Date</t>
  </si>
  <si>
    <t>The date assignment is due.</t>
  </si>
  <si>
    <t>000946</t>
  </si>
  <si>
    <t>LearnerActivityDueDate</t>
  </si>
  <si>
    <t>Learner Activity Due Time</t>
  </si>
  <si>
    <t>The time the assignment is due.</t>
  </si>
  <si>
    <t>000947</t>
  </si>
  <si>
    <t>LearnerActivityDueTime</t>
  </si>
  <si>
    <t>Learner Activity Language</t>
  </si>
  <si>
    <t>The default language used for the assignment.</t>
  </si>
  <si>
    <t>000938</t>
  </si>
  <si>
    <t>LearnerActivityLanguage</t>
  </si>
  <si>
    <t>Learner Activity Maximum Attempts Allowed</t>
  </si>
  <si>
    <t>The number attempts a student may make on this assignment. Assumed to be unlimited if zero or omitted.</t>
  </si>
  <si>
    <t>000948</t>
  </si>
  <si>
    <t>LearnerActivityMaximumAttemptsAllowed</t>
  </si>
  <si>
    <t>Learner Activity Maximum Time Allowed</t>
  </si>
  <si>
    <t>The time required to complete the assignment.</t>
  </si>
  <si>
    <t>Time allowed is assumed to be unlimited if zero or omitted.</t>
  </si>
  <si>
    <t>000944</t>
  </si>
  <si>
    <t>LearnerActivityMaximumTimeAllowed</t>
  </si>
  <si>
    <t>Learner Activity Maximum Time Allowed Unit</t>
  </si>
  <si>
    <t>000945</t>
  </si>
  <si>
    <t>LearnerActivityMaximumTimeAllowedUnit</t>
  </si>
  <si>
    <t>Learner Activity Possible Points</t>
  </si>
  <si>
    <t>The number of possible points for an assignment.</t>
  </si>
  <si>
    <t>000952</t>
  </si>
  <si>
    <t>LearnerActivityPossiblePoints</t>
  </si>
  <si>
    <t>Learner Activity Prerequisite</t>
  </si>
  <si>
    <t>The description of the skills or competencies the student must have to engage in assignment.</t>
  </si>
  <si>
    <t>000941</t>
  </si>
  <si>
    <t>LearnerActivityPrerequisite</t>
  </si>
  <si>
    <t>Learner Activity Release Date</t>
  </si>
  <si>
    <t>The date the student was informed about an assignment or that an automated system displays the assignment.</t>
  </si>
  <si>
    <t>000950</t>
  </si>
  <si>
    <t>LearnerActivityReleaseDate</t>
  </si>
  <si>
    <t>Learner Activity Rubric URL</t>
  </si>
  <si>
    <t>The Uniform Resource Locator pointing to a rubric that may be used to evaluate learner performance on the assignment.</t>
  </si>
  <si>
    <t>000953</t>
  </si>
  <si>
    <t>LearnerActivityRubricURL</t>
  </si>
  <si>
    <t>Learner Activity Title</t>
  </si>
  <si>
    <t>000939</t>
  </si>
  <si>
    <t>LearnerActivityTitle</t>
  </si>
  <si>
    <t>Learner Activity Type</t>
  </si>
  <si>
    <t>The type of work assigned to the learner.</t>
  </si>
  <si>
    <t>000942</t>
  </si>
  <si>
    <t>LearnerActivityType</t>
  </si>
  <si>
    <t>Learner Activity Weight</t>
  </si>
  <si>
    <t>The percentage weight of the assignment during the particular course or term.</t>
  </si>
  <si>
    <t>000951</t>
  </si>
  <si>
    <t>LearnerActivityWeight</t>
  </si>
  <si>
    <t>Learning Resource Access API Type</t>
  </si>
  <si>
    <t>Indicates that the learning resource is compatible with the referenced accessibility application programming interface (API).</t>
  </si>
  <si>
    <t>Learning Resources -&gt; Learning Resource</t>
  </si>
  <si>
    <t>001389</t>
  </si>
  <si>
    <t>LearningResourceAccessAPIType</t>
  </si>
  <si>
    <t>Learning Resource Access Hazard Type</t>
  </si>
  <si>
    <t>A characteristic of the described learning resource that is physiologically dangerous to some users.</t>
  </si>
  <si>
    <t>001390</t>
  </si>
  <si>
    <t>LearningResourceAccessHazardType</t>
  </si>
  <si>
    <t>Learning Resource Access Mode Type</t>
  </si>
  <si>
    <t>An access mode through which the intellectual content of a described learning resource or adaptation is communicated; if adaptations for the resource are known, the access modes of those adaptations are not included.</t>
  </si>
  <si>
    <t>Options derive primarily from IMS Global's Access for All (AfA) specification, specifically: AccessModeRequired.Type/existingAccessMode.</t>
  </si>
  <si>
    <t>001391</t>
  </si>
  <si>
    <t>LearningResourceAccessModeType</t>
  </si>
  <si>
    <t>Learning Resource Access Rights URL</t>
  </si>
  <si>
    <t>A Uniform Resource Locator (URL) that identifies the conditions that govern the user’s ability to access a learning resource.</t>
  </si>
  <si>
    <t>001561</t>
  </si>
  <si>
    <t>LearningResourceAccessRightsURL</t>
  </si>
  <si>
    <t>Learning Resource Adaptation URL</t>
  </si>
  <si>
    <t>The Uniform Resource Locator of a learning resource that is an adaptation for this resource.</t>
  </si>
  <si>
    <t>001392</t>
  </si>
  <si>
    <t>LearningResourceAdaptationURL</t>
  </si>
  <si>
    <t>Learning Resource Adapted From URL</t>
  </si>
  <si>
    <t>URL identifier of a learning resource for which this resource is an adaptation.</t>
  </si>
  <si>
    <t>001398</t>
  </si>
  <si>
    <t>LearningResourceAdaptedFromURL</t>
  </si>
  <si>
    <t>Learning Resource Assistive Technologies Compatible Indicator</t>
  </si>
  <si>
    <t>Indicates that the learning resource is compatible with assistive technologies.</t>
  </si>
  <si>
    <t>For example, that the resource complies to Web Content Accessibility Guidelines (WCAG) 2.0 checkpoints: 1.1.1, 1.3.1, 1.3.2, 2.4.4, 3.1.1, 3.1.2, 3.3.2, 4.1.1, 4.1.2.</t>
  </si>
  <si>
    <t>001393</t>
  </si>
  <si>
    <t>LearningResourceAssistiveTechnologiesCompatibleIndicator</t>
  </si>
  <si>
    <t>Learning Resource Author Email</t>
  </si>
  <si>
    <t>An email address for the author of the learning resource.</t>
  </si>
  <si>
    <t>001566</t>
  </si>
  <si>
    <t>LearningResourceAuthorEmail</t>
  </si>
  <si>
    <t>Learning Resource Author Type</t>
  </si>
  <si>
    <t>The type of entity, organization or person, that authored the learning resource.</t>
  </si>
  <si>
    <t>001562</t>
  </si>
  <si>
    <t>LearningResourceAuthorType</t>
  </si>
  <si>
    <t>Learning Resource Author URL</t>
  </si>
  <si>
    <t>A Uniform Resource Locator (URL) attributed to the author of a learning resource.</t>
  </si>
  <si>
    <t>001563</t>
  </si>
  <si>
    <t>LearningResourceAuthorURL</t>
  </si>
  <si>
    <t>Learning Resource Based on URL</t>
  </si>
  <si>
    <t>A resource that was used in the creation of this resource. This term can be repeated for multiple sources.</t>
  </si>
  <si>
    <t>Ex: “http://example.com/great-multiplication-intro.html“</t>
  </si>
  <si>
    <t>000922</t>
  </si>
  <si>
    <t>LearningResourceBasedOnURL</t>
  </si>
  <si>
    <t>Learning Resource Book Format Type</t>
  </si>
  <si>
    <t>001394</t>
  </si>
  <si>
    <t>LearningResourceBookFormatType</t>
  </si>
  <si>
    <t>Learning Resource Competency Alignment Type</t>
  </si>
  <si>
    <t>The alignment relationship between the resource and a competency definition object.</t>
  </si>
  <si>
    <t>A community of SEAs have agreed to use a limited set of Learning Resource Competency Alignment Type options when tagging learning resources in shared resource repositories. Those options are assesses, teaches, and requires.</t>
  </si>
  <si>
    <t>000879</t>
  </si>
  <si>
    <t>LearningResourceCompetencyAlignmentType</t>
  </si>
  <si>
    <t>Learning Resource Concept Keyword</t>
  </si>
  <si>
    <t>The significant topicality of the Learning Resource using free-text keywords and phrases.</t>
  </si>
  <si>
    <t>001146</t>
  </si>
  <si>
    <t>LearningResourceConceptKeyword</t>
  </si>
  <si>
    <t>Learning Resource Control Flexibility Type</t>
  </si>
  <si>
    <t>Identifies a single input method that is sufficient to control the described learning resource.</t>
  </si>
  <si>
    <t>001395</t>
  </si>
  <si>
    <t>LearningResourceControlFlexibilityType</t>
  </si>
  <si>
    <t>Learning Resource Copyright Holder Name</t>
  </si>
  <si>
    <t>The name(s) of the person(s) or organization(s) holding the copyright for the Learning Resource.</t>
  </si>
  <si>
    <t>001144</t>
  </si>
  <si>
    <t>LearningResourceCopyrightHolderName</t>
  </si>
  <si>
    <t>Learning Resource Copyright Year</t>
  </si>
  <si>
    <t>The copyright year for the Learning Resource.</t>
  </si>
  <si>
    <t>001145</t>
  </si>
  <si>
    <t>LearningResourceCopyrightYear</t>
  </si>
  <si>
    <t>Learning Resource Creator</t>
  </si>
  <si>
    <t>The name of a person or organization credited with the creation of the resource.</t>
  </si>
  <si>
    <t>000917</t>
  </si>
  <si>
    <t>LearningResourceCreator</t>
  </si>
  <si>
    <t>Learning Resource Date Created</t>
  </si>
  <si>
    <t>The date on which the resource was created.</t>
  </si>
  <si>
    <t>000916</t>
  </si>
  <si>
    <t>LearningResourceDateCreated</t>
  </si>
  <si>
    <t>Learning Resource Date Modified</t>
  </si>
  <si>
    <t>The most recent date that the learning resource was updated.</t>
  </si>
  <si>
    <t>001564</t>
  </si>
  <si>
    <t>LearningResourceDateModified</t>
  </si>
  <si>
    <t>Learning Resource Description</t>
  </si>
  <si>
    <t>001143</t>
  </si>
  <si>
    <t>LearningResourceDescription</t>
  </si>
  <si>
    <t>Learning Resource Digital Media Sub Type</t>
  </si>
  <si>
    <t>The media or file subtype of the digital resource being based on the Media Types and Subtypes, formerly known as MIME types, defined by the Internet Assigned Numbers Authority (IANA).</t>
  </si>
  <si>
    <t>(from the list of Media Subtypes registered with the IANA accesible from http://www.iana.org/assignments/media-types, e.g. for "audio/mpg4" the Learning Resource Digital Media Sub Type is "mpg4")</t>
  </si>
  <si>
    <t>001396</t>
  </si>
  <si>
    <t>LearningResourceDigitalMediaSubType</t>
  </si>
  <si>
    <t>Learning Resource Digital Media Type</t>
  </si>
  <si>
    <t>The media or file type of the digital resource being based on the media types defined by the Internet Assigned Numbers Authority (AINA) at http://www.iana.org/assignments/media-types.</t>
  </si>
  <si>
    <t>001397</t>
  </si>
  <si>
    <t>LearningResourceDigitalMediaType</t>
  </si>
  <si>
    <t>Learning Resource Education Level </t>
  </si>
  <si>
    <t>The education level, grade level or primary instructional level at which a Learning Resource is intended.</t>
  </si>
  <si>
    <t>001246</t>
  </si>
  <si>
    <t>LearningResourceEducationLevel</t>
  </si>
  <si>
    <t>Learning Resource Educational Use</t>
  </si>
  <si>
    <t>The purpose of the work in the context of education.</t>
  </si>
  <si>
    <t>001002</t>
  </si>
  <si>
    <t>LearningResourceEducationalUse</t>
  </si>
  <si>
    <t>Learning Resource Intended End User Role</t>
  </si>
  <si>
    <t>The individual or group for which the resource was produced.</t>
  </si>
  <si>
    <t>000923</t>
  </si>
  <si>
    <t>LearningResourceIntendedEndUserRole</t>
  </si>
  <si>
    <t>Learning Resource Interaction Mode</t>
  </si>
  <si>
    <t>The primary type of interaction, synchronous or asynchronous, defined for the learning resource.</t>
  </si>
  <si>
    <t>001565</t>
  </si>
  <si>
    <t>LearningResourceInteractionMode</t>
  </si>
  <si>
    <t>Learning Resource Interactivity Type</t>
  </si>
  <si>
    <t>The predominate mode of learning supported by the learning resource. Acceptable values are active, expositive, or mixed.</t>
  </si>
  <si>
    <t>000927</t>
  </si>
  <si>
    <t>LearningResourceInteractivityType</t>
  </si>
  <si>
    <t>Learning Resource Language</t>
  </si>
  <si>
    <t>The primary language of the resource.</t>
  </si>
  <si>
    <t>000919</t>
  </si>
  <si>
    <t>LearningResourceLanguage</t>
  </si>
  <si>
    <t>Learning Resource License URL</t>
  </si>
  <si>
    <t>The URL where the owner specifies permissions for using the resource.</t>
  </si>
  <si>
    <t>Ex: “http://creativecommons.org/licenses/by/3.0/“</t>
  </si>
  <si>
    <t>000921</t>
  </si>
  <si>
    <t>LearningResourceLicenseURL</t>
  </si>
  <si>
    <t>Learning Resource Media Feature Type</t>
  </si>
  <si>
    <t>Accessible content features included with the learning resource.</t>
  </si>
  <si>
    <t>Options derive primarily from IMS Global's Access for All (AfA) specification, specifically: AdaptationTypeRequired.Type/adaptationRequest.</t>
  </si>
  <si>
    <t>001399</t>
  </si>
  <si>
    <t>LearningResourceMediaFeatureType</t>
  </si>
  <si>
    <t>Learning Resource Peer Rating Sample Size</t>
  </si>
  <si>
    <t>The sample size of a peer rating value. Only used when the Peer Rating Value is collected in aggregate as an average of multiple atomic/individual ratings.</t>
  </si>
  <si>
    <t>Learning Resources -&gt; Learning Resource -&gt; Peer Rating</t>
  </si>
  <si>
    <t>001400</t>
  </si>
  <si>
    <t>LearningResourcePeerRatingSampleSize</t>
  </si>
  <si>
    <t>Learning Resource Peer Rating Value</t>
  </si>
  <si>
    <t>An individual score, rating or level assigned to a Learning Resource by a person within the boundaries set by a Peer Rating System that may be aggregated to derive an overall score for the learning resource.</t>
  </si>
  <si>
    <t>001148</t>
  </si>
  <si>
    <t>LearningResourcePeerRatingValue</t>
  </si>
  <si>
    <t>Learning Resource Physical Media Type</t>
  </si>
  <si>
    <t>A type of physical media on which the Learning Resource is delivered or available.</t>
  </si>
  <si>
    <t>001401</t>
  </si>
  <si>
    <t>LearningResourcePhysicalMediaType</t>
  </si>
  <si>
    <t>Learning Resource Published Date</t>
  </si>
  <si>
    <t>The published date of an educational resource, such as instructional media, an assessment form, or section of an assessment form.</t>
  </si>
  <si>
    <t>001184</t>
  </si>
  <si>
    <t>LearningResourcePublishedDate</t>
  </si>
  <si>
    <t>Learning Resource Publisher Email</t>
  </si>
  <si>
    <t>An email address for the publisher of the learning resource.</t>
  </si>
  <si>
    <t>001567</t>
  </si>
  <si>
    <t>LearningResourcePublisherEmail</t>
  </si>
  <si>
    <t>Learning Resource Publisher Name</t>
  </si>
  <si>
    <t>The name of the organization credited with publishing the resource.</t>
  </si>
  <si>
    <t>000918</t>
  </si>
  <si>
    <t>LearningResourcePublisherName</t>
  </si>
  <si>
    <t>Learning Resource Publisher URL</t>
  </si>
  <si>
    <t>A Uniform Resource Locator (URL) attributed to the publisher of a learning resource.</t>
  </si>
  <si>
    <t>001568</t>
  </si>
  <si>
    <t>LearningResourcePublisherURL</t>
  </si>
  <si>
    <t>Learning Resource Subject Code</t>
  </si>
  <si>
    <t>The code used to identify the organization of subject matter and related learning experiences addressed by the learning resource.</t>
  </si>
  <si>
    <t>000914</t>
  </si>
  <si>
    <t>LearningResourceSubjectCode</t>
  </si>
  <si>
    <t>Learning Resource Subject Code System</t>
  </si>
  <si>
    <t>The system that is used to identify the organization of subject matter and related learning experiences addressed by the learning resource.</t>
  </si>
  <si>
    <t>000915</t>
  </si>
  <si>
    <t>LearningResourceSubjectCodeSystem</t>
  </si>
  <si>
    <t>Learning Resource Subject Name</t>
  </si>
  <si>
    <t>The descriptive name for the subject of the content for the learning resource.</t>
  </si>
  <si>
    <t>000913</t>
  </si>
  <si>
    <t>LearningResourceSubjectName</t>
  </si>
  <si>
    <t>Learning Resource Text Complexity System</t>
  </si>
  <si>
    <t>The scaling system used to specify the text complexity of an Learning Resource</t>
  </si>
  <si>
    <t>000930</t>
  </si>
  <si>
    <t>LearningResourceTextComplexitySystem</t>
  </si>
  <si>
    <t>Learning Resource Text Complexity Value</t>
  </si>
  <si>
    <t>The complexity of the text using the scaling system defined by Text Complexity System, e.g. Lexile(tm).</t>
  </si>
  <si>
    <t>000929</t>
  </si>
  <si>
    <t>LearningResourceTextComplexityValue</t>
  </si>
  <si>
    <t>Learning Resource Time Required</t>
  </si>
  <si>
    <t>The approximate or typical time it takes to work with or through this learning resource for the typical intended target audience.</t>
  </si>
  <si>
    <t>000924</t>
  </si>
  <si>
    <t>LearningResourceTimeRequired</t>
  </si>
  <si>
    <t>Learning Resource Title</t>
  </si>
  <si>
    <t>The title of the resource.</t>
  </si>
  <si>
    <t>000912</t>
  </si>
  <si>
    <t>LearningResourceTitle</t>
  </si>
  <si>
    <t>Learning Resource Type</t>
  </si>
  <si>
    <t>The predominate type or kind characterizing the learning resource.</t>
  </si>
  <si>
    <t>A community of SEAs have agreed to use a limited set of Learning Resource Type options when tagging learning resources in shared resource repositories. The options defined for this element align with those common tagging specifications.</t>
  </si>
  <si>
    <t>000928</t>
  </si>
  <si>
    <t>LearningResourceType</t>
  </si>
  <si>
    <t>Learning Resource Typical Age Range Maximum</t>
  </si>
  <si>
    <t>The maximum for the typical range of ages of the content’s intended end user.</t>
  </si>
  <si>
    <t>000926</t>
  </si>
  <si>
    <t>LearningResourceTypicalAgeRangeMaximum</t>
  </si>
  <si>
    <t>Learning Resource Typical Age Range Minimum</t>
  </si>
  <si>
    <t>The minimum for the typical range of ages of the content’s intended end user.</t>
  </si>
  <si>
    <t>000925</t>
  </si>
  <si>
    <t>LearningResourceTypicalAgeRangeMinimum</t>
  </si>
  <si>
    <t>Learning Resource URL</t>
  </si>
  <si>
    <t>The Uniform Resource Locator where the resource may be accessed, or a proxy for the resource, such as an information page for a commercially available resource.</t>
  </si>
  <si>
    <t>000911</t>
  </si>
  <si>
    <t>LearningResourceURL</t>
  </si>
  <si>
    <t>Learning Resource Version</t>
  </si>
  <si>
    <t>Defines the version of the learning resource as defined by the publisher.</t>
  </si>
  <si>
    <t>001216</t>
  </si>
  <si>
    <t>LearningResourceVersion</t>
  </si>
  <si>
    <t>Leave Event Type</t>
  </si>
  <si>
    <t>The type of the leave event.</t>
  </si>
  <si>
    <t>000624</t>
  </si>
  <si>
    <t>LeaveEventType</t>
  </si>
  <si>
    <t>Level of Institution</t>
  </si>
  <si>
    <t>A classification of whether a postsecondary institution's highest level of offering is a program of 4-years or higher (4 year), 2-but-less-than 4-years (2 year), or less than 2-years.</t>
  </si>
  <si>
    <t>Adult Education -&gt; AE Provider
Postsecondary -&gt; PS Institution -&gt; Directory</t>
  </si>
  <si>
    <t>000178</t>
  </si>
  <si>
    <t>LevelOfInstitution</t>
  </si>
  <si>
    <t>Level of Specialization in Early Learning</t>
  </si>
  <si>
    <t>The extent to which a person concentrates upon a particular subject matter area during his or her period of study at an educational institution.</t>
  </si>
  <si>
    <t>000341</t>
  </si>
  <si>
    <t>LevelOfSpecializationInEarlyLearning</t>
  </si>
  <si>
    <t>License Exempt</t>
  </si>
  <si>
    <t>The program or center is legally exempt from licensing.</t>
  </si>
  <si>
    <t>000350</t>
  </si>
  <si>
    <t>LicenseExempt</t>
  </si>
  <si>
    <t>Life-cycle Cost</t>
  </si>
  <si>
    <t>The total cost of acquiring, owning, operating, and disposing of a building, facility, or piece of equipment over its useful life.</t>
  </si>
  <si>
    <t>001849</t>
  </si>
  <si>
    <t>Life-cycleCost</t>
  </si>
  <si>
    <t>Literacy Assessment Administered Type</t>
  </si>
  <si>
    <t>The type of literacy test administered.</t>
  </si>
  <si>
    <t>000466</t>
  </si>
  <si>
    <t>LiteracyAssessmentAdministeredType</t>
  </si>
  <si>
    <t>Literacy Goal Met Status</t>
  </si>
  <si>
    <t>The participant showed "significant learning gains" on measures of reading, the definition of which is determined at the State level.</t>
  </si>
  <si>
    <t>000467</t>
  </si>
  <si>
    <t>LiteracyGoalMetStatus</t>
  </si>
  <si>
    <t>Literacy Post Test Status</t>
  </si>
  <si>
    <t>The participant completed a literacy post-test.</t>
  </si>
  <si>
    <t>000468</t>
  </si>
  <si>
    <t>LiteracyPostTestStatus</t>
  </si>
  <si>
    <t>Literacy Pre Test Status</t>
  </si>
  <si>
    <t>The participant completed a literacy pre-test.</t>
  </si>
  <si>
    <t>000469</t>
  </si>
  <si>
    <t>LiteracyPreTestStatus</t>
  </si>
  <si>
    <t>Local Education Agency Funds Transfer Type</t>
  </si>
  <si>
    <t>An indication of the type of transfer for an LEAs that transferred funds from an eligible program to another eligible program.</t>
  </si>
  <si>
    <t>K12 -&gt; LEA -&gt; Federal Funds</t>
  </si>
  <si>
    <t>000451</t>
  </si>
  <si>
    <t>LEA Funds Transfer Type</t>
  </si>
  <si>
    <t>LEAFundsTransferType</t>
  </si>
  <si>
    <t>Local Education Agency Identification System</t>
  </si>
  <si>
    <t>A coding scheme that is used for identification and record-keeping purposes by schools, social services, or other agencies to refer to a local education agency.</t>
  </si>
  <si>
    <t>001072</t>
  </si>
  <si>
    <t>LEA Identification System</t>
  </si>
  <si>
    <t>LEAIdentificationSystem</t>
  </si>
  <si>
    <t>K-12 -&gt; High School Feedback Report
K-12 -&gt; High School Generated Transcript
K-12 -&gt; LEA-to-LEA Student Record Exchange
K-12 -&gt; LEA-to-SEA Student Record Exchange
Postsecondary Education -&gt; Transition</t>
  </si>
  <si>
    <t>Local Education Agency Identifier</t>
  </si>
  <si>
    <t>A unique number or alphanumeric code assigned to a local education agency by a school system, a state, or other agency or entity.</t>
  </si>
  <si>
    <t>001068</t>
  </si>
  <si>
    <t>LEA Identifier</t>
  </si>
  <si>
    <t>LocalEducationAgencyIdentifier</t>
  </si>
  <si>
    <t>Local Education Agency Improvement Status</t>
  </si>
  <si>
    <t>An indication of the improvement stage for AYP of the local education agency (LEA).</t>
  </si>
  <si>
    <t>000173</t>
  </si>
  <si>
    <t>LEA Improvement Status</t>
  </si>
  <si>
    <t>LEAImprovementStatus</t>
  </si>
  <si>
    <t>Local Education Agency Operational Status</t>
  </si>
  <si>
    <t>The classification of the operational condition of a local education agency (LEA) at the start of the school year.</t>
  </si>
  <si>
    <t>K12 -&gt; LEA -&gt; Directory</t>
  </si>
  <si>
    <t>000174</t>
  </si>
  <si>
    <t>LEA Operational Status</t>
  </si>
  <si>
    <t>LEAOperationalStatus</t>
  </si>
  <si>
    <t>Local Education Agency Supervisory Union Identification Number</t>
  </si>
  <si>
    <t>Alphanumeric - 3 characters maximum</t>
  </si>
  <si>
    <t>000175</t>
  </si>
  <si>
    <t>LEA Supervisory Union Identification Number</t>
  </si>
  <si>
    <t>LEASupervisoryUnionIdentificationNumber</t>
  </si>
  <si>
    <t>Local Education Agency Transferability of Funds</t>
  </si>
  <si>
    <t>LEA notified the State that they were transferring funds under the LEA Transferability authority of Section 6123(b).</t>
  </si>
  <si>
    <t>000446</t>
  </si>
  <si>
    <t>LEA Transferability of Funds</t>
  </si>
  <si>
    <t>LEATransferabilityOfFunds</t>
  </si>
  <si>
    <t>Local Education Agency Type</t>
  </si>
  <si>
    <t>LocalEducationAgencyType</t>
  </si>
  <si>
    <t>Longitude</t>
  </si>
  <si>
    <t>The east or west angular distance from the prime meridian that, when combined with latitude, reflects an estimation of where the address is physically situated.</t>
  </si>
  <si>
    <t>000607</t>
  </si>
  <si>
    <t>Low-income Status</t>
  </si>
  <si>
    <t>A person who receives or is a member of a family who receives a total family income in the 6 months prior to enrollment of 70 percent of the income standard for a family of that size or that does not exceed the poverty line, or the person is receiving or is a member of a family who is receiving cash assistance payments from Federal, State, or local agencies or food stamps, or the person can be designated as homeless under the McKinney Act.</t>
  </si>
  <si>
    <t>000775</t>
  </si>
  <si>
    <t>LowIncomeStatus</t>
  </si>
  <si>
    <t>Magnet or Special Program Emphasis School</t>
  </si>
  <si>
    <t>A school that has been designed: 1) to attract students of different racial/ethnic backgrounds for the purpose of reducing, preventing, or eliminating racial isolation; and/or 2)to provide an academic or social focus on a particular theme (e.g., science/math, performing arts, gifted/talented, career academy or foreign language).</t>
  </si>
  <si>
    <t>000181</t>
  </si>
  <si>
    <t>MagnetOrSpecialProgramEmphasisSchool</t>
  </si>
  <si>
    <t>Marking Period Name</t>
  </si>
  <si>
    <t>The name or description of the marking period (e.g., fall, first marking period).</t>
  </si>
  <si>
    <t>Adult Education -&gt; Course Section -&gt; Enrollment -&gt; Student Course Section Mark
Career and Technical -&gt; Course Section -&gt; Enrollment -&gt; Student Course Section Mark
K12 -&gt; Course Section -&gt; Enrollment -&gt; Student Course Section Mark
Postsecondary -&gt; Course Section -&gt; Enrollment -&gt; Student Course Section Mark</t>
  </si>
  <si>
    <t>000182</t>
  </si>
  <si>
    <t>MarkingPeriodName</t>
  </si>
  <si>
    <t>Maternal Guardian Education</t>
  </si>
  <si>
    <t>The highest level of education attained by a person's mother or maternal guardian</t>
  </si>
  <si>
    <t>001229</t>
  </si>
  <si>
    <t>MaternalGuardianEducation</t>
  </si>
  <si>
    <t>Medical Alert Indicator</t>
  </si>
  <si>
    <t>Alert indicator for a medical/health condition.</t>
  </si>
  <si>
    <t>000439</t>
  </si>
  <si>
    <t>MedicalAlertIndicator</t>
  </si>
  <si>
    <t>Medical School Staff Status</t>
  </si>
  <si>
    <t>000733</t>
  </si>
  <si>
    <t>MedicalSchoolStaffStatus</t>
  </si>
  <si>
    <t>Memorandum of Understanding End Date</t>
  </si>
  <si>
    <t>The date that a Memorandum of Understanding between the Early Learning Organization and the Service Partner is determined to expire.</t>
  </si>
  <si>
    <t>001614</t>
  </si>
  <si>
    <t>MemorandumOfUnderstandingEndDate</t>
  </si>
  <si>
    <t>Memorandum of Understanding Start Date</t>
  </si>
  <si>
    <t>The effective date that a Memorandum of Understanding between the Early Learning Organization and the Service Partner Organization is effective.</t>
  </si>
  <si>
    <t>001615</t>
  </si>
  <si>
    <t>MemorandumOfUnderstandingStartDate</t>
  </si>
  <si>
    <t>Method of Service Delivery</t>
  </si>
  <si>
    <t>The method by which the services will be provided.</t>
  </si>
  <si>
    <t>001510</t>
  </si>
  <si>
    <t>MethodOfServiceDelivery</t>
  </si>
  <si>
    <t>Mid Term Mark</t>
  </si>
  <si>
    <t>Indicator of student performance at the mid-point of the marking period.</t>
  </si>
  <si>
    <t>000183</t>
  </si>
  <si>
    <t>MidTermMark</t>
  </si>
  <si>
    <t>Middle Name</t>
  </si>
  <si>
    <t>A full legal middle name given to a person at birth, baptism, or through legal change.</t>
  </si>
  <si>
    <t>000184</t>
  </si>
  <si>
    <t>MiddleName</t>
  </si>
  <si>
    <t>Migrant Education Program Continuation of Services Status</t>
  </si>
  <si>
    <t>An indication that migrant children are receiving instructional or support services under the continuation of services authority ESEA Title III Section 1304(e)(2)-(3).</t>
  </si>
  <si>
    <t>000563</t>
  </si>
  <si>
    <t>MEP Continuation of Services Status</t>
  </si>
  <si>
    <t>MEPContinuationOfServicesStatus</t>
  </si>
  <si>
    <t>Migrant Education Program Eligibility Expiration Date</t>
  </si>
  <si>
    <t>The year, month, and day on which the child is no longer eligible for the Migrant Education Program. This date should initially be a date equal to 36 months from the Qualifying Arrival Date to indicate the end of MEP eligibility or the student reaches 22 years of age, whichever comes first.</t>
  </si>
  <si>
    <t>000430</t>
  </si>
  <si>
    <t>MEP Eligibility Expiration Date</t>
  </si>
  <si>
    <t>MigrantEducationProgramEligibilityExpirationDate</t>
  </si>
  <si>
    <t>Migrant Education Program Enrollment Type</t>
  </si>
  <si>
    <t>The type of school/migrant education project in which instruction and/or support services are provided.</t>
  </si>
  <si>
    <t>000437</t>
  </si>
  <si>
    <t>MEP Enrollment Type</t>
  </si>
  <si>
    <t>MigrantEducationProgramEnrollmentType</t>
  </si>
  <si>
    <t>Migrant Education Program Participation Status</t>
  </si>
  <si>
    <t>An indicator of whether the student is served by a Migrant Education Program (MEP).</t>
  </si>
  <si>
    <t>000185</t>
  </si>
  <si>
    <t>MEP Participation Status</t>
  </si>
  <si>
    <t>MigrantEducationProgramParticipationStatus</t>
  </si>
  <si>
    <t>Migrant Education Program Personnel Indicator</t>
  </si>
  <si>
    <t>An indication that a staff member's salary is paid by the Title I, Part C Migrant Education Program (MEP) of ESEA as amended.</t>
  </si>
  <si>
    <t>000543</t>
  </si>
  <si>
    <t>MEP Personnel Indicator</t>
  </si>
  <si>
    <t>MEPPersonnelIndicator</t>
  </si>
  <si>
    <t>Migrant Education Program Project Based</t>
  </si>
  <si>
    <t>Indicates the type of MEP project based on the location where the MEP services are held.</t>
  </si>
  <si>
    <t>000440</t>
  </si>
  <si>
    <t>MEP Project Based</t>
  </si>
  <si>
    <t>MigrantEducationProgramProjectBased</t>
  </si>
  <si>
    <t>Migrant Education Program Project Type</t>
  </si>
  <si>
    <t>Type of project funded in whole or in part by MEP funds.</t>
  </si>
  <si>
    <t>000463</t>
  </si>
  <si>
    <t>MEP Project Type</t>
  </si>
  <si>
    <t>MigrantEducationProgramProjectType</t>
  </si>
  <si>
    <t>Migrant Education Program Services Type</t>
  </si>
  <si>
    <t>The type of services received by participating migrant students in the migrant education program (MEP).</t>
  </si>
  <si>
    <t>000186</t>
  </si>
  <si>
    <t>MEP Services Type</t>
  </si>
  <si>
    <t>MigrantEducationProgramServicesType</t>
  </si>
  <si>
    <t>Migrant Education Program Session Type</t>
  </si>
  <si>
    <t>The time of year that a Migrant Education Program operates.</t>
  </si>
  <si>
    <t>000187</t>
  </si>
  <si>
    <t>MEP Session Type</t>
  </si>
  <si>
    <t>MigrantEducationProgramSessionType</t>
  </si>
  <si>
    <t>Migrant Education Program Staff Category</t>
  </si>
  <si>
    <t>Titles of employment, official status, or rank of staff working in the Migrant Education Program (MEP).</t>
  </si>
  <si>
    <t>Funded by Title I-C.</t>
  </si>
  <si>
    <t>000188</t>
  </si>
  <si>
    <t>MEP Staff Category</t>
  </si>
  <si>
    <t>MigrantEducationProgramStaffCategory</t>
  </si>
  <si>
    <t>Migrant Prioritized for Services</t>
  </si>
  <si>
    <t>An indication that a migratory child 1) is failing to meet, or most at risk of failing to meet, the state's challenging academic content standards and student academic achievement standards; and 2) has experienced interruptions in their education during the regular school year.</t>
  </si>
  <si>
    <t>000562</t>
  </si>
  <si>
    <t>MigrantPrioritizedForServices</t>
  </si>
  <si>
    <t>Migrant Status</t>
  </si>
  <si>
    <t>Persons who are, or whose parents or spouses are, migratory agricultural workers, including migratory dairy workers, or migratory fishers, and who, in the preceding 36 months, in order to obtain, or accompany such parents or spouses, in order to obtain, temporary or seasonal employment in agricultural or fishing work (A) have moved from one LEA to another; (B) in a state that comprises a single LEA, have moved from one administrative area to another within such LEA; or (C) reside in an LEA of more than 15,000 square miles, and migrate a distance of 20 miles or more to a temporary residence to engage in a fishing activity.</t>
  </si>
  <si>
    <t>000189</t>
  </si>
  <si>
    <t>MigrantStatus</t>
  </si>
  <si>
    <t>Migrant Student Qualifying Arrival Date</t>
  </si>
  <si>
    <t>000432</t>
  </si>
  <si>
    <t>MigrantStudentQualifyingArrivalDate</t>
  </si>
  <si>
    <t>001577</t>
  </si>
  <si>
    <t>Military Branch</t>
  </si>
  <si>
    <t>001640</t>
  </si>
  <si>
    <t>MilitaryBranch</t>
  </si>
  <si>
    <t>Military Connected Student Indicator</t>
  </si>
  <si>
    <t>An indication that the student’s parent or guardian is on Active Duty, in the National Guard, or in the Reserve components of the United States military services</t>
  </si>
  <si>
    <t>001576</t>
  </si>
  <si>
    <t>MilitaryConnectedStudentIndicator</t>
  </si>
  <si>
    <t>Military Enlistment After Exit</t>
  </si>
  <si>
    <t>An individual who is a member of the uniformed armed forces of the United States as reported through FEDES after exiting secondary, postsecondary, or adult education or workforce programs.</t>
  </si>
  <si>
    <t>001412</t>
  </si>
  <si>
    <t>MilitaryEnlistmentAfterExit</t>
  </si>
  <si>
    <t>001578</t>
  </si>
  <si>
    <t>Minutes Per Day</t>
  </si>
  <si>
    <t>The number of minutes in the day in which the school is normally in session.</t>
  </si>
  <si>
    <t>000500</t>
  </si>
  <si>
    <t>MinutesPerDay</t>
  </si>
  <si>
    <t>Monitoring Visit End Date</t>
  </si>
  <si>
    <t>The date that monitoring visit ended.</t>
  </si>
  <si>
    <t>001332</t>
  </si>
  <si>
    <t>MonitoringVisitEndDate</t>
  </si>
  <si>
    <t>Monitoring Visit Start Date</t>
  </si>
  <si>
    <t>The date that monitoring visit began.</t>
  </si>
  <si>
    <t>001331</t>
  </si>
  <si>
    <t>MonitoringVisitStartDate</t>
  </si>
  <si>
    <t>Multiple Birth Indicator</t>
  </si>
  <si>
    <t>An indication that the person is a twin, triplet, etc.</t>
  </si>
  <si>
    <t>000431</t>
  </si>
  <si>
    <t>MultipleBirthIndicator</t>
  </si>
  <si>
    <t>NAEP Aspects of Reading</t>
  </si>
  <si>
    <t>Aspects of reading defined by the National Assessment of Educational Progress (NAEP 2005b Framework).</t>
  </si>
  <si>
    <t>001122</t>
  </si>
  <si>
    <t>NAEPAspectsOfReading</t>
  </si>
  <si>
    <t>NAEP Mathematical Complexity Level</t>
  </si>
  <si>
    <t>Complexity levels defined by the National Assessment of Educational Progress (NAEP 2005a Framework).</t>
  </si>
  <si>
    <t>001088</t>
  </si>
  <si>
    <t>NAEPMathematicalComplexityLevel</t>
  </si>
  <si>
    <t>Name of Institution</t>
  </si>
  <si>
    <t>The full legally accepted name of the institution.</t>
  </si>
  <si>
    <t>000191</t>
  </si>
  <si>
    <t>NameOfInstitution</t>
  </si>
  <si>
    <t>Early Learning -&gt; Licensing
Early Learning -&gt; Program Compliance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IPEDS
Postsecondary Education -&gt; Transition</t>
  </si>
  <si>
    <t>Name of Professional Credential or License</t>
  </si>
  <si>
    <t>The name of the license/credential awarded by a given profession.</t>
  </si>
  <si>
    <t>001058</t>
  </si>
  <si>
    <t>NameOfProfessionalCredentialLicense</t>
  </si>
  <si>
    <t>National Collegiate Athletic Association Eligibility</t>
  </si>
  <si>
    <t>An indication that the course is approved for determining NCAA eligibility.</t>
  </si>
  <si>
    <t>001413</t>
  </si>
  <si>
    <t>NCAA Eligibility</t>
  </si>
  <si>
    <t>NCAAEligibility</t>
  </si>
  <si>
    <t>National School Lunch Program Direct Certification Indicator</t>
  </si>
  <si>
    <t>Indicates that the student's National School Lunch Program (NSLP) eligibility has been determined through direct certification.</t>
  </si>
  <si>
    <t>This element was introduced in version 6 of CEDS with plans for further development of elements needed to fully support direct certification use cases.</t>
  </si>
  <si>
    <t>001654</t>
  </si>
  <si>
    <t>NationalSchoolLunchProgramDirectCertificationIndicator</t>
  </si>
  <si>
    <t>National School Lunch Program Status</t>
  </si>
  <si>
    <t>The classification of participation by a school in the National School Lunch Program.</t>
  </si>
  <si>
    <t>001767</t>
  </si>
  <si>
    <t>NationalSchoolLunchProgramStatus</t>
  </si>
  <si>
    <t>Native Hawaiian or Other Pacific Islander</t>
  </si>
  <si>
    <t>A person having origins in any of the original peoples of Hawaii, Guam, Samoa, or other Pacific Islands.</t>
  </si>
  <si>
    <t>000192</t>
  </si>
  <si>
    <t>Race Native Hawaiian or Other Pacific Islander</t>
  </si>
  <si>
    <t>NativeHawaiianOrOtherPacificIslander</t>
  </si>
  <si>
    <t>NCES College Course Map Code</t>
  </si>
  <si>
    <t>A taxonomy system for coding postsecondary courses in NCES research studies.</t>
  </si>
  <si>
    <t>See http://nces.ed.gov/pubs2012/2012162rev.pdf</t>
  </si>
  <si>
    <t>001414</t>
  </si>
  <si>
    <t>NCESCollegeCourseMapCode</t>
  </si>
  <si>
    <t>Neglected or Delinquent Academic Achievement Indicator</t>
  </si>
  <si>
    <t>Student was served by Title I, Part D, Subpart 1 of ESEA as amended for at least 90 consecutive days during the reporting period who took both a pre- and post-test.</t>
  </si>
  <si>
    <t>K12 -&gt; K12 Student -&gt; Neglected or Delinquent</t>
  </si>
  <si>
    <t>NeglectedOrDelinquentAcademicAchievementIndicator</t>
  </si>
  <si>
    <t>Neglected or Delinquent Academic Outcome Indicator</t>
  </si>
  <si>
    <t>Student was served by Title I, Part D, Subpart 2 of ESEA as amended for at least 90 consecutive days during the reporting period who took both a pre- and post-test.</t>
  </si>
  <si>
    <t>NeglectedOrDelinquentAcademicOutcomeIndicator</t>
  </si>
  <si>
    <t>Neglected or Delinquent Obtained Employment</t>
  </si>
  <si>
    <t>An indication that a Neglected or Delinquent student obtained employment.</t>
  </si>
  <si>
    <t>000484</t>
  </si>
  <si>
    <t>NeglectedOrDelinquentObtainedEmployment</t>
  </si>
  <si>
    <t>Neglected or Delinquent Program Type</t>
  </si>
  <si>
    <t>The type of program under ESEA Title I, Part D, Subpart 1 (state programs) or Subpart 2 (LEA).</t>
  </si>
  <si>
    <t>000194</t>
  </si>
  <si>
    <t>NeglectedOrDelinquentProgramType</t>
  </si>
  <si>
    <t>Neglected or Delinquent Status</t>
  </si>
  <si>
    <t>An indication that the student is participating in programs for neglected or delinquent students (N or D) under Title I, Part D, Subpart 1 (state agencies) of ESEA as amended.</t>
  </si>
  <si>
    <t>000193</t>
  </si>
  <si>
    <t>NeglectedOrDelinquentStatus</t>
  </si>
  <si>
    <t>Nonpromotion Reason</t>
  </si>
  <si>
    <t>The primary reason as to why a staff member determined that a student should not be promoted (or be demoted).</t>
  </si>
  <si>
    <t>000531</t>
  </si>
  <si>
    <t>NonpromotionReason</t>
  </si>
  <si>
    <t>Normal Length of Time for Completion</t>
  </si>
  <si>
    <t>The amount of time necessary for a person to complete all requirements for a degree or certificate according to the institution's catalog. This is typically 4 years (8 semesters or trimesters, or 12 quarters, excluding summer terms) for a bachelor's degree in a standard term-based institution; 2 years (4 semesters or trimesters, or 6 quarters, excluding summer terms) for an associate's degree in a standard term-based institution; and the various scheduled times for certificate programs.</t>
  </si>
  <si>
    <t>000197</t>
  </si>
  <si>
    <t>NormalLengthOfTimeForCompletion</t>
  </si>
  <si>
    <t>Normal Length of Time for Completion Units</t>
  </si>
  <si>
    <t>The unit of measurement for length of time for completion.</t>
  </si>
  <si>
    <t>000198</t>
  </si>
  <si>
    <t>NormalLengthOfTimeForCompletionUnits</t>
  </si>
  <si>
    <t>Number of Classrooms</t>
  </si>
  <si>
    <t>The total number of classrooms for a program, facility, location, or other educational environment.</t>
  </si>
  <si>
    <t>000844</t>
  </si>
  <si>
    <t>NumberOfClassrooms</t>
  </si>
  <si>
    <t>Number of Credits Attempted</t>
  </si>
  <si>
    <t>The number of credits that a student can earn for enrolling in and completing a given course.</t>
  </si>
  <si>
    <t>000199</t>
  </si>
  <si>
    <t>NumberOfCreditsAttempted</t>
  </si>
  <si>
    <t>Number of Credits Earned</t>
  </si>
  <si>
    <t>The number of credits an individual earns by the successful completion of a course.</t>
  </si>
  <si>
    <t>000200</t>
  </si>
  <si>
    <t>NumberOfCreditsEarned</t>
  </si>
  <si>
    <t>Number of Days Absent</t>
  </si>
  <si>
    <t>The number of days a person is absent when school is in session during a given reporting period.</t>
  </si>
  <si>
    <t>000201</t>
  </si>
  <si>
    <t>NumberOfDaysAbsent</t>
  </si>
  <si>
    <t>K-12 -&gt; High School Generated Transcript
K-12 -&gt; LEA-to-LEA Student Record Exchange
K-12 -&gt; LEA-to-SEA Student Record Exchange
K-12 -&gt; Teacher-Student Data Link -&gt; Enrollment</t>
  </si>
  <si>
    <t>Number of Days for Title III Subgrants</t>
  </si>
  <si>
    <t>Average number of days for States receiving Title III funds to make subgrants to subgrantees beginning from July 1 of each year, except under conditions where funds are being withheld.</t>
  </si>
  <si>
    <t>000457</t>
  </si>
  <si>
    <t>NumberOfDaysForTitleIIISubgrants</t>
  </si>
  <si>
    <t>Number of Days in Attendance</t>
  </si>
  <si>
    <t>The number of days a person is present when school is in session during a given reporting period.</t>
  </si>
  <si>
    <t>000202</t>
  </si>
  <si>
    <t>NumberOfDaysInAttendance</t>
  </si>
  <si>
    <t>Early Learning -&gt; Program Compliance
K-12 -&gt; High School Generated Transcript
K-12 -&gt; LEA-to-LEA Student Record Exchange
K-12 -&gt; LEA-to-SEA Student Record Exchange
K-12 -&gt; Teacher-Student Data Link -&gt; Enrollment</t>
  </si>
  <si>
    <t>Number of Dependents</t>
  </si>
  <si>
    <t>001415</t>
  </si>
  <si>
    <t>NumberOfDependents</t>
  </si>
  <si>
    <t>Number of Early Learning Fatalities</t>
  </si>
  <si>
    <t>Number of child fatalities at the program in the past year, as defined by the State</t>
  </si>
  <si>
    <t>000835</t>
  </si>
  <si>
    <t>NumberOfEarlyLearningFatalities</t>
  </si>
  <si>
    <t>Number of Early Learning Injuries</t>
  </si>
  <si>
    <t>Number of child injuries at the program in the past year, as defined by the State.</t>
  </si>
  <si>
    <t>000836</t>
  </si>
  <si>
    <t>NumberOfEarlyLearningInjuries</t>
  </si>
  <si>
    <t>Number of Immigrant Program Subgrants</t>
  </si>
  <si>
    <t>The number of immigrant program [3114(d)(1)] subgrants.</t>
  </si>
  <si>
    <t>000470</t>
  </si>
  <si>
    <t>NumberOfImmigrantProgramSubgrants</t>
  </si>
  <si>
    <t>Number of People in Family</t>
  </si>
  <si>
    <t>NumberOfPeopleInFamily</t>
  </si>
  <si>
    <t>Number of People in Household</t>
  </si>
  <si>
    <t>Total number of persons residing in the same household.</t>
  </si>
  <si>
    <t>000331</t>
  </si>
  <si>
    <t>NumberOfPeopleInHousehold</t>
  </si>
  <si>
    <t>Number of Quality Rating and Improvement System Levels</t>
  </si>
  <si>
    <t>Number of quality levels in the Quality Rating and Improvement System (QRIS).</t>
  </si>
  <si>
    <t>000843</t>
  </si>
  <si>
    <t>Number of QRIS Levels</t>
  </si>
  <si>
    <t>NumberOfQRISLevels</t>
  </si>
  <si>
    <t>Number of School-age Education Postsecondary Credit Hours</t>
  </si>
  <si>
    <t>The number of college course credit hours an individual has successfully completed that are related to K-12 education, parks and recreation, and juvenile justice.</t>
  </si>
  <si>
    <t>000816</t>
  </si>
  <si>
    <t>NumberOfSchoolageEducationPostsecondaryCreditHours</t>
  </si>
  <si>
    <t>O*NET-SOC Occupation Type</t>
  </si>
  <si>
    <t>The O*NET-SOC taxonomy defines the set of occupations across the world of work based on the Standard Occupational Classification.</t>
  </si>
  <si>
    <t>##-####.##</t>
  </si>
  <si>
    <t>001756</t>
  </si>
  <si>
    <t>O*NET-SOCOccupationType</t>
  </si>
  <si>
    <t>Office of Postsecondary Education Identifier</t>
  </si>
  <si>
    <t>Identification number used by the U.S. Department of Education's Office of Postsecondary Education (OPE) to identify schools that have Program Participation Agreements (PPA) so that its students are eligible to participate in Federal Student Financial Assistance programs under Title IV regulations. This is a 6-digit number followed by a 2-digit suffix used to identify branches, additional locations, and other entities that are part of the eligible institution.</t>
  </si>
  <si>
    <t>Postsecondary -&gt; PS Institution -&gt; Directory
Postsecondary -&gt; PS Student -&gt; Institution Enrollment -&gt; Prior Academic Award</t>
  </si>
  <si>
    <t>Integer - exactly 8 digits</t>
  </si>
  <si>
    <t>000203</t>
  </si>
  <si>
    <t>OPEID</t>
  </si>
  <si>
    <t>Ongoing Health Screening Policy</t>
  </si>
  <si>
    <t>An indication of whether a program requires that all children are receiving ongoing health screenings.</t>
  </si>
  <si>
    <t>000847</t>
  </si>
  <si>
    <t>OngoingHealthScreeningPolicy</t>
  </si>
  <si>
    <t>Operation Date</t>
  </si>
  <si>
    <t>The year, month and day on which a program or center began operation.</t>
  </si>
  <si>
    <t>000351</t>
  </si>
  <si>
    <t>OperationDate</t>
  </si>
  <si>
    <t>Operational Status Effective Date</t>
  </si>
  <si>
    <t>The effective date for a change in operational status.</t>
  </si>
  <si>
    <t>000534</t>
  </si>
  <si>
    <t>OperationalStatusEffectiveDate</t>
  </si>
  <si>
    <t>Oral Defense Completed Indicator</t>
  </si>
  <si>
    <t>An indication of the individual's completion of an oral defense. The requirement to conduct an oral defense by doctoral individuals may vary across institutions, programs, or fields of study.</t>
  </si>
  <si>
    <t>001416</t>
  </si>
  <si>
    <t>OralDefenseCompletedIndicator</t>
  </si>
  <si>
    <t>Oral Defense Date</t>
  </si>
  <si>
    <t>The date on which the individual gave an oral defense.</t>
  </si>
  <si>
    <t>001417</t>
  </si>
  <si>
    <t>OralDefenseDate</t>
  </si>
  <si>
    <t>Organization Identification System</t>
  </si>
  <si>
    <t>A coding scheme that is used for identification and record-keeping purposes by schools, social services, or other agencies to refer to an organization.</t>
  </si>
  <si>
    <t>000827</t>
  </si>
  <si>
    <t>OrganizationIdentificationSystem</t>
  </si>
  <si>
    <t>Organization Identifier</t>
  </si>
  <si>
    <t>A unique number or alphanumeric code assigned to an organization by a school, school system, a state, or other agency or entity.</t>
  </si>
  <si>
    <t>000826</t>
  </si>
  <si>
    <t>OrganizationIdentifier</t>
  </si>
  <si>
    <t>Organization Image URL</t>
  </si>
  <si>
    <t>The Uniform Resource Locator (URL) for the unique address of an image representing the Organization.</t>
  </si>
  <si>
    <t>001663</t>
  </si>
  <si>
    <t>OrganizationImageURL</t>
  </si>
  <si>
    <t>Organization Monitoring Notifications</t>
  </si>
  <si>
    <t>Whether the organization received notification about monitoring</t>
  </si>
  <si>
    <t>001330</t>
  </si>
  <si>
    <t>OrganizationMonitoringNotifications</t>
  </si>
  <si>
    <t>Organization Name</t>
  </si>
  <si>
    <t>The name of a non-person entity such as an organization, institution, agency or business.</t>
  </si>
  <si>
    <t>000204</t>
  </si>
  <si>
    <t>OrganizationName</t>
  </si>
  <si>
    <t>Organization Operational Status</t>
  </si>
  <si>
    <t>The current status of the organization's operations, exclusive of scheduled breaks, holidays, or other temporary interruptions.</t>
  </si>
  <si>
    <t>001418</t>
  </si>
  <si>
    <t>OrganizationOperationalStatus</t>
  </si>
  <si>
    <t>Organization Region GeoJSON</t>
  </si>
  <si>
    <t>The geo-political area of the organization's facility, building, or site.</t>
  </si>
  <si>
    <t>001750</t>
  </si>
  <si>
    <t>OrganizationRegionGeoJSON</t>
  </si>
  <si>
    <t>Organization Relationship Type</t>
  </si>
  <si>
    <t>The nature of one organization’s relationship to another.</t>
  </si>
  <si>
    <t>001905</t>
  </si>
  <si>
    <t>OrganizationRelationshipType</t>
  </si>
  <si>
    <t>Organization Seeking Accreditation Date</t>
  </si>
  <si>
    <t>The date in which accreditation process was started (but not officially approved or denied)</t>
  </si>
  <si>
    <t>001419</t>
  </si>
  <si>
    <t>OrganizationSeekingAccreditationDate</t>
  </si>
  <si>
    <t>Organization Type</t>
  </si>
  <si>
    <t>The type of educational organization or entity.</t>
  </si>
  <si>
    <t>This element is used in data models that are normalized and identifies the primary role of the organization.</t>
  </si>
  <si>
    <t>001156</t>
  </si>
  <si>
    <t>OrganizationType</t>
  </si>
  <si>
    <t>Organization Type of Monitoring</t>
  </si>
  <si>
    <t>The type of monitoring on the organization.</t>
  </si>
  <si>
    <t>001334</t>
  </si>
  <si>
    <t>OrganizationTypeOfMonitoring</t>
  </si>
  <si>
    <t>Original Course Identifier</t>
  </si>
  <si>
    <t>The course identifier as it was listed when the credit was earned (e.g. before a system conversion) to show consistency between present transcripts and older ones.</t>
  </si>
  <si>
    <t>001420</t>
  </si>
  <si>
    <t>OriginalCourseIdentifier</t>
  </si>
  <si>
    <t>Other First Name</t>
  </si>
  <si>
    <t>A first name given to a person.</t>
  </si>
  <si>
    <t>Other First Name may be repeatable and used with Other Name Type.</t>
  </si>
  <si>
    <t>001514</t>
  </si>
  <si>
    <t>OtherFirstName</t>
  </si>
  <si>
    <t>Other Last Name</t>
  </si>
  <si>
    <t>A last name given to a person.</t>
  </si>
  <si>
    <t>Other Last Name may be repeatable and used with Other Name Type.</t>
  </si>
  <si>
    <t>001513</t>
  </si>
  <si>
    <t>OtherLastName</t>
  </si>
  <si>
    <t>Other Middle Name</t>
  </si>
  <si>
    <t>A middle name given to a person.</t>
  </si>
  <si>
    <t>Other Middle Name may be repeatable and used with Other Name Type.</t>
  </si>
  <si>
    <t>001515</t>
  </si>
  <si>
    <t>OtherMiddleName</t>
  </si>
  <si>
    <t>Other Name</t>
  </si>
  <si>
    <t>Previous, alternate or other names or aliases associated with the person.</t>
  </si>
  <si>
    <t>000206</t>
  </si>
  <si>
    <t>OtherName</t>
  </si>
  <si>
    <t>Other Name Type</t>
  </si>
  <si>
    <t>The types of previous, alternate or other names for a person.</t>
  </si>
  <si>
    <t>000634</t>
  </si>
  <si>
    <t>OtherNameType</t>
  </si>
  <si>
    <t>Early Learning -&gt; Staff Quality
Postsecondary Education -&gt; Complete College America
Postsecondary Education -&gt; IPEDS</t>
  </si>
  <si>
    <t>Other Race Indicator</t>
  </si>
  <si>
    <t>Race other than American Indian, Black, Asian, White, Native Pacific Islander</t>
  </si>
  <si>
    <t>This element only applies to Early Learning (Head Start). For non-ED early learning programs only.</t>
  </si>
  <si>
    <t>001421</t>
  </si>
  <si>
    <t>OtherRaceIndicator</t>
  </si>
  <si>
    <t>Other Student Expenses</t>
  </si>
  <si>
    <t>The amount of money (estimated by the financial aid office) needed by a person to cover expenses such as laundry, transportation, and entertainment.</t>
  </si>
  <si>
    <t>000752</t>
  </si>
  <si>
    <t>OtherStudentExpenses</t>
  </si>
  <si>
    <t>Out of Workforce Indicator</t>
  </si>
  <si>
    <t>An individual: (A) who is a displaced homemaker, as defined in section 3 of the Workforce Innovation and Opportunity Act (29 U.S.C. 3102); or (B) who (i)(I) has worked primarily without remuneration to care for a home and family, and for that reason has diminished marketable skills; or (II) is a parent whose youngest dependent child will become ineligible to receive assistance under part A of title IV of the Social Security Act (42 U.S.C. 601 et seq.) not later than 2 years after the date on which the parent applies for assistance under such title; and (ii) is unemployed or underemployed and is experiencing difficulty in obtaining or upgrading employment.</t>
  </si>
  <si>
    <t>001930</t>
  </si>
  <si>
    <t>OutOfWorkforceIndicator</t>
  </si>
  <si>
    <t>Override School Course Number</t>
  </si>
  <si>
    <t>An indication of the way an academic course was identified at an educational institution.</t>
  </si>
  <si>
    <t>001422</t>
  </si>
  <si>
    <t>OverrideSchoolCourseNumber</t>
  </si>
  <si>
    <t>Paraprofessional Qualification Status</t>
  </si>
  <si>
    <t>An indication of whether paraprofessionals are classified as qualified for their assignment according to state definition.</t>
  </si>
  <si>
    <t>000207</t>
  </si>
  <si>
    <t>ParaprofessionalQualificationStatus</t>
  </si>
  <si>
    <t>Parent Communication Method</t>
  </si>
  <si>
    <t>The types of communication methods with parents.</t>
  </si>
  <si>
    <t>000857</t>
  </si>
  <si>
    <t>ParentCommunicationMethod</t>
  </si>
  <si>
    <t>Part-Time Employee Benefits</t>
  </si>
  <si>
    <t>The benefits offered by a program/facility/employer for part-time staff.</t>
  </si>
  <si>
    <t>000867</t>
  </si>
  <si>
    <t>PartTimeEmployeeBenefits</t>
  </si>
  <si>
    <t>Participation in School Food Service Programs</t>
  </si>
  <si>
    <t>An indication of a student's participation in free, reduced price, full price breakfast, lunch, snack, supper, and milk programs.</t>
  </si>
  <si>
    <t>000325</t>
  </si>
  <si>
    <t>ParticipationInSchoolFoodServicePrograms</t>
  </si>
  <si>
    <t>Participation Status for Math</t>
  </si>
  <si>
    <t>An indication of whether the school or district met the 95 percent participation requirement in the mathematics assessment in accordance with state definition for the purposes of determining AYP.</t>
  </si>
  <si>
    <t>000208</t>
  </si>
  <si>
    <t>ParticipationStatusForMath</t>
  </si>
  <si>
    <t>Participation Status for Reading and Language Arts</t>
  </si>
  <si>
    <t>An indication of whether the school or district met the 95 percent participation requirement on the reading/language arts assessment in accordance with state definition for the purposes of determining AYP.</t>
  </si>
  <si>
    <t>000209</t>
  </si>
  <si>
    <t>ParticipationStatusForReadingAndLanguageArts</t>
  </si>
  <si>
    <t>Paternal Guardian Education</t>
  </si>
  <si>
    <t>The highest level of education attained by a person's father or paternal guardian</t>
  </si>
  <si>
    <t>001230</t>
  </si>
  <si>
    <t>PaternalGuardianEducation</t>
  </si>
  <si>
    <t>Peer Rating Date</t>
  </si>
  <si>
    <t>The date on which the Peer Rating was entered.</t>
  </si>
  <si>
    <t>001167</t>
  </si>
  <si>
    <t>PeerRatingDate</t>
  </si>
  <si>
    <t>Peer Rating System Maximum Value</t>
  </si>
  <si>
    <t>Learning Resources -&gt; Peer Rating System</t>
  </si>
  <si>
    <t>001149</t>
  </si>
  <si>
    <t>PeerRatingSystemMaximumValue</t>
  </si>
  <si>
    <t>Peer Rating System Minimum Value</t>
  </si>
  <si>
    <t>The minimum value allowed by the Peer Rating System.</t>
  </si>
  <si>
    <t>001150</t>
  </si>
  <si>
    <t>PeerRatingSystemMinimumValue</t>
  </si>
  <si>
    <t>Peer Rating System Name</t>
  </si>
  <si>
    <t>The name of the scaling system used to specify the Peer Rating.</t>
  </si>
  <si>
    <t>001147</t>
  </si>
  <si>
    <t>PeerRatingSystemName</t>
  </si>
  <si>
    <t>Peer Rating System Optimum Value</t>
  </si>
  <si>
    <t>001151</t>
  </si>
  <si>
    <t>PeerRatingSystemOptimumValue</t>
  </si>
  <si>
    <t>K12 -&gt; K12 Student -&gt; English Learner</t>
  </si>
  <si>
    <t>000581</t>
  </si>
  <si>
    <t>Persistently Dangerous Status</t>
  </si>
  <si>
    <t>An indication of whether the school is identified as persistently dangerous in accordance with state definition.</t>
  </si>
  <si>
    <t>000210</t>
  </si>
  <si>
    <t>PersistentlyDangerousStatus</t>
  </si>
  <si>
    <t>Persistently Lowest Achieving School Status</t>
  </si>
  <si>
    <t>An indication of whether the school is identified by the state as persistently lowest-achieving.</t>
  </si>
  <si>
    <t>000211</t>
  </si>
  <si>
    <t>PersistentlyLowestAchievingSchoolStatus</t>
  </si>
  <si>
    <t>Person Employed in Multiple Jobs Count</t>
  </si>
  <si>
    <t>The number of jobs held by a person during the reference period.</t>
  </si>
  <si>
    <t>Workforce Notes: The data sources represent employment during a three month period. Students found employed may have multiple jobs during a reference period with no indication of their sequence. The option set provides a set of numeric ranges for these instances. Many states report these numbers, some as indications of employment stability. Note that it may be desirable to collect these data over time, in a longitudinal sense, to measure things related to persistence, change, and growth in employment.</t>
  </si>
  <si>
    <t>000991</t>
  </si>
  <si>
    <t>PersonEmployedInMultipleJobsCount</t>
  </si>
  <si>
    <t>Person Identification System</t>
  </si>
  <si>
    <t>A coding scheme that is used for identification of a person.</t>
  </si>
  <si>
    <t>001571</t>
  </si>
  <si>
    <t>PersonIdentificationSystem</t>
  </si>
  <si>
    <t>Person Identifier</t>
  </si>
  <si>
    <t>A unique number or alphanumeric code assigned to a person by a school, school system, a state, or other agency or entity.</t>
  </si>
  <si>
    <t>001572</t>
  </si>
  <si>
    <t>PersonIdentifier</t>
  </si>
  <si>
    <t>Person Relationship to Learner Contact Priority Number</t>
  </si>
  <si>
    <t>The numeric order in the preferred sequence and priority for contacting a person related to the learner.</t>
  </si>
  <si>
    <t>001423</t>
  </si>
  <si>
    <t>PersonRelationshipToLearnerContactPriorityNumber</t>
  </si>
  <si>
    <t>Person Relationship to Learner Contact Restrictions Description</t>
  </si>
  <si>
    <t>Restrictions for student and/or teacher contact with the individual (e.g., the student may not be picked up by the individual)</t>
  </si>
  <si>
    <t>001424</t>
  </si>
  <si>
    <t>PersonRelationshipToLearnerContactRestrictionsDescription</t>
  </si>
  <si>
    <t>001425</t>
  </si>
  <si>
    <t>Person Relationship Type</t>
  </si>
  <si>
    <t>The nature of a person's relationship to another person.</t>
  </si>
  <si>
    <t>For implementation in the CEDS Integrated Data Store (IDS), the "person" in the description would be the person referred to in the PersonId column in the IDS. The "related person" in the description would be the person referred to in the "RelatedPersonId" in the IDS. Example: Foster mother - The person (PersonId) is the related person's (RelatedPersonId) Foster mother.</t>
  </si>
  <si>
    <t>000425</t>
  </si>
  <si>
    <t>PersonRelationshipType</t>
  </si>
  <si>
    <t>Personal Information Verification</t>
  </si>
  <si>
    <t>The evidence by which a persons name, address, date of birth, etc. is confirmed.</t>
  </si>
  <si>
    <t>000618</t>
  </si>
  <si>
    <t>PersonalInformationVerification</t>
  </si>
  <si>
    <t>Personal Title or Prefix</t>
  </si>
  <si>
    <t>An appellation, if any, used to denote rank, placement, or status (e.g., Mr., Ms., Reverend, Sister, Dr., Colonel).</t>
  </si>
  <si>
    <t>000212</t>
  </si>
  <si>
    <t>Prefix</t>
  </si>
  <si>
    <t>PersonalTitleOrPrefix</t>
  </si>
  <si>
    <t>Early Learning -&gt; Staff Quality
K-12 -&gt; High School Generated Transcript
K-12 -&gt; LEA-to-LEA Student Record Exchange
K-12 -&gt; LEA-to-SEA Student Record Exchange</t>
  </si>
  <si>
    <t>Personnel Policy Type</t>
  </si>
  <si>
    <t>Policies related to personnel in the organization.</t>
  </si>
  <si>
    <t>000842</t>
  </si>
  <si>
    <t>PersonnelPolicyType</t>
  </si>
  <si>
    <t>PESC Award Level Type</t>
  </si>
  <si>
    <t>001668</t>
  </si>
  <si>
    <t>PESCAwardLevelType</t>
  </si>
  <si>
    <t>Position Title</t>
  </si>
  <si>
    <t>The descriptive name of a person's position.</t>
  </si>
  <si>
    <t>000213</t>
  </si>
  <si>
    <t>PositionTitle</t>
  </si>
  <si>
    <t>Postsecondary Applicant</t>
  </si>
  <si>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 Include early decision, early action, and students who began studies during summer in this cohort.</t>
  </si>
  <si>
    <t>CDS definition/instructions; first part matches IPEDS</t>
  </si>
  <si>
    <t>000755</t>
  </si>
  <si>
    <t>PostsecondaryApplicant</t>
  </si>
  <si>
    <t>Postsecondary Course Title</t>
  </si>
  <si>
    <t>The name or title of the course taken by a student at an academic institution.</t>
  </si>
  <si>
    <t>000068</t>
  </si>
  <si>
    <t>PostsecondaryCourseTitle</t>
  </si>
  <si>
    <t>Postsecondary Enrollment Action</t>
  </si>
  <si>
    <t>The action taken with respect to postsecondary enrollment by the student who graduated from the school, LEA or state in the past two years.</t>
  </si>
  <si>
    <t>000586</t>
  </si>
  <si>
    <t>PostsecondaryEnrollmentAction</t>
  </si>
  <si>
    <t>Postsecondary Enrollment Status</t>
  </si>
  <si>
    <t>An indication of the student's enrollment status for a particular term as defined by the institution</t>
  </si>
  <si>
    <t>Either use option 02 or one of the options, 04 or 05, for less than full-time but at least half-time.</t>
  </si>
  <si>
    <t>000096</t>
  </si>
  <si>
    <t>PostsecondaryEnrollmentStatus</t>
  </si>
  <si>
    <t>Persistence and Attainment of Nontraditional Students
Postsecondary Education -&gt; Student Achievement Measure</t>
  </si>
  <si>
    <t>Postsecondary Enrollment Type</t>
  </si>
  <si>
    <t>An indicator of the enrollment type associated with the enrollment award level of a person at the beginning of a term.</t>
  </si>
  <si>
    <t>000095</t>
  </si>
  <si>
    <t>PostsecondaryEnrollmentType</t>
  </si>
  <si>
    <t>Postsecondary Entering Student Indicator</t>
  </si>
  <si>
    <t>The initial enrollment of an individual in credit bearing courses or developmental/remedial courses at an institution after completing high school or a high school equivalency program (e.g. GED, Adult High School Diploma).</t>
  </si>
  <si>
    <t>Postsecondary -&gt; PS Student</t>
  </si>
  <si>
    <t>An individual can only be an entering student once at an institution at the undergraduate level.</t>
  </si>
  <si>
    <t>001426</t>
  </si>
  <si>
    <t>PostsecondaryEnteringStudentIndicator</t>
  </si>
  <si>
    <t>Postsecondary Exit or Withdrawal Type</t>
  </si>
  <si>
    <t>001617</t>
  </si>
  <si>
    <t>PostsecondaryExitOrWithdrawalType</t>
  </si>
  <si>
    <t>Postsecondary Program Level</t>
  </si>
  <si>
    <t>The level describing the concentration of study for a postsecondary program.</t>
  </si>
  <si>
    <t>001616</t>
  </si>
  <si>
    <t>PostsecondaryProgram Level</t>
  </si>
  <si>
    <t>Postsecondary Education -&gt; IPEDS
Postsecondary Education -&gt; Student Achievement Measure</t>
  </si>
  <si>
    <t>Postsecondary Student Entering Term</t>
  </si>
  <si>
    <t>The term and year of the initial enrollment of an individual in credit bearing courses or developmental/remedial courses at an institution after completing high school or a high school equivalency program (e.g., GED, Adult High School Diploma).</t>
  </si>
  <si>
    <t>001427</t>
  </si>
  <si>
    <t>PostsecondaryStudentEnteringTerm</t>
  </si>
  <si>
    <t>Postsecondary Student Housing On-Campus</t>
  </si>
  <si>
    <t>The student resides in a residence hall or housing facility owned or controlled by an institution within the same reasonably contiguous geographic area and used by the institution in direct support of or in a manner related to, the institution's educational purposes.</t>
  </si>
  <si>
    <t>IPEDS Definition</t>
  </si>
  <si>
    <t>000760</t>
  </si>
  <si>
    <t>PostsecondaryStudentHousingOnCampus</t>
  </si>
  <si>
    <t>Pre and Post Test Indicator</t>
  </si>
  <si>
    <t>An indication of whether students took both a pre-test and a post-test to measure academic improvement.</t>
  </si>
  <si>
    <t>000571</t>
  </si>
  <si>
    <t>PreAndPostTestIndicator</t>
  </si>
  <si>
    <t>Predominant Calendar System</t>
  </si>
  <si>
    <t>The method by which an institution structures most of its courses for the academic year.</t>
  </si>
  <si>
    <t>Definition and code set in IPEDS</t>
  </si>
  <si>
    <t>000729</t>
  </si>
  <si>
    <t>PredominantCalendarSystem</t>
  </si>
  <si>
    <t>Postsecondary Education -&gt; IPEDS -&gt; Graduation Rate
Postsecondary Education -&gt; IPEDS -&gt; Student Financial Aid</t>
  </si>
  <si>
    <t>Prekindergarten Daily Length</t>
  </si>
  <si>
    <t>The portion of a day that a pre-kindergarten program is provided to the students it serves.</t>
  </si>
  <si>
    <t>000490</t>
  </si>
  <si>
    <t>PrekindergartenDailyLength</t>
  </si>
  <si>
    <t>Prekindergarten Eligibility</t>
  </si>
  <si>
    <t>The groups of students for whom pre-kindergarten programs are available.</t>
  </si>
  <si>
    <t>000216</t>
  </si>
  <si>
    <t>PrekindergartenEligibility</t>
  </si>
  <si>
    <t>Prekindergarten Eligible Ages for Non-IDEA Students</t>
  </si>
  <si>
    <t>000217</t>
  </si>
  <si>
    <t>PrekindergartenEligibleAgesForNonIDEAStudents</t>
  </si>
  <si>
    <t>Present Attendance Category</t>
  </si>
  <si>
    <t>The category that describes how the student spends his or her time when attending an instructional program approved by the state and/or school.</t>
  </si>
  <si>
    <t>000600</t>
  </si>
  <si>
    <t>PresentAttendanceCategory</t>
  </si>
  <si>
    <t>Price of Attendance</t>
  </si>
  <si>
    <t>The total amount institutions estimate that undergraduate-level full-time, first-time degree-seeking students will pay to attend before financial aid is considered. This price includes tuition and fees, books and supplies, room and board, and certain other designated expenses such as transportation. These estimates are the average amounts used by the financial aid office to determine a student’s financial aid.</t>
  </si>
  <si>
    <t>000753</t>
  </si>
  <si>
    <t>PriceOfAttendance</t>
  </si>
  <si>
    <t>Primary Assignment Indicator</t>
  </si>
  <si>
    <t>000525</t>
  </si>
  <si>
    <t>PrimaryAssignmentIndicator</t>
  </si>
  <si>
    <t>Primary Contact Indicator</t>
  </si>
  <si>
    <t>Indicates that a person is a primary contact within the specified context, such as a primary parental contact specified in Person Relationship to Learner or a primary administrative contact for an organization.</t>
  </si>
  <si>
    <t>001428</t>
  </si>
  <si>
    <t>PrimaryContactIndicator</t>
  </si>
  <si>
    <t>Primary Disability Type</t>
  </si>
  <si>
    <t>The major or overriding disability condition that best describes a person's impairment.</t>
  </si>
  <si>
    <t>Option set based on EDFacts. Only one disability condition would be selected. Refer to IDEA Disability Type for selecting multiple disability category options and any additional IDEA disability categories.</t>
  </si>
  <si>
    <t>000218</t>
  </si>
  <si>
    <t>PrimaryDisabilityType</t>
  </si>
  <si>
    <t>Early Learning -&gt; Program Compliance
Early Learning -&gt; Program Entry
K-12 -&gt; EDFacts
K-12 -&gt; LEA-to-LEA Student Record Exchange
K-12 -&gt; LEA-to-SEA Student Record Exchange</t>
  </si>
  <si>
    <t>Primary Telephone Number Indicator</t>
  </si>
  <si>
    <t>An indication that the telephone number should be used as the principal number for a person or organization.</t>
  </si>
  <si>
    <t>000219</t>
  </si>
  <si>
    <t>PrimaryTelephoneNumberIndicator</t>
  </si>
  <si>
    <t>Professional Association Membership Status</t>
  </si>
  <si>
    <t>An indication of whether the person is a member of a professional organization or association.</t>
  </si>
  <si>
    <t>000807</t>
  </si>
  <si>
    <t>ProfessionalAssociationMembershipStatus</t>
  </si>
  <si>
    <t>Professional Association Name</t>
  </si>
  <si>
    <t>The name of a professional association or organization.</t>
  </si>
  <si>
    <t>000808</t>
  </si>
  <si>
    <t>ProfessionalAssociationName</t>
  </si>
  <si>
    <t>Professional Certificate or License Number</t>
  </si>
  <si>
    <t>The number issued by the credentialing/licensing agency.</t>
  </si>
  <si>
    <t>001429</t>
  </si>
  <si>
    <t>ProfessionalCertificateOrLicenseNumber</t>
  </si>
  <si>
    <t>Professional Development Activity Approval Code</t>
  </si>
  <si>
    <t>A code given to an activity by an approval organization to designate it as an approved activity.</t>
  </si>
  <si>
    <t>001432</t>
  </si>
  <si>
    <t>ProfessionalDevelopmentActivityApprovalCode</t>
  </si>
  <si>
    <t>Professional Development Activity Approved Purpose</t>
  </si>
  <si>
    <t>The purposes for which an activity is approved.</t>
  </si>
  <si>
    <t>001433</t>
  </si>
  <si>
    <t>ProfessionalDevelopmentActivityApprovedPurpose</t>
  </si>
  <si>
    <t>Professional Development Activity Code</t>
  </si>
  <si>
    <t>A code assigned to an professional development activity by the organization offering the activity that is unique to the non-variable activity details.</t>
  </si>
  <si>
    <t>001434</t>
  </si>
  <si>
    <t>ProfessionalDevelopmentActivityCode</t>
  </si>
  <si>
    <t>Professional Development Activity Cost</t>
  </si>
  <si>
    <t>The cost for an attendee to participate in a professional development activity.</t>
  </si>
  <si>
    <t>001435</t>
  </si>
  <si>
    <t>ProfessionalDevelopmentActivityCost</t>
  </si>
  <si>
    <t>Professional Development Activity Credit Type</t>
  </si>
  <si>
    <t>The type of credit awarded.</t>
  </si>
  <si>
    <t>001436</t>
  </si>
  <si>
    <t>ProfessionalDevelopmentActivityCreditType</t>
  </si>
  <si>
    <t>Professional Development Activity Credits</t>
  </si>
  <si>
    <t>The number of credits a professional development activity provides.</t>
  </si>
  <si>
    <t>001437</t>
  </si>
  <si>
    <t>ProfessionalDevelopmentActivityCredits</t>
  </si>
  <si>
    <t>Professional Development Activity Description</t>
  </si>
  <si>
    <t>A description of the content covered in the professional development activity.</t>
  </si>
  <si>
    <t>001438</t>
  </si>
  <si>
    <t>ProfessionalDevelopmentActivityDescription</t>
  </si>
  <si>
    <t>Professional Development Activity Education Levels Addressed</t>
  </si>
  <si>
    <t>An age group or education level to which the professional development activity's content pertains.</t>
  </si>
  <si>
    <t>Multiple options may be selected.</t>
  </si>
  <si>
    <t>001279</t>
  </si>
  <si>
    <t>ProfessionalDevelopmentActivityEducationLevelsAddressed</t>
  </si>
  <si>
    <t>Professional Development Activity Expiration Date</t>
  </si>
  <si>
    <t>The year, month, and day on which any certificate awarded as part of a professional development activity expires.</t>
  </si>
  <si>
    <t>001451</t>
  </si>
  <si>
    <t>ProfessionalDevelopmentActivityExpirationDate</t>
  </si>
  <si>
    <t>Professional Development Activity Identifier</t>
  </si>
  <si>
    <t>A unique number or alphanumeric code assigned to the Professional Development Activity as assigned by the organization offering the training.</t>
  </si>
  <si>
    <t>000809</t>
  </si>
  <si>
    <t>ProfessionalDevelopmentActivityIdentifier</t>
  </si>
  <si>
    <t>Professional Development Activity Level</t>
  </si>
  <si>
    <t>An indicator of the level of a professional development activity on the beginner to advanced continuum.</t>
  </si>
  <si>
    <t>001439</t>
  </si>
  <si>
    <t>ProfessionalDevelopmentActivityLevel</t>
  </si>
  <si>
    <t>Professional Development Activity Objective</t>
  </si>
  <si>
    <t>The expected outcomes of a participant in an activity.</t>
  </si>
  <si>
    <t>001440</t>
  </si>
  <si>
    <t>ProfessionalDevelopmentActivityObjective</t>
  </si>
  <si>
    <t>Professional Development Activity State Approved Status</t>
  </si>
  <si>
    <t>An indication of whether a training activity has been approved through a state process.</t>
  </si>
  <si>
    <t>001619</t>
  </si>
  <si>
    <t>ProfessionalDevelopmentActivityStateApprovedStatus</t>
  </si>
  <si>
    <t>Professional Development Activity Target Audience</t>
  </si>
  <si>
    <t>A categorization of the audience for which the professional development activity is intended.</t>
  </si>
  <si>
    <t>001492</t>
  </si>
  <si>
    <t>ProfessionalDevelopmentActivityTargetAudience</t>
  </si>
  <si>
    <t>Professional Development Activity Title</t>
  </si>
  <si>
    <t>The title of an activity designed for the purpose of developing someone professionally.</t>
  </si>
  <si>
    <t>000810</t>
  </si>
  <si>
    <t>ProfessionalDevelopmentActivityTitle</t>
  </si>
  <si>
    <t>Professional Development Activity Type</t>
  </si>
  <si>
    <t>The indication of the type of professional development activity.</t>
  </si>
  <si>
    <t>The type of event should be determined based on the content of the event, not the delivery method.</t>
  </si>
  <si>
    <t>001442</t>
  </si>
  <si>
    <t>ProfessionalDevelopmentActivityType</t>
  </si>
  <si>
    <t>Professional Development Audience Type</t>
  </si>
  <si>
    <t>The type of audience for the professional development activity.</t>
  </si>
  <si>
    <t>001430</t>
  </si>
  <si>
    <t>ProfessionalDevelopmentAudienceType</t>
  </si>
  <si>
    <t>Professional Development Delivery Method</t>
  </si>
  <si>
    <t>The method by which a session is delivered</t>
  </si>
  <si>
    <t>001431</t>
  </si>
  <si>
    <t>ProfessionalDevelopmentDeliveryMethod</t>
  </si>
  <si>
    <t>Professional Development Financial Support Type</t>
  </si>
  <si>
    <t>The type of financial assistance received in support of non-credit professional development activities.</t>
  </si>
  <si>
    <t>000812</t>
  </si>
  <si>
    <t>ProfessionalDevelopmentFinancialSupportType</t>
  </si>
  <si>
    <t>Professional Development Funding Source</t>
  </si>
  <si>
    <t>The primary source of funding for a professional development session.</t>
  </si>
  <si>
    <t>001443</t>
  </si>
  <si>
    <t>ProfessionalDevelopmentFundingSource</t>
  </si>
  <si>
    <t>Professional Development Instructional Delivery Mode</t>
  </si>
  <si>
    <t>The primary setting or medium of professional development delivery.</t>
  </si>
  <si>
    <t>001458</t>
  </si>
  <si>
    <t>ProfessionalDevelopmentInstructionalDeliveryMode</t>
  </si>
  <si>
    <t>Professional Development Instructor Identifier</t>
  </si>
  <si>
    <t>Identifies an instructor of a professional development session.</t>
  </si>
  <si>
    <t>001444</t>
  </si>
  <si>
    <t>ProfessionalDevelopmentInstructorIdentifier</t>
  </si>
  <si>
    <t>Professional Development Plan Approved by Supervisor</t>
  </si>
  <si>
    <t>Professional development plan is approved by the employee's supervisor.</t>
  </si>
  <si>
    <t>001620</t>
  </si>
  <si>
    <t>ProfessionalDevelopmentPlanApprovedBySupervisor</t>
  </si>
  <si>
    <t>Professional Development Plan Completion</t>
  </si>
  <si>
    <t>The date the professional development plan is completed.</t>
  </si>
  <si>
    <t>001621</t>
  </si>
  <si>
    <t>ProfessionalDevelopmentPlanCompletion</t>
  </si>
  <si>
    <t>Professional Development Publish Activity Indicator</t>
  </si>
  <si>
    <t>An indicator of whether the professional development activity should be published.</t>
  </si>
  <si>
    <t>001445</t>
  </si>
  <si>
    <t>ProfessionalDevelopmentPublishActivityIndicator</t>
  </si>
  <si>
    <t>Professional Development Scholarship Status</t>
  </si>
  <si>
    <t>An indication of whether a scholarship was received for the person to participate in the professional development.</t>
  </si>
  <si>
    <t>000811</t>
  </si>
  <si>
    <t>ProfessionalDevelopmentScholarshipStatus</t>
  </si>
  <si>
    <t>Professional Development Session Capacity</t>
  </si>
  <si>
    <t>The total number of participants that can be accommodated by a professional development session.</t>
  </si>
  <si>
    <t>001446</t>
  </si>
  <si>
    <t>ProfessionalDevelopmentSessionCapacity</t>
  </si>
  <si>
    <t>Professional Development Session End Date</t>
  </si>
  <si>
    <t>The year, month and day a professional development session ends.</t>
  </si>
  <si>
    <t>001447</t>
  </si>
  <si>
    <t>ProfessionalDevelopmentSessionEndDate</t>
  </si>
  <si>
    <t>Professional Development Session End Time</t>
  </si>
  <si>
    <t>The time at which a professional development session ends.</t>
  </si>
  <si>
    <t>001448</t>
  </si>
  <si>
    <t>ProfessionalDevelopmentSessionEndTime</t>
  </si>
  <si>
    <t>Professional Development Session Evaluation Method</t>
  </si>
  <si>
    <t>The method used to evaluate a professional development session.</t>
  </si>
  <si>
    <t>001449</t>
  </si>
  <si>
    <t>ProfessionalDevelopmentSessionEvaluationMethod</t>
  </si>
  <si>
    <t>Professional Development Session Evaluation Score</t>
  </si>
  <si>
    <t>The score or rating used to determine if a professional development session was successful.</t>
  </si>
  <si>
    <t>001450</t>
  </si>
  <si>
    <t>ProfessionalDevelopmentSessionEvaluationScore</t>
  </si>
  <si>
    <t>Professional Development Session Identifier</t>
  </si>
  <si>
    <t>001452</t>
  </si>
  <si>
    <t>ProfessionalDevelopmentSessionIdentifier</t>
  </si>
  <si>
    <t>Professional Development Session Language</t>
  </si>
  <si>
    <t>The language in which the professional development session is delivered.</t>
  </si>
  <si>
    <t>001388</t>
  </si>
  <si>
    <t>ProfessionalDevelopmentSessionLanguage</t>
  </si>
  <si>
    <t>Professional Development Session Location Name</t>
  </si>
  <si>
    <t>The name of a location where a professional development session will be held.</t>
  </si>
  <si>
    <t>001454</t>
  </si>
  <si>
    <t>ProfessionalDevelopmentSessionLocationName</t>
  </si>
  <si>
    <t>Professional Development Session Start Date</t>
  </si>
  <si>
    <t>The year, month, and day a professional development session begins.</t>
  </si>
  <si>
    <t>001455</t>
  </si>
  <si>
    <t>ProfessionalDevelopmentSessionStartDate</t>
  </si>
  <si>
    <t>Professional Development Session Start Time</t>
  </si>
  <si>
    <t>The time at which a professional development session begins.</t>
  </si>
  <si>
    <t>001456</t>
  </si>
  <si>
    <t>ProfessionalDevelopmentSessionStartTime</t>
  </si>
  <si>
    <t>Professional Development Session Status</t>
  </si>
  <si>
    <t>The current status of a professional development session</t>
  </si>
  <si>
    <t>001457</t>
  </si>
  <si>
    <t>ProfessionalDevelopmentSessionStatus</t>
  </si>
  <si>
    <t>Professional Educational Job Classification</t>
  </si>
  <si>
    <t>A general job classification that describes staff that performs duties requiring a high degree of knowledge and skills generally acquired through at least a baccalaureate degree (or its equivalent obtained through special study and/or experience) including skills in the field of education, educational psychology, educational social work, or an education therapy field.</t>
  </si>
  <si>
    <t>000220</t>
  </si>
  <si>
    <t>ProfessionalEducationalJobClassification</t>
  </si>
  <si>
    <t>Professional or Technical Credential Conferred</t>
  </si>
  <si>
    <t>An indicator of the category of credential conferred by a state occupational licensing entity or industry organization for competency in a specific area measured by a set of pre-established standards.</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</si>
  <si>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Workforce -&gt; Workforce Program Participant -&gt; Academic Record -&gt; Academic Award
Workforce -&gt; Workforce Program Participant -&gt; Training Record</t>
  </si>
  <si>
    <t>000783</t>
  </si>
  <si>
    <t>ProfessionalOrTechnicalCredentialConferred</t>
  </si>
  <si>
    <t>Proficiency Status</t>
  </si>
  <si>
    <t>An indication of whether a student's scores were proficient.</t>
  </si>
  <si>
    <t>Assessments -&gt; Assessment Item -&gt; Assessment Item Response
K12 -&gt; K12 Student -&gt; Academic Record</t>
  </si>
  <si>
    <t>000573</t>
  </si>
  <si>
    <t>ProficiencyStatus</t>
  </si>
  <si>
    <t>Proficiency Target Status for Math</t>
  </si>
  <si>
    <t>An indication of whether the school or district met the math proficiency target in accordance with state definition for the purposes of determining AYP.</t>
  </si>
  <si>
    <t>000221</t>
  </si>
  <si>
    <t>ProficiencyTargetStatusForMath</t>
  </si>
  <si>
    <t>Proficiency Target Status for Reading and Language Arts</t>
  </si>
  <si>
    <t>An indication of whether the school or district met the reading/language arts proficiency target in accordance with state definition for the purposes of determining AYP.</t>
  </si>
  <si>
    <t>000553</t>
  </si>
  <si>
    <t>ProficiencyTargetStatusForReadingAndLanguageArts</t>
  </si>
  <si>
    <t>Program Collects Parental Feedback</t>
  </si>
  <si>
    <t>An indication of whether the program collects feedback from parents that informs program content and/or administration.</t>
  </si>
  <si>
    <t>000854</t>
  </si>
  <si>
    <t>ProgramCollectsParentalFeedback</t>
  </si>
  <si>
    <t>Early Learning -&gt; Program Quality
School Readiness</t>
  </si>
  <si>
    <t>Program Entry Reason</t>
  </si>
  <si>
    <t>The documented or assumed reason a person is being served by a program.</t>
  </si>
  <si>
    <t>001922</t>
  </si>
  <si>
    <t>ProgramEntryReason</t>
  </si>
  <si>
    <t>Program Follows Salary Scale</t>
  </si>
  <si>
    <t>An indication of whether a program has a salary scale that is followed for practitioners</t>
  </si>
  <si>
    <t>000863</t>
  </si>
  <si>
    <t>ProgramFollowsSalaryScale</t>
  </si>
  <si>
    <t>Program Gifted Eligibility Criteria</t>
  </si>
  <si>
    <t>State/local code used to determine a student's eligibility for Gifted/Talented program.</t>
  </si>
  <si>
    <t>K12 -&gt; K12 School -&gt; Institution Characteristics
K12 -&gt; K12 Student -&gt; Enrollment
K12 -&gt; LEA -&gt; Programs and Services</t>
  </si>
  <si>
    <t>001244</t>
  </si>
  <si>
    <t>ProgramGiftedEligibilityCriteria</t>
  </si>
  <si>
    <t>Program Health Safety Checklist Use Status</t>
  </si>
  <si>
    <t>An indication of whether a program uses a health or safety checklist or documentation.</t>
  </si>
  <si>
    <t>000851</t>
  </si>
  <si>
    <t>ProgramHeathSafetyChecklistUseStatus</t>
  </si>
  <si>
    <t>Program Identifier</t>
  </si>
  <si>
    <t>A unique number or alphanumeric code assigned to a program by a school, school system, a state, or other agency or entity.</t>
  </si>
  <si>
    <t>000625</t>
  </si>
  <si>
    <t>ProgramIdentifier</t>
  </si>
  <si>
    <t>Program in Multiple Purpose Facility</t>
  </si>
  <si>
    <t>000485</t>
  </si>
  <si>
    <t>ProgramInMultiplePurposeFacility</t>
  </si>
  <si>
    <t>Program Length Hours</t>
  </si>
  <si>
    <t>The normal length in credit/contact hours of a person's program as published in the institution's catalogue, website, or other official documents.</t>
  </si>
  <si>
    <t>000223</t>
  </si>
  <si>
    <t>ProgramLengthHours</t>
  </si>
  <si>
    <t>Program Length Hours Type</t>
  </si>
  <si>
    <t>The type of hours (credit or contact) by which the normal length of a program of study is measured.</t>
  </si>
  <si>
    <t>000224</t>
  </si>
  <si>
    <t>ProgramLengthHoursType</t>
  </si>
  <si>
    <t>Program Name</t>
  </si>
  <si>
    <t>The name of the program of instruction, training, services or benefits available through federal, state, or local agencies.</t>
  </si>
  <si>
    <t>000626</t>
  </si>
  <si>
    <t>ProgramName</t>
  </si>
  <si>
    <t>Program Participation Exit Date</t>
  </si>
  <si>
    <t>000591</t>
  </si>
  <si>
    <t>ProgramParticipationExitDate</t>
  </si>
  <si>
    <t>K-12 -&gt; EDFacts
Postsecondary Education -&gt; Student Achievement Measure</t>
  </si>
  <si>
    <t>Program Participation Start Date</t>
  </si>
  <si>
    <t>The year, month and day on which the person began to participate in a program.</t>
  </si>
  <si>
    <t>000590</t>
  </si>
  <si>
    <t>ProgramParticipationStartDate</t>
  </si>
  <si>
    <t>K-12 -&gt; EDFacts
Postsecondary Education -&gt; Student Achievement Measure
School Readiness</t>
  </si>
  <si>
    <t>Program Participation Status</t>
  </si>
  <si>
    <t>The current status of the student's program participation.</t>
  </si>
  <si>
    <t>001243</t>
  </si>
  <si>
    <t>ProgramParticipationStatus</t>
  </si>
  <si>
    <t>Program Provides Parent Education</t>
  </si>
  <si>
    <t>An indication of whether the program provides parent training/education/workshops.</t>
  </si>
  <si>
    <t>000856</t>
  </si>
  <si>
    <t>ProgramProvidesParentEducation</t>
  </si>
  <si>
    <t>Program Provides Parent Involvement Opportunity</t>
  </si>
  <si>
    <t>An indication of whether the program provides opportunities to parents to be involved with their children's activities.</t>
  </si>
  <si>
    <t>000855</t>
  </si>
  <si>
    <t>ProgramProvidesParentInvolvementOpportunity</t>
  </si>
  <si>
    <t>Program Provides Translated Materials</t>
  </si>
  <si>
    <t>An indication of whether a program translates written materials into the individual's home or parent's language.</t>
  </si>
  <si>
    <t>000845</t>
  </si>
  <si>
    <t>ProgramProvidesTranslatedMaterials</t>
  </si>
  <si>
    <t>Program Provides Written Handbook</t>
  </si>
  <si>
    <t>An indication of whether the program provides each parent with a written handbook.</t>
  </si>
  <si>
    <t>000853</t>
  </si>
  <si>
    <t>ProgramProvidesWrittenHandbook</t>
  </si>
  <si>
    <t>Program Sponsor Type</t>
  </si>
  <si>
    <t>A type of organization providing funds for a particular educational or service program or activity or for an individual's participation in the program or activity.</t>
  </si>
  <si>
    <t>000716</t>
  </si>
  <si>
    <t>ProgramSponsorType</t>
  </si>
  <si>
    <t>Program Transition Planning Policy</t>
  </si>
  <si>
    <t>An indication of whether a program has a transition planning policy (to center, to classroom, to school).</t>
  </si>
  <si>
    <t>000859</t>
  </si>
  <si>
    <t>ProgramTransitionPlanningPolicy</t>
  </si>
  <si>
    <t>Program Type</t>
  </si>
  <si>
    <t>The system outlining instructional or non-instructional activities and procedures designed to accomplish a predetermined educational objective or set of objectives or to provide support services to a person and/or the community.</t>
  </si>
  <si>
    <t>000225</t>
  </si>
  <si>
    <t>ProgramType</t>
  </si>
  <si>
    <t>Progress Achieving English Language Proficiency Indicator Type</t>
  </si>
  <si>
    <t>The category used to report the school's performance on the progress of achieving the English language proficiency indicator.</t>
  </si>
  <si>
    <t>001915</t>
  </si>
  <si>
    <t>ProgressAchievingEnglishLanguageProficiencyIndicatorType</t>
  </si>
  <si>
    <t>Progress Achieving English Language Proficiency State Defined Status</t>
  </si>
  <si>
    <t>The state defined status assigned to the school's performance on the progress of achieving the English language proficiency indicator.</t>
  </si>
  <si>
    <t>001916</t>
  </si>
  <si>
    <t>ProgressAchievingEnglishLanguageProficiencyStateDefinedStatus</t>
  </si>
  <si>
    <t>Progress Level</t>
  </si>
  <si>
    <t>The amount of progress shown in academic subjects.</t>
  </si>
  <si>
    <t>000561</t>
  </si>
  <si>
    <t>ProgressLevel</t>
  </si>
  <si>
    <t>Projected Graduation Date</t>
  </si>
  <si>
    <t>The year and month the student is projected to graduate.</t>
  </si>
  <si>
    <t>000226</t>
  </si>
  <si>
    <t>ProjectedGraduationDate</t>
  </si>
  <si>
    <t>Promotion Reason</t>
  </si>
  <si>
    <t>The nature of the student's promotion or progress at the end of a given school term.</t>
  </si>
  <si>
    <t>000530</t>
  </si>
  <si>
    <t>PromotionReason</t>
  </si>
  <si>
    <t>Proof of Residency Type</t>
  </si>
  <si>
    <t>An accepted form of proof of residency in the district/county/other locality.</t>
  </si>
  <si>
    <t>000305</t>
  </si>
  <si>
    <t>ProofOfResidencyType</t>
  </si>
  <si>
    <t>Proxy Contact Hours</t>
  </si>
  <si>
    <t>The number of instructional hours completed by an adult enrolled in a distance learning program.</t>
  </si>
  <si>
    <t>000790</t>
  </si>
  <si>
    <t>ProxyContactHours</t>
  </si>
  <si>
    <t>Public Assistance Status</t>
  </si>
  <si>
    <t>A person who receives financial assistance from Federal, State, or local government agencies, including Temporary Assistance for Needy Families or equivalent.</t>
  </si>
  <si>
    <t>000777</t>
  </si>
  <si>
    <t>PublicAssistanceStatus</t>
  </si>
  <si>
    <t>Public Education Mill Rate</t>
  </si>
  <si>
    <t>The millage rate used to calculate property tax revenue for K-12 public education.</t>
  </si>
  <si>
    <t>Numeric - up to 2 digits before and 8 digits after decimal place</t>
  </si>
  <si>
    <t>001895</t>
  </si>
  <si>
    <t>PublicEducationMillRate</t>
  </si>
  <si>
    <t>Public School Choice Funds Spent</t>
  </si>
  <si>
    <t>The dollar amount spent on transportation for public school choice during the school year under Title I of ESEA as amended, Part A, Section 1116.</t>
  </si>
  <si>
    <t>000568</t>
  </si>
  <si>
    <t>PublicSchoolChoiceFundsSpent</t>
  </si>
  <si>
    <t>Public School Choice Implementation Status</t>
  </si>
  <si>
    <t>An indication of whether the LEA was able to implement the provisions for public school choice under Title I, Part A, Section 1116 of ESEA as amended.</t>
  </si>
  <si>
    <t>000227</t>
  </si>
  <si>
    <t>PublicSchoolChoiceImplementationStatus</t>
  </si>
  <si>
    <t>Public School Residence Status</t>
  </si>
  <si>
    <t>An indication of the location of a persons legal residence relative to (within or outside) the boundaries of the public school attended and its administrative unit.</t>
  </si>
  <si>
    <t>000532</t>
  </si>
  <si>
    <t>PublicSchoolResidenceStatus</t>
  </si>
  <si>
    <t>Purpose of Monitoring Visit</t>
  </si>
  <si>
    <t>The purpose for the monitoring visit.</t>
  </si>
  <si>
    <t>001333</t>
  </si>
  <si>
    <t>PurposeOfMonitoringVisit</t>
  </si>
  <si>
    <t>Qualifying Move From City</t>
  </si>
  <si>
    <t>The name of the city in which the child resided prior to the qualifying move.</t>
  </si>
  <si>
    <t>000433</t>
  </si>
  <si>
    <t>QualifyingMoveFromCity</t>
  </si>
  <si>
    <t>Qualifying Move From Country</t>
  </si>
  <si>
    <t>The abbreviation code for a country (other than the US) area in which the child resided prior to the qualifying move.</t>
  </si>
  <si>
    <t>000434</t>
  </si>
  <si>
    <t>QualifyingMoveFromCountry</t>
  </si>
  <si>
    <t>Qualifying Move From State</t>
  </si>
  <si>
    <t>The postal abbreviation code for a state (within the United States) or outlying area in which the child resided prior to the qualifying move.</t>
  </si>
  <si>
    <t>000435</t>
  </si>
  <si>
    <t>QualifyingMoveFromState</t>
  </si>
  <si>
    <t>Quality Initiative Maximum Score</t>
  </si>
  <si>
    <t>The maximum score option for the QRIS or other quality initiative.</t>
  </si>
  <si>
    <t>001460</t>
  </si>
  <si>
    <t>QualityInitiativeMaximumScore</t>
  </si>
  <si>
    <t>Quality Initiative Minimum Score</t>
  </si>
  <si>
    <t>The minimum score option for the QRIS or other quality initiative.</t>
  </si>
  <si>
    <t>001461</t>
  </si>
  <si>
    <t>QualityInitiativeMinimumScore</t>
  </si>
  <si>
    <t>Quality Initiative Participation End Date</t>
  </si>
  <si>
    <t>The quality initiative end date.</t>
  </si>
  <si>
    <t>001464</t>
  </si>
  <si>
    <t>QualityInitiativeParticipationEndDate</t>
  </si>
  <si>
    <t>Quality Initiative Participation Indicator</t>
  </si>
  <si>
    <t>Site participates in a quality improvement initiative component other than QRIS.</t>
  </si>
  <si>
    <t>001463</t>
  </si>
  <si>
    <t>QualityInitiativeParticipationIndicator</t>
  </si>
  <si>
    <t>Quality Initiative Participation Start Date</t>
  </si>
  <si>
    <t>The quality initiative start date.</t>
  </si>
  <si>
    <t>001465</t>
  </si>
  <si>
    <t>QualityInitiativeParticipationStartDate</t>
  </si>
  <si>
    <t>Quality Initiative Score Level</t>
  </si>
  <si>
    <t>The score, rating or level received by a program for its Quality Rating and Improvement System (QRIS) or other quality initiative.</t>
  </si>
  <si>
    <t>001462</t>
  </si>
  <si>
    <t>QualityInitiativeScoreLevel</t>
  </si>
  <si>
    <t>Quality Rating and Improvement System Award Date</t>
  </si>
  <si>
    <t>Date Quality Rating and Improvement System score, level or rating was awarded.</t>
  </si>
  <si>
    <t>000830</t>
  </si>
  <si>
    <t>QRIS Award Date</t>
  </si>
  <si>
    <t>QRISAwardDate</t>
  </si>
  <si>
    <t>Quality Rating and Improvement System Expiration Date</t>
  </si>
  <si>
    <t>Date Quality Rating and Improvement System score, level or rating expires.</t>
  </si>
  <si>
    <t>000831</t>
  </si>
  <si>
    <t>QRIS Expiration Date</t>
  </si>
  <si>
    <t>QRISExpirationDate</t>
  </si>
  <si>
    <t>Quality Rating and Improvement System Participation</t>
  </si>
  <si>
    <t>Program site participates in a Quality Rating and Improvement System (QRIS).</t>
  </si>
  <si>
    <t>000357</t>
  </si>
  <si>
    <t>QRIS Participation</t>
  </si>
  <si>
    <t>QRISParticipation</t>
  </si>
  <si>
    <t>Early Learning -&gt; Quality</t>
  </si>
  <si>
    <t>Quality Rating and Improvement System Score</t>
  </si>
  <si>
    <t>The score, rating or level received by a program for its Quality Rating and Improvement System (QRIS).</t>
  </si>
  <si>
    <t>000358</t>
  </si>
  <si>
    <t>QRIS Score</t>
  </si>
  <si>
    <t>QRISScore</t>
  </si>
  <si>
    <t>Quarterly Earnings</t>
  </si>
  <si>
    <t>The quarterly amount paid to individuals found employed during the reference period.</t>
  </si>
  <si>
    <t>Workforce Notes: Quarterly earnings are the sum of all the reported earnings for each individual for all jobs held during the reference quarter. "Reference" quarter is the period of employment defined by the agency for its purposes either for students who are enrolled or after they exit. The amount is expressed as a numeric dollar amount. Note that it may be desirable to collect these data over time, in a longitudinal sense, to measure things related to persistence and growth in employment.</t>
  </si>
  <si>
    <t>000989</t>
  </si>
  <si>
    <t>QuarterlyEarnings</t>
  </si>
  <si>
    <t>Reason for Declined Services</t>
  </si>
  <si>
    <t>The reason given for declining the recommended services.</t>
  </si>
  <si>
    <t>001488</t>
  </si>
  <si>
    <t>ReasonForDeclinedServices</t>
  </si>
  <si>
    <t>Reason for Delay of Transition Conference</t>
  </si>
  <si>
    <t>The reasons for the delay of a transition conference.</t>
  </si>
  <si>
    <t>001521</t>
  </si>
  <si>
    <t>ReasonForDelayOfTransitionConference</t>
  </si>
  <si>
    <t>Reason Not Tested</t>
  </si>
  <si>
    <t>The primary reason a student is not tested.</t>
  </si>
  <si>
    <t>000228</t>
  </si>
  <si>
    <t>ReasonNotTested</t>
  </si>
  <si>
    <t>Receiving Location of Instruction</t>
  </si>
  <si>
    <t>The type of location at which instruction or service takes place.</t>
  </si>
  <si>
    <t>000524</t>
  </si>
  <si>
    <t>ReceivingLocationOfInstruction</t>
  </si>
  <si>
    <t>Recognition for Participation or Performance in an Activity</t>
  </si>
  <si>
    <t>The nature of recognition given to the student for accomplishments in a co-curricular, or extra-curricular activity.</t>
  </si>
  <si>
    <t>000229</t>
  </si>
  <si>
    <t>RecognitionForParticipationOrPerformanceInAnActivity</t>
  </si>
  <si>
    <t>Reconstituted Status</t>
  </si>
  <si>
    <t>An indication that the school was restructured, transformed or otherwise changed as a consequence of the state’s accountability system under ESEA or as a result of School Improvement Grants (SIG).</t>
  </si>
  <si>
    <t>000230</t>
  </si>
  <si>
    <t>ReconstitutedStatus</t>
  </si>
  <si>
    <t>Record End Date Time</t>
  </si>
  <si>
    <t>The end date and, optionally, time that a record is active as used to support version control.</t>
  </si>
  <si>
    <t>See CEDS Integrated Data Store for use in version control. All CEDS Exit and End Dates represent the last day of the date range specified.</t>
  </si>
  <si>
    <t>001918</t>
  </si>
  <si>
    <t>RecordEndDateTime</t>
  </si>
  <si>
    <t>Record Start Date Time</t>
  </si>
  <si>
    <t>The start date and, optionally, time that a record is active as used to support version control.</t>
  </si>
  <si>
    <t>See CEDS Integrated Data Store for use in version control.</t>
  </si>
  <si>
    <t>001917</t>
  </si>
  <si>
    <t>RecordStartDateTime</t>
  </si>
  <si>
    <t>Referral Date</t>
  </si>
  <si>
    <t>The date of referral.</t>
  </si>
  <si>
    <t>001481</t>
  </si>
  <si>
    <t>ReferralDate</t>
  </si>
  <si>
    <t>Referral Outcome</t>
  </si>
  <si>
    <t>The outcome of the referral.</t>
  </si>
  <si>
    <t>001482</t>
  </si>
  <si>
    <t>ReferralOutcome</t>
  </si>
  <si>
    <t>Referral Policy</t>
  </si>
  <si>
    <t>An indication of whether the program has a policy for referrals for all children requiring them.</t>
  </si>
  <si>
    <t>000850</t>
  </si>
  <si>
    <t>ReferralPolicy</t>
  </si>
  <si>
    <t>Referral Reason</t>
  </si>
  <si>
    <t>The reason for the referral.</t>
  </si>
  <si>
    <t>001483</t>
  </si>
  <si>
    <t>ReferralReason</t>
  </si>
  <si>
    <t>Referral Source</t>
  </si>
  <si>
    <t>The person, program, or organization making the initial referral.</t>
  </si>
  <si>
    <t>001484</t>
  </si>
  <si>
    <t>ReferralSource</t>
  </si>
  <si>
    <t>Referral Type Received</t>
  </si>
  <si>
    <t>A type of service that a child or family has received a referral for.</t>
  </si>
  <si>
    <t>001485</t>
  </si>
  <si>
    <t>ReferralTypeReceived</t>
  </si>
  <si>
    <t>Referred To</t>
  </si>
  <si>
    <t>The program or organization to which the child/family was referred.</t>
  </si>
  <si>
    <t>001486</t>
  </si>
  <si>
    <t>ReferredTo</t>
  </si>
  <si>
    <t>Reimbursement Type</t>
  </si>
  <si>
    <t>A billable basis which defines payment. This is how state agencies/programs move funding to the local provider/agency.</t>
  </si>
  <si>
    <t>001622</t>
  </si>
  <si>
    <t>ReimbursementType</t>
  </si>
  <si>
    <t>Related Competency Definitions</t>
  </si>
  <si>
    <t>An indication of the competency definition(s) addressed in the Course Section.</t>
  </si>
  <si>
    <t>000231</t>
  </si>
  <si>
    <t>Related Learning Standard Items, Related Competency Items</t>
  </si>
  <si>
    <t>RelatedCompetencyDefinitions</t>
  </si>
  <si>
    <t>Related to Zero Tolerance Policy</t>
  </si>
  <si>
    <t>An indication of whether or not any of the disciplinary actions taken against a student were imposed as a consequence of state or local zero tolerance policies.</t>
  </si>
  <si>
    <t>000512</t>
  </si>
  <si>
    <t>RelatedToZeroTolerancePolicy</t>
  </si>
  <si>
    <t>Report Date</t>
  </si>
  <si>
    <t>The month, day, and year on which a report was produced.</t>
  </si>
  <si>
    <t>001759</t>
  </si>
  <si>
    <t>ReportDate</t>
  </si>
  <si>
    <t>Reporter Identifier</t>
  </si>
  <si>
    <t>000507</t>
  </si>
  <si>
    <t>ReporterIdentifier</t>
  </si>
  <si>
    <t>Required Immunization</t>
  </si>
  <si>
    <t>An indication that an immunization is specifically required by an organization or governing body.</t>
  </si>
  <si>
    <t>000307</t>
  </si>
  <si>
    <t>RequiredImmunization</t>
  </si>
  <si>
    <t>Required Student Fees</t>
  </si>
  <si>
    <t>Fixed sum charged to persons for items not covered by tuition and required of such a large proportion of all students that the student who does not pay the charge is the exception.</t>
  </si>
  <si>
    <t>000747</t>
  </si>
  <si>
    <t>RequiredStudentFees</t>
  </si>
  <si>
    <t>Required Training Clock Hours</t>
  </si>
  <si>
    <t>Number of clock hours of training required for providers to meet requirements of the state.</t>
  </si>
  <si>
    <t>000804</t>
  </si>
  <si>
    <t>RequiredTrainingClockHours</t>
  </si>
  <si>
    <t>Responsible District Identifier</t>
  </si>
  <si>
    <t>The district responsible for specific educational services and/or instruction of the student.</t>
  </si>
  <si>
    <t>000637</t>
  </si>
  <si>
    <t>ResponsibleDistrictIdentifier</t>
  </si>
  <si>
    <t>Responsible District Type</t>
  </si>
  <si>
    <t>The type of responsibility the district has for the student.</t>
  </si>
  <si>
    <t>000594</t>
  </si>
  <si>
    <t>ResponsibleDistrictType</t>
  </si>
  <si>
    <t>Responsible Organization Identifier</t>
  </si>
  <si>
    <t>This may be used to specify responsibility when the organization is not a school (Responsible School) or school district (Responsible District).</t>
  </si>
  <si>
    <t>001466</t>
  </si>
  <si>
    <t>ResponsibleOrganizationIdentifier</t>
  </si>
  <si>
    <t>Responsible Organization Type</t>
  </si>
  <si>
    <t>The type of responsibility the organization has for the student.</t>
  </si>
  <si>
    <t>001467</t>
  </si>
  <si>
    <t>ResponsibleOrganizationType</t>
  </si>
  <si>
    <t>Responsible School Identifier</t>
  </si>
  <si>
    <t>The school responsible for specific education services and/or instruction of the student.</t>
  </si>
  <si>
    <t>000638</t>
  </si>
  <si>
    <t>ResponsibleSchoolIdentifier</t>
  </si>
  <si>
    <t>Responsible School Type</t>
  </si>
  <si>
    <t>The type of services/instruction the school is responsible for providing to the student.</t>
  </si>
  <si>
    <t>000595</t>
  </si>
  <si>
    <t>ResponsibleSchoolType</t>
  </si>
  <si>
    <t>Restructuring Action</t>
  </si>
  <si>
    <t>000232</t>
  </si>
  <si>
    <t>RestructuringAction</t>
  </si>
  <si>
    <t>Room Charges</t>
  </si>
  <si>
    <t>The charges for an academic year for rooming accommodations for a typical student sharing a room with one other student.</t>
  </si>
  <si>
    <t>000749</t>
  </si>
  <si>
    <t>RoomCharges</t>
  </si>
  <si>
    <t>Rubric Criterion Category</t>
  </si>
  <si>
    <t>A textual label for category by which Rubric Criterion may be grouped.</t>
  </si>
  <si>
    <t>Assessments -&gt; Assessment Item -&gt; Rubric
Assessments -&gt; Rubric</t>
  </si>
  <si>
    <t>001469</t>
  </si>
  <si>
    <t>RubricCriterionCategory</t>
  </si>
  <si>
    <t>Rubric Criterion Description</t>
  </si>
  <si>
    <t>Text describing a criterion that must be met to demonstrate quality for a product, process, or performance task.</t>
  </si>
  <si>
    <t>001470</t>
  </si>
  <si>
    <t>RubricCriterionDescription</t>
  </si>
  <si>
    <t>Rubric Criterion Level Description</t>
  </si>
  <si>
    <t>001471</t>
  </si>
  <si>
    <t>RubricCriterionLevelDescription</t>
  </si>
  <si>
    <t>Rubric Criterion Level Feedback</t>
  </si>
  <si>
    <t>001472</t>
  </si>
  <si>
    <t>RubricCriterionLevelFeedback</t>
  </si>
  <si>
    <t>Rubric Criterion Level Position</t>
  </si>
  <si>
    <t>A numeric value representing the level's position in the list of levels defined for the Rubric Criterion.</t>
  </si>
  <si>
    <t>001473</t>
  </si>
  <si>
    <t>RubricCriterionLevelPosition</t>
  </si>
  <si>
    <t>Rubric Criterion Level Quality Label</t>
  </si>
  <si>
    <t>A qualitative description of this degree of achievement used for column headers or row labels in tabular rubrics.</t>
  </si>
  <si>
    <t>001474</t>
  </si>
  <si>
    <t>RubricCriterionLevelQualityLabel</t>
  </si>
  <si>
    <t>Rubric Criterion Level Score</t>
  </si>
  <si>
    <t>The points awarded for achieving this level.</t>
  </si>
  <si>
    <t>001475</t>
  </si>
  <si>
    <t>RubricCriterionLevelScore</t>
  </si>
  <si>
    <t>Rubric Criterion Position</t>
  </si>
  <si>
    <t>A numeric value representing this criterion's position in the criteria list for this rubric.</t>
  </si>
  <si>
    <t>001476</t>
  </si>
  <si>
    <t>RubricCriterionPosition</t>
  </si>
  <si>
    <t>Rubric Criterion Title</t>
  </si>
  <si>
    <t>The title of the rubric criterion.</t>
  </si>
  <si>
    <t>001477</t>
  </si>
  <si>
    <t>RubricCriterionTitle</t>
  </si>
  <si>
    <t>Rubric Criterion Weight</t>
  </si>
  <si>
    <t>A numeric weight assigned to this Rubric Criterion, used for scored rubrics.</t>
  </si>
  <si>
    <t>001478</t>
  </si>
  <si>
    <t>RubricCriterionWeight</t>
  </si>
  <si>
    <t>Rubric Description</t>
  </si>
  <si>
    <t>Text describing the intended use of the rubric.</t>
  </si>
  <si>
    <t>001479</t>
  </si>
  <si>
    <t>RubricDescription</t>
  </si>
  <si>
    <t>Rubric Identifier</t>
  </si>
  <si>
    <t>An identifier assigned to a rubric.</t>
  </si>
  <si>
    <t>000422</t>
  </si>
  <si>
    <t>AssessmentRubricIdentifier</t>
  </si>
  <si>
    <t>Rubric Title</t>
  </si>
  <si>
    <t>The title of the rubric.</t>
  </si>
  <si>
    <t>000421</t>
  </si>
  <si>
    <t>AssessmentRubricTitle</t>
  </si>
  <si>
    <t>Rubric URL Reference</t>
  </si>
  <si>
    <t>The URL location where the rubric may be found.</t>
  </si>
  <si>
    <t>000423</t>
  </si>
  <si>
    <t>AssessmentRubricURLReference</t>
  </si>
  <si>
    <t>Rural Education Achievement Program Alternative Funding Status</t>
  </si>
  <si>
    <t>An indication that the local education agency (LEA) notified the state of the LEA's intention to use REAP-Flex Alternative Uses of Funding Authority during the school year as specified in the Title VI, Section 6211 of ESEA as amended.</t>
  </si>
  <si>
    <t>000560</t>
  </si>
  <si>
    <t>REAP Alternative Funding Status</t>
  </si>
  <si>
    <t>REAPAlternativeFundingStatus</t>
  </si>
  <si>
    <t>Rural Residency Status</t>
  </si>
  <si>
    <t>A person who resides in a place with a population of less than 2,500 that is not near any metropolitan area with a population greater than 50,000, or in a city with adjacent areas of high density.</t>
  </si>
  <si>
    <t>000778</t>
  </si>
  <si>
    <t>RuralResidencyStatus</t>
  </si>
  <si>
    <t>Safe and Drug Free Baseline</t>
  </si>
  <si>
    <t>The baseline of the performance indicator of student behavior under the Safe and Drug-Free Schools and Communities Act.</t>
  </si>
  <si>
    <t>K12 -&gt; LEA -&gt; Safe and Drug Free Program</t>
  </si>
  <si>
    <t>000477</t>
  </si>
  <si>
    <t>SafeAndDrugFreeBaseline</t>
  </si>
  <si>
    <t>Safe and Drug Free Baseline Year</t>
  </si>
  <si>
    <t>The academic year the baseline was established.</t>
  </si>
  <si>
    <t>000478</t>
  </si>
  <si>
    <t>SafeAndDrugFreeBaselineYear</t>
  </si>
  <si>
    <t>Safe and Drug Free Collection Frequency</t>
  </si>
  <si>
    <t>000473</t>
  </si>
  <si>
    <t>SafeAndDrugFreeCollectionFrequency</t>
  </si>
  <si>
    <t>Safe and Drug Free Indicator Name</t>
  </si>
  <si>
    <t>The name of the performance indicator for student behaviors under the Safe and Drug-Free Schools and Communities Act.</t>
  </si>
  <si>
    <t>000471</t>
  </si>
  <si>
    <t>SafeAndDrugFreeIndicatorName</t>
  </si>
  <si>
    <t>Safe and Drug Free Instrument</t>
  </si>
  <si>
    <t>The instrument or data source for reported performance indicator of student behavior under the Safe and Drug-Free Schools and Communities Act.</t>
  </si>
  <si>
    <t>000472</t>
  </si>
  <si>
    <t>SafeAndDrugFreeInstrument</t>
  </si>
  <si>
    <t>Safe and Drug Free Performance</t>
  </si>
  <si>
    <t>000476</t>
  </si>
  <si>
    <t>SafeAndDrugFreePerformance</t>
  </si>
  <si>
    <t>Safe and Drug Free Target</t>
  </si>
  <si>
    <t>000475</t>
  </si>
  <si>
    <t>SafeAndDrugFreeTarget</t>
  </si>
  <si>
    <t>Safe and Drug Free Year Most Recent Collection</t>
  </si>
  <si>
    <t>The academic year of the most recent collection of the performance indicator under the Sage and Drug-Free Schools and Communities Act.</t>
  </si>
  <si>
    <t>000474</t>
  </si>
  <si>
    <t>SafeAndDrugFreeYearMostRecentCollection</t>
  </si>
  <si>
    <t>Salary for Teaching Assignment Only Indicator</t>
  </si>
  <si>
    <t>Indicator to determine whether the teacher's base salary includes pay for teaching assignments alone.</t>
  </si>
  <si>
    <t>000234</t>
  </si>
  <si>
    <t>SalaryForTeachingAssignmentOnlyIndicator</t>
  </si>
  <si>
    <t>Scheduled Well Child Screening</t>
  </si>
  <si>
    <t>The individual well child visit scheduled according to the AAP recommended periodicity schedule.</t>
  </si>
  <si>
    <t>001623</t>
  </si>
  <si>
    <t>ScheduledWellChildScreening</t>
  </si>
  <si>
    <t>School Choice Applied for Transfer Status</t>
  </si>
  <si>
    <t>An indication that a student applied to transfer in the current year (regardless of whether the student transferred), OR previously applied and transferred under the public school choice provisions and continue to attend the transfer school in the current year.</t>
  </si>
  <si>
    <t>K12 -&gt; K12 Student -&gt; Title I</t>
  </si>
  <si>
    <t>000235</t>
  </si>
  <si>
    <t>SchoolChoiceAppliedForTransferStatus</t>
  </si>
  <si>
    <t>School Choice Eligible for Transfer Status</t>
  </si>
  <si>
    <t>An indication the student is eligible to transfer for the current school year under the public school choice provisions or who applied and transferred in the current school year under the public school choice provisions or previously applied and transferred under the public school choice provisions and continue to attend the transfer school in the current year.</t>
  </si>
  <si>
    <t>Which students should be reported?</t>
  </si>
  <si>
    <t>000236</t>
  </si>
  <si>
    <t>SchoolChoiceEligibleForTransferStatus</t>
  </si>
  <si>
    <t>School Choice Transfer Status</t>
  </si>
  <si>
    <t>000237</t>
  </si>
  <si>
    <t>SchoolChoiceTransferStatus</t>
  </si>
  <si>
    <t>School Courses for the Exchange of Data Course Code</t>
  </si>
  <si>
    <t>The five-digit SCED code. The first two-digits of the code represent the Course Subject Area and the next three digits identify the course number. These identifiers are fairly general but provide enough specificity to identify the course's topic and to distinguish it from other courses in that subject area.</t>
  </si>
  <si>
    <t>001517</t>
  </si>
  <si>
    <t>SCED Course Code</t>
  </si>
  <si>
    <t>SCEDCourseCode</t>
  </si>
  <si>
    <t>School Courses for the Exchange of Data Course Level</t>
  </si>
  <si>
    <t>001516</t>
  </si>
  <si>
    <t>SCED Course Level</t>
  </si>
  <si>
    <t>SCEDCourseLevel</t>
  </si>
  <si>
    <t>School Courses for the Exchange of Data Course Subject Area</t>
  </si>
  <si>
    <t>The intended major subject area of the education course.</t>
  </si>
  <si>
    <t>001518</t>
  </si>
  <si>
    <t>SCED Course Subject Area</t>
  </si>
  <si>
    <t>SCEDCourseSubjectArea</t>
  </si>
  <si>
    <t>School Courses for the Exchange of Data Grade Span</t>
  </si>
  <si>
    <t>The grade span for which the course is appropriate.</t>
  </si>
  <si>
    <t>K12 -&gt; K12 Course
K12 -&gt; K12 Student -&gt; Graduation Plan -&gt; Course</t>
  </si>
  <si>
    <t>Alphanumeric - exactly 4 characters in length</t>
  </si>
  <si>
    <t>001480</t>
  </si>
  <si>
    <t>SCED Grade Span</t>
  </si>
  <si>
    <t>SCEDGradeSpan</t>
  </si>
  <si>
    <t>School Courses for the Exchange of Data Sequence of Course</t>
  </si>
  <si>
    <t>Where a specific course lies when it is part of a consecutive sequence of courses. This element should be interpreted as "part 'n' of 'm' parts.</t>
  </si>
  <si>
    <t>For example: if a school offers 4 years of Theater, Theater 3 within this school would be indicated in the sequence elements as 3 4, denoting the 3rd part of a 4-part sequence of courses.</t>
  </si>
  <si>
    <t>000250</t>
  </si>
  <si>
    <t>SCED Sequence of Course</t>
  </si>
  <si>
    <t>SCEDSequenceOfCourse</t>
  </si>
  <si>
    <t>School Full Academic Year</t>
  </si>
  <si>
    <t>An indication of whether a student was in membership in the school education unit for a full academic year, according to the state’s definition of Full Academic Year.</t>
  </si>
  <si>
    <t>001763</t>
  </si>
  <si>
    <t>SchoolFullAcademicYear</t>
  </si>
  <si>
    <t>School Identification System</t>
  </si>
  <si>
    <t>001073</t>
  </si>
  <si>
    <t>SchoolIdentificationSystem</t>
  </si>
  <si>
    <t>K-12 -&gt; High School Feedback Report
K-12 -&gt; High School Generated Transcript
K-12 -&gt; LEA-to-LEA Student Record Exchange
K-12 -&gt; LEA-to-SEA Student Record Exchange
K-12 -&gt; Teacher Compensation Survey
K-12 -&gt; Teacher-Student Data Link -&gt; Class Section
Postsecondary Education -&gt; Transition</t>
  </si>
  <si>
    <t>School Identifier</t>
  </si>
  <si>
    <t>001069</t>
  </si>
  <si>
    <t>SchoolIdentifier</t>
  </si>
  <si>
    <t>School Improvement Allocation</t>
  </si>
  <si>
    <t>The amount of Section 1003(a) and 1003(g) allocations to LEAs and Schools.</t>
  </si>
  <si>
    <t>000480</t>
  </si>
  <si>
    <t>SchoolImprovementAllocation</t>
  </si>
  <si>
    <t>School Improvement Exit Date</t>
  </si>
  <si>
    <t>Date the school exited school improvement status.</t>
  </si>
  <si>
    <t>000481</t>
  </si>
  <si>
    <t>SchoolImprovementExitDate</t>
  </si>
  <si>
    <t>School Improvement Funds Status</t>
  </si>
  <si>
    <t>An indication of whether the school received funds under Section 1003 of ESEA, as amended.</t>
  </si>
  <si>
    <t>000238</t>
  </si>
  <si>
    <t>SchoolImprovementFundsStatus</t>
  </si>
  <si>
    <t>School Improvement Grant Intervention Type</t>
  </si>
  <si>
    <t>The type of intervention used by the school under the School Improvement Grant (SIG).</t>
  </si>
  <si>
    <t>000239</t>
  </si>
  <si>
    <t>SchoolImprovementGrantInterventionType</t>
  </si>
  <si>
    <t>School Improvement Reserved Funds Percentage</t>
  </si>
  <si>
    <t>An indication of the percentage of the Title I, Part A allocation that the SEA reserved in accordance with Section 1003(a) of ESEA and §200.100(a) of ED's regulations governing the reservation of funds for school improvement under Section 1003(a) of ESEA.</t>
  </si>
  <si>
    <t>000479</t>
  </si>
  <si>
    <t>SchoolImprovementReservedFundsPercentage</t>
  </si>
  <si>
    <t>School Improvement Status</t>
  </si>
  <si>
    <t>An indication of the improvement stage of the school.</t>
  </si>
  <si>
    <t>000240</t>
  </si>
  <si>
    <t>SchoolImprovementStatus</t>
  </si>
  <si>
    <t>School Level</t>
  </si>
  <si>
    <t>An indication of the level of the education institution.</t>
  </si>
  <si>
    <t>000241</t>
  </si>
  <si>
    <t>SchoolLevel</t>
  </si>
  <si>
    <t>School Operational Status</t>
  </si>
  <si>
    <t>The current status of the school operations, exclusive of scheduled breaks, holidays, or other temporary interruptions.</t>
  </si>
  <si>
    <t>000533</t>
  </si>
  <si>
    <t>SchoolOperationalStatus</t>
  </si>
  <si>
    <t>School Type</t>
  </si>
  <si>
    <t>000242</t>
  </si>
  <si>
    <t>SchoolType</t>
  </si>
  <si>
    <t>School Year</t>
  </si>
  <si>
    <t>The year for a reported school session.</t>
  </si>
  <si>
    <t>K12 -&gt; Calendar -&gt; Session
K12 -&gt; K12 School -&gt; Accountability
K12 -&gt; K12 School -&gt; Session
K12 -&gt; LEA -&gt; Accountability
K12 -&gt; SEA -&gt; Accountability</t>
  </si>
  <si>
    <t>000243</t>
  </si>
  <si>
    <t>SchoolYear</t>
  </si>
  <si>
    <t>School Year Minutes</t>
  </si>
  <si>
    <t>The number of minutes that all students were required to be at school and any additional learning time (e.g., before or after school, weekend school, summer school) for which all students had the opportunity to participate.</t>
  </si>
  <si>
    <t>000244</t>
  </si>
  <si>
    <t>SchoolYearMinutes</t>
  </si>
  <si>
    <t>Secondary Incident Behavior</t>
  </si>
  <si>
    <t>Supplemental information about an incident when the primary offense is more serious in nature than alcohol or drug, etc. offenses.</t>
  </si>
  <si>
    <t>000627</t>
  </si>
  <si>
    <t>SecondaryIncidentBehavior</t>
  </si>
  <si>
    <t>Section 504 Status</t>
  </si>
  <si>
    <t>Individuals with disabilities who are being provided with related aids and services under Section 504 of the Rehabilitation Act of 1973, as amended.</t>
  </si>
  <si>
    <t>000249</t>
  </si>
  <si>
    <t>Section504Status</t>
  </si>
  <si>
    <t>Serves Children with Special Needs</t>
  </si>
  <si>
    <t>An indication of whether a class or group serves children with special needs.</t>
  </si>
  <si>
    <t>000822</t>
  </si>
  <si>
    <t>ServesChildrenWithSpecialNeeds</t>
  </si>
  <si>
    <t>Service Date</t>
  </si>
  <si>
    <t>The year, month, and day on which a service was provided.</t>
  </si>
  <si>
    <t>001635</t>
  </si>
  <si>
    <t>ServiceDate</t>
  </si>
  <si>
    <t>Service Entry Date</t>
  </si>
  <si>
    <t>The year, month and day on which a person begins to receive early intervention, special education or other services.</t>
  </si>
  <si>
    <t>000326</t>
  </si>
  <si>
    <t>ServiceEntryDate</t>
  </si>
  <si>
    <t>Service Exit Date</t>
  </si>
  <si>
    <t>The year, month and day on which a person stops receiving early intervention or special education services.</t>
  </si>
  <si>
    <t>000327</t>
  </si>
  <si>
    <t>ServiceExitDate</t>
  </si>
  <si>
    <t>Service Extends Outside School Year</t>
  </si>
  <si>
    <t>Determination if this service continues outside school year.</t>
  </si>
  <si>
    <t>001717</t>
  </si>
  <si>
    <t>ServiceExtendsOutsideSchoolYear</t>
  </si>
  <si>
    <t>Service Option Variation</t>
  </si>
  <si>
    <t>Nature of early childhood program, class or group in which a person is enrolled.</t>
  </si>
  <si>
    <t>000353</t>
  </si>
  <si>
    <t>ServiceOptionVariation</t>
  </si>
  <si>
    <t>Service Partner Description</t>
  </si>
  <si>
    <t>A description of the type of services that the partner organization provides.</t>
  </si>
  <si>
    <t>001624</t>
  </si>
  <si>
    <t>ServicePartnerDescription</t>
  </si>
  <si>
    <t>Service Partner Name</t>
  </si>
  <si>
    <t>The name of a non-person entity such as an organization, institution, agency or business, that partners with the Early Learning Organization to provide services to enrolled children/families.</t>
  </si>
  <si>
    <t>001625</t>
  </si>
  <si>
    <t>ServicePartnerName</t>
  </si>
  <si>
    <t>Service Setting Description</t>
  </si>
  <si>
    <t>Description of the setting in which the services are delivered.</t>
  </si>
  <si>
    <t>001718</t>
  </si>
  <si>
    <t>ServiceSettingDescription</t>
  </si>
  <si>
    <t>Session Attendance Term Indicator</t>
  </si>
  <si>
    <t>Indicates that the session is an attendance term.</t>
  </si>
  <si>
    <t>Adult Education -&gt; Course Section
Career and Technical -&gt; Course Section
K12 -&gt; Calendar -&gt; Session
K12 -&gt; Course Section
K12 -&gt; K12 School -&gt; Session</t>
  </si>
  <si>
    <t>001274</t>
  </si>
  <si>
    <t>SessionAttendanceTermIndicator</t>
  </si>
  <si>
    <t>Session Begin Date</t>
  </si>
  <si>
    <t>The year, month and day on which a session begins.</t>
  </si>
  <si>
    <t>000251</t>
  </si>
  <si>
    <t>SessionBeginDate</t>
  </si>
  <si>
    <t>Session Code</t>
  </si>
  <si>
    <t>A local code given to the session, usually for a session that represents a term within the school year such as a marking term.</t>
  </si>
  <si>
    <t>001270</t>
  </si>
  <si>
    <t>SessionCode</t>
  </si>
  <si>
    <t>Session Description</t>
  </si>
  <si>
    <t>A short description of the Session.</t>
  </si>
  <si>
    <t>001271</t>
  </si>
  <si>
    <t>SessionDescription</t>
  </si>
  <si>
    <t>Session Designator</t>
  </si>
  <si>
    <t>The academic session for which the data are recorded and applicable.</t>
  </si>
  <si>
    <t>Adult Education -&gt; Course Section
Career and Technical -&gt; Course Section
K12 -&gt; Course Section
K12 -&gt; K12 School -&gt; Session
Postsecondary -&gt; PS Institution -&gt; Directory</t>
  </si>
  <si>
    <t>000252</t>
  </si>
  <si>
    <t>SessionDesignator</t>
  </si>
  <si>
    <t>Session End Date</t>
  </si>
  <si>
    <t>The year, month and day on which a session ends.</t>
  </si>
  <si>
    <t>000253</t>
  </si>
  <si>
    <t>SessionEndDate</t>
  </si>
  <si>
    <t>Session End Time</t>
  </si>
  <si>
    <t>The hour, minute and second on which a session ends.</t>
  </si>
  <si>
    <t>000986</t>
  </si>
  <si>
    <t>SessionEndTime</t>
  </si>
  <si>
    <t>Session Marking Term Indicator</t>
  </si>
  <si>
    <t>Indicates that the session is a marking term.</t>
  </si>
  <si>
    <t>001272</t>
  </si>
  <si>
    <t>SessionMarkingTermIndicator</t>
  </si>
  <si>
    <t>Session Scheduling Term Indicator</t>
  </si>
  <si>
    <t>Indicates that the session is a scheduling term.</t>
  </si>
  <si>
    <t>001273</t>
  </si>
  <si>
    <t>SessionSchedulingTermIndicator</t>
  </si>
  <si>
    <t>Session Start Time</t>
  </si>
  <si>
    <t>The hour, minute and second on which a session begins.</t>
  </si>
  <si>
    <t>000985</t>
  </si>
  <si>
    <t>SessionStartTime</t>
  </si>
  <si>
    <t>Session Type</t>
  </si>
  <si>
    <t>A prescribed span of time when an education institution is open, instruction is provided, and students are under the direction and guidance of teachers and/or education institution administration. A session may be interrupted by one or more vacations.</t>
  </si>
  <si>
    <t>Adult Education -&gt; Course Section
Career and Technical -&gt; Course Section
K12 -&gt; Course Section
K12 -&gt; K12 School -&gt; Session</t>
  </si>
  <si>
    <t>000254</t>
  </si>
  <si>
    <t>SessionType</t>
  </si>
  <si>
    <t>Sex</t>
  </si>
  <si>
    <t>The concept describing the biological traits that distinguish the males and females of a species.</t>
  </si>
  <si>
    <t>Postsecondary: As defined in IPEDS</t>
  </si>
  <si>
    <t>000255</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</si>
  <si>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</si>
  <si>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Shared Time Indicator</t>
  </si>
  <si>
    <t>An indication that a school offers career and technical education or other educational services in which some or all students are enrolled at a separate school of record and attend the shared-time school on a part-time basis.</t>
  </si>
  <si>
    <t>000257</t>
  </si>
  <si>
    <t>SharedTimeIndicator</t>
  </si>
  <si>
    <t>An abbreviated name of an institution is commonly used, especially in reports and applications, e.g. a K12 school with the full legal name "Dr. Martin Luther King, Jr. Elementary School" may use "King Elementary".</t>
  </si>
  <si>
    <t>001487</t>
  </si>
  <si>
    <t>Shortened Expulsion</t>
  </si>
  <si>
    <t>An expulsion with or without services that is shortened to a term of less than one year by the superintendent or chief administrator of a school district.</t>
  </si>
  <si>
    <t>000514</t>
  </si>
  <si>
    <t>ShortenedExpulsion</t>
  </si>
  <si>
    <t>Significant Cognitive Disability Indicator</t>
  </si>
  <si>
    <t>Student has an existing IDEA disability with cognitive impairments which may prevent him/her from attaining grade-level achievement standards.</t>
  </si>
  <si>
    <t>001765</t>
  </si>
  <si>
    <t>SignificantCognitiveDisabilityIndicator</t>
  </si>
  <si>
    <t>Single Parent or Single Pregnant Woman Status</t>
  </si>
  <si>
    <t>A student who, at some time during the school year, is either a pregnant female student who is unmarried; or a male or female student who is unmarried or legally separated from a spouse and has a minor child or children.</t>
  </si>
  <si>
    <t>Adult Education -&gt; AE Student -&gt; Status
Career and Technical -&gt; CTE Student -&gt; Program Participation
Postsecondary -&gt; PS Student -&gt; Demographic</t>
  </si>
  <si>
    <t>000580</t>
  </si>
  <si>
    <t>SingleParentOrSinglePregnantWomanStatus</t>
  </si>
  <si>
    <t>Site Name</t>
  </si>
  <si>
    <t>000632</t>
  </si>
  <si>
    <t>SiteName</t>
  </si>
  <si>
    <t>Site Preference Rank</t>
  </si>
  <si>
    <t>The applicant preference that the family has for the program sites.</t>
  </si>
  <si>
    <t>001627</t>
  </si>
  <si>
    <t>SitePreferenceRank</t>
  </si>
  <si>
    <t>Size of High School Graduating Class</t>
  </si>
  <si>
    <t>The total number of students in the student's high school graduating class.</t>
  </si>
  <si>
    <t>000294</t>
  </si>
  <si>
    <t>TotalNumberInClass</t>
  </si>
  <si>
    <t>Sorority Participation Status</t>
  </si>
  <si>
    <t>Student is in membership in a chiefly social organization of women students at a college or university, usually designated by Greek letters.</t>
  </si>
  <si>
    <t>000762</t>
  </si>
  <si>
    <t>SororityParticipationStatus</t>
  </si>
  <si>
    <t>Source of Family Income</t>
  </si>
  <si>
    <t>Sources of total family income.</t>
  </si>
  <si>
    <t>000333</t>
  </si>
  <si>
    <t>SourceOfFamilyIncome</t>
  </si>
  <si>
    <t>Special Circumstances Population Served</t>
  </si>
  <si>
    <t>Program provides services to meet the needs of children in special circumstances.</t>
  </si>
  <si>
    <t>000852</t>
  </si>
  <si>
    <t>SpecialCircumstancesPopulationServed</t>
  </si>
  <si>
    <t>Special Education Age Group Taught</t>
  </si>
  <si>
    <t>The age range of special education students taught.</t>
  </si>
  <si>
    <t>000564</t>
  </si>
  <si>
    <t>SpecialEducationAgeGroupTaught</t>
  </si>
  <si>
    <t>Special Education Exit Reason</t>
  </si>
  <si>
    <t>The reason children who were in special education at the start of the reporting period were not in special education at the end of the reporting period.</t>
  </si>
  <si>
    <t>000260</t>
  </si>
  <si>
    <t>SpecialEducationExitReason</t>
  </si>
  <si>
    <t>Special Education Full Time Equivalency</t>
  </si>
  <si>
    <t>Calculated ratio of time the student is in a special education setting. Values range from 0.00 to 1.00. If the student is in a special education setting 25% of the time, the value is .25; if 100% of the time, the value is 1.00.</t>
  </si>
  <si>
    <t>001242</t>
  </si>
  <si>
    <t>Special Education FTE</t>
  </si>
  <si>
    <t>SpecialEducationFTE</t>
  </si>
  <si>
    <t>Special Education Paraprofessional</t>
  </si>
  <si>
    <t>An indication of whether a paraprofessional is employed or contracted to work with children with disabilities who are ages 3 through 21.</t>
  </si>
  <si>
    <t>000261</t>
  </si>
  <si>
    <t>SpecialEducationParaprofessional</t>
  </si>
  <si>
    <t>Special Education Related Services Personnel</t>
  </si>
  <si>
    <t>An indication of whether a related services person is employed or contracted to work with children with disabilities who are ages 3 through 21.</t>
  </si>
  <si>
    <t>000262</t>
  </si>
  <si>
    <t>SpecialEducationRelatedServicesPersonnel</t>
  </si>
  <si>
    <t>Special Education Services Exit Date</t>
  </si>
  <si>
    <t>The year, month and day a child with disabilities (IDEA) ages 14 through 21 exited special education.</t>
  </si>
  <si>
    <t>K12 -&gt; K12 Student -&gt; IDEA</t>
  </si>
  <si>
    <t>000263</t>
  </si>
  <si>
    <t>SpecialEducationServicesExitDate</t>
  </si>
  <si>
    <t>Special Education Support Services Category</t>
  </si>
  <si>
    <t>Titles of personnel employed and contracted to provide special education and related services for children with disabilities.</t>
  </si>
  <si>
    <t>000558</t>
  </si>
  <si>
    <t>SpecialEducationSupportServicesCategory</t>
  </si>
  <si>
    <t>Special Education Teacher</t>
  </si>
  <si>
    <t>An indication of whether a teacher is employed or contracted to work with children with disabilities who are ages 3 through 21.</t>
  </si>
  <si>
    <t>000264</t>
  </si>
  <si>
    <t>SpecialEducationTeacher</t>
  </si>
  <si>
    <t>Special Needs Policy</t>
  </si>
  <si>
    <t>001001</t>
  </si>
  <si>
    <t>SpecialNeedsPolicy</t>
  </si>
  <si>
    <t>Sponsoring Agency Name</t>
  </si>
  <si>
    <t>The name of the sponsoring agency.</t>
  </si>
  <si>
    <t>001489</t>
  </si>
  <si>
    <t>SponsoringAgencyName</t>
  </si>
  <si>
    <t>Staff Approval Indicator</t>
  </si>
  <si>
    <t>Individual is approved to Work with Children</t>
  </si>
  <si>
    <t>001581</t>
  </si>
  <si>
    <t>StaffApprovalIndicator</t>
  </si>
  <si>
    <t>Staff Compensation Base Salary</t>
  </si>
  <si>
    <t>The salary or wage a person is paid before deductions (excluding differentials) but including annuities.</t>
  </si>
  <si>
    <t>000032</t>
  </si>
  <si>
    <t>StaffCompensationBaseSalary</t>
  </si>
  <si>
    <t>Staff Compensation Health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</si>
  <si>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</si>
  <si>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000136</t>
  </si>
  <si>
    <t>StaffCompensationHealthBenefits</t>
  </si>
  <si>
    <t>Staff Compensation Other Benefits</t>
  </si>
  <si>
    <t>All other benefits paid by the school district, municipal, state, federal, and other government agencies for the teacher or early learning provider, prorated to the specific school or local provider agency indicated on the record, not including retirement and health insurance benefits or contributions made by the teacher or early learning provider.</t>
  </si>
  <si>
    <t>000205</t>
  </si>
  <si>
    <t>StaffCompensationOtherBenefits</t>
  </si>
  <si>
    <t>Staff Compensation Retirement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</si>
  <si>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</si>
  <si>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000233</t>
  </si>
  <si>
    <t>StaffCompensationRetirementBenefits</t>
  </si>
  <si>
    <t>Staff Compensation Total Benefits</t>
  </si>
  <si>
    <t>Sum of retirement, health, and all other benefits, or total benefits paid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</si>
  <si>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000293</t>
  </si>
  <si>
    <t>StaffCompensationTotalBenefits</t>
  </si>
  <si>
    <t>Staff Compensation Total Salary</t>
  </si>
  <si>
    <t>000295</t>
  </si>
  <si>
    <t>StaffCompensationTotalSalary</t>
  </si>
  <si>
    <t>Staff Education Entry Date</t>
  </si>
  <si>
    <t>The year, month and day that a staff member began participating in an educational experience (course, educational program, or formal education activity).</t>
  </si>
  <si>
    <t>000793</t>
  </si>
  <si>
    <t>StaffEducationEntryDate</t>
  </si>
  <si>
    <t>Staff Education Withdrawal Date</t>
  </si>
  <si>
    <t>The year, month and day that an individual ceased participating in an educational experience without completing the course, educational program, or staff development activity.</t>
  </si>
  <si>
    <t>000794</t>
  </si>
  <si>
    <t>StaffEducationWithdrawalDate</t>
  </si>
  <si>
    <t>Staff Evaluation Outcome</t>
  </si>
  <si>
    <t>The result of an assessment of a person's performance.</t>
  </si>
  <si>
    <t>000102</t>
  </si>
  <si>
    <t>StaffEvaluationOutcome</t>
  </si>
  <si>
    <t>Staff Evaluation Scale</t>
  </si>
  <si>
    <t>000103</t>
  </si>
  <si>
    <t>StaffEvaluationScale</t>
  </si>
  <si>
    <t>Staff Evaluation Score or Rating</t>
  </si>
  <si>
    <t>000104</t>
  </si>
  <si>
    <t>StaffEvaluationScoreOrRating</t>
  </si>
  <si>
    <t>Staff Evaluation System</t>
  </si>
  <si>
    <t>The instrument and/or set of procedures with which a person's performance is assessed.</t>
  </si>
  <si>
    <t>000105</t>
  </si>
  <si>
    <t>StaffEvaluationSystem</t>
  </si>
  <si>
    <t>Staff Full Time Equivalency</t>
  </si>
  <si>
    <t>The ratio between the hours of work expected in a position and the hours of work normally expected in a full-time position in the same setting.</t>
  </si>
  <si>
    <t>000118</t>
  </si>
  <si>
    <t>Staff FTE</t>
  </si>
  <si>
    <t>StaffFullTimeEquivalency</t>
  </si>
  <si>
    <t>K-12 -&gt; Civil Rights Data Collection
K-12 -&gt; Teacher Compensation Survey</t>
  </si>
  <si>
    <t>Staff Member Identification System</t>
  </si>
  <si>
    <t>A coding scheme that is used for identification and record-keeping purposes by schools, social services, registry, or other agencies to refer to a staff member.</t>
  </si>
  <si>
    <t>001074</t>
  </si>
  <si>
    <t>StaffMemberIdentificationSystem</t>
  </si>
  <si>
    <t>Early Learning -&gt; Staff Quality
K-12 -&gt; LEA-to-LEA Student Record Exchange
K-12 -&gt; LEA-to-SEA Student Record Exchange
K-12 -&gt; Teacher Compensation Survey
K-12 -&gt; Teacher-Student Data Link -&gt; Staff Assignment</t>
  </si>
  <si>
    <t>Staff Member Identifier</t>
  </si>
  <si>
    <t>A unique number or alphanumeric code assigned to a staff member by a school, school system, a state, registry, or other agency or entity.</t>
  </si>
  <si>
    <t>001070</t>
  </si>
  <si>
    <t>StaffMemberIdentifier</t>
  </si>
  <si>
    <t>Early Learning -&gt; Staff Quality
K-12 -&gt; LEA-to-LEA Student Record Exchange
K-12 -&gt; LEA-to-SEA Student Record Exchange
K-12 -&gt; Teacher Compensation Survey
K-12 -&gt; Teacher-Student Data Link -&gt; Staff Assignment
Postsecondary Education -&gt; IPEDS -&gt; HR</t>
  </si>
  <si>
    <t>Staff Professional Development Activity Completion Date</t>
  </si>
  <si>
    <t>The year, month and day on which an individual completed a course, an education program or a staff development activity.</t>
  </si>
  <si>
    <t>001062</t>
  </si>
  <si>
    <t>StaffProfessionalDevelopmentActivityCompletionDate</t>
  </si>
  <si>
    <t>Staff Professional Development Activity Start Date</t>
  </si>
  <si>
    <t>The year, month and day on which an individual begins a course, an education program or a staff development activity.</t>
  </si>
  <si>
    <t>001061</t>
  </si>
  <si>
    <t>StaffProfessionalDevelopmentActivityStartDate</t>
  </si>
  <si>
    <t>Standard Occupational Classification</t>
  </si>
  <si>
    <t>##-####</t>
  </si>
  <si>
    <t>000730</t>
  </si>
  <si>
    <t>StandardOccupationalClassification</t>
  </si>
  <si>
    <t>Standardized Admission Test Score</t>
  </si>
  <si>
    <t>The quantitative score on a standardized admission test reported to a postsecondary institution.</t>
  </si>
  <si>
    <t>Postsecondary -&gt; PS Student -&gt; Application</t>
  </si>
  <si>
    <t>000265</t>
  </si>
  <si>
    <t>StandardizedAdmissionTestScore</t>
  </si>
  <si>
    <t>Standardized Admission Test Type</t>
  </si>
  <si>
    <t>The type of test prepared and administered by an agency that is independent of any postsecondary education institution and is typically used for admissions purposes. Tests provide information about prospective students and their academic qualifications relative to a national sample.</t>
  </si>
  <si>
    <t>000266</t>
  </si>
  <si>
    <t>StandardizedAdmissionTestType</t>
  </si>
  <si>
    <t>Start Time</t>
  </si>
  <si>
    <t>The starting hour, minute and second.</t>
  </si>
  <si>
    <t>001919</t>
  </si>
  <si>
    <t>StartTime</t>
  </si>
  <si>
    <t>State Abbreviation</t>
  </si>
  <si>
    <t>The abbreviation for the state (within the United States) or outlying area in which an address is located.</t>
  </si>
  <si>
    <t>000267</t>
  </si>
  <si>
    <t>StateAbbreviation</t>
  </si>
  <si>
    <t>Early Learning -&gt; Licensing
Early Learning -&gt; Program Compliance
Early Learning -&gt; Program Entry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</si>
  <si>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State Agency Identification System</t>
  </si>
  <si>
    <t>001491</t>
  </si>
  <si>
    <t>StateAgencyIdentificationSystem</t>
  </si>
  <si>
    <t>State Agency Identifier</t>
  </si>
  <si>
    <t>A unique number or alphanumeric code assigned to a state agency.</t>
  </si>
  <si>
    <t>001490</t>
  </si>
  <si>
    <t>StateAgencyIdentifier</t>
  </si>
  <si>
    <t>State ANSI Code</t>
  </si>
  <si>
    <t>The American National Standards Institute (ANSI) two-digit code for the state.</t>
  </si>
  <si>
    <t>000424</t>
  </si>
  <si>
    <t>StateANSICode</t>
  </si>
  <si>
    <t>Early Learning -&gt; Staff Quality
K-12 -&gt; EDFacts
K-12 -&gt; Teacher Compensation Survey</t>
  </si>
  <si>
    <t>State Approved Technical Assistance Provider Status</t>
  </si>
  <si>
    <t>An indication of whether an individual has been approved as a technical assistance provider through a state process.</t>
  </si>
  <si>
    <t>000815</t>
  </si>
  <si>
    <t>StateApprovedTechnicalAssistanceProviderStatus</t>
  </si>
  <si>
    <t>State Approved Trainer Status</t>
  </si>
  <si>
    <t>An indication of whether an individual has been approved as a trainer through a state process.</t>
  </si>
  <si>
    <t>000814</t>
  </si>
  <si>
    <t>StateApprovedTrainerStatus</t>
  </si>
  <si>
    <t>State Assessment Administration Funding</t>
  </si>
  <si>
    <t>The percentage of funds used to administer assessments required by section 1111(b) or to carry out other activities described in section 6111 and other activities related to ensuring that the State’s schools and local educational agencies are held accountable for results.</t>
  </si>
  <si>
    <t>000454</t>
  </si>
  <si>
    <t>StateAssessmentAdministrationFunding</t>
  </si>
  <si>
    <t>State Assessment Standards Funding</t>
  </si>
  <si>
    <t>The percentage of funds used to pay the costs of the development of the State assessments and standards required by section 1111(b).</t>
  </si>
  <si>
    <t>000453</t>
  </si>
  <si>
    <t>StateAssessmentStandardsFunding</t>
  </si>
  <si>
    <t>K-12 -&gt; Consolidated State Performance Report
K-12 -&gt; EDFacts</t>
  </si>
  <si>
    <t>State Full Academic Year</t>
  </si>
  <si>
    <t>An indication of whether a student was in membership in the state education unit for a full academic year, according to the state’s definition of Full Academic Year.</t>
  </si>
  <si>
    <t>001761</t>
  </si>
  <si>
    <t>StateFullAcademicYear</t>
  </si>
  <si>
    <t>State Issuing Professional Credential or License</t>
  </si>
  <si>
    <t>State where the professional license/credential was issued.</t>
  </si>
  <si>
    <t>000805</t>
  </si>
  <si>
    <t>StateIssuingProfessionalCredentialOrLicense</t>
  </si>
  <si>
    <t>State Licensed Facility Capacity</t>
  </si>
  <si>
    <t>The maximum number of children for which a state licensed a facility.</t>
  </si>
  <si>
    <t>000865</t>
  </si>
  <si>
    <t>StateLicensedFacilityCapacity</t>
  </si>
  <si>
    <t>State of Birth Abbreviation</t>
  </si>
  <si>
    <t>The abbreviation for the name of the state (within the United States) or extra-state jurisdiction in which a person was born.</t>
  </si>
  <si>
    <t>000427</t>
  </si>
  <si>
    <t>StateOfBirthAbbreviation</t>
  </si>
  <si>
    <t>State of Residence</t>
  </si>
  <si>
    <t>An person's permanent address as determined by such evidence as a driver's license or voter registration. For entering freshmen, state of residence may be the legal state of residence of a parent or guardian.</t>
  </si>
  <si>
    <t>Postsecondary -&gt; PS Student -&gt; Contact -&gt; Address</t>
  </si>
  <si>
    <t>000268</t>
  </si>
  <si>
    <t>StateOfResidence</t>
  </si>
  <si>
    <t>State Poverty Designation</t>
  </si>
  <si>
    <t>The designation of a school’s poverty quartile for purposes of determining classes taught by highly qualified teachers in high and low poverty schools, according to state’s indicator of poverty.</t>
  </si>
  <si>
    <t>000585</t>
  </si>
  <si>
    <t>StatePovertyDesignation</t>
  </si>
  <si>
    <t>State Transferability of Funds</t>
  </si>
  <si>
    <t>Did the State transfer funds under the State Transferability authority of Section 6123(a)</t>
  </si>
  <si>
    <t>000445</t>
  </si>
  <si>
    <t>StateTransferabilityOfFunds</t>
  </si>
  <si>
    <t>Status End Date</t>
  </si>
  <si>
    <t>001228</t>
  </si>
  <si>
    <t>StatusEndDate</t>
  </si>
  <si>
    <t>Status Start Date</t>
  </si>
  <si>
    <t>001227</t>
  </si>
  <si>
    <t>StatusStartDate</t>
  </si>
  <si>
    <t>Student Attendance Rate</t>
  </si>
  <si>
    <t>The number of school days during the regular school year (plus summer, if applicable, if part of implementing the restart, transformation, or turnaround model) the student attended school divided by the maximum number of days the student could have attended school during the regular school year.</t>
  </si>
  <si>
    <t>Numeric - between 0 and 1</t>
  </si>
  <si>
    <t>000271</t>
  </si>
  <si>
    <t>StudentAttendanceRate</t>
  </si>
  <si>
    <t>Student Course Section Grade Earned</t>
  </si>
  <si>
    <t>A final indicator of student performance in a course section as submitted by the instructor.</t>
  </si>
  <si>
    <t>Adult Education -&gt; Course Section -&gt; Enrollment
Adult Education -&gt; Course Section -&gt; Enrollment -&gt; Student Course Section Mark
Career and Technical -&gt; Course Section -&gt; Enrollment
Career and Technical -&gt; Course Section -&gt; Enrollment -&gt; Student Course Section Mark
K12 -&gt; Course Section -&gt; Enrollment
K12 -&gt; Course Section -&gt; Enrollment -&gt; Student Course Section Mark
K12 -&gt; K12 Student -&gt; Academic Record
Postsecondary -&gt; Course Section -&gt; Enrollment
Postsecondary -&gt; Course Section -&gt; Enrollment -&gt; Student Course Section Mark</t>
  </si>
  <si>
    <t>000124</t>
  </si>
  <si>
    <t>StudentCourseSectionGradeEarned</t>
  </si>
  <si>
    <t>Student Course Section Grade Narrative</t>
  </si>
  <si>
    <t>The narrative of the student performance in a course section as submitted by the instructor.</t>
  </si>
  <si>
    <t>Adult Education -&gt; Course Section -&gt; Enrollment
Career and Technical -&gt; Course Section -&gt; Enrollment
K12 -&gt; Course Section -&gt; Enrollment
K12 -&gt; K12 Student -&gt; Academic Record
Postsecondary -&gt; Course Section -&gt; Enrollment</t>
  </si>
  <si>
    <t>001573</t>
  </si>
  <si>
    <t>StudentCourseSectionGradeNarrative</t>
  </si>
  <si>
    <t>Student Course Section Mark Final Indicator</t>
  </si>
  <si>
    <t>Indicates that the mark is a final mark the learner has earned for the course section.</t>
  </si>
  <si>
    <t>001142</t>
  </si>
  <si>
    <t>StudentCourseSectionMarkFinalIndicator</t>
  </si>
  <si>
    <t>Student Enrollment Access Type</t>
  </si>
  <si>
    <t>The designation of how students secure access to age appropriate public schools, or publicly funded charter or private schools.</t>
  </si>
  <si>
    <t>001862</t>
  </si>
  <si>
    <t>StudentEnrollmentAccessType</t>
  </si>
  <si>
    <t>Student Identification System</t>
  </si>
  <si>
    <t>A coding scheme that is used for identification and record-keeping purposes by schools, social services, or other agencies to refer to a student.</t>
  </si>
  <si>
    <t>001075</t>
  </si>
  <si>
    <t>StudentIdentificationSystem</t>
  </si>
  <si>
    <t>K-12 -&gt; High School Generated Transcript
K-12 -&gt; LEA-to-LEA Student Record Exchange
K-12 -&gt; LEA-to-SEA Student Record Exchange
K-12 -&gt; Teacher-Student Data Link -&gt; Enrollment
Postsecondary Education -&gt; Transition</t>
  </si>
  <si>
    <t>Student Identifier</t>
  </si>
  <si>
    <t>A unique number or alphanumeric code assigned to a student by a school, school system, a state, or other agency or entity.</t>
  </si>
  <si>
    <t>001071</t>
  </si>
  <si>
    <t>StudentIdentifier</t>
  </si>
  <si>
    <t>Student Level</t>
  </si>
  <si>
    <t>Classification of a person enrolling in credit-granting courses at a postsecondary institution since completing high school (or its equivalent) as either an undergraduate or graduate student.</t>
  </si>
  <si>
    <t>000272</t>
  </si>
  <si>
    <t>StudentLevel</t>
  </si>
  <si>
    <t>Student Support Service Type</t>
  </si>
  <si>
    <t>Type of related or ancillary services offered or provided to a person or a group of persons within the formal educational system or by an outside agency which provides non-instructional services to support the general welfare of students. This includes physical and emotional health, the ability to select an appropriate course of study, admission to appropriate educational programs, and the ability to adjust to and remain in school through the completion of programs. In serving a student with an identified disability, related services include developmental, corrective, or supportive services required to ensure that the person benefits from special education.</t>
  </si>
  <si>
    <t>At the organization level, this element indicates the services offered to students. At the person level, this element indicates the services received by students.</t>
  </si>
  <si>
    <t>000273</t>
  </si>
  <si>
    <t>StudentSupportServiceType</t>
  </si>
  <si>
    <t>Submission Date</t>
  </si>
  <si>
    <t>The month, day, and year on which a report is submitted.</t>
  </si>
  <si>
    <t>001758</t>
  </si>
  <si>
    <t>SubmissionDate</t>
  </si>
  <si>
    <t>Supervised Clinical Experience</t>
  </si>
  <si>
    <t>An indication of whether a person is enrolled in a supervised clinical experience (including student teaching) as part of a teacher preparation program.</t>
  </si>
  <si>
    <t>000771</t>
  </si>
  <si>
    <t>SupervisedClinicalExperience</t>
  </si>
  <si>
    <t>Supervised Clinical Experience Clock Hours</t>
  </si>
  <si>
    <t>000772</t>
  </si>
  <si>
    <t>SupervisedClinicalExperienceClockHours</t>
  </si>
  <si>
    <t>Supplemental Education Services Public School Choice Twenty Percent Obligation</t>
  </si>
  <si>
    <t>The dollar amount of the 20 percent reservation for supplemental educational services and choice-related transportation.</t>
  </si>
  <si>
    <t>000574</t>
  </si>
  <si>
    <t>SES Public School Choice Twenty Percent Obligation</t>
  </si>
  <si>
    <t>SESPublicSchoolChoiceTwentyPercentObligation</t>
  </si>
  <si>
    <t>Supplemental Educational Services Funds Spent</t>
  </si>
  <si>
    <t>The dollar amount spent on supplemental educational services during the school year under Title I, Part A, Section 1116 of ESEA as amended.</t>
  </si>
  <si>
    <t>000567</t>
  </si>
  <si>
    <t>SES Funds Spent</t>
  </si>
  <si>
    <t>SESFundsSpent</t>
  </si>
  <si>
    <t>Supplemental Educational Services Per Pupil Expenditure</t>
  </si>
  <si>
    <t>The maximum dollar amount that may be spent per child for expenditures related to supplemental educational services under Title I of the ESEA.</t>
  </si>
  <si>
    <t>000575</t>
  </si>
  <si>
    <t>SES Per Pupil Expenditure</t>
  </si>
  <si>
    <t>SESPerPupilExpenditure</t>
  </si>
  <si>
    <t>Targeted Support and Improvement Status</t>
  </si>
  <si>
    <t>The designation given to a school by the state for targeted support and improvement as part of its statewide system of annual meaningful differentiation.</t>
  </si>
  <si>
    <t>001924</t>
  </si>
  <si>
    <t>TargetedSupportAndImprovementStatus</t>
  </si>
  <si>
    <t>Teacher Education Credential Exam Score Type</t>
  </si>
  <si>
    <t>An indication of the type of credential exam associated with a given exam score.</t>
  </si>
  <si>
    <t>000774</t>
  </si>
  <si>
    <t>TeacherEducationCredentialExamScoreType</t>
  </si>
  <si>
    <t>Teacher Education Credential Exam Type</t>
  </si>
  <si>
    <t>The type of examination used to assess teacher candidate's knowledge and skills.</t>
  </si>
  <si>
    <t>000773</t>
  </si>
  <si>
    <t>TeacherEducationCredentialExamType</t>
  </si>
  <si>
    <t>Teacher Education Test Company</t>
  </si>
  <si>
    <t>The name of the company that provides the examination used in the teacher education program.</t>
  </si>
  <si>
    <t>000766</t>
  </si>
  <si>
    <t>TeacherEducationTestCompany</t>
  </si>
  <si>
    <t>Teacher of Record</t>
  </si>
  <si>
    <t>Staff member who has a Teacher of Record responsibility for a Class Section based upon the state's definition of Teacher of Record.</t>
  </si>
  <si>
    <t>There is usually one Teacher of Record assignment in a Class Section except in the case of co-teaching/team-teaching.</t>
  </si>
  <si>
    <t>000647</t>
  </si>
  <si>
    <t>TeacherOfRecord</t>
  </si>
  <si>
    <t>K-12 -&gt; Teacher-Student Data Link -&gt; Staff Assignment</t>
  </si>
  <si>
    <t>Teacher Preparation Program Completer Status</t>
  </si>
  <si>
    <t>000768</t>
  </si>
  <si>
    <t>TeacherPreparationProgramCompleterStatus</t>
  </si>
  <si>
    <t>Teacher Preparation Program Enrollment Status</t>
  </si>
  <si>
    <t>An indication of whether a person is pursuing certification as a teacher.</t>
  </si>
  <si>
    <t>000767</t>
  </si>
  <si>
    <t>TeacherPreparationProgramEnrollmentStatus</t>
  </si>
  <si>
    <t>Teacher Student Data Link Exclusion Flag</t>
  </si>
  <si>
    <t>Indicates that the student is excluded from calculation of value-added or growth attribution calculations used for teacher evaluation.</t>
  </si>
  <si>
    <t>000972</t>
  </si>
  <si>
    <t>TeacherStudentDataLinkExclusionFlag</t>
  </si>
  <si>
    <t>Teaching Assignment Contribution Percentage</t>
  </si>
  <si>
    <t>A percentage used to weight the educator's assigned responsibility for student learning in a Class Section, particularly when more than one educator is assigned to the class section.</t>
  </si>
  <si>
    <t>000649</t>
  </si>
  <si>
    <t>TeachingAssignmentContributionPercentage</t>
  </si>
  <si>
    <t>Teaching Assignment End Date</t>
  </si>
  <si>
    <t>The year, month and day on which a teaching assignment ends.</t>
  </si>
  <si>
    <t>All CEDS Exit and End Dates represent the last day of the date range specified, such as the last day that a person was employed.</t>
  </si>
  <si>
    <t>000646</t>
  </si>
  <si>
    <t>TeachingAssignmentEndDate</t>
  </si>
  <si>
    <t>Teaching Assignment Role</t>
  </si>
  <si>
    <t>000648</t>
  </si>
  <si>
    <t>TeachingAssignmentRole</t>
  </si>
  <si>
    <t>Teaching Assignment Start Date</t>
  </si>
  <si>
    <t>The year, month and day on which a teaching assignment begins.</t>
  </si>
  <si>
    <t>000645</t>
  </si>
  <si>
    <t>TeachingAssignmentStartDate</t>
  </si>
  <si>
    <t>Teaching Credential Basis</t>
  </si>
  <si>
    <t>An indication of the pre-determined criteria for granting the teaching credential that a person holds.</t>
  </si>
  <si>
    <t>000277</t>
  </si>
  <si>
    <t>TeachingCredentialBasis</t>
  </si>
  <si>
    <t>Teaching Credential Type</t>
  </si>
  <si>
    <t>An indication of the category of a legal document giving authorization to perform teaching assignment services.</t>
  </si>
  <si>
    <t>000278</t>
  </si>
  <si>
    <t>TeachingCredentialType</t>
  </si>
  <si>
    <t>Technical Assistance Approved Indicator</t>
  </si>
  <si>
    <t>Indicates whether or not the technical assistance was approved.</t>
  </si>
  <si>
    <t>001493</t>
  </si>
  <si>
    <t>TechnicalAssistanceApprovedIndicator</t>
  </si>
  <si>
    <t>Technical Assistance Delivery Type</t>
  </si>
  <si>
    <t>The method of delivery of technical assistance received/provided</t>
  </si>
  <si>
    <t>001494</t>
  </si>
  <si>
    <t>TechnicalAssistanceDeliveryType</t>
  </si>
  <si>
    <t>Technical Assistance Type</t>
  </si>
  <si>
    <t>The type of technical assistance provided.</t>
  </si>
  <si>
    <t>001495</t>
  </si>
  <si>
    <t>TechnicalAssistanceType</t>
  </si>
  <si>
    <t>Technology Literacy Status in 8th Grade</t>
  </si>
  <si>
    <t>An indication of the technology literacy of 8th graders.</t>
  </si>
  <si>
    <t>000566</t>
  </si>
  <si>
    <t>TechnologyLiteracyStatusIn8thGrade</t>
  </si>
  <si>
    <t>Technology Skills Standards Met</t>
  </si>
  <si>
    <t>An indication that the person has achieved acceptable performance on a standards-based profile of technology user skills as defined by the state.</t>
  </si>
  <si>
    <t>000546</t>
  </si>
  <si>
    <t>TechnologySkillsStandardsMet</t>
  </si>
  <si>
    <t>Telephone Number</t>
  </si>
  <si>
    <t>The telephone number including the area code, and extension, if applicable.</t>
  </si>
  <si>
    <t>Alphanumeric - 24 characters maximum</t>
  </si>
  <si>
    <t>000279</t>
  </si>
  <si>
    <t>TelephoneNumber</t>
  </si>
  <si>
    <t>Telephone Number Listed Status</t>
  </si>
  <si>
    <t>An indication of whether a telephone number is listed under a directory assistance service.</t>
  </si>
  <si>
    <t>001927</t>
  </si>
  <si>
    <t>TelephoneNumberListedStatus</t>
  </si>
  <si>
    <t>Telephone Number Type</t>
  </si>
  <si>
    <t>The type of communication number listed for a person.</t>
  </si>
  <si>
    <t>000280</t>
  </si>
  <si>
    <t>TelephoneNumberType</t>
  </si>
  <si>
    <t>Tenure System</t>
  </si>
  <si>
    <t>An indicator of whether an institution has personnel positions that lead to consideration for tenure.</t>
  </si>
  <si>
    <t>000738</t>
  </si>
  <si>
    <t>TenureSystem</t>
  </si>
  <si>
    <t>Terminated Title III Programs Due to Failure</t>
  </si>
  <si>
    <t>An indication of whether a Title III program or activity was terminated due to failure to meet goals.</t>
  </si>
  <si>
    <t>000482</t>
  </si>
  <si>
    <t>TerminatedTitleIIIProgramsDueToFailure</t>
  </si>
  <si>
    <t>Thesis or Dissertation Title</t>
  </si>
  <si>
    <t>The title of the thesis or dissertation.</t>
  </si>
  <si>
    <t>001496</t>
  </si>
  <si>
    <t>ThesisOrDissertationTitle</t>
  </si>
  <si>
    <t>Timetable Day Identifier</t>
  </si>
  <si>
    <t>The unique identifier for the locally defined rotation cycle date code when the class meets (e.g., in a two day schedule, valid values could be "A" and "B", or "1" and "2").</t>
  </si>
  <si>
    <t>000523</t>
  </si>
  <si>
    <t>TimetableDayIdentifier</t>
  </si>
  <si>
    <t>Title I Indicator</t>
  </si>
  <si>
    <t>An indication that the student is participating in and served by programs under Title I, Part A of ESEA as amended.</t>
  </si>
  <si>
    <t>000281</t>
  </si>
  <si>
    <t>TitleIIndicator</t>
  </si>
  <si>
    <t>Title I Instructional Services</t>
  </si>
  <si>
    <t>The type of instructional services provided to students in ESEA Title I programs.</t>
  </si>
  <si>
    <t>000282</t>
  </si>
  <si>
    <t>TitleIInstructionalServices</t>
  </si>
  <si>
    <t>Title I Program Staff Category</t>
  </si>
  <si>
    <t>Titles of employment, official status, or rank for staff working in a Title I program.</t>
  </si>
  <si>
    <t>000283</t>
  </si>
  <si>
    <t>TitleIProgramStaffCategory</t>
  </si>
  <si>
    <t>Title I Program Type</t>
  </si>
  <si>
    <t>The type of Title I program offered in the school or district.</t>
  </si>
  <si>
    <t>000284</t>
  </si>
  <si>
    <t>TitleIProgramType</t>
  </si>
  <si>
    <t>Title I School Status</t>
  </si>
  <si>
    <t>An indication that a school is designated under state and federal regulations as being eligible for participation in programs authorized by Title I of ESEA as amended and whether it has a Title I program.</t>
  </si>
  <si>
    <t>000285</t>
  </si>
  <si>
    <t>TitleISchoolStatus</t>
  </si>
  <si>
    <t>Title I School Supplemental Services Applied Status</t>
  </si>
  <si>
    <t>An indication of whether an eligible student applied/requested to receive supplemental educational services under Title I, Part A, Section 1116 of ESEA as amended during the school year.</t>
  </si>
  <si>
    <t>000286</t>
  </si>
  <si>
    <t>TitleISchoolSupplementalServicesAppliedStatus</t>
  </si>
  <si>
    <t>Title I School Supplemental Services Eligible Status</t>
  </si>
  <si>
    <t>An indication of whether a student is eligible to receive supplemental educational services during the school year in accordance with Title I, Part A, Section 1116 of ESEA as amended.</t>
  </si>
  <si>
    <t>000287</t>
  </si>
  <si>
    <t>TitleISchoolSupplementalServicesEligibleStatus</t>
  </si>
  <si>
    <t>Title I School Supplemental Services Received Status</t>
  </si>
  <si>
    <t>An indication of whether an eligible student received supplemental educational services during the school year in accordance with Title I, Part A, Section 1116 of ESEA as amended.</t>
  </si>
  <si>
    <t>000288</t>
  </si>
  <si>
    <t>TitleISchoolSupplementalServicesReceivedStatus</t>
  </si>
  <si>
    <t>Title I Schoolwide Program Participation</t>
  </si>
  <si>
    <t>An indication that the student participates in and is served by a schoolwide program (SWP) under Title I of ESEA, Part A, Sections 1114.</t>
  </si>
  <si>
    <t>000550</t>
  </si>
  <si>
    <t>TitleISchoolwideProgramParticipation</t>
  </si>
  <si>
    <t>Title I Support Services</t>
  </si>
  <si>
    <t>The type of support services provided to students in Title I programs.</t>
  </si>
  <si>
    <t>000289</t>
  </si>
  <si>
    <t>TitleISupportServices</t>
  </si>
  <si>
    <t>Title I Targeted Assistance Participation</t>
  </si>
  <si>
    <t>An indication that the student participates in and is served by a targeted assistance (TAS) program under Title I of ESEA, Part A, Sections 1115.</t>
  </si>
  <si>
    <t>000551</t>
  </si>
  <si>
    <t>TitleITargetedAssistanceParticipation</t>
  </si>
  <si>
    <t>Title I Targeted Assistance Staff Funded</t>
  </si>
  <si>
    <t>An indication that a staff member is targeted assistance (TAS) program staff funded by Title I, Part A, Section 1115 of ESEA as amended.</t>
  </si>
  <si>
    <t>000552</t>
  </si>
  <si>
    <t>TitleITargetedAssistanceStaffFunded</t>
  </si>
  <si>
    <t>Title III Accountability Progress Status</t>
  </si>
  <si>
    <t>An indication of the progress made by a student toward English proficiency.</t>
  </si>
  <si>
    <t>000536</t>
  </si>
  <si>
    <t>TitleIIIAccountabilityProgressStatus</t>
  </si>
  <si>
    <t>Title III English Learner Participation Status</t>
  </si>
  <si>
    <t>An indication that an English Learner student is served by an English language instruction educational program supported with Title III of ESEA funds.</t>
  </si>
  <si>
    <t>000565</t>
  </si>
  <si>
    <t>TitleIIIEnglishLearnerParticipationStatus</t>
  </si>
  <si>
    <t>Title III Immigrant Participation Status</t>
  </si>
  <si>
    <t>An indication that an immigrant student participated in programs for immigrant children and youth funded under ESEA Title III Section 3114(d)(1) using funds reserved for immigrant education programs/activities.</t>
  </si>
  <si>
    <t>000290</t>
  </si>
  <si>
    <t>TitleIIIImmigrantParticipationStatus</t>
  </si>
  <si>
    <t>Title III Immigrant Status</t>
  </si>
  <si>
    <t>An indication that the child is an immigrant according to the Title III of ESEA definition, meaning children who are aged 3 through 21; were not born in any state; and have not been attending one or more schools in any one or more States for more than 3 full academic years.</t>
  </si>
  <si>
    <t>000291</t>
  </si>
  <si>
    <t>TitleIIIImmigrantStatus</t>
  </si>
  <si>
    <t>Title III Language Instruction Program Type</t>
  </si>
  <si>
    <t>The type of Title III language instructional education programs.</t>
  </si>
  <si>
    <t>000447</t>
  </si>
  <si>
    <t>TitleIIILanguageInstructionProgramType</t>
  </si>
  <si>
    <t>Title III Professional Development Type</t>
  </si>
  <si>
    <t>The type of Title III professional development utilized.</t>
  </si>
  <si>
    <t>000487</t>
  </si>
  <si>
    <t>TitleIIIProfessionalDevelopmentType</t>
  </si>
  <si>
    <t>Title IV Participant and Recipient</t>
  </si>
  <si>
    <t>000292</t>
  </si>
  <si>
    <t>TitleIVParticipantAndRecipient</t>
  </si>
  <si>
    <t>Total Approved Early Childhood Credits Earned</t>
  </si>
  <si>
    <t>Total semester credits earned in early childhood regardless of whether credits are earned as part of an early childhood degree program, other degree program or outside of a degree program.</t>
  </si>
  <si>
    <t>001086</t>
  </si>
  <si>
    <t>TotalApprovedEarlyChildhoodCreditsEarned</t>
  </si>
  <si>
    <t>Training and Technical Assistance Level</t>
  </si>
  <si>
    <t>The level of expertise an individual training and technical assistance specialist has based on a set of established criteria.</t>
  </si>
  <si>
    <t>001628</t>
  </si>
  <si>
    <t>TrainingAndTechnicalAssistanceLevel</t>
  </si>
  <si>
    <t>Transfer-out Indicator</t>
  </si>
  <si>
    <t>An indicator of whether the student has transferred to another institution.</t>
  </si>
  <si>
    <t>001629</t>
  </si>
  <si>
    <t>TransferOutIndicator</t>
  </si>
  <si>
    <t>Transfer-ready</t>
  </si>
  <si>
    <t>A person who has successfully completed a transfer-preparatory program as defined by the state or by the institution if no official state definition exists.</t>
  </si>
  <si>
    <t>000296</t>
  </si>
  <si>
    <t>TransferReady</t>
  </si>
  <si>
    <t>Transition Conference Date</t>
  </si>
  <si>
    <t>The date of the transition conference from IDEA Part C to Part B 619 or another early learning program or service.</t>
  </si>
  <si>
    <t>001365</t>
  </si>
  <si>
    <t>TransitionConferenceDate</t>
  </si>
  <si>
    <t>Transition Conference Decline Date</t>
  </si>
  <si>
    <t>The date the parents declined approval for the transition conference from IDEA Part C to Part B 619 or another early learning program or service.</t>
  </si>
  <si>
    <t>001366</t>
  </si>
  <si>
    <t>TransitionConferenceDeclineDate</t>
  </si>
  <si>
    <t>Tribal Affiliation</t>
  </si>
  <si>
    <t>The Native American tribal entity recognized and eligible to receive services from the United States Bureau of Indian Affairs to which a person is affiliated.</t>
  </si>
  <si>
    <t>001657</t>
  </si>
  <si>
    <t>TribalAffiliation</t>
  </si>
  <si>
    <t>Trimester When Prenatal Care Began</t>
  </si>
  <si>
    <t>The trimester of pregnancy in which a child's mother began receiving prenatal health care.</t>
  </si>
  <si>
    <t>001630</t>
  </si>
  <si>
    <t>TrimesterWhenPrenatalCareBegan</t>
  </si>
  <si>
    <t>Truant Status</t>
  </si>
  <si>
    <t>An indication that a student is identified as a truant as defined by state rules.</t>
  </si>
  <si>
    <t>000569</t>
  </si>
  <si>
    <t>TruantStatus</t>
  </si>
  <si>
    <t>Tuition - Published</t>
  </si>
  <si>
    <t>The tuition rate used in the calculation of the institutional "net price" of attendance.</t>
  </si>
  <si>
    <t>000745</t>
  </si>
  <si>
    <t>TuitionPublished</t>
  </si>
  <si>
    <t>Tuition Funded</t>
  </si>
  <si>
    <t>Indicates that tuition for person's participation in a program, service, or course is funded or partially funded by an external grant program.</t>
  </si>
  <si>
    <t>The initial use case is for professional development courses/programs, but could apply to student programs/courses as well.</t>
  </si>
  <si>
    <t>001575</t>
  </si>
  <si>
    <t>TuitionFunded</t>
  </si>
  <si>
    <t>Tuition Residency Type</t>
  </si>
  <si>
    <t>A person's residency status for tuition purposes.</t>
  </si>
  <si>
    <t>000297</t>
  </si>
  <si>
    <t>TuitionResidencyType</t>
  </si>
  <si>
    <t>Tuition Unit</t>
  </si>
  <si>
    <t>000746</t>
  </si>
  <si>
    <t>TuitionUnit</t>
  </si>
  <si>
    <t>Type of Use of the Rural Low-Income Schools Program</t>
  </si>
  <si>
    <t>The type of use of the Rural Low-Income Schools Program (RLIS) (Title VI, Part B, Subpart 2) Grant Funds.</t>
  </si>
  <si>
    <t>000486</t>
  </si>
  <si>
    <t>Type of Use of the RLIS Program</t>
  </si>
  <si>
    <t>TypeOfUseOfTheRLISProgram</t>
  </si>
  <si>
    <t>Union Membership Name</t>
  </si>
  <si>
    <t>The name of the labor organization of which the person is a member.</t>
  </si>
  <si>
    <t>001497</t>
  </si>
  <si>
    <t>UnionMembershipName</t>
  </si>
  <si>
    <t>Union Membership Status</t>
  </si>
  <si>
    <t>An indication of whether the person is a member of a union.</t>
  </si>
  <si>
    <t>000799</t>
  </si>
  <si>
    <t>UnionMembershipStatus</t>
  </si>
  <si>
    <t>United States Citizenship Status</t>
  </si>
  <si>
    <t>An indicator of whether or not the person is a US citizen.</t>
  </si>
  <si>
    <t>000299</t>
  </si>
  <si>
    <t>UnitedStatesCitizenshipStatus</t>
  </si>
  <si>
    <t>Postsecondary Education -&gt; IPEDS
Postsecondary Education -&gt; IPEDS -&gt; HR</t>
  </si>
  <si>
    <t>Virtual Indicator</t>
  </si>
  <si>
    <t>001160</t>
  </si>
  <si>
    <t>VirtualIndicator</t>
  </si>
  <si>
    <t>Virtual School Status</t>
  </si>
  <si>
    <t>001766</t>
  </si>
  <si>
    <t>VirtualSchoolStatus</t>
  </si>
  <si>
    <t>Visa Type</t>
  </si>
  <si>
    <t>An indicator of a non-US citizen's Visa type.</t>
  </si>
  <si>
    <t>000196</t>
  </si>
  <si>
    <t>VisaType</t>
  </si>
  <si>
    <t>Vision Screening Date</t>
  </si>
  <si>
    <t>The year, month and day of a vision screening.</t>
  </si>
  <si>
    <t>000703</t>
  </si>
  <si>
    <t>VisionScreeningDate</t>
  </si>
  <si>
    <t>Vision Screening Status</t>
  </si>
  <si>
    <t>Status of an examination used to measure a person's ability to see.</t>
  </si>
  <si>
    <t>000308</t>
  </si>
  <si>
    <t>VisionScreeningStatus</t>
  </si>
  <si>
    <t>Wage Collection Code</t>
  </si>
  <si>
    <t>Method used for the collection of wage data for an employment record.</t>
  </si>
  <si>
    <t>000798</t>
  </si>
  <si>
    <t>WageCollectionCode</t>
  </si>
  <si>
    <t>Wage Verification Code</t>
  </si>
  <si>
    <t>An indication of whether the wage information has been verified.</t>
  </si>
  <si>
    <t>000819</t>
  </si>
  <si>
    <t>WageVerificationCode</t>
  </si>
  <si>
    <t>Wait Listed Student</t>
  </si>
  <si>
    <t>A person who meets the admission requirements but will only be offered a place in the class if space becomes available.</t>
  </si>
  <si>
    <t>000757</t>
  </si>
  <si>
    <t>WaitListedStudent</t>
  </si>
  <si>
    <t>Weapon Type</t>
  </si>
  <si>
    <t>Identifies the type of weapon used during an incident.</t>
  </si>
  <si>
    <t>See Forum Guide to Crime, Violence, and Discipline Incident Data http://nces.ed.gov/pubs2011/2011806.pdf Forum Guide.</t>
  </si>
  <si>
    <t>001211</t>
  </si>
  <si>
    <t>WeaponType</t>
  </si>
  <si>
    <t>Web Site Address</t>
  </si>
  <si>
    <t>The Uniform Resource Locator (URL) for the unique address of a Web page.</t>
  </si>
  <si>
    <t>000704</t>
  </si>
  <si>
    <t>WebSiteAddress</t>
  </si>
  <si>
    <t>Weeks Employed Per Year</t>
  </si>
  <si>
    <t>The number of weeks employed by year.</t>
  </si>
  <si>
    <t>001498</t>
  </si>
  <si>
    <t>WeeksEmployedPerYear</t>
  </si>
  <si>
    <t>Weeks of Gestation</t>
  </si>
  <si>
    <t>The number of weeks during gestational period.</t>
  </si>
  <si>
    <t>000313</t>
  </si>
  <si>
    <t>WeeksOfGestation</t>
  </si>
  <si>
    <t>Weight at Birth</t>
  </si>
  <si>
    <t>The weight of a child at birth in pounds and ounces.</t>
  </si>
  <si>
    <t>000312</t>
  </si>
  <si>
    <t>WeightAtBirth</t>
  </si>
  <si>
    <t>Well Child Screening Received Date</t>
  </si>
  <si>
    <t>The year, month and day of a well child visit.</t>
  </si>
  <si>
    <t>001631</t>
  </si>
  <si>
    <t>WellChildScreeningReceivedDate</t>
  </si>
  <si>
    <t>White</t>
  </si>
  <si>
    <t>A person having origins in any of the original peoples of Europe, Middle East, or North Africa.</t>
  </si>
  <si>
    <t>000301</t>
  </si>
  <si>
    <t>Race White</t>
  </si>
  <si>
    <t>Work-based Learning Opportunity Type</t>
  </si>
  <si>
    <t>The type of work-based learning opportunity a student participated in.</t>
  </si>
  <si>
    <t>001499</t>
  </si>
  <si>
    <t>WorkBasedLearningOpportunityType</t>
  </si>
  <si>
    <t>Workforce Program Participation End Date</t>
  </si>
  <si>
    <t>The year, month, and day of the last day of the reference period during which data are matched between education and workforce data sources.</t>
  </si>
  <si>
    <t>Agencies define the time period for this collection around an enrollment period or exit date with a to-be defined lag period following an exit event. Enrollment periods are defined in CEDS for K12 and postsecondary students. The term "exit" includes leaving education for any reason including dropping out or graduating with or without a credential. Exiting conditions are defined in CEDS for K12 and postsecondary students.</t>
  </si>
  <si>
    <t>000999</t>
  </si>
  <si>
    <t>WorkforceProgramParticipationEndDate</t>
  </si>
  <si>
    <t>Workforce Program Participation Start Date</t>
  </si>
  <si>
    <t>The year, month, and day of the first day of the reference period during which data are matched between education and workforce data sources.</t>
  </si>
  <si>
    <t>000998</t>
  </si>
  <si>
    <t>WorkforceProgramParticipationStartDate</t>
  </si>
  <si>
    <t>Workforce Program Type</t>
  </si>
  <si>
    <t>The type of workforce and employment development program that an individual is participating in.</t>
  </si>
  <si>
    <t>000997</t>
  </si>
  <si>
    <t>WorkforceProgramType</t>
  </si>
  <si>
    <t>Years of Prior Adult Education Teaching Experience</t>
  </si>
  <si>
    <t>The total number of years that a person has previously held a teaching position in one or more adult education programs.</t>
  </si>
  <si>
    <t>000788</t>
  </si>
  <si>
    <t>YearsofPriorAETeachingExperience</t>
  </si>
  <si>
    <t>Years of Prior Teaching Experience</t>
  </si>
  <si>
    <t>The total number of years prior to this job that a person has previously held a teaching position in one or more education institutions.</t>
  </si>
  <si>
    <t>000302</t>
  </si>
  <si>
    <t>YearsOfPriorTeachingExperience</t>
  </si>
  <si>
    <t>An indication of whether the assignment is the staff member's primary assignment.</t>
  </si>
  <si>
    <t>CIP codes are available at: https://nces.ed.gov/ipeds/cipcode/browse.aspx?y=55.</t>
  </si>
  <si>
    <t>See URL column</t>
  </si>
  <si>
    <t>An indication of the category of the adult education certification a person holds.</t>
  </si>
  <si>
    <t>Adult Education Credential Attainment Employed Indicator</t>
  </si>
  <si>
    <t>An indication of whether the adult education participant received a secondary school diploma or its recognized equivalent while enrolled in the adult education program or within one year of exiting the adult education program and was employed within one year of exiting the adult education program.</t>
  </si>
  <si>
    <t>001955</t>
  </si>
  <si>
    <t>AdultEducationCredentialAttainmentEmployedIndicator</t>
  </si>
  <si>
    <t>Adult Education Credential Attainment Postsecondary Credential Indicator</t>
  </si>
  <si>
    <t>An indication of whether the adult education participant received a postsecondary credential while enrolled in the adult education program or within one year of exiting the adult education program.</t>
  </si>
  <si>
    <t>001956</t>
  </si>
  <si>
    <t>AdultEducationCredentialAttainmentPostsecondaryCredentialIndicator</t>
  </si>
  <si>
    <t>Adult Education Credential Attainment Postsecondary Enrollment Indicator</t>
  </si>
  <si>
    <t>An indication of whether the adult education participant received a secondary school diploma or its recognized equivalent while enrolled in the adult education program or within one year of exiting the adult education program and entered into postsecondary education within one year of exiting the adult education program.</t>
  </si>
  <si>
    <t>001954</t>
  </si>
  <si>
    <t>AdultEducationCredentialAttainmentPostsecondaryEnrollmentIndicator</t>
  </si>
  <si>
    <t>Adult Education Program Exit Reason</t>
  </si>
  <si>
    <t>The documented or assumed reason the person is no longer being served by the adult education program.</t>
  </si>
  <si>
    <t>001939</t>
  </si>
  <si>
    <t>AdultEducationProgramExitReason</t>
  </si>
  <si>
    <t>Barrier to Internet Access In Residence</t>
  </si>
  <si>
    <t>An indication of the barrier to having internet access in the student's primary place of residence.</t>
  </si>
  <si>
    <t>This element is used in combination with the element "Internet Access in Residence." When asking for this information on a parent or student survey, the question could be phrased like this: "If the student is unable to access the internet in their primary place of residence, why not?"</t>
  </si>
  <si>
    <t>001935</t>
  </si>
  <si>
    <t>BarrierToInternetAccessInResidence</t>
  </si>
  <si>
    <t>Campus Facility Type</t>
  </si>
  <si>
    <t>Children of Fallen Heroes Indicator</t>
  </si>
  <si>
    <t>Pell-eligible students whose parent or guardian was a member of the U.S. armed forces and died as a result of military service performed in Iraq or Afghanistan after the events of 9/11 or a public safety officer and died as a result of active service in the line of duty. At the time of the parent's or guardian's death, the student must be less than 24 years of age or enrolled in college or career school at least part-time.</t>
  </si>
  <si>
    <t>The Children of Fallen heroes Indicator should follow the current legislation definitions and be updated as definitions change</t>
  </si>
  <si>
    <t>001984</t>
  </si>
  <si>
    <t>ChildrenOfFallenHeroesIndicator</t>
  </si>
  <si>
    <t>The year the cohort is expected to graduate.</t>
  </si>
  <si>
    <t>Cohort Median Earnings</t>
  </si>
  <si>
    <t>The midpoint between the lowest and highest quarterly wage, in U.S. dollars, for the total number of persons included in the cohort for the period of time between the Employment Record Reference Period Start Date and Employment Record Reference Period End Date.</t>
  </si>
  <si>
    <t>001938</t>
  </si>
  <si>
    <t>CohortMedianEarnings</t>
  </si>
  <si>
    <t>The date, if any, on which the qualification, achievement, personal or organizational quality, or aspect of an identity expires or requires renewal.</t>
  </si>
  <si>
    <t>The name of the agent issuing the qualification, achievement, personal or organizational quality, or aspect of an identity.</t>
  </si>
  <si>
    <t>The Uniform Resource Locator (URL) from which the qualification, achievement, personal or organizational quality, or aspect of an identity was issued.</t>
  </si>
  <si>
    <t>The date on which the qualification, achievement, personal or organizational quality, or aspect of an identity was conferred.</t>
  </si>
  <si>
    <t>The system that defines the categories of the qualification, achievement, personal or organizational quality, or aspect of an identity used in Credential Category Type.</t>
  </si>
  <si>
    <t>A category for defining the qualification, achievement, personal or organizational quality, or aspect of an identity.</t>
  </si>
  <si>
    <t>The criteria for competency-based completion of the qualification, achievement, personal or organizational quality, or aspect of an identity.</t>
  </si>
  <si>
    <t>The Uniform Resource Locator (URL) for the unique address of a web page describing the competency-based completion criteria for the qualification, achievement, personal or organizational quality, or aspect of an identity.</t>
  </si>
  <si>
    <t>A description of the qualification, achievement, personal or organizational quality, or aspect of an identity.</t>
  </si>
  <si>
    <t>A globally unique identifier by which the creator/owner/provider of a credential recognizes the qualification, achievement, personal or organizational quality, or aspect of an identity in transactions with the external environment.</t>
  </si>
  <si>
    <t>A coding scheme that is used for identification and record-keeping purposes by a credentialing organization to refer to a qualification, achievement, personal or organizational quality, or aspect of an identity.</t>
  </si>
  <si>
    <t>Credential Definition Terminal Degree Indicator</t>
  </si>
  <si>
    <t>This degree is the highest degree that can be awarded in this classification of instructional programs field or program area.</t>
  </si>
  <si>
    <t>001953</t>
  </si>
  <si>
    <t>CredentialDefinitionTerminalDegreeIndicator</t>
  </si>
  <si>
    <t>The title assigned to a qualification, achievement, personal or organizational quality, or aspect of an identity.</t>
  </si>
  <si>
    <t>A statement or reference describing the evidence that the learner met the criteria for attainment of the qualification, achievement, personal or organizational quality, or aspect of an identity.</t>
  </si>
  <si>
    <t>The Uniform Resource Locator (URL) for the unique address of an image representing an award or badge associated with the qualification, achievement, personal or organizational quality, or aspect of an identity.</t>
  </si>
  <si>
    <t>The date on which the qualification, achievement, personal or organizational quality, or aspect of an identity was revoked.</t>
  </si>
  <si>
    <t>The cumulative number of credits a person attempts to earn by taking courses during their enrollment in their current education institution as well as those credits transferred from an education institution in which the person had been previously enrolled.</t>
  </si>
  <si>
    <t>The cumulative number of credits a person earns by completing courses or examinations during their enrollment in the current education institution as well as those credits transferred from an education institution in which the person had been previously enrolled.</t>
  </si>
  <si>
    <t>Early Learning -&gt; Parent/Guardian -&gt; Relationship
K12 -&gt; Parent/Guardian -&gt; Relationship
Postsecondary -&gt; Parent/Guardian -&gt; Relationship
Postsecondary -&gt; PS Student -&gt; Relationship</t>
  </si>
  <si>
    <t>Data Collection Academic School Year</t>
  </si>
  <si>
    <t>The year for a reported school session for which the data is applicable.</t>
  </si>
  <si>
    <t>001970</t>
  </si>
  <si>
    <t>DataCollectionAcademicSchoolYear</t>
  </si>
  <si>
    <t>Data Collection Close Date</t>
  </si>
  <si>
    <t>The date the data collection closes or ends.</t>
  </si>
  <si>
    <t>001969</t>
  </si>
  <si>
    <t>DataCollectionCloseDate</t>
  </si>
  <si>
    <t>Data Collection Description</t>
  </si>
  <si>
    <t>The description of what is included in the data within the context of the data collection based on the source system and collection period as defined by the Data Collection Open Date and Data Collection Close Date.</t>
  </si>
  <si>
    <t>001967</t>
  </si>
  <si>
    <t>DataCollectionDescription</t>
  </si>
  <si>
    <t>Data Collection Name</t>
  </si>
  <si>
    <t>A human readable name used to identify the data within the collection.</t>
  </si>
  <si>
    <t>001966</t>
  </si>
  <si>
    <t>DataCollectionName</t>
  </si>
  <si>
    <t>Data Collection Open Date</t>
  </si>
  <si>
    <t>The date the data collection opens or commences.</t>
  </si>
  <si>
    <t>001968</t>
  </si>
  <si>
    <t>DataCollectionOpenDate</t>
  </si>
  <si>
    <t>Data Collection School Year</t>
  </si>
  <si>
    <t>The year for a reported school session in which the data collection occurs.</t>
  </si>
  <si>
    <t>001971</t>
  </si>
  <si>
    <t>DataCollectionSchoolYear</t>
  </si>
  <si>
    <t>Data Collection Status</t>
  </si>
  <si>
    <t>A process indicator of the level of stability, quality, and/or preparedness of the collection of data.</t>
  </si>
  <si>
    <t>001990</t>
  </si>
  <si>
    <t>DataCollectionStatus</t>
  </si>
  <si>
    <t>EDFacts Academic or Career and Technical Outcome Exit Type</t>
  </si>
  <si>
    <t>The type of academic or career and technical outcome attained up to 90 days after exiting the facility or program.</t>
  </si>
  <si>
    <t>001979</t>
  </si>
  <si>
    <t>EdFactsAcademicOrCareerAndTechnicalOutcomeExitType</t>
  </si>
  <si>
    <t>EDFacts Academic or Career and Technical Outcome Type</t>
  </si>
  <si>
    <t>The type of academic or career and technical outcome attained while enrolled in the program.</t>
  </si>
  <si>
    <t>001978</t>
  </si>
  <si>
    <t>EdFactsAcademicOrCareerAndTechnicalOutcomeType</t>
  </si>
  <si>
    <t>EDFacts Teacher Inexperienced Status</t>
  </si>
  <si>
    <t>An indication of whether teachers have been identified as inexperienced as defined by the state.</t>
  </si>
  <si>
    <t>This element is used specifically for EDFacts reporting.</t>
  </si>
  <si>
    <t>001961</t>
  </si>
  <si>
    <t>EDFactsTeacherInexperiencedStatus</t>
  </si>
  <si>
    <t>EDFacts Teacher Out of Field Status</t>
  </si>
  <si>
    <t>An indication of whether teachers have been identified as teaching a subject or field for which they are not certified or licensed as defined by the state.</t>
  </si>
  <si>
    <t>001962</t>
  </si>
  <si>
    <t>EDFactsTeacherOutOfFieldStatus</t>
  </si>
  <si>
    <t>Emancipated Minor</t>
  </si>
  <si>
    <t>A minor student under the age of 18 who has been granted by legal action to have the power and capacity of an adult.</t>
  </si>
  <si>
    <t>001981</t>
  </si>
  <si>
    <t>EmancipatedMinor</t>
  </si>
  <si>
    <t>Federal Race and Ethnicity Declined</t>
  </si>
  <si>
    <t>A parent, guardian, or student declined to report sufficient information for identifying a student's federal race and/or ethnicity.</t>
  </si>
  <si>
    <t>001944</t>
  </si>
  <si>
    <t>FederalRaceAndEthnicityDeclined</t>
  </si>
  <si>
    <t>First Generation College Student</t>
  </si>
  <si>
    <t>The term First Generation College Student means an individual both of whose parents did not complete a baccalaureate degree or in the case of any individual who regularly resided with and received support from only one parent, an individual whose only such parent did not complete a baccalaureate degree.</t>
  </si>
  <si>
    <t>001947</t>
  </si>
  <si>
    <t>FirstGenerationCollegeStudent</t>
  </si>
  <si>
    <t>Alphanumeric - 75 characters maximum</t>
  </si>
  <si>
    <t>K12 -&gt; K12 Student -&gt; Academic Record
Postsecondary -&gt; PS Applicant
Postsecondary -&gt; PS Student -&gt; K12 Transcript</t>
  </si>
  <si>
    <t>Home Language Survey Administration Date</t>
  </si>
  <si>
    <t>The year, month, and day on which the Home Language Survey is known to have been administered to the parent or guardian of this student.</t>
  </si>
  <si>
    <t>The actual date of the administration is not what this element is capturing but rather when the result of the home language survey have been received by the school. The survey may have been completed in the school office upon registration of the student or could have been completed at home as part of a set of documents parents or guardians complete when enrolling students. When the completed home language survey has been provided to the school, the date received or the date the information is entered into a student information system as having been completed is sufficient to meet the intent of this element.</t>
  </si>
  <si>
    <t>001989</t>
  </si>
  <si>
    <t>HomeLanguageSurveyAdministrationDate</t>
  </si>
  <si>
    <t>Home Language Survey Administration Indicator</t>
  </si>
  <si>
    <t>An indication that the parent or guardian of this student was administered the Home Language Survey - a questionnaire given to parents or guardians that helps schools and local education agencies identify which students are potential English Learners and who will require assessment of their English language proficiency to determine whether they are eligible for language assistance services.</t>
  </si>
  <si>
    <t>The term "administration" would indicate that the results of the home language survey for this student have been provided to the school. The intent of this element is not to determine whether or not the school provided a home language survey to the parents/guardians of the student but instead to determine if the school received the results of that home language survey back from the parents/guardians of the student.</t>
  </si>
  <si>
    <t>001988</t>
  </si>
  <si>
    <t>HomeLanguageSurveyAdministrationIndicator</t>
  </si>
  <si>
    <t>If your data is granular enough to differentiate between Before School and After School, it is recommended those options be selected over using the combined Before or After School option.</t>
  </si>
  <si>
    <t>Internet Access In Residence</t>
  </si>
  <si>
    <t>An indication of whether the student is able to access the internet in their primary place of residence.</t>
  </si>
  <si>
    <t>When asking for this information on a parent or student survey, the question could be phrased like this: "Can the student access the internet in their primary place of residence?"</t>
  </si>
  <si>
    <t>001934</t>
  </si>
  <si>
    <t>InternetAccessInResidence</t>
  </si>
  <si>
    <t>Internet Access Type In Residence</t>
  </si>
  <si>
    <t>001936</t>
  </si>
  <si>
    <t>Internet Download Speed</t>
  </si>
  <si>
    <t>The speed that data or information can be downloaded from a server on the internet to one's device in megabits per second.</t>
  </si>
  <si>
    <t>This information is collected via an internet speed test. In 2021, the FCC minimum broadband threshold is 25 Mbps. Display Example: 25.0</t>
  </si>
  <si>
    <t>001976</t>
  </si>
  <si>
    <t>InternetDownloadSpeed</t>
  </si>
  <si>
    <t>Internet Performance In Residence</t>
  </si>
  <si>
    <t>An indication of whether the student can complete the full range of learning activities, including video streaming and assignment upload, without interruptions caused by poor internet performance in their primary place of residence.</t>
  </si>
  <si>
    <t>When asking for this information on a parent or student survey, the question could be phrased like this: "Can the student complete learning activities such as streaming a video and uploading assignments without interruptions caused by poor internet performance?"</t>
  </si>
  <si>
    <t>001937</t>
  </si>
  <si>
    <t>InternetPerformanceInResidence</t>
  </si>
  <si>
    <t>Internet Speed Test Date Time</t>
  </si>
  <si>
    <t>The date and, optionally, time that the information was gathered.</t>
  </si>
  <si>
    <t>This information is collected and stored as part of each speed test. Display Example: 2021-09-20T10:30:00</t>
  </si>
  <si>
    <t>001977</t>
  </si>
  <si>
    <t>InternetSpeedTestDateTime</t>
  </si>
  <si>
    <t>Internet Upload Speed</t>
  </si>
  <si>
    <t>The speed that data or information can be sent from one's device to another device or server on the internet in megabits per second.</t>
  </si>
  <si>
    <t>This information is collected via an internet speed test. In 2021, the FCC minimum broadband threshold is 3 Mbps. Display Example: 3.0</t>
  </si>
  <si>
    <t>001975</t>
  </si>
  <si>
    <t>InternetUploadSpeed</t>
  </si>
  <si>
    <t>Marital Status</t>
  </si>
  <si>
    <t>The marital status of the person as of today.</t>
  </si>
  <si>
    <t>This element supports FAFSA questions related to parent's marital status and student's marital status. The option set was developed using Census classifications.</t>
  </si>
  <si>
    <t>001980</t>
  </si>
  <si>
    <t>MaritalStatus</t>
  </si>
  <si>
    <t>NCES SIDE Date Processed</t>
  </si>
  <si>
    <t>The year, month, and day on which the National Center for Education Statistics (NCES) spatially interpolated demographic estimate (SIDE) was processed through the BlindSIDE resource.</t>
  </si>
  <si>
    <t>001950</t>
  </si>
  <si>
    <t>NCESSIDEDateProcessed</t>
  </si>
  <si>
    <t>NCES SIDE Estimate</t>
  </si>
  <si>
    <t>The National Center for Education Statistics (NCES) spatially interpolated demographic estimate (SIDE) based on the person's latitude and longitude location.</t>
  </si>
  <si>
    <t>001948</t>
  </si>
  <si>
    <t>NCESSIDEEstimate</t>
  </si>
  <si>
    <t>NCES SIDE Standard Error</t>
  </si>
  <si>
    <t>The standard error applied to the National Center for Education Statistics (NCES) spatially interpolated demographic estimate (SIDE).</t>
  </si>
  <si>
    <t>001949</t>
  </si>
  <si>
    <t>NCESSIDEStandard Error</t>
  </si>
  <si>
    <t>NCES SIDE Vintage Begin Year</t>
  </si>
  <si>
    <t>The begin year for the American Community Survey (ACS) period estimates used to construct the National Center for Education Statistics (NCES) spatially interpolated demographic estimate (SIDE).</t>
  </si>
  <si>
    <t>The NCES SIDE base is constructed from ACS five-year microdata. The NCES SIDE Vintage Begin Year indicates the first year of that five-year microdata base.</t>
  </si>
  <si>
    <t>001951</t>
  </si>
  <si>
    <t>NCESSIDEVintageBeginYear</t>
  </si>
  <si>
    <t>NCES SIDE Vintage End Year</t>
  </si>
  <si>
    <t>The end year for the American Community Survey (ACS) period estimates used to construct the National Center for Education Statistics (NCES) spatially interpolated demographic estimate (SIDE).</t>
  </si>
  <si>
    <t>The NCES SIDE base is constructed from ACS five-year microdata. The NCES SIDE Vintage End Year indicates the last year of that five-year microdata base.</t>
  </si>
  <si>
    <t>001952</t>
  </si>
  <si>
    <t>NCESSIDEVintageEndYear</t>
  </si>
  <si>
    <t>Number of Days Tardy</t>
  </si>
  <si>
    <t>The number of days a person is tardy when school is in session during a given reporting period.</t>
  </si>
  <si>
    <t>001957</t>
  </si>
  <si>
    <t>NumberofDaysTardy</t>
  </si>
  <si>
    <t>The number of dependents who live with the student and receive more than half their support from them.</t>
  </si>
  <si>
    <t>Number of Dependents Type</t>
  </si>
  <si>
    <t>The student's relationship to the dependents who live with the student or receive more than half of the student's support</t>
  </si>
  <si>
    <t>001983</t>
  </si>
  <si>
    <t>NumberOfDependentsType</t>
  </si>
  <si>
    <t>Number of Household College Students</t>
  </si>
  <si>
    <t>Number of people, including the student, who will attend at least half-time in the current academic year, a program that leads to a college degree or certificate</t>
  </si>
  <si>
    <t>This information is collected on the FAFSA</t>
  </si>
  <si>
    <t>001982</t>
  </si>
  <si>
    <t>NumberOfHouseholdCollegeStudents</t>
  </si>
  <si>
    <t>For FAFSA, this includes the number of family members that are in the household, including the student, their spouse, children, and any other persons living in the household to whom they will provide more than half of their support</t>
  </si>
  <si>
    <t>Personal Information Type</t>
  </si>
  <si>
    <t>The type of personal information verified through the Personal Information Verification evidence.</t>
  </si>
  <si>
    <t>001945</t>
  </si>
  <si>
    <t>PersonalInformationType</t>
  </si>
  <si>
    <t>Primary Learning Device Access</t>
  </si>
  <si>
    <t>An indication of whether the primary learning device is shared or not shared with another individual</t>
  </si>
  <si>
    <t>When asking for this information on a parent or student survey, the question could be phrased like this: "Is the student's primary learning device shared with anyone else?"</t>
  </si>
  <si>
    <t>001932</t>
  </si>
  <si>
    <t>PrimaryLearningDeviceAccess</t>
  </si>
  <si>
    <t>Primary Learning Device Away From School</t>
  </si>
  <si>
    <t>The type of device the student uses most often to complete learning activities away from school.</t>
  </si>
  <si>
    <t>When asking for this information on a parent or student survey, the question could be phrased like this: "What device does the student most often use to complete learning activities away from school?"</t>
  </si>
  <si>
    <t>001931</t>
  </si>
  <si>
    <t>PrimaryLearningDeviceAwayFromSchool</t>
  </si>
  <si>
    <t>Primary Learning Device Provider</t>
  </si>
  <si>
    <t>The provider of the primary learning device.</t>
  </si>
  <si>
    <t>When asking for this information on a parent or student survey, the question could be phrased like this: "Who provided the primary learning device to the student?"</t>
  </si>
  <si>
    <t>001933</t>
  </si>
  <si>
    <t>PrimaryLearningDeviceProvider</t>
  </si>
  <si>
    <t>Race</t>
  </si>
  <si>
    <t>The origins of a person.</t>
  </si>
  <si>
    <t>It is expected that a person may select more than one option with the exception of the options "Demographic Race Two or More Races" and "Race and Ethnicity Unknown."</t>
  </si>
  <si>
    <t>001943</t>
  </si>
  <si>
    <t>Record Status Creator Entity</t>
  </si>
  <si>
    <t>The type of entity that created or indicated the Record Status Type</t>
  </si>
  <si>
    <t>001974</t>
  </si>
  <si>
    <t>RecordStatusCreatorEntity</t>
  </si>
  <si>
    <t>Record Status Date</t>
  </si>
  <si>
    <t>The date the record was marked with the Record Status Type.</t>
  </si>
  <si>
    <t>001973</t>
  </si>
  <si>
    <t>RecordStatusDate</t>
  </si>
  <si>
    <t>Record Status Type</t>
  </si>
  <si>
    <t>A process indicator of the level of stability, quality, and/or preparedness of the record.</t>
  </si>
  <si>
    <t>001972</t>
  </si>
  <si>
    <t>RecordStatusType</t>
  </si>
  <si>
    <t>Role</t>
  </si>
  <si>
    <t>A description of the way in which a person relates to an organization.</t>
  </si>
  <si>
    <t>001946</t>
  </si>
  <si>
    <t>Source System Data Collection Identifier</t>
  </si>
  <si>
    <t>The identifier specified by the source system that uniquely identifies the data collection.</t>
  </si>
  <si>
    <t>001964</t>
  </si>
  <si>
    <t>SourceSystemDataCollectionIdentifier</t>
  </si>
  <si>
    <t>Source System Name</t>
  </si>
  <si>
    <t>The name of the source system that provided the data within the collection.</t>
  </si>
  <si>
    <t>001965</t>
  </si>
  <si>
    <t>SourceSystemName</t>
  </si>
  <si>
    <t>Staff Compensation Annual Supplement</t>
  </si>
  <si>
    <t>The annual sum of payments given to staff in addition to their regular wages.</t>
  </si>
  <si>
    <t>001959</t>
  </si>
  <si>
    <t>StaffCompensationAnnualSupplement</t>
  </si>
  <si>
    <t>Staff Compensation Longevity</t>
  </si>
  <si>
    <t>Compensation paid to a staff member based on their years of service.</t>
  </si>
  <si>
    <t>001960</t>
  </si>
  <si>
    <t>StaffCompensationLongevity</t>
  </si>
  <si>
    <t>Staff Compensation Source Type</t>
  </si>
  <si>
    <t>The source for the staff compensation a person receives.</t>
  </si>
  <si>
    <t>001958</t>
  </si>
  <si>
    <t>StaffCompensationSourceType</t>
  </si>
  <si>
    <t>Staff Evaluation Part Name</t>
  </si>
  <si>
    <t>The name of the component part that is being evaluated and scored.</t>
  </si>
  <si>
    <t>001985</t>
  </si>
  <si>
    <t>StaffEvaluationPartName</t>
  </si>
  <si>
    <t>Staff Evaluation Part Scale</t>
  </si>
  <si>
    <t>The quantitative or qualitative range of possible scores/rating for a person's performance on a component part (e.g., 0 - 10; Poor, Fair, Average, Good, Excellent).</t>
  </si>
  <si>
    <t>001987</t>
  </si>
  <si>
    <t>StaffEvaluationPartScale</t>
  </si>
  <si>
    <t>Staff Evaluation Part Score or Rating</t>
  </si>
  <si>
    <t>001986</t>
  </si>
  <si>
    <t>StaffEvaluationPartScoreOrRating</t>
  </si>
  <si>
    <t>The quantitative or qualitative range of possible scores/rating for a person's overall performance (e.g., 0 - 10; Poor, Fair, Average, Good, Excellent).</t>
  </si>
  <si>
    <t>The actual quantitative or qualitative assessment of a person's overall performance.</t>
  </si>
  <si>
    <t>Student School Affiliation State Defined Status</t>
  </si>
  <si>
    <t>An indication of the nature of a student's affiliation, as defined by the state, with a public school and used generally, but not exclusively, for the purpose of determining residency, funding, or accountability.</t>
  </si>
  <si>
    <t>This element should be used in conjunction with the Public School Residence Status and the Responsible School Type elements to create specificity about the role a school plays or should play in the education of the student.</t>
  </si>
  <si>
    <t>001963</t>
  </si>
  <si>
    <t>StudentSchoolAffiliationStateDefinedStatus</t>
  </si>
  <si>
    <t>WIOA Barriers to Employment</t>
  </si>
  <si>
    <t>A self-identified barrier as defined by the Workforce Innovation and Opportunity Act (WIOA) that is presumed to affect placement of a participant in unsubsidized employment.</t>
  </si>
  <si>
    <t>001940</t>
  </si>
  <si>
    <t>WIOABarrierstoEmployment</t>
  </si>
  <si>
    <t>WIOA Career Services</t>
  </si>
  <si>
    <t>An indication of whether or not the individual has received services as identified in sec. 134(c)(2) of the Workforce Innovation and Opportunity Act (WIOA) consisting of (a) basic career services, (b) individualized career services, or (c) follow-up services.</t>
  </si>
  <si>
    <t>001941</t>
  </si>
  <si>
    <t>WIOACareerServices</t>
  </si>
  <si>
    <t>WIOA Training Services</t>
  </si>
  <si>
    <t>An indication of whether or not the individual has received services as defined by the Workforce Innovation and Opportunity Act (WIOA), one or more courses or classes, or a structured regimen that provides the services in 20 CFR part 680.200 and leads to: (a) An industry-recognized certificate or certification, a certificate of completion of a registered apprenticeship, a license recognized by the State involved or the Federal Government, an associate or baccalaureate degree, or community college certificate of completion; (b) Consistent with § 680.350, a secondary school diploma or its equivalent; (c) Employment; or (d) Measurable skill gains toward a credential described in paragraph (a) or (b) of this section or employment.</t>
  </si>
  <si>
    <t>001942</t>
  </si>
  <si>
    <t>WIOATrainingServices</t>
  </si>
  <si>
    <t>Early Learning</t>
  </si>
  <si>
    <t>No</t>
  </si>
  <si>
    <t>Identification</t>
  </si>
  <si>
    <t>Address</t>
  </si>
  <si>
    <t>Telephone</t>
  </si>
  <si>
    <t>Contact</t>
  </si>
  <si>
    <t>Contact-&gt;Name</t>
  </si>
  <si>
    <t>Contact-&gt;Address</t>
  </si>
  <si>
    <t>Contact-&gt;Telephone</t>
  </si>
  <si>
    <t>Contact-&gt;Email</t>
  </si>
  <si>
    <t>Contact-&gt;Other Name</t>
  </si>
  <si>
    <t>Organization Information</t>
  </si>
  <si>
    <t>Directory</t>
  </si>
  <si>
    <t>Site Level Characteristics</t>
  </si>
  <si>
    <t>Facility</t>
  </si>
  <si>
    <t>Licensing</t>
  </si>
  <si>
    <t>QRIS Rating</t>
  </si>
  <si>
    <t>Monitoring</t>
  </si>
  <si>
    <t>Accreditation</t>
  </si>
  <si>
    <t>Quality</t>
  </si>
  <si>
    <t>Policies</t>
  </si>
  <si>
    <t>Finance</t>
  </si>
  <si>
    <t>Compensation</t>
  </si>
  <si>
    <t>Professional Development</t>
  </si>
  <si>
    <t>Service Partners</t>
  </si>
  <si>
    <t>Cultural and Linguistic Diversity</t>
  </si>
  <si>
    <t>Health Promotion</t>
  </si>
  <si>
    <t>Inclusion</t>
  </si>
  <si>
    <t>Parental/Family Involvement</t>
  </si>
  <si>
    <t>Identity-&gt;Name</t>
  </si>
  <si>
    <t>Identity-&gt;Other Name</t>
  </si>
  <si>
    <t>Identity-&gt;Identification</t>
  </si>
  <si>
    <t>Demographic</t>
  </si>
  <si>
    <t>Referral</t>
  </si>
  <si>
    <t>Health</t>
  </si>
  <si>
    <t>Health-&gt;Immunization</t>
  </si>
  <si>
    <t>Health-&gt;Vision</t>
  </si>
  <si>
    <t>Health-&gt;Hearing</t>
  </si>
  <si>
    <t>Health-&gt;Dental</t>
  </si>
  <si>
    <t>Health-&gt;Insurance</t>
  </si>
  <si>
    <t>Health-&gt;Birth/Prenatal</t>
  </si>
  <si>
    <t>Health-&gt;Well Child Visits</t>
  </si>
  <si>
    <t>Developmental Assessments</t>
  </si>
  <si>
    <t>Eligibility</t>
  </si>
  <si>
    <t>Language</t>
  </si>
  <si>
    <t>Enrollment</t>
  </si>
  <si>
    <t>Disability</t>
  </si>
  <si>
    <t>Services</t>
  </si>
  <si>
    <t>Services-&gt;Application</t>
  </si>
  <si>
    <t>Services-&gt;Service Partners</t>
  </si>
  <si>
    <t>Individualized Program</t>
  </si>
  <si>
    <t>Individualized Program-&gt;Goal</t>
  </si>
  <si>
    <t>Individualized Program-&gt;Individualized Transition Plan</t>
  </si>
  <si>
    <t>Child Outcome Summary</t>
  </si>
  <si>
    <t>Program</t>
  </si>
  <si>
    <t>Homeless</t>
  </si>
  <si>
    <t>Relationship</t>
  </si>
  <si>
    <t>Digital Access-&gt;Internet Speed Test</t>
  </si>
  <si>
    <t>Parent/Guardian</t>
  </si>
  <si>
    <t>Education</t>
  </si>
  <si>
    <t>Insurance</t>
  </si>
  <si>
    <t>Family/Household Information</t>
  </si>
  <si>
    <t>Employment</t>
  </si>
  <si>
    <t>Credential or License</t>
  </si>
  <si>
    <t>Professional Development-&gt;Instructor</t>
  </si>
  <si>
    <t>Professional Development Activity</t>
  </si>
  <si>
    <t>Professional Development Activity-&gt;Session</t>
  </si>
  <si>
    <t>Professional Development Activity-&gt;Session - Location</t>
  </si>
  <si>
    <t>Early Learning Program</t>
  </si>
  <si>
    <t>K12</t>
  </si>
  <si>
    <t>Organization</t>
  </si>
  <si>
    <t>K12 School</t>
  </si>
  <si>
    <t>Directory-&gt;Charter School Authorizer</t>
  </si>
  <si>
    <t>Directory-&gt;Charter School Management Organization</t>
  </si>
  <si>
    <t>Institution Characteristics</t>
  </si>
  <si>
    <t>Accountability</t>
  </si>
  <si>
    <t>Federal Funds</t>
  </si>
  <si>
    <t>Session</t>
  </si>
  <si>
    <t>Technical Assistance</t>
  </si>
  <si>
    <t>LEA</t>
  </si>
  <si>
    <t>Program Specific Federal Reporting</t>
  </si>
  <si>
    <t>Safe and Drug Free Program</t>
  </si>
  <si>
    <t>Programs and Services</t>
  </si>
  <si>
    <t>SEA</t>
  </si>
  <si>
    <t>K12 Student</t>
  </si>
  <si>
    <t>Enrollment-&gt;Activity</t>
  </si>
  <si>
    <t>Attendance</t>
  </si>
  <si>
    <t>Academic Record</t>
  </si>
  <si>
    <t>Academic Record-&gt;Activity</t>
  </si>
  <si>
    <t>Academic Record-&gt;Academic Award</t>
  </si>
  <si>
    <t>IDEA</t>
  </si>
  <si>
    <t>Title I</t>
  </si>
  <si>
    <t>Individualized Program-&gt;Eligibility-&gt;Authorization</t>
  </si>
  <si>
    <t>Individualized Program-&gt;Eligibility-&gt;Determination</t>
  </si>
  <si>
    <t>Individualized Program-&gt;Eligibility-&gt;Evaluation</t>
  </si>
  <si>
    <t>Individualized Program-&gt;Eligibility-&gt;Referral</t>
  </si>
  <si>
    <t>Individualized Program-&gt;IDEA Placement</t>
  </si>
  <si>
    <t>Individualized Program-&gt;Authorization</t>
  </si>
  <si>
    <t>Individualized Program-&gt;IEP Present Levels</t>
  </si>
  <si>
    <t>Individualized Program-&gt;Services</t>
  </si>
  <si>
    <t>Individualized Program-&gt;Services-&gt;Service Provider</t>
  </si>
  <si>
    <t>Individualized Program-&gt;Assessment</t>
  </si>
  <si>
    <t>Individualized Program-&gt;Progress Report</t>
  </si>
  <si>
    <t>Individualized Program-&gt;Progress Report-&gt;Goal</t>
  </si>
  <si>
    <t>Individualized Program-&gt;Amendment</t>
  </si>
  <si>
    <t>Discipline</t>
  </si>
  <si>
    <t>Economically Disadvantaged</t>
  </si>
  <si>
    <t>Graduation Plan</t>
  </si>
  <si>
    <t>Graduation Plan-&gt;Subject Area</t>
  </si>
  <si>
    <t>Graduation Plan-&gt;Course</t>
  </si>
  <si>
    <t>Immigrant</t>
  </si>
  <si>
    <t>English Learner</t>
  </si>
  <si>
    <t>Migrant</t>
  </si>
  <si>
    <t>Neglected or Delinquent</t>
  </si>
  <si>
    <t>Learner Action</t>
  </si>
  <si>
    <t>Digital Access-&gt;Digital Access Survey</t>
  </si>
  <si>
    <t>K12 Staff</t>
  </si>
  <si>
    <t>Assignment</t>
  </si>
  <si>
    <t>K12 Course</t>
  </si>
  <si>
    <t>Course Section</t>
  </si>
  <si>
    <t>Course</t>
  </si>
  <si>
    <t>Enrollment-&gt;Student Course Section Mark</t>
  </si>
  <si>
    <t>Staff</t>
  </si>
  <si>
    <t>Teacher Student Data Link Exclusion</t>
  </si>
  <si>
    <t>Incident</t>
  </si>
  <si>
    <t>Calendar</t>
  </si>
  <si>
    <t>Crisis</t>
  </si>
  <si>
    <t>Event</t>
  </si>
  <si>
    <t>Postsecondary</t>
  </si>
  <si>
    <t>Organization Accreditation</t>
  </si>
  <si>
    <t>PS Institution</t>
  </si>
  <si>
    <t>IPEDS Reporting</t>
  </si>
  <si>
    <t>Program-&gt;Parental/Family Involvement</t>
  </si>
  <si>
    <t>PS Applicant</t>
  </si>
  <si>
    <t>PS Student</t>
  </si>
  <si>
    <t>Application</t>
  </si>
  <si>
    <t>K12 Transcript</t>
  </si>
  <si>
    <t>Financial Aid</t>
  </si>
  <si>
    <t>Institution Enrollment</t>
  </si>
  <si>
    <t>Institution Enrollment-&gt;Program</t>
  </si>
  <si>
    <t>Institution Enrollment-&gt;Prior Academic Award</t>
  </si>
  <si>
    <t>Institution Enrollment-&gt;Prior Academic Award-&gt;Endorser</t>
  </si>
  <si>
    <t>Institution Enrollment-&gt;Prior Academic Award-&gt;Thesis or Dissertation Advisor</t>
  </si>
  <si>
    <t>Term Enrollment</t>
  </si>
  <si>
    <t>Academic Record-&gt;Academic Award-&gt;Endorser</t>
  </si>
  <si>
    <t>Academic Record-&gt;Academic Award-&gt;Thesis or Dissertation Advisor</t>
  </si>
  <si>
    <t>CTE</t>
  </si>
  <si>
    <t>Graduate Student</t>
  </si>
  <si>
    <t>Graduate Student-&gt;Thesis/Dissertation Advisor</t>
  </si>
  <si>
    <t>Teacher Education/Preparation</t>
  </si>
  <si>
    <t>Assessment</t>
  </si>
  <si>
    <t>Program Participation</t>
  </si>
  <si>
    <t>PS Staff</t>
  </si>
  <si>
    <t>Certification</t>
  </si>
  <si>
    <t>PS Program</t>
  </si>
  <si>
    <t>Career and Technical</t>
  </si>
  <si>
    <t>CTE Student</t>
  </si>
  <si>
    <t>Career Education Plan</t>
  </si>
  <si>
    <t>CTE Staff</t>
  </si>
  <si>
    <t>Adult Education</t>
  </si>
  <si>
    <t>AE Provider</t>
  </si>
  <si>
    <t>AE Student</t>
  </si>
  <si>
    <t>AE Staff</t>
  </si>
  <si>
    <t>Credential</t>
  </si>
  <si>
    <t>Experience</t>
  </si>
  <si>
    <t>Workforce Program Participant</t>
  </si>
  <si>
    <t>Training Record</t>
  </si>
  <si>
    <t>Quarterly Employment Record</t>
  </si>
  <si>
    <t>Workforce Program Participation</t>
  </si>
  <si>
    <t>Person Cohort-&gt;Cohort Median Earnings</t>
  </si>
  <si>
    <t>Assessments</t>
  </si>
  <si>
    <t>Goal</t>
  </si>
  <si>
    <t>Learner Activity</t>
  </si>
  <si>
    <t>Assessment Form</t>
  </si>
  <si>
    <t>Assessment Form Section</t>
  </si>
  <si>
    <t>Assessment Form Section-&gt;Assessment Item</t>
  </si>
  <si>
    <t>Assessment Form Subtest Assessment Item</t>
  </si>
  <si>
    <t>Assessment Item</t>
  </si>
  <si>
    <t>Assessment Item Possible Response</t>
  </si>
  <si>
    <t>Assessment Item Response</t>
  </si>
  <si>
    <t>Assessment Item Response Theory</t>
  </si>
  <si>
    <t>Assessment Item Body Custom Interaction</t>
  </si>
  <si>
    <t>Assessment Item Characteristic</t>
  </si>
  <si>
    <t>Rubric</t>
  </si>
  <si>
    <t>Assessment Item APIP</t>
  </si>
  <si>
    <t>Assessment Item APIP Interaction</t>
  </si>
  <si>
    <t>Assessment Asset</t>
  </si>
  <si>
    <t>Assessment Subtest</t>
  </si>
  <si>
    <t>Assessment Performance Level</t>
  </si>
  <si>
    <t>Assessment Result</t>
  </si>
  <si>
    <t>Scorer</t>
  </si>
  <si>
    <t>Assessment Registration</t>
  </si>
  <si>
    <t>Assessment Personal Needs Profile</t>
  </si>
  <si>
    <t>Assessment Need Profile Content</t>
  </si>
  <si>
    <t>Assessment Need Profile Control</t>
  </si>
  <si>
    <t>Assessment Need Profile Display</t>
  </si>
  <si>
    <t>Assessment Need Screen Enhancement</t>
  </si>
  <si>
    <t>Assessment Administration</t>
  </si>
  <si>
    <t>Assessment Session</t>
  </si>
  <si>
    <t>Assessment Participant Session</t>
  </si>
  <si>
    <t>Credentials</t>
  </si>
  <si>
    <t>Credential Award</t>
  </si>
  <si>
    <t>Credential Issuer</t>
  </si>
  <si>
    <t>Credential Definition Agent</t>
  </si>
  <si>
    <t>Credential Definition</t>
  </si>
  <si>
    <t>Credential Offered</t>
  </si>
  <si>
    <t>Competencies</t>
  </si>
  <si>
    <t>Competency Framework</t>
  </si>
  <si>
    <t>Competency Definition</t>
  </si>
  <si>
    <t>Competency Association</t>
  </si>
  <si>
    <t>Competency Set</t>
  </si>
  <si>
    <t>Learning Resources</t>
  </si>
  <si>
    <t>Learning Resource</t>
  </si>
  <si>
    <t>Peer Rating</t>
  </si>
  <si>
    <t>Peer Rating System</t>
  </si>
  <si>
    <t>Facilities</t>
  </si>
  <si>
    <t xml:space="preserve"> The category that describes how the student spends his or her time not physically present on school grounds and not participating in instruction or instruction-related activities at an approved off-grounds location.</t>
  </si>
  <si>
    <t xml:space="preserve">An indicator of the category of award conferred by a college, university, or other postsecondary education institution as official recognition for the successful completion of a program of study.   </t>
  </si>
  <si>
    <t>The academic rank of staff whose primary responsibility is instruction, research, and/or public service.  Institutions without standard academic ranks should code staff whose primary responsibility is instruction, research, and/or public service as "No Academic Rank."</t>
  </si>
  <si>
    <t>Element definition and option set defined in IPEDS.  Adjunct is not included since it can be determined from a combination of the elements Instructional Staff Faculty Tenure Status and Full-time Status.</t>
  </si>
  <si>
    <t>Early Learning -&gt; Early Learning Organization -&gt; Accreditation</t>
  </si>
  <si>
    <t>CEDS "Identifier" elements reflect the intent of the XSD:Token format, i.e. a string in which carriage return, line feed, and tab characters have been removed as well as any internal sequences of two or more spaces and any leading or trailing spaces. &lt;br/&gt;&lt;br/&gt;An Identifier MAY be a Universally Unique Identifier (UUID) / Globally Unique Identifier (GUID), i.e.128-bit unique identifiers generated according to the algorithms and encoding standards of RFC 4122.</t>
  </si>
  <si>
    <t>Adjusted Capacity</t>
  </si>
  <si>
    <t>The maximum number of participants that can be served in a program.</t>
  </si>
  <si>
    <t>AdjustedCapacity</t>
  </si>
  <si>
    <t>Adjusted Capacity Reason Type</t>
  </si>
  <si>
    <t xml:space="preserve">Identifies the reason for adjusted capacity in a program. </t>
  </si>
  <si>
    <t>AdjustedCapacityReasonType</t>
  </si>
  <si>
    <t>Early Learning -&gt; Early Learning Organization -&gt; Policies</t>
  </si>
  <si>
    <t>First sentence from IPEDS, not CDS; Second sentence from CDS instructions.  All options except "No" should be able to be collapsed into "Yes" for IPEDS reporting.</t>
  </si>
  <si>
    <t>Course areas for advanced placement or credit.  For a list of codes see http://apcentral.collegeboard.com/apc/public/courses/teachers_corner/index.html .</t>
  </si>
  <si>
    <t xml:space="preserve">The number of credits awarded a student by the postsecondary institution based on successful completion of advanced placement courses and/or advanced placement tests. </t>
  </si>
  <si>
    <t>K12: Use cases support Yes and No as options.  &lt;BR/&gt;&lt;BR/&gt;Postsecondary: &lt;BR/&gt;- Use cases support Yes and Not Selected as options&lt;BR/&gt;- As defined in IPEDS</t>
  </si>
  <si>
    <t>The year, month and day on which an individual  application is received by the organization.</t>
  </si>
  <si>
    <t>A typical scenario for an assessment administration is a state-wide administration of an accountability test.  For example, in Florida "Florida Comprehensive Assessment Test".</t>
  </si>
  <si>
    <t>Specifies a predominant type of assessment asset represented by the Learning Resource.  Assessment assets represent any content used to compose an assessment item, is referenced by an item but not part of the item content itself, or is content that is included as part of a section within an assessment form. Assets can be static content such as art work or dynamic assets such as calculators.</t>
  </si>
  <si>
    <t>The standard option set may be extended based on local and implementation-specific requirements.  Commonly used options may be submitted for inclusion in future versions of CEDS.</t>
  </si>
  <si>
    <t>In some use cases a date, such as Learning Resource Date Created may be used as an alternative to a version number.  Each use case may adopt different rules depending on the application requirements for maintenance of current version only or the multiple objects/records representing the complete version history.</t>
  </si>
  <si>
    <t>Used by states in reporting Kindergarten Entry Assessment (KEA) results as defined for some federal grant programs.&lt;BR/&gt;&lt;BR/&gt;For each domain used by the state, the state would provide:&lt;BR/&gt;- The total number of children who participated in the KEA for each domain&lt;BR/&gt;- The number of children who participated in the KEA for each domain AND was at or above what the state defines as “ready” for kindergarten for that domain.&lt;BR/&gt;&lt;BR/&gt;The counts may be calculated using unit-level data defined for Assessment Subtest (scoring method and what is being measured, e.g. the Domain), related Assessment Performance Levels (e.g. "Ready"), related to each student Assessment Result.</t>
  </si>
  <si>
    <t>The algorithm is typically used to generate the entire assessment form, but there may be cases in which it is used to generate only one part (Assessment Form Section).&lt;br/&gt;&lt;br/&gt;CEDS "Identifier" elements reflect the intent of the XSD:Token format, i.e. a string in which carriage return, line feed, and tab characters have been removed as well as any internal sequences of two or more spaces and any leading or trailing spaces. &lt;br/&gt;&lt;br/&gt; An Identifier MAY be a Universally Unique Identifier (UUID) / Globally Unique Identifier (GUID), i.e.128-bit unique identifiers generated according to the algorithms and encoding standards of RFC 4122.</t>
  </si>
  <si>
    <t>CEDS "GUID" elements are defined as RFC 4122 compliant 32-character hexadecimal strings (36 characters with dashes). For example, 21EC2020-3AEA-1069-A2DD-08002B30309D. &lt;br/&gt;&lt;br/&gt;Values MAY be encoded using a hash function such as HMAC-MD5 or HMAC-SHA1, resulting in a string up to 40 characters.</t>
  </si>
  <si>
    <t>In a hierarchy of subtests, this element represents the level of the sub test in the hierarchy.  The top tier and default is zero.</t>
  </si>
  <si>
    <t>A unique number or alphanumeric code assigned to an assessment by a school, school system, a state, or other agency or entity.  This may be the publisher identifier.</t>
  </si>
  <si>
    <t>Outcome variables are declared by outcome declarations. Their value is set either from a default given in the declaration itself or by a responseRule during response processing.  The XML from the IMS Global APIP Specification would be included.</t>
  </si>
  <si>
    <t>Response declarations state what the response variables include.  The response declaration may assign an optional correct response. The XML from the IMS Global APIP Specification would be included.</t>
  </si>
  <si>
    <t>Template declarations declare item variables that are to be used specifically for the purposes of cloning items. They can have their value set only during template processing. They are referred to within the item body in order to individualize the clone and possibly also within the response Processing rules if the cloning process affects the way the item is scored.  The XML from the IMS Global APIP Specification would be included.</t>
  </si>
  <si>
    <t>The custom interaction provides an opportunity for extensibility of this specification to include support for interactions not currently documented.  The XML from the IMS Global APIP Specification would be included.</t>
  </si>
  <si>
    <t>This may be a message of affirmation for a correct answer or descriptive feedback for an incorrect answer.  For example, if the item asked the question what is 2 times 3 and the learner answered 5, the Feedback Message might be "Try multiplication instead of addition."</t>
  </si>
  <si>
    <t>The total amount of time in seconds or milliseconds  that a person spent responding to a given assessment item.</t>
  </si>
  <si>
    <t>Formative assessments often allow learners to make multiple attempts until a correct or acceptable answer is given.  In such cases it is valuable to know both the time it took for the initial response and the total time spent responding to the problem.</t>
  </si>
  <si>
    <t>The total number of hints presented as the learner responded to a formative assessment item.  This may include hints requested by the learner or hints automatically presented such as in an online tutoring system. Presentation of a scaffolding item is a separate response record and not counted as a hint.</t>
  </si>
  <si>
    <t>A typical scenario for an online tutoring application may present a series of hints for a formative assessment item with the last hint being the correct answer.  The learner must enter the correct answer before continuing.  This data element is a flag that the learner was presented with the "bottom hint", which is the correct answer.</t>
  </si>
  <si>
    <t>Indicates that the response is to a scaffolding problem rather than the main/assigned problem.  A scaffolding item is a follow-up formative assessment item used to assess prerequisite or component skills, presented immediately after a learner gives an incorrect answer on the previous item.</t>
  </si>
  <si>
    <t>A value representing the Differential Item Functioning, also referred to as  measurement bias, for the assessment item.  The value represents differences in the functioning of the item across groups which are matched on the attribute being measure by the item.  The value is calculated using Mantel-Haenszel approach or a comparable algorithm so that a value of 1.0 represents no bias.</t>
  </si>
  <si>
    <t>The Item Response Theory value representing the difficulty of the item.   It is the Theta value for the location of the inflection point of the item characteristic curve.</t>
  </si>
  <si>
    <t>For   polytomous assessment items with more than two possible responses, this is the item response theory value representing the threshold between the first and second item characteristic functions.</t>
  </si>
  <si>
    <t>For   polytomous assessment items with more than two possible responses, this is the item response theory value representing the threshold between the second and third item characteristic functions.</t>
  </si>
  <si>
    <t>For   polytomous assessment items with more than three possible responses, this is the item response theory value representing the threshold between the third and fourth item characteristic functions.</t>
  </si>
  <si>
    <t>For   polytomous assessment items with more than four possible responses, this is the item response theory value representing the threshold between the fourth and fifth item characteristic functions.</t>
  </si>
  <si>
    <t>For   polytomous assessment items with more than five possible responses, this is the item response theory value representing the threshold between the fifth and sixth item characteristic functions.</t>
  </si>
  <si>
    <t>For   polytomous assessment items with more than six possible responses, this is the item response theory value representing the threshold between the sixth and seventh item characteristic functions.</t>
  </si>
  <si>
    <t>The  assessment item result formatted according to the IMS Global QTI  Specification.</t>
  </si>
  <si>
    <t xml:space="preserve"> The text, source (e.g., video clip), and/or graphic about which the assessment item is written. The stimulus provides the context of the item/task to which the student must respond.</t>
  </si>
  <si>
    <t>The CEDS ISO 639-2 Language Code option set comes from the &lt;a href="http://www.loc.gov/standards/iso639-2/langhome.html"&gt;ISO 639-2 standard&lt;/a&gt;, the character encoding in ISO 8859-1 download.  Discontinued codes from the ISO standard are not included in the CEDS list.</t>
  </si>
  <si>
    <t>Specifies as part of an Assessment Personal Needs Profile the type of masks the user is able to create  to cover portions of the question until needed.</t>
  </si>
  <si>
    <t>The text string that is to be displayed to the user as an expression of encouragement when Masking is specified as part of an Assessment Personal Needs Profile.  It is left to the system to determine when to display this string.</t>
  </si>
  <si>
    <t>Defines the multiplier to be applied to the time limit to determine the total testing time allowed when Additional Testing Time is specified as part of an Assessment Personal Needs Profile.  If the value is ‘unlimited’ then there is no time limit for the test.</t>
  </si>
  <si>
    <t xml:space="preserve"> A list of product tokens (keywords) with optional comments that identifies the client hardware and software with which the assessment was delivered to the student during the assessment session.</t>
  </si>
  <si>
    <t>Implementation Note: The recommended approach is to store the User-Agent string returned as part of an HTTP header.  For example, an assessment session delivery via iPad might have "Mozilla/5.0 (iPad; U; CPU OS 3_2_1 like Mac OS X; en-us) AppleWebKit/531.21.10 (KHTML, like Gecko) Mobile/7B405"</t>
  </si>
  <si>
    <t>The overall time a learner actually spent during the  assessment session.</t>
  </si>
  <si>
    <t>For example, the unique identifier of a classroom teacher or school principal.&lt;BR/&gt;&lt;BR/&gt;CEDS "Identifier" elements reflect the intent of the XSD:Token format, i.e. a string in which carriage return, line feed, and tab characters have been removed as well as any internal sequences of two or more spaces and any leading or trailing spaces. &lt;BR/&gt;&lt;BR/&gt;An Identifier MAY be a Universally Unique Identifier (UUID) / Globally Unique Identifier (GUID), i.e.128-bit unique identifiers generated according to the algorithms and encoding standards of RFC 4122.</t>
  </si>
  <si>
    <t xml:space="preserve"> Informs selection of the assessment form appropriate for the grade level to be tested.</t>
  </si>
  <si>
    <t>The date set by the testing program when the test scores are published.  For formative or classroom assessments, this will likely be the date when the scored the individual test.  For summative assessments, this date is likely set for a group of assessments when the processing system releases the scores.</t>
  </si>
  <si>
    <t>For paper-based tests this is typically a batch/stack/serial number and for online tests it is likely a unique internal identifier. Used to locate the original attempt.&lt;br/&gt;&lt;br/&gt;CEDS "Identifier" elements reflect the intent of the XSD:Token format, i.e. a string in which carriage return, line feed, and tab characters have been removed as well as any internal sequences of two or more spaces and any leading or trailing spaces. &lt;br/&gt;&lt;br/&gt;An Identifier MAY be a Universally Unique Identifier (UUID) / Globally Unique Identifier (GUID), i.e.128-bit unique identifiers generated according to the algorithms and encoding standards of RFC 4122.</t>
  </si>
  <si>
    <t xml:space="preserve"> The data type of the assessment result score value.</t>
  </si>
  <si>
    <t>An Assessment Result in CEDS may apply to an entire assessment or one aspect of evaluation as defined in the related “subtest” entity.  The Assessment Result entity is repeatable, so there could be multiple Assessment Result Score Values each using a different Assessment Result Data Type, and each of these score values may be associated with one or more Assessment Performance Level(s).</t>
  </si>
  <si>
    <t>The most recent date that the result was calculated/updated.  The value should be the same as Assessment Result Date Created if the subtest has only been scored once, but may be different if the score was recalculated with a different result.</t>
  </si>
  <si>
    <t>This flag is to handle cases when a subtest result is originally scored using incorrect parameters and then rescored, such as if the grade level attributed to the student was originally encoded incorrectly and later corrected.  An operational system may also capture the history of if rescored more than once.</t>
  </si>
  <si>
    <t>A statement intended for use by education professionals, using professional terminology, to interpret learner needs based on the scored/evaluated portion of an assessment.  This statement may inform Descriptive Feedback given to the learner.</t>
  </si>
  <si>
    <t>If this score is preliminary, then this attribute value should be set.  Preliminary scores may be provided for early use by the assessment program or user while final scoring is occurring.</t>
  </si>
  <si>
    <t>Information for interpreting the score is defined by elements in the related Assessment Subtest entity.  This includes the minimum, maximum, and optimal values for the measurement. Assessment Subtest defines information for scoring an Assessment Form, which may be for the entire assessment or one aspect of evaluation. The Assessment Subtest may in turn be associated with one or more content standards using the Learning Standard Item Association entity.</t>
  </si>
  <si>
    <t>When associated to an assessment session this is the actual end date and time.  When associated to an individual taking an assessment, this is the actual date and time when the individual finished.</t>
  </si>
  <si>
    <t>When associated to an assessment session this is the actual start date and time.  When associated to an individual taking an assessment, this is the actual date and time when the individual started.</t>
  </si>
  <si>
    <t xml:space="preserve"> The description of the place where an assessment is administered.</t>
  </si>
  <si>
    <t>This could be the identifier for a teacher, a paraprofessional or individual at a testing site.&lt;br/&gt;&lt;br/&gt;CEDS "Identifier" elements reflect the intent of the XSD:Token format, i.e. a string in which carriage return, line feed, and tab characters have been removed as well as any internal sequences of two or more spaces and any leading or trailing spaces. &lt;br/&gt;&lt;br/&gt;An Identifier MAY be a Universally Unique Identifier (UUID) / Globally Unique Identifier (GUID), i.e.128-bit unique identifiers generated according to the algorithms and encoding standards of RFC 4122.</t>
  </si>
  <si>
    <t>Early Learning -&gt; Early Learning Organization -&gt; Parental/Family Involvement</t>
  </si>
  <si>
    <t>Assessment Type Administered</t>
  </si>
  <si>
    <t>The type of assessment administered.</t>
  </si>
  <si>
    <t>AssessmentTypeAdministered</t>
  </si>
  <si>
    <t>Assessment Type Administered to English Learners</t>
  </si>
  <si>
    <t>The types of assessments administered to English Learners.</t>
  </si>
  <si>
    <t>AssessmentTypeAdministeredToEnglishLearners</t>
  </si>
  <si>
    <t>The date after which the  an associated person is no longer allowed to use the specified Authentication Identity Provider to authenticate identity.</t>
  </si>
  <si>
    <t>The date on which the  an associated person may begin to use the specified Authentication Identity Provider to authenticate identity.</t>
  </si>
  <si>
    <t>The Uniform Resource Identifier (URI) of the  Authentication Identity Provider.</t>
  </si>
  <si>
    <t>The date after which the  an associated person is no longer allowed to use the application with the specified role.</t>
  </si>
  <si>
    <t>The date on which the  an associated person  is authorized to start using the application with the specified role.</t>
  </si>
  <si>
    <t xml:space="preserve">Awaiting initial evaluation for special education programs and related services under the Individuals with Disabilities Education Act (IDEA). </t>
  </si>
  <si>
    <t>K12 -&gt; K12 Student -&gt; Digital Access -&gt; Digital Access Survey</t>
  </si>
  <si>
    <t>Early Learning -&gt; Early Learning Staff -&gt; Professional Development</t>
  </si>
  <si>
    <t>Options from O*NET OnLine an application that was created for the general public to provide broad access to the O*NET database of occupational information. O*NET OnLine offers a variety of search options and occupational data, while My Next Move is a streamlined application for students and job seekers. Both applications were developed for the U.S. Department of Labor by the National Center for O*NET Development.  See onetonline.org for more information.</t>
  </si>
  <si>
    <t>A person who ; (A) (i) has worked primarily without remuneration to care for a home and family, and for that reason has diminished marketable skills;    (ii) has been dependent on the income of another family member but is no longer supported by that income; or    (iii) is a parent whose youngest dependent child will become ineligible to receive assistance under part A of title IV of the Social Security Act (42 U.S.C. 601 et seq.) not later than 2 years after the date on which the parent applies for assistance under such title; and (B)   is unemployed or underemployed and is experiencing difficulty in obtaining or upgrading employment.</t>
  </si>
  <si>
    <t>Early Learning -&gt; Early Learning Staff -&gt; Credential or License</t>
  </si>
  <si>
    <t>Early Learning -&gt; Early Learning Child -&gt; Developmental Assessments</t>
  </si>
  <si>
    <t>Early Learning -&gt; Early Learning Child -&gt; Child Outcome Summary</t>
  </si>
  <si>
    <t xml:space="preserve"> The name of the city in which a person was born.</t>
  </si>
  <si>
    <t>Workforce -&gt; Workforce Program Participation -&gt; Person Cohort -&gt; Cohort Median Earnings</t>
  </si>
  <si>
    <t>The Learning Standard Item Association entity defines metadata relationships between a Learning Standard Item and other objects or relationships between Learning Standard Items not otherwise defined in the normal taxonomy of the framework such as for competency-based pathways, relationships between different versions of the same learning standard, and relationships to resources. &lt;br /&gt;&lt;BR/&gt;&lt;BR/&gt;For example, "Prerequisite" may indicate that the Associated Learning Standard Item is a Prerequisite of this Learning Standards Item.  Another association may specify that a Learning Resource "Teaches" the specified Learning Standard Item, or is aligned to the "Reading Level" specified as part of the Learning Standard Item.</t>
  </si>
  <si>
    <t>For example: "M.1.N.3"  The code is usually not globally unique and usually has embedded meaning such as a number that represents a grade/level and letters that represent content strands.</t>
  </si>
  <si>
    <t>CEDS "Identifier" elements reflect the intent of the XSD:Token format, i.e. a string in which carriage return, line feed, and tab characters have been removed as well as any internal sequences of two or more spaces and any leading or trailing spaces.  &lt;BR/&gt;&lt;BR/&gt;An Identifier MAY be a Universally Unique Identifier (UUID) / Globally Unique Identifier (GUID), i.e.128-bit unique identifiers generated according to the algorithms and encoding standards of RFC 4122.</t>
  </si>
  <si>
    <t>This element supports version histories at the statement level. If corrections have been made to individual items/statements that are not part of a new Competency Framework, the elements 'Competency Definition Previous Version Identifier' and 'Competency Definition Current Version Indicator' provide a reference to historical versions of the current statement. In such uses the 'Competency Definition Code' could be the same for multiple versions of a statement and 'Competency Definition URL' could resolve to the most current version of the statement.&lt;br/&gt;&lt;br/&gt;&lt;BR/&gt;CEDS "Identifier" elements reflect the intent of the XSD:Token format, i.e. a string in which carriage return, line feed, and tab characters have been removed as well as any internal sequences of two or more spaces and any leading or trailing spaces.&lt;br/&gt;&lt;br/&gt;&lt;BR/&gt;An Identifier MAY be a Universally Unique Identifier (UUID) / Globally Unique Identifier (GUID), i.e.128-bit unique identifiers generated according to the algorithms and encoding standards of RFC 4122.</t>
  </si>
  <si>
    <t>Note: This element is designed to support statements from various learning standards frameworks. The Head Start Child Outcomes Framework includes statements for Domains, Elements, and Indicators. Examples from the K-12 Common Core State Standards are the domain: “Geometry", the cluster: “Understand and apply the Pythagorean Theorem,” and standard:  “Apply the Pythagorean Theorem to determine unknown side lengths in right triangles in real-world and mathematical problems in two and three dimensions.”</t>
  </si>
  <si>
    <t>This property points to a class, not to instances of that class. For example, where two competencies in a competency framework have been identified respectively  as \"Strand: Renaissance\" and \"Strand: Social history\", the competencyCategory for both these competencies is \"Strand\"."</t>
  </si>
  <si>
    <t>This property points to a class, not to instances of that class. For example, where two competencies in a competency framework have been identified respectively  as \"Strand: Renaissance\" and \"Strand: Social history\", the competency category for both these competencies is \"Strand\"."</t>
  </si>
  <si>
    <t>Implementations may choose to model this element as a repeatable field to support the case of multiple authors.  Others may just use a comma delimited string for multiple authors.</t>
  </si>
  <si>
    <t>Used to define the completion criteria when Competency Set Completion Criteria is "At Least".  Not used when Competency Set Completion Criteria is "All".</t>
  </si>
  <si>
    <t>The month, day, and year that the condition of a system, component, equipment, or fixture was  checked.</t>
  </si>
  <si>
    <t>Early Learning -&gt; Early Learning Organization -&gt; Licensing</t>
  </si>
  <si>
    <t xml:space="preserve">A classification of whether a postsecondary institution is operated by publicly elected or appointed officials (public control) or by privately elected or appointed officials and derives its major source of funds from private sources (private control). </t>
  </si>
  <si>
    <t>The CEDS Country Code option set comes from the &lt;a href="http://www.iso.org/iso/country_codes.htm"&gt;ISO 3166 standard&lt;/a&gt;, the short name for Officially assigned codes.   Discontinued codes from the ISO standard are not included in the CEDS list.</t>
  </si>
  <si>
    <t xml:space="preserve">The final grade awarded for participation in the course. </t>
  </si>
  <si>
    <t>This element is repeatable for most use cases.  Examples: (1.) SCED identifiers may specify a grade span of two or more grades.  (2) A postsecondary course designed to qualify a student for an associates degree and professional certification could be repeated with both of those options.</t>
  </si>
  <si>
    <t xml:space="preserve">The type of credit (unit, semester, or quarter) associated with the credit hours earned for the course. </t>
  </si>
  <si>
    <t>Course Level Approval Indicator</t>
  </si>
  <si>
    <t>An indication that there are school or program developed requirements for student participation in the course.</t>
  </si>
  <si>
    <t>This element is used in conjunction with Course Level Characteristic.</t>
  </si>
  <si>
    <t>CourseLevelApprovalIndicator</t>
  </si>
  <si>
    <t>The official reference number portion of a course identifier.  This number normally designates the level of the course as well as the level of the individual expected to enroll in the course.</t>
  </si>
  <si>
    <t xml:space="preserve">The school where the credit was earned if different from the institution reporting. </t>
  </si>
  <si>
    <t xml:space="preserve">The numerical value assigned to a letter grade to provide a basis of quantitative determination of an average. </t>
  </si>
  <si>
    <t xml:space="preserve">The alphabetic abbreviation of the academic department or discipline offering the course. It is one part of the total course identifier number. </t>
  </si>
  <si>
    <t>Option codes and definitions are from the Credential Engine and the ceterms namespace, except the codes use Pascal case in CEDS to follow CEDS conventions and use camel case in the original  ceterms.</t>
  </si>
  <si>
    <t>Categories could include "Competency Mastered", "Competency Retained", "Course Completed", "Level Completed", "Certificate Earned", "Diploma Earned", "License Earned", "License Endorsement Earned", "Participation", "Academic Honor", "Non-Academic Honor", etc. (This element supports an emerging use case, therefore a complete set of options are not known.  Future CEDS versions may define an Achievement Type element when a fixed option set can be compiled.)  Note: The Achievement entity is most valuable when linked to a specific competency set that defined the learning standards related to the achievement.(SEE "Achievement Category System")</t>
  </si>
  <si>
    <t>&lt;a href="http://geojson.org/geojson-spec.html#polygon"&gt;http://geojson.org/geojson-spec.html#polygon&lt;/a&gt;</t>
  </si>
  <si>
    <t>See OpenBadges standard example &lt;a href="http://openbadges.github.io/openbadges-specification/#RevocationList"&gt;http://openbadges.github.io/openbadges-specification/#RevocationList&lt;/a&gt;</t>
  </si>
  <si>
    <t>For K-12 a course meeting every day for one period of the school day over the span of a school year typically offers one Carnegie unit. In this case a Carnegie unit is  a measure of "seat time" rather than a measure of attainment of the course objectives.</t>
  </si>
  <si>
    <t>This is similar to "PESC Award Level Type" and "Academic Award Level Conferred" but uses a different controlled vocabulary.  See &lt;a href="https://credreg.net/ctdl/terms/Credential#AudienceLevel"&gt;https://credreg.net/ctdl/terms/Credential#AudienceLevel&lt;/a&gt;.</t>
  </si>
  <si>
    <t>Implementation Variables -&gt; Data Collection</t>
  </si>
  <si>
    <t>Early Learning -&gt; Early Learning Child -&gt; Individualized Program -&gt; Individualized Transition Plan</t>
  </si>
  <si>
    <t xml:space="preserve">An indication that the course is a part of a degree program. </t>
  </si>
  <si>
    <t>Use cases may utilize subsets of the option set.  For example, the option set for Parent/Guardian may not include the "Children's health insurance program" option.</t>
  </si>
  <si>
    <t>The status of a student's referral to or placement into  developmental education.</t>
  </si>
  <si>
    <t>Early Learning -&gt; Early Learning Organization -&gt; Organization Information</t>
  </si>
  <si>
    <t>An individual's enrollment in a course or courses in which the instructional content is delivered exclusively via distance education.  Distance education is education that uses one or more technologies to deliver instruction to students who are separated from the instructor and to support regular and substantive interaction between the students and the instructor synchronously or asynchronously.  Technologies used for instruction may include: Internet; one-way and two-way transmissions through open broadcasts, closed circuit, cable, microwave, broadband lines, fiber optics, satellite or wireless communication devices; audio conferencing; and video cassette, DVDs, and CD-ROMs, if the cassette, DVDs, and CD-ROMs are used in a course in conjunction with the technologies listed above.</t>
  </si>
  <si>
    <t>Based on the &lt;a href="http://degreeprofile.org"&gt;Degree Qualifications Profile&lt;/a&gt;.</t>
  </si>
  <si>
    <t xml:space="preserve">The number of credits awarded a student by the postsecondary institution based on successful completion of dual credit/dual enrollment courses. </t>
  </si>
  <si>
    <t>Early Learning -&gt; Early Learning Staff -&gt; Education</t>
  </si>
  <si>
    <t>Early Learning -&gt; Early Learning Child -&gt; Services</t>
  </si>
  <si>
    <t>The site or setting in which  early childhood care, education, and/or services are provided.</t>
  </si>
  <si>
    <t>Early Learning Age 2 and Older Capacity</t>
  </si>
  <si>
    <t>The maximum number of children ages two and above that can be served.</t>
  </si>
  <si>
    <t>EarlyLearningAge2AndOlderCapacity</t>
  </si>
  <si>
    <t>Early Learning Age Under 2 Capacity</t>
  </si>
  <si>
    <t>The maximum number of children under the age of two that can be served.</t>
  </si>
  <si>
    <t>EarlyLearningAgeUnder2Capacity</t>
  </si>
  <si>
    <t>Early Learning -&gt; Early Learning Child -&gt; Services -&gt; Application</t>
  </si>
  <si>
    <t>Early Learning -&gt; Early Learning Class/Group</t>
  </si>
  <si>
    <t>Early Learning -&gt; Early Learning Staff -&gt; Employment</t>
  </si>
  <si>
    <t>The oldest age of children a class/group is authorized or licensed to serve.  (Age is specified in months)</t>
  </si>
  <si>
    <t>Early Learning -&gt; Early Learning Organization -&gt; Health Promotion</t>
  </si>
  <si>
    <t>Early Learning -&gt; Early Learning Child -&gt; Eligibility</t>
  </si>
  <si>
    <t>The year, month, and day on which the child is no longer eligible for the  Program.</t>
  </si>
  <si>
    <t xml:space="preserve"> Funds that originate at the State, and not from a federal or local source, that contribute to EL program.</t>
  </si>
  <si>
    <t>The youngest age of children a class/group is authorized or licensed to serve.  (Age is specified in months)</t>
  </si>
  <si>
    <t>Early Learning -&gt; Early Learning Organization -&gt; Directory</t>
  </si>
  <si>
    <t>EDFacts Certification Status</t>
  </si>
  <si>
    <t>An indication of whether an educator holds the certification or licensure required by their assignment.</t>
  </si>
  <si>
    <t>EdFactsCertificationStatus</t>
  </si>
  <si>
    <t xml:space="preserve"> An indication of whether the school or district met the Elementary/Middle Additional Indicator requirement in accordance with state definition for the purpose of determining Adequate Yearly Progress (AYP).</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</si>
  <si>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will provide information about most of the types of jobs that students or former students will  become employed in but not all.  For that reason when a record is "not found" or "not matched" their employment status is "unknown" for the targeted time base.</t>
  </si>
  <si>
    <t>Enrollment Capacity</t>
  </si>
  <si>
    <t xml:space="preserve">Maximum number of age-appropriate students who can be enrolled. </t>
  </si>
  <si>
    <t>Enrollment capacity can be collected at a variety of levels, such as classroom, grade, school, and facility.</t>
  </si>
  <si>
    <t>EnrollmentCapacity</t>
  </si>
  <si>
    <t xml:space="preserve">The year, month and day on which a person entered and began to receive instructional services at a postsecondary institution for the first time after completing high school (or its equivalent). </t>
  </si>
  <si>
    <t xml:space="preserve">The circumstances under which the student exited from membership in an educational institution. </t>
  </si>
  <si>
    <t>This element will be phased out in version 12. It is being replaced by Enrollment Capacity.</t>
  </si>
  <si>
    <t>Early Learning -&gt; Early Learning Organization -&gt; Facility</t>
  </si>
  <si>
    <t>Early Learning -&gt; Early Learning Family -&gt; Identification</t>
  </si>
  <si>
    <t>Early Learning -&gt; Early Learning Family -&gt; Family/Household Information</t>
  </si>
  <si>
    <t>The unique five-digit number assigned to each federal program as listed in the Assistance Listings. See https://sam.gov/content/assistance-listings</t>
  </si>
  <si>
    <t>Federal Program Subgrant Code</t>
  </si>
  <si>
    <t>An additional code appended to the Federal Program Code used to identify a subgrant of the grant identified by the Federal Program Code.</t>
  </si>
  <si>
    <t>FederalProgramSubgrantCode</t>
  </si>
  <si>
    <t xml:space="preserve"> A unique code assigned by the U.S. Department of Education to schools participating in the Title IV Federal Student Aid programs.  Persons enter these codes in the Free Application for Federal Student Aid (FAFSA) to indicate which postsecondary schools they want to receive their financial aid application results.</t>
  </si>
  <si>
    <t>Financial Account Balance Sheet Code</t>
  </si>
  <si>
    <t>Based on codes specified in the NCES Handbook &lt;a href="http://nces.ed.gov/pubs2015/fin_acct/chapter6_3.asp"&gt;"Financial Accounting for Local and State School Systems: 2014 Edition"&lt;/a&gt;.</t>
  </si>
  <si>
    <t>FinancialAccountBalanceSheetCode</t>
  </si>
  <si>
    <t>Financial Account Coding System Organization Type</t>
  </si>
  <si>
    <t>The type of organization that created the coding system for the financial account information.</t>
  </si>
  <si>
    <t>FinancialAccountCodingSystemOrganizationType</t>
  </si>
  <si>
    <t>The description for the financial account in an organization's accounting system.</t>
  </si>
  <si>
    <t>Financial Account Fund Classification</t>
  </si>
  <si>
    <t>Based on codes specified in the NCES Handbook &lt;a href="http://nces.ed.gov/pubs2015/fin_acct/chapter6_1.asp"&gt;"Financial Accounting for Local and State School Systems: 2014 Edition"&lt;/a&gt;.</t>
  </si>
  <si>
    <t>FinancialAccountFundClassification</t>
  </si>
  <si>
    <t>Financial Account Local Balance Sheet Code</t>
  </si>
  <si>
    <t>A local code used to describe balance sheet accounts and statement of net position accounts which are used to track financial transactions for each fund. Such financial statements only report assets, deferred outflows of resources, liabilities, deferred inflows of resources, and equity accounts and are considered "snapshots" of how these accounts stand as of a certain point in time.</t>
  </si>
  <si>
    <t>FinancialAccountLocalBalanceSheetCode</t>
  </si>
  <si>
    <t>Financial Account Local Fund Classification</t>
  </si>
  <si>
    <t>A local code used to classify a fund which is a separate fiscal and accounting entity with a self-balancing set of accounts recording cash and other financial resources, together with all related liabilities and residual equities or balances or changes therein.</t>
  </si>
  <si>
    <t>FinancialAccountLocalFundClassification</t>
  </si>
  <si>
    <t>Financial Account Local Program Code</t>
  </si>
  <si>
    <t>A local code used to describe a plan of activities and procedures designed to accomplish a predetermined objective or set of objectives.</t>
  </si>
  <si>
    <t>FinancialAccountLocalProgramCode</t>
  </si>
  <si>
    <t>Financial Account Local Revenue Code</t>
  </si>
  <si>
    <t>A local code used to record revenue and other receivables by source.</t>
  </si>
  <si>
    <t>FinancialAccountLocalRevenueCode</t>
  </si>
  <si>
    <t>The name given to the financial account in an organization's accounting system.</t>
  </si>
  <si>
    <t>A number given to a financial account within a local source accounting system. The number may be a concatenation of a standard  prefix for the type of account with digits added that have specific meaning within the local system.</t>
  </si>
  <si>
    <t>Financial Account Program Code</t>
  </si>
  <si>
    <t>A program is a plan of activities and procedures designed to accomplish a predetermined objective or set of objectives. The program classification provides the organization with a framework to classify instructional and other expenditures by program to determine cost.</t>
  </si>
  <si>
    <t>Based on codes specified in the NCES Handbook &lt;a href="http://nces.ed.gov/pubs2015/fin_acct/chapter6_2.asp"&gt;"Financial Accounting for Local and State School Systems: 2014 Edition"&lt;/a&gt;.</t>
  </si>
  <si>
    <t>FinancialAccountProgramCode</t>
  </si>
  <si>
    <t>The name given to the program area in an organization's accounting system.</t>
  </si>
  <si>
    <t>A number given to a program area within an organization's accounting system.</t>
  </si>
  <si>
    <t>Financial Account Revenue Code</t>
  </si>
  <si>
    <t>These codes are for recording revenue and other receivables by source.  Major revenue categories have codes ending in 00 and are further subdivided.</t>
  </si>
  <si>
    <t>Based on codes specified in the NCES Handbook &lt;a href="http://nces.ed.gov/pubs2015/fin_acct/chapter6_4.asp"&gt;"Financial Accounting for Local and State School Systems: 2014 Edition"&lt;/a&gt;.&lt;BR/&gt;&lt;BR/&gt;Early Learning: If related to an "in kind" contribution use codes 1920 or 100.</t>
  </si>
  <si>
    <t>FinancialAccountRevenueCode</t>
  </si>
  <si>
    <t>Any applicant who submits any one of the institutionally required financial aid applications/forms, such as the  Free Application for Federal Student Aid (FAFSA).</t>
  </si>
  <si>
    <t>Common Data Set definition.&lt;br/&gt;Element should be used in combination with Financial Aid Applicant Type.</t>
  </si>
  <si>
    <t>Common Data Set definition.  This element may be repeated multiple times.</t>
  </si>
  <si>
    <t>Linked to financial aid award type.   &lt;BR/&gt;Note:  For any given individual this cluster of fields may be repeated multiple times.</t>
  </si>
  <si>
    <t>Linked to financial aid type, financial aid amount.   &lt;BR/&gt;Note:  For any given individual this field may be repeated multiple times.</t>
  </si>
  <si>
    <t>Linked to financial aid type.&lt;BR/&gt;Note:  For any given individual this cluster of fields may be repeated multiple times.</t>
  </si>
  <si>
    <t>The income level of an individual that is used by an institution's financial aid office to determine an individual's Expected Family Contribution (EFC).  For dependent students this will include the parents' adjusted gross income and the student's adjusted gross income.  For independent students this will include the student's adjusted gross income.</t>
  </si>
  <si>
    <t>The school year for which the student's financial aid application and award data apply.  Generally, this is the 12-month period from July 1 to June 30.</t>
  </si>
  <si>
    <t>Financial Expenditure Function Code</t>
  </si>
  <si>
    <t>The function describes the activity for which a service or material object is acquired. The functions of an organization are classified into five broad areas: instruction, support services, operation of non-instructional services, facilities acquisition and construction, and debt service. Functions are further classified into sub functions.</t>
  </si>
  <si>
    <t>Based on codes specified in the NCES Handbook &lt;a href="http://nces.ed.gov/pubs2015/fin_acct/chapter6_5.asp"&gt;"Financial Accounting for Local and State School Systems: 2014 Edition"&lt;/a&gt;.</t>
  </si>
  <si>
    <t>FinancialExpenditureFunctionCode</t>
  </si>
  <si>
    <t>Financial Expenditure Level of Instruction Code</t>
  </si>
  <si>
    <t>Based on codes specified in the NCES Handbook &lt;a href="http://nces.ed.gov/pubs2015/fin_acct/chapter6_8.asp"&gt;"Financial Accounting for Local and State School Systems: 2014 Edition"&lt;/a&gt;.</t>
  </si>
  <si>
    <t>FinancialExpenditureLevelofInstructionCode</t>
  </si>
  <si>
    <t>Financial Expenditure Local Function Code</t>
  </si>
  <si>
    <t>A local code used to describe the activity for which a service or material object is acquired.</t>
  </si>
  <si>
    <t>FinancialExpenditureLocalFunctionCode</t>
  </si>
  <si>
    <t>Financial Expenditure Local Level of Instruction Code</t>
  </si>
  <si>
    <t>A local code used to classify the segregation of expenditures by instructional level.</t>
  </si>
  <si>
    <t>FinancialExpenditureLocalLevelOfInstructionCode</t>
  </si>
  <si>
    <t>Financial Expenditure Local Object Code</t>
  </si>
  <si>
    <t>A local code used to describe the service or commodity obtained as the result of a specific expenditure.</t>
  </si>
  <si>
    <t>FinancialExpenditureLocalObjectCode</t>
  </si>
  <si>
    <t>Financial Expenditure Object Code</t>
  </si>
  <si>
    <t>This classification is used to describe the service or commodity obtained as the result of a specific expenditure.  Nine major object categories have codes ending in 00 and are further subdivided.</t>
  </si>
  <si>
    <t>Based on codes specified in the NCES Handbook &lt;a href="http://nces.ed.gov/pubs2015/fin_acct/chapter6_6.asp"&gt;"Financial Accounting for Local and State School Systems: 2014 Edition"&lt;/a&gt;.</t>
  </si>
  <si>
    <t>FinancialExpenditureObjectCode</t>
  </si>
  <si>
    <t>Financial Expenditure Project Reporting Code</t>
  </si>
  <si>
    <t>The project/reporting code permits organizations to accumulate expenditures to meet a variety of specialized reporting requirements at the local, state, and federal levels. It is a three-digit code with the format 00X. The first two digits identify the particular funding source, authority, or expenditure purpose for which a special record or report is required. The third digit is available to identify particular projects and the fiscal year of the appropriation within that funding source. Each classification is presented by a code range followed by a description.</t>
  </si>
  <si>
    <t>Based on the following code conventions specified in the NCES Handbook &lt;a href="http://nces.ed.gov/pubs2015/fin_acct/chapter6_7.asp"&gt;"Financial Accounting for Local and State School Systems: 2014 Edition"&lt;/a&gt;:&lt;BR/&gt;&lt;BR/&gt;010 to 190 Local Projects. Expenditures that require specialized reporting and are funded from local sources. &lt;BR/&gt;&lt;BR/&gt;200 to 390 State Projects. Expenditures that require specialized reporting for categorically funded state programs.&lt;BR/&gt;&lt;BR/&gt;400 to 990 Federal Projects. Expenditures that require specialized reporting to the federal government directly or through the state.&lt;BR/&gt;&lt;BR/&gt;1000 Noncategorical. Expenditures that do not require specialized reporting.</t>
  </si>
  <si>
    <t>FinancialExpenditureProjectReportingCode</t>
  </si>
  <si>
    <t>Workforce Note: To collect data on workforce program participation, a data match will have to be negotiated between state agencies.  The data match makes use of name, social security number, gender and ethnicity data.</t>
  </si>
  <si>
    <t>A person who has no prior postsecondary experience  attending any institution for the first time at the undergraduate level since completing high school (or its equivalent). This includes persons enrolled in academic or occupational programs. It also includes persons enrolled in the fall term who attended college for the first time in the prior summer term, and persons who entered with advanced standing (college credits earned before graduation from high school).</t>
  </si>
  <si>
    <t>The year an organization uses for budgeting, accounting, and reporting financials.</t>
  </si>
  <si>
    <t>The frequency at which a service is planned to occur or has occurred.</t>
  </si>
  <si>
    <t>This element is used to describe the planned frequency of services to be delivered and the actual frequency of services delivered.</t>
  </si>
  <si>
    <t>Postsecondary: The type of appointment at the snapshot date determines whether an employee is full-time or part-time.  The employee's term of contract is not considered in making the determination of full or part-time.  Causal employees (hired on an ad-hoc basis or occasional basis to meet short-term needs) and students in the College Work-Study Program (CWS) are not considered part-time staff.</t>
  </si>
  <si>
    <t>Workforce &lt;BR/&gt;Note: To collect data on workforce program participation, a data match will have to be negotiated between state agencies.  The data match makes use of name, social security number, gender and ethnicity data.</t>
  </si>
  <si>
    <t xml:space="preserve">The value of the total quality points divided by the Credit Hours for Grade Point Average. </t>
  </si>
  <si>
    <t>Graduate-level students employed on a part-time basis, not limited to, but often employed for the primary purpose of assisting in classroom or laboratory instruction or in the conduct of research.  Graduate students having titles such as graduate assistant, teaching assistant, teaching associate, teaching fellow, or research assistant typically hold these positions.</t>
  </si>
  <si>
    <t>Related Connection; linked to High School Grade Point Average Cumulative, Grade Point Average Weighted Indicator, High School Rank, and Size of High School Graduating Class&lt;BR/&gt;0% to 99% (where 99% corresponds to the valedictorian, 0% to the bottom rank in the class)</t>
  </si>
  <si>
    <t>This is the Hire Date beginning consecutive employment with the current employer in the same Professional-Educational Job Classification. A person may change positions within the same organization and job classification without triggering a new hire date. For example a teacher originally hire to teach 3rd grade may be reassigned to 4th grade.  However, a change of job classifications, e.g. from teacher to principal, would trigger a new Hire Date.</t>
  </si>
  <si>
    <t>An indication of whether homeless children and youth were served by a McKinney-Vento program  in the state.</t>
  </si>
  <si>
    <t>Early Learning -&gt; Early Learning Child -&gt; Individualized Program</t>
  </si>
  <si>
    <t>&lt;a href="http://idea.ed.gov/part-c/statutes"&gt;http://idea.ed.gov/part-c/statutes&lt;/a&gt;</t>
  </si>
  <si>
    <t>The value of any quantifiable monetary loss directly resulting from the incident. Examples include the value of repairs necessitated by vandalism of a school facility, the value of personnel resources used for repairs or consumed by the incident, the value of stolen items, and the value of time consumed by an incident (e.g., instructional time involved in evacuating a school during a false fire alarm).  Cost may be reported by specific monetary amount or range.</t>
  </si>
  <si>
    <t xml:space="preserve">The first registration term of a person enrolling in credit-granting courses at a postsecondary institution after completing high school (or its equivalent).  </t>
  </si>
  <si>
    <t>A designation of the type(s) of instruction being delivered by staff whose primary responsibility is instruction.  Instruction that is for "credit" can be applied toward the requirements for a postsecondary degree, diploma, certificate or other formal award.</t>
  </si>
  <si>
    <t>Staff whose primary function/occupational activity is primarily instruction or instruction combined with research and/or public service.  Does not include medical school staff.</t>
  </si>
  <si>
    <t>Interdisciplinary Indicator</t>
  </si>
  <si>
    <t>An indication that the course, projects, and/or learning activities develop knowledge and skills across multiple subject areas and highlight connections between subject area domains, with formal collaboration among teachers across subject areas.</t>
  </si>
  <si>
    <t>InterdisciplinaryIndicator</t>
  </si>
  <si>
    <t>The number of female students who participated on an interscholastic team.  A student should be counted once for each team she was on.</t>
  </si>
  <si>
    <t>The number of male students who participated on an interscholastic team.  A student should be counted once for each team he was on.</t>
  </si>
  <si>
    <t>The number of interscholastic sports in which only female students participate.  Sports include distinct sports such as football, basketball, soccer but not intramural sports or cheerleading.</t>
  </si>
  <si>
    <t>The number of interscholastic sports in which only male students participate.  Sports include distinct sports such as football, basketball, soccer but not intramural sports or cheerleading.</t>
  </si>
  <si>
    <t>The number of interscholastic teams in which only female students participate.  Teams include each competitive level team in each sport, such as freshman team, junior varsity team, and varsity team but not intramural sports or cheerleading.</t>
  </si>
  <si>
    <t>The number of interscholastic teams in which only male students participate.  Teams include each competitive level team in each sport, such as freshman team, junior varsity team, and varsity team but not intramural sports or cheerleading.</t>
  </si>
  <si>
    <t>The academic year, generally extending from September to June, in which IPEDS data is collected.  Most Institutional Characteristics, Salaries, Fall Staff, Fall Enrollment, and Employees by Assigned Position data are collected for the current year; Completions, 12-Month Enrollment, Student Financial Aid, and Finance data collections cover the prior year.</t>
  </si>
  <si>
    <t xml:space="preserve">Kindergarten Program Participation Type  </t>
  </si>
  <si>
    <t>Indicates that the organization or class/group has  translation services available .</t>
  </si>
  <si>
    <t xml:space="preserve"> A unique identifier for the person performing the learner action.  The identifier should be encrypted when integrating learning experience data across systems to secure the privacy of the learner.</t>
  </si>
  <si>
    <t>The CEDS Learner Action Type option set comes from the &lt;a href="https://w3id.org/xapi/adl"&gt;ADL Controlled Vocabulary&lt;/a&gt;, xAPI specification.</t>
  </si>
  <si>
    <t>The description and context for the assignment  described in a way that the learner can understand.</t>
  </si>
  <si>
    <t>Note: Prerequisites may also be referenced via an associated Learning Goal and Competency Set (prerequisites for individual competencies).  For some applications enumeration of the detailed prerequisites will have greater utility than a single descriptive field.</t>
  </si>
  <si>
    <t xml:space="preserve"> Options derive primarily from IMS Global's Access for All (AfA) specification, specifically:  apiInteroperable.</t>
  </si>
  <si>
    <t>Specifies the format for a learning resource that is a book.  Other options may be considered for inclusion in the option set.</t>
  </si>
  <si>
    <t xml:space="preserve"> A short description of the Learning Resource.</t>
  </si>
  <si>
    <t>The CEDS ISO 639-2 Language Code option set comes from the &lt;a href="http://www.loc.gov/standards/iso639-2/langhome.html"&gt;ISO 639-2 standard&lt;/a&gt;, the character encoding in ISO 8859-1 download.  Discontinued codes from the ISO standard are not included in the CEDS list.&lt;BR/&gt;Note: For accessible resources LRMI uses language codes from the IETF BCP 47 standard which also refers to ISO 639. (Equivalent of the AfA languageOfAdaptation property.)</t>
  </si>
  <si>
    <t>A promising practice is to use a URL as the Learning Resource Subject Code, that resolves to a web page describing a term in a subject taxonomy.  For example, for "Mathematics", the URL http://id.loc.gov/authorities/classification/BH301.M35.html points to the Library of Congress classification for "Mathematics".  For K12 curriculum "SCED" - School Courses for the Exchange of Data (SCED) may be used, e.g. https://ceds.ed.gov/ScedCourseCodes.aspx#02031 is "Mathematics (grade 1)"</t>
  </si>
  <si>
    <t>This may be a URL to a web page describing the subject code system or a name or abbreviation for the system if no authoritative web page exists.  When the associated learning resource Subject Code is a URL, that URL usually provides enough context so that the "Subject Code System" need not be specified.  However, this may be the URL to a page describing the classification system and/or the entry point to the web hosted classification system.  E.g. for the Library of Congress Classification System use: http://id.loc.gov/authorities/classification.html</t>
  </si>
  <si>
    <t xml:space="preserve">The three-digit unique identifier assigned to the supervisory union by the state.  </t>
  </si>
  <si>
    <t>Option definitions from EDFacts documents &lt;BR/&gt;EDFacts Data Set for School Years 2016-17, 2017-18, and 2018-19 -- Attachment B-2 (February 2016).</t>
  </si>
  <si>
    <t>Staff employed by or employees working in the medical school component of a postsecondary institution or in a free standing medical school.  Does not include staff employed by or employees working strictly in a hospital associated with a medical school or those who work in health or allied health schools or departments such as dentistry, veterinary medicine, nursing or dental hygiene.</t>
  </si>
  <si>
    <t>Early Learning -&gt; Early Learning Organization -&gt; Service Partners</t>
  </si>
  <si>
    <t>The qualifying arrival date (QAD) is the month, date, and year that the child completed a move with his or her parent to enable the parent to find qualifying employment. In some cases, the child and worker may not always move together, in which case the QAD would be the date that the child joins the worker who has  already moved, or the date the worker joins the child who has already moved. The QAD is the date the child's eligibility for the Migrant Education Program begins.</t>
  </si>
  <si>
    <t>A branch of the U.S. Military applicable for specifying more details when using Military Connected Student Indicator, Military Active Student Indicator,  Military Veteran Student Indicator, and Military Enlistment After Exit elements.</t>
  </si>
  <si>
    <t>Information on military enlistment is collected as a part of the FEDES program which facilitates periodic matches with the Department of Defense Manpower Information Center.  While the unemployment insurance data cannot be used to indicate that an individual is not employed, the DOD Enlistment data can suggest "not enlisted when there is no match."  These data are included in FEDES matches and may need to be "unduplicated" from employment counts.</t>
  </si>
  <si>
    <t>Early Learning -&gt; Early Learning Organization -&gt; Monitoring</t>
  </si>
  <si>
    <t>Note: This applies to an enrollment period record.  Separate records using this element definition could capture attendance for regular enrollment, an out-of-school program or other program requiring attendance records.  CEDS now supports the detailed attendance events to capture attendance status on any given day, class period, or session.  CEDS generally doesn't include elements for counts when it has the unit level elements to calculate the count.  However, this element has been retained to support the intended use cases, recognizing that the rules for attendance vary based on location.</t>
  </si>
  <si>
    <t>Postsecondary -&gt; PS Student -&gt; Family/Household Information</t>
  </si>
  <si>
    <t>Early Learning -&gt; Early Learning Organization -&gt; QRIS Rating</t>
  </si>
  <si>
    <t>&lt;a href="https://www.onetcenter.org/taxonomy.html"&gt;https://www.onetcenter.org/taxonomy.html&lt;/a&gt;</t>
  </si>
  <si>
    <t>Related Body would be used for a use case in which no hierarchy exists, such as a foundation related to a postsecondary institution. Neither organization has authority over the other, but is related to one another.</t>
  </si>
  <si>
    <t>Early Learning -&gt; Early Learning Child -&gt; Demographic</t>
  </si>
  <si>
    <t xml:space="preserve"> The maximum value allowed by the Peer Rating System.</t>
  </si>
  <si>
    <t>The optimum value allowed by the Peer Rating System.  The optimum or best rating may be the maximum value, the minimum value, or something in between.</t>
  </si>
  <si>
    <t>Perkins English Learner Status</t>
  </si>
  <si>
    <t>A secondary student, an adult, or an out-of-school youth, who has limited ability in speaking, reading, writing, or understanding English language, and (a) whose native language is a language other than English, or (b) who lives in a family or community environment in which a language other than English is the dominant language.</t>
  </si>
  <si>
    <t>PerkinsEnglishLearnerStatus</t>
  </si>
  <si>
    <t xml:space="preserve"> The circumstances under which the student exited from enrollment in a postsecondary institution.</t>
  </si>
  <si>
    <t xml:space="preserve">The ages of children not served under IDEA to whom the LEA's pre-kindergarten services are available.  </t>
  </si>
  <si>
    <t>Primary Program Indicator</t>
  </si>
  <si>
    <t>An indication that the associated program is the primary function of this organization.</t>
  </si>
  <si>
    <t>This element is used in conjunction with Program Type.</t>
  </si>
  <si>
    <t>PrimaryProgramIndicator</t>
  </si>
  <si>
    <t>The unique, non-duplicated,  identification number assigned by the registry data system for a session of a particular professional development activity.</t>
  </si>
  <si>
    <t>Early Learning -&gt; Early Learning Organization -&gt; Compensation</t>
  </si>
  <si>
    <t>Early Learning -&gt; Early Learning Organization -&gt; Quality</t>
  </si>
  <si>
    <t>An institution/facility/program that serves more than one programming purpose.  For example, the same facility may run both a juvenile correction program and a juvenile detention program.</t>
  </si>
  <si>
    <t>Early Learning -&gt; Early Learning Organization -&gt; Cultural and Linguistic Diversity</t>
  </si>
  <si>
    <t>Project-Based Learning Indicator</t>
  </si>
  <si>
    <t>An indication that an instructional model is being implemented wherein a student learns through answering complex questions or solving for real-world problems. Also called problem-based learning, inquiry-based learning, or learning-by-doing.</t>
  </si>
  <si>
    <t>ProjectBasedLearningIndicator</t>
  </si>
  <si>
    <t>Project-Based Learning Type</t>
  </si>
  <si>
    <t>The type of project-based instruction being offered.</t>
  </si>
  <si>
    <t>Select all that apply.</t>
  </si>
  <si>
    <t>ProjectBasedLearningType</t>
  </si>
  <si>
    <t>Implementation Variables -&gt; Data Process</t>
  </si>
  <si>
    <t>Early Learning -&gt; Early Learning Child -&gt; Referral</t>
  </si>
  <si>
    <t>Identifies the reporter of the incident using  a pre-existing unique student identifier or unique staff identifier, when the reporter is a student or staff member.</t>
  </si>
  <si>
    <t>Identifies an organization responsible for specific educational services and/or instruction based on a type of responsibility  specified in the Responsible Organization Type.</t>
  </si>
  <si>
    <t>This may be used to specify responsibility when the organization is not a school (Responsible School) or school district (Responsible District).&lt;br/&gt;&lt;br/&gt;CEDS "Identifier" elements reflect the intent of the XSD:Token format, i.e. a string in which carriage return, line feed, and tab characters have been removed as well as any internal sequences of two or more spaces and any leading or trailing spaces.&lt;br/&gt;&lt;br/&gt;An Identifier MAY be a Universally Unique Identifier (UUID) / Globally Unique Identifier (GUID), i.e.128-bit unique identifiers generated according to the algorithms and encoding standards of RFC 4122.</t>
  </si>
  <si>
    <t>Text describing  one or more benchmarks that must be met to achieve a degree of achievement on a product, process, or performance task.</t>
  </si>
  <si>
    <t>Pre-defined feedback text to be relayed to the person or organization being evaluated.  This may include guidance and suggestions for improvement or development.</t>
  </si>
  <si>
    <t xml:space="preserve"> The frequency of data collection for performance indicator under the Safe and Drug-Free Schools and Communities Act.</t>
  </si>
  <si>
    <t>Actual performance for the given  indicator of student behavior under the Safe and Drug-Free Schools and Communities Act</t>
  </si>
  <si>
    <t>The targeted performance for the given  indicator of student behavior under the Safe and Drug-Free Schools and Communities Act.</t>
  </si>
  <si>
    <t>Early Learning -&gt; Early Learning Child -&gt; Health -&gt; Well Child Visits</t>
  </si>
  <si>
    <t>An indication of whether an eligible student transferred to the school under the provisions  for public school choice in accordance with Title I, Part A, Section 1116 of ESEA as amended.</t>
  </si>
  <si>
    <t>&lt;a href="https://nces.ed.gov/forum/SCED.asp"&gt;https://nces.ed.gov/forum/SCED.asp&lt;/a&gt;</t>
  </si>
  <si>
    <t xml:space="preserve"> The course's level of rigor.</t>
  </si>
  <si>
    <t>This is a compilation of Secondary Course Subject Area and Prior to Secondary Course Subject Area.  This version merges SCED and pSCED.</t>
  </si>
  <si>
    <t>The span is represented by a four-character code with no decimals.  Each grade level from 1 through 12 is represented by a two-digit code, ranging from 01 to 12; kindergarten is represented by the letters KG and prekindergarten by the letters PK.</t>
  </si>
  <si>
    <t xml:space="preserve">The type of education institution as classified by its primary focus. </t>
  </si>
  <si>
    <t>For academic years that span a calendar year this is the four digit year-end.  E.g. 2013 for 2012-2013</t>
  </si>
  <si>
    <t>Short Name of Organization</t>
  </si>
  <si>
    <t>The name of the organization, which could be abbreviated form of the full legally accepted name.</t>
  </si>
  <si>
    <t>ShortNameOfOrganization</t>
  </si>
  <si>
    <t>The full, legally accepted  name of the institution at the site level.</t>
  </si>
  <si>
    <t>Early Learning -&gt; Early Learning Organization -&gt; Site Level Characteristics</t>
  </si>
  <si>
    <t>Special Education Teacher Qualification Status</t>
  </si>
  <si>
    <t>An indication of whether special education teachers are fully certified in the State..</t>
  </si>
  <si>
    <t>SpecialEducationTeacherQualificationStatus</t>
  </si>
  <si>
    <t>Program ensures that policies are in place for  Individualized Education Programs (IEPs) or Individual Family Service Plans (IFSPs) to meet the child's unique needs.</t>
  </si>
  <si>
    <t>Early Learning -&gt; Early Learning Organization -&gt; Inclusion</t>
  </si>
  <si>
    <t>For the Common Core Data Teacher Compensation Survey this is: 'The negotiated annual salary for teaching duties for the school year. The base salary excludes pay for additional duties, such as supervising or directing afterschool activities, school administration activities, and teaching summer school or adult education classes. Bonuses and other incentives are not included in base salaries.'  Also use CEDS element Salary for Teaching Assignment Only Indicator to indicate if a Base Salary is specific to teaching assignments.</t>
  </si>
  <si>
    <t>Total annualized salary of staff at the specific school/program indicated on the record in the school/program year  specified on the record.</t>
  </si>
  <si>
    <t xml:space="preserve">The actual quantitative or qualitative assessment of a person's performance on a component part that is being evaluated. </t>
  </si>
  <si>
    <t>A Bureau of Labor Statistics coding system for classifying occupations by work performed and, in some cases, on the skills, education and training needed to perform the work at a competent level.  See https://www.bls.gov/soc/2018/major_groups.htm.</t>
  </si>
  <si>
    <t>A coding scheme that is used for identification and record-keeping purposes to refer to a state agency.</t>
  </si>
  <si>
    <t>Technical assistance may be for organizations or staff depending on context. See the document &lt;a href="https://ceds.ed.gov/pdf/ceds-addresses-professional-development-data-elements.pdf"&gt;https://ceds.ed.gov/pdf/ceds-addresses-professional-development-data-elements.pdf&lt;/a&gt;.</t>
  </si>
  <si>
    <t>This element reflects the end date for a person's status rather than that person's participation in a program. Use Program Participation Exit Date if referring to a person's participation in a program or receipt of services. Status dates and program participation dates don't need to align, they are for different purposes. For example, for a homeless student the Status Begin Date and Status End Date elements are used to record when the student began being homeless to the date when the student ceased being homeless.  The student may begin receiving services under a program for homeless students after becoming homeless and that program may continue to provide services after the student ceases to have the status of "homeless" and therefore have a Program Participation Start Date and Program Participation Exit Date that are different from the status dates.  Students under the McKinney-Vento may continue to receive services until the end of a school year even if they become stably housed at some point during the year.</t>
  </si>
  <si>
    <t>Student Support Service Availability Type</t>
  </si>
  <si>
    <t>The group of students to whom related or ancillary service is offered within the formal educational system or by an outside agency which provides non-instructional service to support the general welfare of students.</t>
  </si>
  <si>
    <t>StudentSupportServiceAvailabilityType</t>
  </si>
  <si>
    <t>An indication of  the number of clock hours (minimum) a student is required to complete associated with a supervised clinical experience.</t>
  </si>
  <si>
    <t>Praxis I: &lt;BR/&gt;Reading&lt;BR/&gt;Mathematics&lt;BR/&gt;Writing&lt;BR/&gt;&lt;BR/&gt;Praxis II:&lt;BR/&gt;Codes at http://www.ets.org/praxis/about/praxisii/content&lt;BR/&gt;&lt;BR/&gt;ACTFL codes at http://www.languagetesting.com/</t>
  </si>
  <si>
    <t>An indication of whether a person completed a state-approved teacher preparation program.  The fact that a person has or has not been recommended to the state for initial certification or licensure may not be used as a criterion for determining who is a program completer.</t>
  </si>
  <si>
    <t>The context for this element is the intersection of a teacher assignment to a Class/Section and a student enrollment to a Class/Section.  It may be represented in a data model as a separate entity such as Teacher Student Data Link Exclusion.</t>
  </si>
  <si>
    <t>The role that the Staff Member has been assigned for a Class Section.  (A teacher may have the lead responsibility for one section and serve a supporting role for another section of the same course.)</t>
  </si>
  <si>
    <t>A person who receives Title IV aid.  Title IV aid includes grant aid, work study aid, and loan aid such as: Federal Pell Grant, Federal Supplemental Educational Opportunity Grant (FSEOG), Teacher Education Assistance for College and Higher Education (TEACH) Grant, Federal Work-Study, Federal Perkins Loan, Subsidized Direct or FFEL Stafford Loan, and Unsubsidized Direct or FFEL Stafford Loan.  Title IV aid specifications are defined by the instructions for the IPEDS Student Financial Aid survey.</t>
  </si>
  <si>
    <t>Some data systems may require additional information on truancy based on local requirements. For example, capturing students who reach the statutory truancy status but then are in and out of attendance after that point, may require use of &lt;a href="https://ceds.ed.gov/element/000202"&gt;Number of Days in Attendance&lt;/a&gt; in conjunction with Truancy.</t>
  </si>
  <si>
    <t>The published tuition for first time, full-time undergraduate students (lower of in-district or in-state for public institutions).  Tuition may be charged per term, per course, per credit or per program.</t>
  </si>
  <si>
    <t>The component for which tuition is being charged.  It might be a time period (term, quarter, year, etc.) or it might be an entity of education (course, credit hour, etc.).</t>
  </si>
  <si>
    <t>An indication that a childcare, early education, or early learning program, school, institution, program, or course section focuses primarily on instruction in which children and teachers are separated by time and/or location and interact through the use of computers and/or telecommunications technology.</t>
  </si>
  <si>
    <t>An indication of the extent to which a school offers instruction in which students and teachers are separated by time and/or location, and interaction occurs via computers and/or telecommunications technologies.</t>
  </si>
  <si>
    <t>A reference period for identifying program participation during or after enrollment in secondary education, postsecondary education, or adult education will have to be defined by the agency in collaboration with other agency partners.  At this point this element is intended only to indicate program participation and does not delve into programmatic details, persistence, or completion.</t>
  </si>
  <si>
    <t>001999</t>
  </si>
  <si>
    <t>002000</t>
  </si>
  <si>
    <t>001995</t>
  </si>
  <si>
    <t>001994</t>
  </si>
  <si>
    <t>002001</t>
  </si>
  <si>
    <t>002002</t>
  </si>
  <si>
    <t>001997</t>
  </si>
  <si>
    <t>002012</t>
  </si>
  <si>
    <t>002010</t>
  </si>
  <si>
    <t>002011</t>
  </si>
  <si>
    <t>002007</t>
  </si>
  <si>
    <t>002008</t>
  </si>
  <si>
    <t>002009</t>
  </si>
  <si>
    <t>002003</t>
  </si>
  <si>
    <t>002004</t>
  </si>
  <si>
    <t>002006</t>
  </si>
  <si>
    <t>002005</t>
  </si>
  <si>
    <t>001993</t>
  </si>
  <si>
    <t>002013</t>
  </si>
  <si>
    <t>001991</t>
  </si>
  <si>
    <t>001992</t>
  </si>
  <si>
    <t>001996</t>
  </si>
  <si>
    <t>001998</t>
  </si>
  <si>
    <t xml:space="preserve">100 - COVID-19
999 - Other
</t>
  </si>
  <si>
    <t xml:space="preserve">ALTELPASMNTALT - Alternate English language proficiency (ELP) based on alternate ELP achievement standards
REGELPASMNT - Regular English language proficiency (ELP) assessment
</t>
  </si>
  <si>
    <t xml:space="preserve">FC - Fully certified or licensed
NFC - Not fully certified or licensed
</t>
  </si>
  <si>
    <t xml:space="preserve">Other - Other
</t>
  </si>
  <si>
    <t xml:space="preserve">LEA - Local Education Agency
SEA - State Education Agency
</t>
  </si>
  <si>
    <t xml:space="preserve">1000 - Primarily Projects
1001 - Student-developed
1002 - Teacher-developed
9999 - Other
</t>
  </si>
  <si>
    <t xml:space="preserve">SPEDTCHFULCRT - Fully certified
SPEDTCHNFULCRT - Not fully certified
</t>
  </si>
  <si>
    <t xml:space="preserve">100 - All students
102 - English learners
105 - Students from low-income families
104 - Students in Title 1 schools
103 - Students with 504 plan
101 - Students with disabilities
</t>
  </si>
  <si>
    <t xml:space="preserve">Mailing - Mailing
Physical - Physical
Shipping - Shipping
</t>
  </si>
  <si>
    <t xml:space="preserve">Public - Public School
Private - Private School
Other - Other
</t>
  </si>
  <si>
    <t xml:space="preserve">Birth - Birth
Prenatal - Prenatal
IT - Infant/toddler
PR - Preschool
PK - Prekindergarten
TK - Transitional Kindergarten
KG - Kindergarten
01 - First grade
02 - Second grade
03 - Third grade
04 - Fourth grade
05 - Fifth grade
06 - Sixth grade
07 - Seventh grade
08 - Eighth grade
09 - Ninth grade
10 - Tenth grade
11 - Eleventh grade
12 - Twelfth grade
13 - Grade 13
PS - Postsecondary
UG - Ungraded
AE - Adult Education
Other - Other
</t>
  </si>
  <si>
    <t>Assessments -&gt; Assessment
Assessments -&gt; Assessment Asset
Assessments -&gt; Assessment Form
Assessments -&gt; Assessment Item
Assessments -&gt; Assessment Subtest
Early Learning -&gt; Early Learning Child -&gt; Developmental Assessments</t>
  </si>
  <si>
    <t xml:space="preserve">01043 - No school completed 
IT - Infant/toddler
PR - Preschool
PK - Prekindergarten
TK - Transitional Kindergarten
KG - Kindergarten
01 - First grade
02 - Second grade
03 - Third grade
04 - Fourth grade
05 - Fifth grade
06 - Sixth grade
07 - Seventh grade
08 - Eighth grade
09 - Ninth grade
10 - Tenth grade
11 - Eleventh grade
12 - Twelfth grade
13 - Grade 13
PS - Postsecondary
UG - Ungraded
AE - Adult Education
01044 - High school diploma 
02408 - High school completers (e.g., certificate of attendance) 
02409 - High school equivalency (e.g., GED) 
00819 - Career and Technical Education certificate
01049 - Some college but no degree 
01047 - Formal award, certificate or diploma (less than one year) 
01048 - Formal award, certificate or diploma (more than or equal to one year) 
01050 - Associate's degree (two years or more) 
73063 - Adult education certification, endorsement, or degree
01051 - Bachelor's (Baccalaureate) degree 
01054 - Master's degree (e.g., M.A., M.S., M. Eng., M.Ed., M.S.W., M.B.A., M.L.S.) 
01055 - Specialist's degree (e.g., Ed.S.) 
73081 - Post-master’s certificate
01052 - Graduate certificate 
01057 - Doctoral (Doctor's) degree 
01053 - First-professional degree 
01056 - Post-professional degree 
73083 - Doctor’s degree-professional practice
73084 - Doctor’s degree-other
73085 - Doctor’s degree-research/scholarship
Other - Other
</t>
  </si>
  <si>
    <t xml:space="preserve">REGASSWOACC - Regular assessments based on grade-level achievement standards without accommodations
REGASSWACC - Regular assessments based on grade-level achievement standards with accommodations
ALTASSGRADELVL - Alternate assessments based on grade-level achievement standards
ALTASSMODACH - Alternate assessments based on modified achievement standards
ALTASSALTACH - Alternate assessments based on alternate achievement standards
AgeLevelWithoutAccommodations - Assessment based on age level standards without accommodations
AgeLevelWithAccommodations - Assessment based on age level standards with accommodations
BelowAgeLevelWithoutAccommodations - Assessment based on standards below age level without accommodations
BelowAgeLevelWithAccommodations - Assessment based on standards below age level with accommodations
</t>
  </si>
  <si>
    <t xml:space="preserve">Present - Present
ExcusedAbsence - Excused Absence
UnexcusedAbsence - Unexcused Absence
Tardy - Tardy
EarlyDeparture - Early Departure
</t>
  </si>
  <si>
    <t xml:space="preserve">Rotation - Rotation model
FlexModel - Flex model
ALaCarte - A La Carte model
EnrichedVirtual - Enriched Virtual model
Other - Other
</t>
  </si>
  <si>
    <t xml:space="preserve">03187 - Administrative staff
73071 - Co-teacher
04725 - Counselor
73073 - Course Proctor
05973 - Instructor of record
01234 - Intern
73072 - Lead Team Teacher
00069 - Non-instructional staff
09999 - Other
00059 - Paraprofessionals/teacher aides
05971 - Primary instructor
04735 - Resource teacher
05972 - Secondary instructor
73074 - Special Education Consultant
00080 - Student teachers
01382 - Volunteer/no contract
</t>
  </si>
  <si>
    <t xml:space="preserve">All - All
AtLeast - At Least
</t>
  </si>
  <si>
    <t xml:space="preserve">Multi-year - Multi-year
Annual - Annual
LessThanAnnual - Less than annual
NotApplicable - Not applicable
</t>
  </si>
  <si>
    <t xml:space="preserve">Public - Public
PrivateNFP - Private, not for profit
PrivateFP - Private, for profit
</t>
  </si>
  <si>
    <t xml:space="preserve">Intermediate - Intermediate agency course code
LEA - LEA course code
NCES - NCES Pilot Standard National Course Classification System for Secondary Education Codes
Other - Other
SCED - School Codes for the Exchange of Data (SCED) course code
School - School course code
State - State course code
University - University course code
</t>
  </si>
  <si>
    <t xml:space="preserve">Accelerated - Accelerated
AdultBasic - Adult Basic
AdvancedPlacement - Advanced Placement
Basic - Basic
InternationalBaccalaureate - International Baccalaureate
CollegeLevel - College Level
CollegePreparatory - College Preparatory
GiftedTalented - Gifted and Talented
Honors - Honors
NonAcademic - Non-Academic
SpecialEducation - Special Education
TechnicalPreparatory - Technical Preparatory
Vocational - Vocational
LowerDivision - Lower division
UpperDivision - Upper division
Dual - Dual level
GraduateProfessional - Graduate/Professional
Regents - Regents
Remedial - Remedial/Developmental
K12 - K12
</t>
  </si>
  <si>
    <t xml:space="preserve">HeadStart - Head Start
EarlyHeadStart - Early Head Start
CCDF - Office of Child Care-CCDF
EarlyInterventionPartC - Early Intevention Part C
PartB619 - Special Education Preschool Part B 619
TitleI - Title I
MIECHV - Maternal, Infant, and Early Childhood Home Visiting (MIECHV)
TitleVMCH - Title V Maternal and Child Health (MCH)
PartB611IDEA - Part B 611 Individuals with Disabilities Education Act (IDEA)
PartDIDEA - Part D Individuals with Disabilities Education Act (IDEA)
Medicaid - Medicaid
SCHIP - State Children's Health Insurance Program (SCHIP)
WIC - Special Supplemental Nutrition Program for Women Infants and Children (WIC)
TANF -  Temporary Assistance for Needy Families (TANF)
TitleVHomeVisiting - Title V Home Visiting
SSBG - Social Services Block Grant (SSBG)
ChampusTricare - Champus/Tricare
ImpactAid - Impact Aid
FamilyPreservation - Family Preservation
DropoutPrevention - Dropout Prevention
JuvenileJustice - Juvenile Justice
EHDI - Early Hearing Detection and Intervention
Other - Other
</t>
  </si>
  <si>
    <t>Early Learning -&gt; Early Learning Child -&gt; Finance
Early Learning -&gt; Early Learning Organization -&gt; Finance</t>
  </si>
  <si>
    <t xml:space="preserve">Permanent - Permanent
Temporary - Temporary
</t>
  </si>
  <si>
    <t>Early Learning -&gt; Early Learning Child -&gt; Finance
Early Learning -&gt; Early Learning Organization -&gt; Finance
K12 -&gt; K12 School -&gt; Federal Funds
K12 -&gt; LEA -&gt; Federal Funds
K12 -&gt; SEA -&gt; Federal Funds</t>
  </si>
  <si>
    <t xml:space="preserve">101 - Cash in Bank
102 - Cash on Hand
103 - Petty Cash
104 - Change Cash
105 - Cash With Fiscal Agents
111 - Investments
112 - Unamortized Premiums on Investments
113 - Unamortized Discounts on Investments (Credit)
114 - Interest Receivable on Investments
115 - Accrued Interest on Investments Purchased
121 - Taxes Receivable
122 - Allowance for Uncollectible Taxes (Credit)
131 - Interfund Loans Receivable
132 - Interfund Accounts Receivable
141 - Intergovernmental Accounts Receivable
151 - Loans Receivable
152 - Allowance for Uncollectible Loans (Credit)
153 - Other Accounts Receivable
154 - Allowance for Uncollectible Accounts Receivable (Credit)
171 - Inventories for Consumption
172 - Inventories for Resale
181 - Prepaid Items
191 - Deposits
193 - Bond Insurance Costs
194 - Premium and Discount on Issuance of Bonds
199 - Other Current Assets
200 - Capital Assets
211 - Land and Land Improvements
221 - Site Improvements
222 - Accumulated Depreciation on Site Improvements
231 - Buildings and Building Improvements
232 - Accumulated Depreciation on Buildings and Building Improvements
241 - Machinery and Equipment
242 - Accumulated Depreciation on Machinery and Equipment
251 - Works of Art and Historical Treasures
252 - Accumulated Depreciation on Works of Art and Historical Collections
261 - Infrastructure
262 - Accumulated Depreciation on Infrastructure
271 - Construction in Progress
281 - Intangible Assets
282 - Accumulated Amortization of Intangible Assets
300 - Deferred Outflows of Resources
401 - Interfund Loans Payable
402 - Interfund Accounts Payable
411 - Intergovernmental Accounts Payable
421 - Accounts Payable
422 - Judgments Payable
423 - Warrants Payable
431 - Contracts Payable
432 - Construction Contracts Payable-Retainage
433 - Construction Contracts Payable
441 - Matured Bonds Payable
442 - Bonds Payable-Current
443 - Unamortized Premiums on Issuance of Bonds
451 - Loans Payable
452 - Lease Obligations-Current
455 - Interest Payable
461 - Accrued Salaries and Benefits
471 - Payroll Deductions and Withholdings
472 - Compensated Absences-Current
473 - Accrued Annual Requirement Contribution Liability
481 - Advances from Grantors
491 - Deposits Payable
499 - Other Current Liabilities
500 - Long-Term Liabilities
511 - Bonds Payable
512 - Accreted Interest
513 - Unamortized Gains/Losses on Debt Refundings
521 - Loans Payable
531 - Capital Lease Obligations
551 - Compensated Absences
553 - Special Termination Benefits
561 - Arbitrage Rebate Liability
590 - Other Long-Term Liabilities
600 - Deferred Inflows of Resources
710 - Nonspendable Fund Balance
720 - Restricted Fund Balance
730 - Committed Fund Balance
740 - Assigned Fund Balance
750 - Unassigned Fund Balance
760 - Net Investment in Capital Assets
770 - Restricted Net Position
780 - Unrestricted Net Position
</t>
  </si>
  <si>
    <t xml:space="preserve">Assets - Assets
Liabilities - Liabilities
Equity - Equity
Revenue - Revenue and Other Financing Sources
Expenditures - Expenditures
</t>
  </si>
  <si>
    <t xml:space="preserve">1 - General Fund
2 - Special Revenue Funds
3 - Capital Projects Funds
4 - Debt Service Funds
5 - Permanent Funds
6 - Enterprise Funds
7 - Internal Service Funds
8 - Trust Funds
9 - Agency Funds
</t>
  </si>
  <si>
    <t xml:space="preserve">100 - Regular Elementary/Secondary Education Programs
200 - Special Programs
300 - Vocational and Technical Programs
400 - Other Instructional Programs—Elementary/Secondary
500 - Nonpublic School Programs
600 - Adult/Continuing Education Programs
700 - Community/Junior College Education Programs
800 - Community Services Programs
900 - Cocurricular and Extracurricular Activities
</t>
  </si>
  <si>
    <t xml:space="preserve">1000 - Revenue From Local Sources
1100 - Taxes Levied/Assessed by the School District
1110 - Ad Valorem Taxes (Levied/Assessed by School Districts)
1120 - Sales and Use Taxes (Levied/Assessed by School Districts)
1130 - Income Taxes (Levied/Assessed by School Districts)
1140 - Penalties and Interest on Taxes (Levied/Assessed by School Districts)
1190 - Other Taxes (Levied/Assessed by School Districts)
1200 - Revenue from Local Governmental Units Other Than School Districts
1210 - Ad Valorem Taxes (Received from Other Government Units)
1220 - Sales and Use Tax (Received from Other Government Units)
1230 - Income Taxes (Received from Other Government Units)
1240 - Penalties and Interest on Taxes (Received from Other Government Units)
1280 - Revenue in Lieu of Taxes (Received from Other Government Units)
1290 - Other Taxes (Received from Other Government Units)
1300 - Tuition
1310 - Tuition From Individuals
1311 - Tuition from Individuals Excluding Summer School
1312 - Tuition from Individuals for Summer School
1320 - Tuition from Other Government Sources Within the State
1321 - Tuition from Other School Districts Within the State
1322 - Tuition from Other Government Sources Excluding School Districts Within the State
1330 - Tuition from Other Government Sources Outside the State
1331 - Tuition from School Districts Outside the State
1340 - Tuition from Other Private Sources (Other Than Individuals)
1350 - Tuition from the State/Other School Districts for Voucher Program Students
1400 - Transportation Fees
1410 - Transportation Fees from Individuals
1420 - Transportation Fees from Other Government Sources Within the State
1421 - Transportation Fees from Other School Districts Within the State
1422 - Transportation Fees from Other Government Sources Excluding School Districts Within the State
1430 - Transportation Fees from Other Government Sources Outside the State
1431 - Transportation Fees from Other School Districts Outside the State
1440 - Transportation Fees from Other Private Sources (other than individuals)
1500 - Investment Income
1510 - Interest on Investments
1520 - Dividends on Investments
1530 - Net Increase in the Fair Value of Investments
1531 - Realized Gains (Losses) on Investments
1532 - Unrealized Gains (Losses) on Investments
1540 - Investment Income from Real Property
1600 - Food Services
1610 - Daily Sales-Reimbursable Programs
1611 - Daily Sales-School Lunch Program
1612 - Daily Sales-School Breakfast Program
1613 - Daily Sales-Special Milk Program
1614 - Daily Sales-After-School Programs
1620 - Daily Sales-Nonreimbursable Programs
1630 - Special Functions
1650 - Daily Sales-Summer Food Programs
1700 - District Activities
1710 - Admissions
1720 - Bookstore Sales
1730 - Student Organization Membership Dues and Fees
1740 - Fees
1750 - Revenue From Enterprise Activities
1790 - Other Activity Income
1800 - Revenue From Community Services Activities
1900 - Other Revenue From Local Sources
1910 - Rentals
1920 - Contributions and Donations From Private Sources
1930 - Gains or Losses on the Sale of Capital Assets
1940 - Textbook Sales and Rentals
1941 - Textbook Sales
1942 - Textbook Rentals
1950 - Miscellaneous Revenues From Other School Districts
1951 - Miscellaneous Revenue from Other School Districts Within the State
1952 - Miscellaneous Revenue from Other School Districts Outside the State
1960 - Miscellaneous Revenues from Other Local Governmental Units
1970 - Revenues From Other Departments in the Agency
1980 - Refund of Prior Year's Expenditures
1990 - Miscellaneous Local Revenue
2000 - Revenue From Intermediate Sources
2100 - Unrestricted Grants-in-Aid
2200 - Restricted Grants-in-Aid
2800 - Revenue in Lieu of Taxes
2900 - Revenue for/on Behalf of the School District
3000 - Revenue From State Sources
3100 - Unrestricted Grants-in-Aid
3200 - Restricted Grants-in-Aid
3700 - State Grants Through Intermediate Sources
3800 - Revenue in Lieu of Taxes
3900 - Revenue for/on Behalf of the School District
4000 - Revenue From Federal Sources
4100 - Unrestricted Grants-in-Aid Direct from the Federal Government
4200 - Unrestricted Grants-in-Aid from the Federal Government Through the State
4300 - Restricted Grants-in-Aid Direct From the Federal Government
4500 - Restricted Grants-in-Aid From the Federal Government Through the State
4700 - Grants-in-Aid From the Federal Government Through Other Intermediate Agencies
4800 - Revenue in Lieu of Taxes
4900 - Revenue for/on Behalf of the School District
5000 - Other Financing Sources
5100 - Issuance of Bonds
5110 - Bond Principal
5120 - Premium on the Issuance of Bonds
5200 - Fund Transfers In
5300 - Proceeds From the Disposal of Real or Personal Property
5400 - Loan Proceeds
5500 - Capital Lease Proceeds
5600 - Other Long-Term Debt Proceeds
6000 - Other Revenue Items
6100 - Capital Contributions
6200 - Amortization of Premium on Issuance of Bonds
6300 - Special Items
6400 - Extraordinary Items
</t>
  </si>
  <si>
    <t xml:space="preserve">1000 - Instruction
2000 - Support Services
2100 - Support Services-Students
2110 - Attendance and Social Work Services
2120 - Guidance Services
2130 - Health Services
2140 - Psychological Services
2150 - Speech Pathology and Audiology Services
2160 - Occupational Therapy-Related Services
2170 - Physical Therapy-Related Services
2180 - Visually Impaired/Vision Services
2190 - Other Support Services-Student
2200 - Support Services-Instruction
2210 - Improvement of Instruction
2212 - Instruction and Curriculum Development
2213 - Instructional Staff Training
2219 - Other Improvement of Instruction Services
2220 - Library/Media Services
2230 - Instruction-Related Technology
2240 - Academic Student Assessment
2290 - Other Support Services-Instructional Staff
2300 - Support Services-General Administration
2310 - Board of Education
2320 - Executive Administration
2400 - Support Services-School Administration
2410 - Office of the Principal
2490 - Other Support Services-School Administration
2500 - Central Services
2510 - Fiscal Services
2520 - Purchasing, Warehousing, and Distributing Services
2530 - Printing, Publishing, and Duplicating Services
2540 - Planning, Research, Development, and Evaluation Services
2560 - Public Information Services
2570 - Personnel Services
2580 - Administrative Technology Services
2590 - Other Support Services-Central Services
2600 - Operation and Maintenance of Plant
2610 - Operation of Buildings
2620 - Maintenance of Buildings
2630 - Care and Upkeep of Grounds
2640 - Care and Upkeep of Equipment
2650 - Vehicle Operation and Maintenance (Other Than Student Transportation Vehicles)
2660 - Security
2670 - Safety
2680 - Other Operation and Maintenance of Plant
2700 - Student Transportation
2710 - Vehicle Operation
2720 - Monitoring Services
2730 - Vehicle Servicing and Maintenance
2790 - Other Student Transportation Services
2900 - Other Support Services
3000 - Operation of Noninstructional Services
3100 - Food Services Operations
3200 - Enterprise Operations
3300 - Community Services Operations
4000 - Facilities Acquisition and Construction
4100 - Land Acquisition
4200 - Land Improvement
4300 - Architecture and Engineering
4400 - Educational Specifications Development
4500 - Building Acquisition and Construction
4600 - Site Improvements
4700 - Building Improvements
4900 - Other Facilities Acquisition and Construction
5000 - Debt Service
</t>
  </si>
  <si>
    <t xml:space="preserve">10 - Elementary
11 - Prekindergarten
12 - Kindergarten
19 - Other Elementary
20 - Middle
30 - Secondary
37 - Elementary and Secondary Combined
40 - Postsecondary
41 - Programs for Adult/Continuing
42 - Community/Junior College
50 - School Wide
60 - Early Learning Program
</t>
  </si>
  <si>
    <t xml:space="preserve">100 - Personal Services-Salaries
101 - Salaries Paid to Teachers
102 - Salaries Paid to Instructional Aides or Assistants
103 - Salaries Paid to Substitute Teachers
110 - Salaries of Regular Employees
111 - Salaries of Regular Employees Paid to Teachers
112 - Salaries of Regular Employees Paid to Instructional Aides and Assistants
113 - Salaries of Regular Employees Paid to Substitute Teachers
120 - Salaries of Temporary Employees
121 - Salaries of Temporary Employees Paid to Teachers
122 - Salaries of Temporary Employees Paid to Instructional Aides and Assistants
123 - Salaries of Temporary Employees Paid to Substitute Teachers
130 - Salaries for Overtime
131 - Salaries for Overtime Employees Paid to Teachers
132 - Salaries for Overtime Employees Paid to Instructional Aides and Assistants
133 - Salaries for Overtime Employees Paid to Substitute Teachers
140 - Salaries for Sabbatical Leave
141 - Salaries for Sabbatical Leave Paid to Teachers
142 - Salaries for Sabbatical Leave Paid to Instructional Aides and Assistants
143 - Salaries for Sabbatical Leave Paid to Substitute Teachers
150 - Additional Compensation Such as Bonuses or Incentives
151 - Additional Compensation Paid to Teachers
152 - Additional Compensation Paid to Instructional Aides and Assistants
153 - Additional Compensation Paid to Substitute Teachers
200 - Personal Services-Employee Benefits
201 - Employee Benefits for Teachers
202 - Employee Benefits for Instructional Aides or Assistants
203 - Employee Benefits for Substitute Teachers
210 - Group Insurance
211 - Group Insurance for Teachers
212 - Group Insurance for Instructional Aides or Assistants
213 - Group Insurance for Substitute Teachers
220 - Social Security Contributions
221 - Social Security Payments for Teachers
222 - Social Security Payments for Instructional Aides or Assistants
223 - Social Security Payments for Substitute Teachers
230 - Retirement Contributions
231 - Retirement Contributions for Teachers
232 - Retirement Contributions for Instructional Aides or Assistants
233 - Retirement Contributions for Substitute Teachers
240 - On-Behalf Payments
241 - On-Behalf Payments for Teachers
242 - On-Behalf Payments for Instructional Aides or Assistants
243 - On-Behalf Payments for Substitute Teachers
250 - Tuition Reimbursement
251 - Tuition Reimbursement for Teachers
252 - Tuition Reimbursement for Instructional Aides or Assistants
253 - Tuition Reimbursement for Substitute Teachers
260 - Unemployment Compensation
261 - Unemployment Compensation Paid for Teachers
262 - Unemployment Compensation Paid for Instructional Aides or Assistants
263 - Unemployment Compensation Paid for Substitute Teachers
270 - Workers' Compensation
271 - Worker's Compensation Paid for Teachers
272 - Worker's Compensation Paid for Instructional Aides or Assistants
273 - Worker's Compensation for Substitute Teachers
280 - Health Benefits
281 - Health Benefits Paid for Teachers
282 - Health Benefits Paid for Instructional Aides or Assistants
283 - Health Benefits Paid for Substitute Teachers
290 - Other Employee Benefits
291 - Other Employee Benefits Paid for Teachers
292 - Other Employee Benefits Paid for Instructional Aides or Assistants
293 - Other Employee Benefits for Substitute Teachers
300 - Purchased Professional and Technical Services
310 - Official/Administrative Services
320 - Professional Educational Services
330 - Employee Training and Development Services
340 - Other Professional Services
350 - Technical Services
351 - Data-Processing and Coding Services
352 - Other Technical Services
400 - Purchased Property Services
410 - Utility Services
420 - Cleaning Services
430 - Repairs and Maintenance Services
431 - Non-Technology-Related Repairs and Maintenance
432 - Technology-Related Repairs and Maintenance
440 - Rentals
441 - Rentals of Land and Buildings
442 - Rentals of Equipment and Vehicles
443 - Rentals of Computers and Related Equipment
450 - Construction Services
490 - Other Purchased Property Services
500 - Other Purchased Services
510 - Student Transportation Services
511 - Student Transportation Purchased From Another School District Within the State
512 - Student Transportation Purchased From Another School District Outside the State
519 - Student Transportation Purchased From Other Sources
520 - Insurance (Other Than Employee Benefits)
530 - Communications
540 - Advertising
550 - Printing and Binding
560 - Tuition
561 - Tuition to Other School Districts (Excluding Charter Schools) Within the State
562 - Tuition to Other School Districts (Including Charter Schools) Outside the State
563 - Tuition to Private Schools
564 - Tuition to Charter Schools Within the State
565 - Tuition to Postsecondary Schools
566 - Voucher Payments to Private Schools and to Other School Districts Outside the State
567 - Voucher Payments to School Districts, including Charter Schools, Within the State
568 - Voucher Payments Directly to Individuals
569 - Tuition-Other
570 - Food Service Management
580 - Travel
590 - Interagency Purchased Services
591 - Services Purchased From Another School District or Educational Services Agency Within the State
592 - Services Purchased From Another School District or Educational Services Agency Outside the State
600 - Supplies
610 - General Supplies
620 - Energy
621 - Natural Gas
622 - Electricity
623 - Bottled Gas
624 - Oil
625 - Coal
626 - Gasoline
629 - Other
630 - Food
640 - Books and Periodicals
650 - Supplies-Technology Related
700 - Property
710 - Land and Land Improvements
720 - Buildings
730 - Equipment
731 - Machinery
732 - Vehicles
733 - Furniture and Fixtures
734 - Technology-Related Hardware
735 - Technology Software
739 - Other Equipment
740 - Infrastructure
750 - Intangible Assets
790 - Depreciation and Amortization
800 - Debt Service and Miscellaneous
810 - Dues and Fees
820 - Judgments Against the School District
830 - Debt-Related Expenditures/Expenses
831 - Redemption of Principal
832 - Interest on Long-Term Debt
833 - Bond Issuance and Other Debt-Related Costs
834 - Amortization of Premium and Discount on Issuance of Bonds
835 - Interest on Short-Term Debt
890 - Miscellaneous Expenditures
900 - Other Items
910 - Fund Transfers Out
920 - Payments to Escrow Agents for Defeasance of Debt
925 - Discount on the Issuance of Bonds
930 - Net Decreases in the Fair Value of Investments
931 - Realized Losses on Investments
932 - Unrealized Losses on Investments
940 - Losses on the Sale of Capital Assets
950 - Special Items
960 - Extraordinary Items
</t>
  </si>
  <si>
    <t xml:space="preserve">Daily - Daily
Weekly - Weekly
Monthly - Monthly
Quarterly - Quarterly
Annually - Annually
OneTime - One Time
</t>
  </si>
  <si>
    <t xml:space="preserve">Minute - Minute
Hour - Hour
Day - Day
Week - Week
Month - Month
Year - Year
</t>
  </si>
  <si>
    <t xml:space="preserve">Full-time - Full-time
Part-time - Part-time
</t>
  </si>
  <si>
    <t xml:space="preserve">IT - Infant/toddler
PR - Preschool
PK - Prekindergarten
TK - Transitional Kindergarten
KG - Kindergarten
01 - First grade
02 - Second grade
03 - Third grade
04 - Fourth grade
05 - Fifth grade
06 - Sixth grade
07 - Seventh grade
08 - Eighth grade
09 - Ninth grade
10 - Tenth grade
11 - Eleventh grade
12 - Twelfth grade
13 - Grade 13
PS - Postsecondary
UG - Ungraded
Other - Other
OutOfSchool - Out of school
AE - Adult Education
</t>
  </si>
  <si>
    <t xml:space="preserve">IT - Infant/toddler
PR - Preschool
PK - Prekindergarten
TK - Transitional Kindergarten
KG - Kindergarten
01 - First grade
02 - Second grade
03 - Third grade
04 - Fourth grade
05 - Fifth grade
06 - Sixth grade
07 - Seventh grade
08 - Eighth grade
09 - Ninth grade
10 - Tenth grade
11 - Eleventh grade
12 - Twelfth grade
13 - Grade 13
PS - Postsecondary
UG - Ungraded
AE - Adult Education
Other - Other
</t>
  </si>
  <si>
    <t>Early Learning -&gt; Early Learning Child -&gt; Individualized Program
K12 -&gt; K12 Student -&gt; Individualized Program
K12 -&gt; K12 Student -&gt; Individualized Program -&gt; IDEA Placement</t>
  </si>
  <si>
    <t xml:space="preserve">LessThan9-Month - Less than 9-Month
9-Month - 9-Month
10-Month - 10-Month
11-Month - 11-Month
12-Month - 12-Month
</t>
  </si>
  <si>
    <t xml:space="preserve">HighSpeed - High speed connectivity
LessThanHighSpeed - Less than high speed connectivity
</t>
  </si>
  <si>
    <t xml:space="preserve">01 - Postsecondary Teacher:   Instruction
02 - Postsecondary Teacher:  Instruction/Research/Public Service
03 - Postsecondary Teacher:  Research
04 - Postsecondary Teacher:  Public Service
05 - Archivists, Curators, and Museum Technicians
06 - Librarians
07 - Librarian Technicians
08 - Non-Postsecondary Teachers
09 - Management Occupations
10 - Business and Financial Occupations
11 - Computer, Engineering and Science Occupations
12 - Community Service, Legal, Arts, and Media Occupations
13 - Healthcare Practitioners and Technical Occupations
14 - Service Occupations
15 - Sales and Related Occupations
16 - Office and Administrative Support Occupations
17 - Natural Resources, Construction
18 - Maintenance Occupations
</t>
  </si>
  <si>
    <t>Adult Education -&gt; AE Staff -&gt; Language
Adult Education -&gt; AE Student -&gt; Language
Assessments -&gt; Assessment
Assessments -&gt; Assessment Asset
Career and Technical -&gt; CTE Staff -&gt; Language
Career and Technical -&gt; CTE Student -&gt; Language
Early Learning -&gt; Early Learning Child -&gt; Language
Early Learning -&gt; Early Learning Staff -&gt; Language
Early Learning -&gt; Parent/Guardian -&gt; Language
K12 -&gt; K12 Staff -&gt; Language
K12 -&gt; K12 Student -&gt; Language
K12 -&gt; Parent/Guardian -&gt; Language
Postsecondary -&gt; Parent/Guardian -&gt; Language
Postsecondary -&gt; PS Staff -&gt; Language
Postsecondary -&gt; PS Student -&gt; Language
Workforce -&gt; Workforce Program Participant -&gt; Language</t>
  </si>
  <si>
    <t xml:space="preserve">Administrative - Administrative
AnnualLeave - Annual leave
Bereavement - Bereavement
CompensatoryLeaveTime - Compensatory leave time
FamilyAndMedicalLeave - Family and medical leave
FlexTime - Flex time
GovernmentRequested - Government-requested
JuryDuty - Jury Duty
MilitaryLeave - Military leave
Other - Other
Personal - Personal
ProfessionalDevelopment - Professional development
ReleaseTime - Release time
SabbaticalLeave - Sabbatical leave
SickLeave - Sick leave
Suspension - Suspension
WorkersCompensation - Workers compensation
</t>
  </si>
  <si>
    <t xml:space="preserve">District - District-assigned number
ACT - College Board/ACT program code set of PK-grade 12 institutions
SEA - State Education Agency assigned number
NCES - National Center for Education Statistics assigned number
Federal - Federal identification number
DUNS - Dun and Bradstreet number
CENSUSID - Census Bureau identification code
OtherFederal - Other federally assigned number
Other - Other
SAM - System for Award Management Unique Entity Identifier
</t>
  </si>
  <si>
    <t xml:space="preserve">Open - Open
Closed - Closed
New - New
Added - Added
ChangedBoundary - Changed boundary
Inactive - Inactive
FutureAgency - Future agency
Reopened - Reopened
</t>
  </si>
  <si>
    <t xml:space="preserve">RegularNotInSupervisoryUnion - Regular public school district that is NOT a component of a supervisory union
RegularInSupervisoryUnion - Regular public school district that is a component of a supervisory union
SupervisoryUnion -  Supervisory Union
SpecializedPublicSchoolDistrict - Specialized Public School District
ServiceAgency - Service Agency
StateOperatedAgency - State Operated Agency
FederalOperatedAgency - Federal Operated Agency
Other - Other Local Education Agencies
IndependentCharterDistrict - Independent Charter District
</t>
  </si>
  <si>
    <t xml:space="preserve">NotMilitaryConnected - Not Military Connected
ActiveDuty - Active Duty
NationalGuardOrReserve - National Guard Or Reserve
Unknown - Unknown
</t>
  </si>
  <si>
    <t xml:space="preserve">NSLPCEO - Community Eligibility Option
NSLPNO - Not Participating
NSLPWOPRO - Participating Without Provision or Community Eligibility Option
NSLPPRO1 - Provision 1
NSLPPRO2 - Provision 2
NSLPPRO3 - Provision 3
</t>
  </si>
  <si>
    <t xml:space="preserve">School - School-assigned number
ACT - College Board/ACT program code set of PK-grade 12 institutions
LEA - Local Education Agency assigned number
SEA - State Education Agency assigned number
NCES - National Center for Education Statistics assigned number
FEIN - Federal employer identification number
DUNS - Dun and Bradstreet number
OtherFederal - Other federally assigned number
Other - Other
LicenseNumber - License Number
SAM - System for Award Management Unique Entity Identifier
</t>
  </si>
  <si>
    <t xml:space="preserve">Active - Active
Inactive - Inactive
</t>
  </si>
  <si>
    <t xml:space="preserve">AuthorizingBody - Authorizing Body
OperatingBody - Operating Body
SecondaryAuthorizingBody - Secondary Authorizing Body
RelatedBody - Related Body
</t>
  </si>
  <si>
    <t>Early Learning -&gt; Early Learning Organization -&gt; Identification
Facilities -&gt; Facility -&gt; Identification
K12 -&gt; K12 School -&gt; Identification
K12 -&gt; LEA -&gt; Identification
K12 -&gt; Organization -&gt; Identification
K12 -&gt; SEA -&gt; Identification
Postsecondary -&gt; Organization -&gt; Identification</t>
  </si>
  <si>
    <t xml:space="preserve">Address - Address
Birthdate - Birthdate
Name - Name
TelephoneNumber - Telephone Number
</t>
  </si>
  <si>
    <t xml:space="preserve">01003 - Baptismal or church certificate
01004 - Birth certificate
01012 - Driver's license
01005 - Entry in family Bible
01006 - Hospital certificate
01013 - Immigration document/visa
02382 - Life insurance policy
09999 - Other
03424 - Other non-official document
03423 - Other official document
01007 - Parent's affidavit
01008 - Passport
01009 - Physician's certificate
01010 - Previously verified school records
01011 - State-issued ID
73095 - Approved Transfer
73102 - Birth Registration Form
73097 - Citizenship Card
73100 - Lease Agreement
73093 - Non-Parent Affidavit of Residence
73094 - Parent's Affidavit of Residence
73101 - Purchase Agreement
73092 - Residence Verification Form
73098 - Tax Bill
73091 - Telephone Bill
73099 - Utility Bill
73096 - Water Bill
</t>
  </si>
  <si>
    <t xml:space="preserve">Semester - Semester 
Quarter - Quarter 
Trimester - Trimester
4-1-4 - 4-1-4 or similar plan
Other - Other academic plan
DiffersByProgram - Differs by program
ContinuousBasis - Continuous basis
</t>
  </si>
  <si>
    <t xml:space="preserve">04723 - Athletic coach
04724 - Behavioral management specialist
04725 - Counselor
04726 - Curriculum specialist
04727 - Education diagnostician
04728 - Librarian/media consultant
04729 - Remedial specialist
04730 - Student activity advisor/non athletic coach
04731 - Student teacher
04732 - Teacher
04733 - Teacher trainer
04734 - Teaching intern
04735 - Resource teacher
09999 - Other
</t>
  </si>
  <si>
    <t xml:space="preserve">Business - Business
EducationOrganizationNetwork - Education organization network
EducationServiceCenter - Education Service Center
Federal - Federal government
LEA - Local education agency
NonProfit - Non-profit organization
Postsecondary - Postsecondary institution
Private - Private organization
Regional - Regional or intermediate education agency
Religious - Religious organization
School - School
SEA - State Education Agency
Other - Other
</t>
  </si>
  <si>
    <t xml:space="preserve">01652 - Resident of administrative unit and usual school attendance area
01653 - Resident of administrative unit, but of other school attendance area
01654 - Resident of this state, but not of this administrative unit
01655 - Resident of an administrative unit that crosses state boundaries
01656 - Resident of another state
</t>
  </si>
  <si>
    <t xml:space="preserve">00997 - Business
00752 - Community facility
00753 - Home of student
00754 - Hospital
03018 - Library/media center
03506 - Mobile
09999 - Other
00341 - Other K-12 educational institution
00342 - Postsecondary facility
00675 - School
</t>
  </si>
  <si>
    <t>Adult Education -&gt; AE Staff -&gt; Employment
Adult Education -&gt; AE Student -&gt; Employment
Adult Education -&gt; AE Student -&gt; Program Participation
Career and Technical -&gt; CTE Staff -&gt; Employment
Career and Technical -&gt; CTE Student -&gt; Program Participation
Early Learning -&gt; Early Learning Child -&gt; Enrollment
Early Learning -&gt; Early Learning Child -&gt; Individualized Program
Early Learning -&gt; Early Learning Child -&gt; Program
Early Learning -&gt; Early Learning Staff -&gt; Employment
K12 -&gt; K12 Staff -&gt; Employment
K12 -&gt; K12 Student -&gt; Employment
K12 -&gt; K12 Student -&gt; Enrollment
K12 -&gt; K12 Student -&gt; Individualized Program
K12 -&gt; K12 Student -&gt; Program
Postsecondary -&gt; PS Staff -&gt; Employment
Postsecondary -&gt; PS Student -&gt; Employment
Postsecondary -&gt; PS Student -&gt; Institution Enrollment
Postsecondary -&gt; PS Student -&gt; Institution Enrollment -&gt; Program
Workforce -&gt; Workforce Program Participant -&gt; Employment
Workforce -&gt; Workforce Program Participant -&gt; Program Participation</t>
  </si>
  <si>
    <t xml:space="preserve">B - Basic or remedial
E - Enriched or advanced
G - General or regular
H - Honors
C - College
X - No specified level of rigor
</t>
  </si>
  <si>
    <t xml:space="preserve">01 - English Language and Literature
02 - Mathematics
03 - Life and Physical Sciences
04 - Social Sciences and History
05 - Visual and Performing Arts
07 - Religious Education and Theology
08 - Physical, Health, and Safety Education
09 - Military Science
10 - Information Technology
11 - Communication and Audio/Visual Technology
12 - Business and Marketing
13 - Manufacturing
14 - Health Care Sciences
15 - Public, Protective, and Government Service
16 - Hospitality and Tourism
17 - Architecture and Construction
18 - Agriculture, Food, and Natural Resources
19 - Human Services
20 - Transportation, Distribution and Logistics
21 - Engineering and Technology
22 - Miscellaneous
23 - Non-Subject-Specific
24 - World Languages
</t>
  </si>
  <si>
    <t xml:space="preserve">School - School-assigned number
ACT - College Board/ACT program code set of PK-grade 12 institutions
LEA - Local Education Agency assigned number
SEA - State Education Agency assigned number
NCES - National Center for Education Statistics assigned number
Federal - Federal identification number
DUNS - Dun and Bradstreet number
OtherFederal - Other federally assigned number
StateUniversitySystem - State University System assigned number
Other - Other
SAM - System for Award Management Unique Entity Identifier
</t>
  </si>
  <si>
    <t xml:space="preserve">00013 - Adult
01302 - All levels
01304 - Elementary
02402 - High school
00787 - Infant/toddler
02399 - Intermediate
02602 - Junior high school
02400 - Middle
01981 - Pre-kindergarten/early childhood
02397 - Primary
02403 - Secondary
73066 - Joint secondary and postsecondary
</t>
  </si>
  <si>
    <t xml:space="preserve">Open - Open
Closed - Closed
New - New
Added - Added
ChangedAgency - Changed Agency
Inactive - Inactive
FutureSchool - Future school
Reopened - Reopened
</t>
  </si>
  <si>
    <t xml:space="preserve">3TO5 - 3 through 5
6TO21 - 6 through 21
</t>
  </si>
  <si>
    <t xml:space="preserve">PSYCH - Psychologists
SOCIALWORK - Social Workers
OCCTHERAP - Occupational Therapists
AUDIO - Audiologists
PEANDREC - Physical Education Teachers and Recreation and Therapeutic Recreation Specialists
PHYSTHERAP - Physical Therapists
SPEECHPATH - Speech-Language Pathologists
INTERPRET - Interpreters
COUNSELOR - Counselors and Rehabilitation Counselors
ORIENTMOBIL - Orientation and Mobility Specialists
MEDNURSE - Medical/Nursing Service Staff
</t>
  </si>
  <si>
    <t xml:space="preserve">AK - Alaska
AL - Alabama
AR - Arkansas
AS - American Samoa
AZ - Arizona
CA - California
CO - Colorado
CT - Connecticut
DC - District of Columbia
DE - Delaware
FL - Florida
FM - Federated States of Micronesia
GA - Georgia
GU - Guam
HI - Hawaii
IA - Iowa
ID - Idaho
IL - Illinois
IN - Indiana
KS - Kansas
KY - Kentucky
LA - Louisiana
MA - Massachusetts
MD - Maryland
ME - Maine
MH - Marshall Islands
MI - Michigan
MN - Minnesota
MO - Missouri
MP - Northern Marianas
MS - Mississippi
MT - Montana
NC - North Carolina
ND - North Dakota
NE - Nebraska
NH - New Hampshire
NJ - New Jersey
NM - New Mexico
NV - Nevada
NY - New York
OH - Ohio
OK - Oklahoma
OR - Oregon
PA - Pennsylvania
PR - Puerto Rico
PW - Palau
RI - Rhode Island
SC - South Carolina
SD - South Dakota
TN - Tennessee
TX - Texas
UT - Utah
VA - Virginia
VI - Virgin Islands
VT - Vermont
WA - Washington
WI - Wisconsin
WV - West Virginia
WY - Wyoming
AA - Armed Forces America
AE - Armed Forces Africa, Canada, Europe, and Mideast
AP - Armed Forces Pacific
BI - Bureau of Indian Affairs
DD - Department of Defense Domestic
DO - Department of Defense Overseas
</t>
  </si>
  <si>
    <t xml:space="preserve">State - State-assigned number
Federal - Federal identification number
FEIN - Federal Employer Identification Number
NCES - National Center for Education Statistics Assigned Number
SAM - System for Award Management Unique Entity Identifier
Other - Other
</t>
  </si>
  <si>
    <t xml:space="preserve">01 - Alabama
02 - Alaska
04 - Arizona
05 - Arkansas
06 - California
08 - Colorado
09 - Connecticut
10 - Delaware
11 - District of Columbia
12 - Florida
13 - Georgia
15 - Hawaii
16 - Idaho
17 - Illinois
18 - Indiana
19 - Iowa
20 - Kansas 
21 - Kentucky
22 - Louisiana
23 - Maine
24 - Maryland
25 - Massachusetts
26 - Michigan
27 - Minnesota
28 - Mississippi
29 - Missouri
30 - Montana
31 - Nebraska
32 - Nevada
33 - New Hampshire
34 - New Jersey
35 - New Mexico
36 - New York
37 - North Carolina
38 - North Dakota
39 - Ohio
40 - Oklahoma
41 - Oregon
42 - Pennsylvania
44 - Rhode Island
45 - South Carolina
46 - South Dakota
47 - Tennessee
48 - Texas
49 - Utah
50 - Vermont
51 - Virginia
53 - Washington
54 - West Virginia
55 - Wisconsin
56 - Wyoming
60 - American Samoa
64 - Federated States of Micronesia
66 - Guam
68 - Marshall Islands
69 - Northern Mariana Islands
70 - Palau 
72 - Puerto Rico
78 - Virgin Islands of the U.S.
59 - Bureau of Indian Affairs
63 - Department of Defense Combined
61 - Department of Defense Domestic
58 - Department of Defense Overseas
</t>
  </si>
  <si>
    <t>Early Learning -&gt; Early Learning Organization -&gt; Identification
K12 -&gt; K12 School -&gt; Address
K12 -&gt; LEA -&gt; Address
K12 -&gt; SEA -&gt; Address</t>
  </si>
  <si>
    <t xml:space="preserve">AK - Alaska
AL - Alabama
AR - Arkansas
AS - American Samoa
AZ - Arizona
CA - California
CO - Colorado
CT - Connecticut
DC - District of Columbia
DE - Delaware
FL - Florida
FM - Federated States of Micronesia
GA - Georgia
GU - Guam
HI - Hawaii
IA - Iowa
ID - Idaho
IL - Illinois
IN - Indiana
KS - Kansas
KY - Kentucky
LA - Louisiana
MA - Massachusetts
MD - Maryland
ME - Maine
MH - Marshall Islands
MI - Michigan
MN - Minnesota
MO - Missouri
MP - Northern Marianas
MS - Mississippi
MT - Montana
NC - North Carolina
ND - North Dakota
NE - Nebraska
NH - New Hampshire
NJ - New Jersey
NM - New Mexico
NV - Nevada
NY - New York
OH - Ohio
OK - Oklahoma
OR - Oregon
PA - Pennsylvania
PR - Puerto Rico
PW - Palau
RI - Rhode Island
SC - South Carolina
SD - South Dakota
TN - Tennessee
TX - Texas
UT - Utah
VA - Virginia
VI - Virgin Islands
VT - Vermont
WA - Washington
WI - Wisconsin
WV - West Virginia
WY - Wyoming
</t>
  </si>
  <si>
    <t xml:space="preserve">HighQuartile -  High poverty quartile school
LowQuartile - Low poverty quartile school
Neither - Neither high nor low poverty quartile school
</t>
  </si>
  <si>
    <t xml:space="preserve">PraxisI - Praxis I
PraxisII - Praxis II
ACTFL - ACTFL
StateExam - State Exam
Other - Other
</t>
  </si>
  <si>
    <t xml:space="preserve">LeadTeacher - Lead Teacher
TeamTeacher - Team Teacher
ContributingProfessional - Contributing Professional
</t>
  </si>
  <si>
    <t xml:space="preserve">Onsite - Onsite
Virtual - Virtual classroom
Off-Site - Off-site classroom
Conference - Conference
</t>
  </si>
  <si>
    <t xml:space="preserve">TitleITeacher - Title I Teachers
TitleIParaprofessional - Title I Paraprofessionals 
TitleISupportStaff - Title I Clerical Support Staff
TitleIAdministrator - Title I Administrators (non-clerical)
TitleIOtherParaprofessional - Title I Other Paraprofessionals
</t>
  </si>
  <si>
    <t xml:space="preserve">TargetedAssistanceProgram - Public Targeted Assistance Program
SchoolwideProgram - Public Schoolwide Program
PrivateSchoolStudents - Private School Students Participating
LocalNeglectedProgram - Local Neglected Program
</t>
  </si>
  <si>
    <t xml:space="preserve">USCitizen - US Citizen
PermanentResident - Permanent resident
ResidentAlien - Resident alien
NonResidentAlien - Non-resident alien
Refugee - Refugee
</t>
  </si>
  <si>
    <t xml:space="preserve">FaceVirtual - Face Virtual
FullVirtual - Full Virtual
NotVirtual - Not Virtual
SupplementalVirtual - Supplemental Virtual
</t>
  </si>
  <si>
    <t>Adult Education -&gt; Course Section
Career and Technical -&gt; Course Section
K12 -&gt; Course Section
K12 -&gt; K12 Course
K12 -&gt; K12 School -&gt; Institution Characteristics
Postsecondary -&gt; PS Institution -&gt; Institution Characteristics</t>
  </si>
  <si>
    <t xml:space="preserve">13297 - Absent - Disciplinary action, not receiving instruction
13299 - Absent - Family activity
13296 - Absent - Family emergency or bereavement
13295 - Absent - Illness, injury, health treatment, or examination
13298 - Absent - Legal or judicial requirement
13293 - Absent - Noninstructional activity recognized by state, district, or school
13294 - Absent - Religious observation
13303 - Absent - Situation unknown
13300 - Absent - Student employment
13302 - Absent - Student is skipping school
13301 - Absent - Transportation not available
</t>
  </si>
  <si>
    <t xml:space="preserve">01 - Postsecondary award, certificate, or diploma of less than 1 academic year
02 - Postsecondary award, certificate, or diploma of at least 1 but less than 2 academic years
03 - Associate's Degree
04 - Postsecondary award, certificate, or diploma of at least 2 but less than 4 academic  years
05 - Bachelor's Degree
06 - Postbaccalaureate Certificate
07 - Master's Degree
08 - Post-Master's Certificate
17 - Doctor's Degree-Research/Scholarship
18 - Doctor's Degree-Professional Practice
19 - Doctor's Degree-Other
</t>
  </si>
  <si>
    <t xml:space="preserve">Achievement - Achievement
Experience - Experience
Status - Status
Score - Score
Course - Course
</t>
  </si>
  <si>
    <t xml:space="preserve">01985 - Honor roll
01986 - Honor society
01987 - Honorable mention
01988 - Honors program
73064 - National Technical Education Honor Society
01989 - Prize awards
01991 - Scholarships
00738 - Awarding of units of value
00740 - Citizenship award/recognition
00741 - Completion of requirement, but no units of value awarded
08692 - Attendance award
00742 - Certificate
02047 - Honor award
00744 - Letter of student commendation
00745 - Medals
08693 - National Merit scholar
00747 - Points
00748 - Promotion or advancement
09999 - Other
</t>
  </si>
  <si>
    <t xml:space="preserve">Professor - Professor
AssociateProfessor - Associate Professor
AssistantProfessor - Assistant Professor
Instructor - Instructor
Lecturer - Lecturer
NoAcademicRank - No Academic Rank
</t>
  </si>
  <si>
    <t xml:space="preserve">Fall - Fall
Winter - Winter
WinterIntersession - Winter Intersession
Spring - Spring
Summer - Summer
Summer1 - Summer 1
Summer2 - Summer 2
SpringIntersession - Spring Intersession
Other - Other
</t>
  </si>
  <si>
    <t xml:space="preserve">01 - Materials in Braille
02 - Closed caption decoder
03 - Computer-based instruction or other assistive technological devices
04 - Listening devices
05 - Low vision readers
06 - Notetakers
07 - Readers
08 - Sign language interpreters
09 - Special housing accommodations
10 - Recorded text
11 - Telecommunication Devices (TDDs) for Hearing Impaired
12 - Telephone handset amplifiers
13 - Test assistants
14 - Test modifications
15 - Transportation services (e.g., handicapped parking spaces)
16 - Tutors
17 - Voice synthesizer speech programs, equipment
18 - Wheel chair accessibility
19 - Wheel chair
99 - Other type of accommodation
</t>
  </si>
  <si>
    <t xml:space="preserve">NAEYC - National Association for the Education of Young Children
NECPA - National Early Childhood Program Accreditation
NAC - National Accreditation Commission
COA - Council on Accreditation
NAFCC - National Association for Family Child Care
SACS - Southern Association of Colleges and Schools
NotAccredited - Not accredited
Other - Other Accreditation Agency
</t>
  </si>
  <si>
    <t>K12 -&gt; K12 School -&gt; Institution Characteristics
Postsecondary -&gt; Organization -&gt; Organization Accreditation</t>
  </si>
  <si>
    <t>Early Learning -&gt; Early Learning Organization -&gt; Accreditation
K12 -&gt; K12 School -&gt; Institution Characteristics
Postsecondary -&gt; PS Institution -&gt; Accreditation
Postsecondary -&gt; PS Program -&gt; Accreditation</t>
  </si>
  <si>
    <t xml:space="preserve">WeeklyHours - Weekly hours
YearlyWeeks - Yearly weeks
</t>
  </si>
  <si>
    <t xml:space="preserve">AdvancedPlacement - Advanced Placement
ApprenticeshipCredit - Apprenticeship Credit
CTE - Career and Technical Education
DualCredit - Dual Credit
InternationalBaccalaureate - International Baccalaureate
Other - Other
QualifiedAdmission - Qualified Admission
STEM - Science, Technology, Engineering and Mathematics
CTEAndAcademic - Simultaneous CTE and Academic Credit
StateScholarship - State Scholarship
</t>
  </si>
  <si>
    <t xml:space="preserve">ADDLTSI - Additional targeted support and improvement
NOTADDLTSI - Not additional targeted support and improvement
</t>
  </si>
  <si>
    <t xml:space="preserve">Mailing - Mailing
Physical - Physical
Shipping - Shipping
Billing - Billing address
OnCampus - On campus
OffCampus - Off-campus, temporary
PermanentStudent - Permanent, student
PermanentAdmission - Permanent, at time of admission
FatherAddress - Father's address
MotherAddress - Mother's address
GuardianAddress - Guardian's address
</t>
  </si>
  <si>
    <t>Adult Education -&gt; AE Student -&gt; Contact -&gt; Address
Career and Technical -&gt; CTE Student -&gt; Contact -&gt; Address
Early Learning -&gt; Early Learning Child -&gt; Contact -&gt; Address
Early Learning -&gt; Parent/Guardian -&gt; Contact -&gt; Address
K12 -&gt; K12 Student -&gt; Contact -&gt; Address
K12 -&gt; Parent/Guardian -&gt; Contact -&gt; Address
Postsecondary -&gt; Parent/Guardian -&gt; Contact -&gt; Address
Postsecondary -&gt; PS Student -&gt; Contact -&gt; Address
Workforce -&gt; Workforce Program Participant -&gt; Contact -&gt; Address</t>
  </si>
  <si>
    <t xml:space="preserve">Mailing - Mailing
Physical - Physical
OtherHome - Other home address
Employers - Employer's address
Employment - Employment address
Billing - Billing address
</t>
  </si>
  <si>
    <t>Adult Education -&gt; AE Staff -&gt; Contact -&gt; Address
Career and Technical -&gt; CTE Staff -&gt; Contact -&gt; Address
Early Learning -&gt; Early Learning Staff -&gt; Contact -&gt; Address
Early Learning -&gt; Early Learning Staff -&gt; Professional Development -&gt; Instructor
K12 -&gt; K12 Staff -&gt; Contact -&gt; Address
K12 -&gt; K12 Staff -&gt; Professional Development -&gt; Instructor
K12 -&gt; SEA -&gt; Contact -&gt; Address
Postsecondary -&gt; PS Staff -&gt; Contact -&gt; Address</t>
  </si>
  <si>
    <t xml:space="preserve">Yes - Yes
YesGrowth - Yes Growth
No - No
NA - Not applicable
</t>
  </si>
  <si>
    <t xml:space="preserve">01 - Risk management plan
02 - Financial records
03 - Program administration and plan
04 - Marketing strategy
05 - Written program policies
06 - Program self assessment
99 - Other
</t>
  </si>
  <si>
    <t xml:space="preserve">Required - Required
Recommended - Recommended
NeitherRequiredRecommended - Neither Required nor Recommended
DontKnow - Don't Know
</t>
  </si>
  <si>
    <t xml:space="preserve">SecondarySchoolGPA - Secondary school GPA
SecondarySchoolRank - Secondary school rank
SecondarySchoolRecord - Secondary school record
CompletionOfCollegePrepProgram - Completion of college-preparatory program
Recommendations - Recommendations
FormalDemonstrationOfCompetencies - Formal demonstration of competencies (e.g., portfolios, certificates of mastery, assessment instruments)
AdmissionTestScores - Admission test scores
SAT_ACT - SAT / ACT
TOEFL - Test of English as a Foreign Language
OtherTest - Other Test (ABT, Wonderlic, WISC-III, etc.)
</t>
  </si>
  <si>
    <t xml:space="preserve">Conditional - Conditional Admit
EarlyAction - Early Action
EarlyAdmit - Early Admit
EarlyDecision - Early Decision
Regular - Regular Admit
Waitlist - Waitlist Admit
Other - Other Admit
No - No
</t>
  </si>
  <si>
    <t xml:space="preserve">AdultEducationCertification - Adult Education Certification
K-12Certification - K-12 Certification
SpecialEducationCertification - Special Education Certification
TESOLCertification - Teachers of English to Speakers of Other Languages (TESOL) Certification
None - None
</t>
  </si>
  <si>
    <t>Adult Education -&gt; AE Staff -&gt; Certification
Credentials -&gt; Credential Award
Postsecondary -&gt; PS Staff -&gt; Certification</t>
  </si>
  <si>
    <t xml:space="preserve">ABE - Adult Basic Education
ASE - Adult Secondary Education
ELA - English as a Second Language/English Language Acquisition Program
IEL - Integrated English Literacy and Civics Education
</t>
  </si>
  <si>
    <t xml:space="preserve">NoInformation - No information
Enrolled - Enrolled
NotEnrolled - Not enrolled
</t>
  </si>
  <si>
    <t xml:space="preserve">1003 - Deceased
1000 - Incarceration in a correctional institution or resident of 24-hour support facility
1001 - Medical treatment
1006 - Moved out of state
1002 - National guard or other reserve active duty
1004 - Permanently incapacitated
1010 - Program completion with credential or certification
1007 - Program completion without credential or certification
1008 - Program discontinued
1009 - Unknown
1005 - Voluntary exit
1999 - Other
</t>
  </si>
  <si>
    <t xml:space="preserve">LEA - Local Education Agency
PostsecondaryInstitution - Postsecondary Institution
CommunityBasedOrganization - Community-Based Organization
Library - Library
CorrectionalInstitution - Correctional Institution
OtherInstitution - Other Institution
OtherAgency - Other state or local government agency
Other - Other
</t>
  </si>
  <si>
    <t xml:space="preserve">School - School-assigned number
ACT - College Board/ACT program code set of PK-grade 12 institutions
LEA - Local Education Agency assigned number
SEA - State Education Agency assigned number
NCES - National Center for Education Statistics assigned number
Federal - Federal identification number
DUNS - Dun and Bradstreet number
OtherFederal - Other federally assigned number
Other - Other
SAM - System for Award Management Unique Entity Identifier
</t>
  </si>
  <si>
    <t xml:space="preserve">CorrectionalEducation - Correctional education program
FamilyLiteracy - Family Literacy Program
WorkplaceLiteracy - Workplace Adult Education and Literacy Activities
Homeless - Program for the Homeless
Co-enrollment - Co-enrollment in adult education and postsecondary education
DistanceEducation - Distance Education
CommunityCorrections - Community Corrections Programs
IntegratedEducationTraining - Integrated Education and Training (IET)
OtherInstitutional - Other Institutional Programs
</t>
  </si>
  <si>
    <t xml:space="preserve">01 - State-level administrative/supervisory/ancillary services
02 - Local-level administrative/supervisory/ancillary services
03 - Local teacher
04 - Local counselor
05 - Local paraprofessional
06 - State Professional Development Staff
07 - Regional Professional Development Staff
08 - Local Professional Development Staff
</t>
  </si>
  <si>
    <t xml:space="preserve">FullTimePaid - Full-time paid
PartTimePaid - Part-time paid
FullTimeVolunteer - Full-time volunteer
PartTimeVolunteer - Part-time volunteer
</t>
  </si>
  <si>
    <t xml:space="preserve">ABEBegLit - ABE Beginning Literacy
ABEBegBasic - Beginning Basic Education
ABEIntLow - Low Intermediate Basic Education
ABEIntHigh - High Intermediate Basic Education
ASELow - Adult Secondary Education Low
ASEHigh - Adult Secondary Education High
ESLBegLit - Beginning ESL Literacy
ESLBegLow - ESL Low Beginning
ESLBegHigh - ESL High Beginning
ESLIntLow - ESL Low Intermediate
ESLIntHigh - ESL Intermediate High
ESLAdv - ESL Advanced
</t>
  </si>
  <si>
    <t xml:space="preserve">ArtHistory - Art History
Biology - Biology
CalculusAB - Calculus AB
CalculusBC - Calculus BC
Chemistry - Chemistry
ComputerScienceA - Computer Science A
ComputerScienceAB - Computer Science AB
Macroeconomics - Macroeconomics
Microeconomics - Microeconomics
EnglishLanguage - English Language
EnglishLiterature - English Literature
EnvironmentalScience - Environmental Science
EuropeanHistory - European History
FrenchLanguage - French Language
FrenchLiterature - French Literature
GermanLanguage - German Language
CompGovernmentAndPolitics - Comp Government And Politics
USGovernmentAndPolitics - US Government And Politics
HumanGeography - Human Geography
ItalianLanguageAndCulture - Italian Language And Culture
LatinLiterature - Latin Literature
LatinVergil - Latin Vergil
MusicTheory - Music Theory
PhysicsB - Physics B
PhysicsC - Physics C
Psychology - Psychology
SpanishLanguage - Spanish Language
SpanishLiterature - Spanish Literature
Statistics - Statistics
StudioArt - Studio Art
USHistory - US History
WorldHistory - World History
</t>
  </si>
  <si>
    <t>Early Learning -&gt; Early Learning Child -&gt; Health
K12 -&gt; K12 Student -&gt; Health</t>
  </si>
  <si>
    <t xml:space="preserve">Mild - Mild allergic reaction
Severe - Severe allergic reaction
</t>
  </si>
  <si>
    <t xml:space="preserve">417930000 - Allergy to adhesive
419238009 - Allergy to adhesive bandage
420140004 - Allergy to alcohol
418606003 - Allergy to almond oil
439109008 - Allergy to alpha glucoside inhibitor
402306009 - Allergy to aluminum
439405005 - Allergy to angiotensin II receptor antagonist
232347008 - Allergy to animal
300911008 - Allergy to animal hair
91929009 - Allergy to anti-infective agent
418314004 - Allergy to apple juice
419180003 - Allergy to aspartame
294314002 - Allergy to bases and inactive substances
424213003 - Allergy to bee venom
402591008 - Allergy to biocide
402590009 - Allergy to biocide in cosmetic
418344001 - Allergy to caffeine
420080006 - Allergy to carrot
232346004 - Allergy to cat dander
418051002 - Allergy to cherry
441931002 - Allergy to chloroprocaine
418397007 - Allergy to cinnamon
448438007 - Allergy to cisatracurium
418085001 - Allergy to citrus fruit
419814004 - Allergy to coconut oil
419573007 - Allergy to corn
417982003 - Allergy to cosmetic
425525006 - Allergy to dairy product
447961002 - Allergy to dietary mushroom
419271008 - Allergy to dog dander
449324007 - Allergy to doxacurium
416098002 - Allergy to drug
402592001 - Allergy to drug in contact with skin
402593006 - Allergy to drug vehicle
418545001 - Allergy to dye
91930004 - Allergy to eggs
441725009 - Allergy to ertapenem
91931000 - Allergy to erythromycin
420140004 - Allergy to ethanol
420140004 - Allergy to ethyl alcohol
417532002 - Allergy to fish
402598002 - Allergy to flavor
91932007 - Allergy to fruit
418968001 - Allergy to gauze
418689008 - Allergy to grass pollen
418689008 - Allergy to hay
419063004 - Allergy to horse dander
442408006 - Allergy to imipenem
294162002 - Allergy to inhaled corticosteroids
409136006 - Allergy to legumes
402596003 - Allergy to lichen
418626004 - Allergy to lobster
91933002 - Allergy to macrolide antibiotic
439406006 - Allergy to meglitinide
442022002 - Allergy to meropenem
419474003 - Allergy to mildew
419474003 - Allergy to mold
419474003 - Allergy to mould
445395006 - Allergy to Myroxylon pereirae
419788000 - Allergy to nickel
91934008 - Allergy to nuts
419342009 - Allergy to oats
293580007 - Allergy to over-the-counter drug
419967000 - Allergy to oyster
91935009 - Allergy to peanuts
91936005 - Allergy to penicillin
448690007 - Allergy to phosphodiesterase 5 inhibitor
402594000 - Allergy to plant
300910009 - Allergy to pollen
417918006 - Allergy to pork
419619007 - Allergy to potato
409136006 - Allergy to pulse vegetables
418561004 - Allergy to ragweed pollen
473078001 - Allergy to raloxifene
449414003 - Allergy to rapacuronium
418815008 - Allergy to red meat
441992007 - Allergy to remifentanil
419412007 - Allergy to rubber
418184004 - Allergy to rye
422921000 - Allergy to scorpion venom
91937001 - Allergy to seafood
419101002 - Allergy to seed
441954006 - Allergy to sevoflurane
419972009 - Allergy to shrimp
427487000 - Allergy to spider venom
91938006 - Allergy to strawberries
419199007 - Allergy to substance
441955007 - Allergy to sufentanil
419421008 - Allergy to sulfite based food preservative
429239002 - Allergy to sulfonamide antibiotic
91939003 - Allergy to sulfonamides
419421008 - Allergy to sulphite based food preservative
429239002 - Allergy to sulphonamide antibiotic
91939003 - Allergy to sulphonamides
258155009 - Allergy to sunlight
473077006 - Allergy to teriparatide
439954005 - Allergy to thiazolidinedione
418779002 - Allergy to tomato
450767000 - Allergy to tramadol
419263009 - Allergy to tree pollen
402597007 - Allergy to tree resin
91940001 - Allergy to walnuts
423058007 - Allergy to wasp venom
419298007 - Allergy to watermelon
419210001 - Allergy to weed pollen
420174000 - Allergy to wheat
402595004 - Allergy to wood
425605001 - Allergy to wool
</t>
  </si>
  <si>
    <t xml:space="preserve">Yes - Yes
No - No
NA - Not applicable
</t>
  </si>
  <si>
    <t xml:space="preserve">Academic - Alternative school for students with academic difficulties
Discipline - Alternative school for students with discipline problems
Both - Alternative school for students with both discipline and academic problems 
</t>
  </si>
  <si>
    <t xml:space="preserve">Yes - Yes
No - No
NotSelected - Not selected
</t>
  </si>
  <si>
    <t>Adult Education -&gt; AE Student -&gt; Demographic
Career and Technical -&gt; CTE Student -&gt; Demographic
Early Learning -&gt; Early Learning Child -&gt; Demographic
Early Learning -&gt; Early Learning Staff -&gt; Demographic
K12 -&gt; K12 Staff -&gt; Demographic
K12 -&gt; K12 Student -&gt; Demographic
Postsecondary -&gt; PS Staff -&gt; Demographic
Postsecondary -&gt; PS Student -&gt; Demographic
Workforce -&gt; Workforce Program Participant -&gt; Demographic</t>
  </si>
  <si>
    <t>Adult Education -&gt; AE Student -&gt; Program Participation
Career and Technical -&gt; CTE Student -&gt; Program Participation
Early Learning -&gt; Early Learning Child -&gt; Enrollment
Early Learning -&gt; Early Learning Child -&gt; Services -&gt; Application
K12 -&gt; K12 Student -&gt; Enrollment
K12 -&gt; K12 Student -&gt; Program
Postsecondary -&gt; PS Applicant
Postsecondary -&gt; PS Student -&gt; Application
Postsecondary -&gt; PS Student -&gt; Institution Enrollment
Postsecondary -&gt; PS Student -&gt; Program Participation</t>
  </si>
  <si>
    <t xml:space="preserve">13371 - Arts
73065 - Career and Technical Education
13372 - English
00256 - English as a second language (ESL)
00546 - Foreign Languages
73088 - History Government - US
73089 - History Government - World
00554 - Language arts
01166 - Mathematics
00560 - Reading
13373 - Reading/Language Arts
00562 - Science
73086 - Science - Life
73087 - Science - Physical
13374 - Social Sciences (History, Geography, Economics, Civics and Government)
02043 - Special education
01287 - Writing
09999 - Other
</t>
  </si>
  <si>
    <t xml:space="preserve">Scheduling - Scheduling accommodations
Setting - Settings accommodations
EquipmentOrTechnology - Student equipment/technology
TestAdministration - Test administration accommodation
TestMaterial - Test material accommodations
TestResponse - Test response accommodation
EnglishLearner - English learner accommodation
504 - 504 accommodation
Other - Other
</t>
  </si>
  <si>
    <t xml:space="preserve">Client - Assigned by the client
Publisher - Assigned by the asset owner
Internal - Provided by an internal assessment service
Other - Custom identifier
</t>
  </si>
  <si>
    <t xml:space="preserve">ReadingPassage - Reading passage
GraphicArt - Graphic art
Map - Map
FormulaSheet - Formula sheet
Table - Table
Chart - Chart
Audio - Audio
Video - Video
Scenario - Scenario
Simulation - Simulation
StoryBoard - Story board
LabSet - Lab set
PeriodicTable - Periodic table
TranslationDictionary - Translation dictionary
BasicCalculator - Basic calculator
StandardCalculator - Standard calculator
ScientificCalculator - Scientific calculator
GraphingCalculator - Graphing calculator
Protractor - Protractor
MetricRuler - Metric ruler
EnglishRuler - English ruler
UnitsRuler - Units ruler
ReadingLine - Reading line
LineDraw - Line draw
Highlighter - Highlighter
OtherInteractive - Other interactive
OtherNonInteractive - Other non-interactive
Other - Other
</t>
  </si>
  <si>
    <t xml:space="preserve">AssociationStandard - Association standard
LocalStandard - Local standard
None - None
Other - Other
OtherStandard - Other standard
RegionalStandard - Regional standard
SchoolStandard - School standard
StatewideStandard - Statewide standard
</t>
  </si>
  <si>
    <t xml:space="preserve">01 - Language and Literacy
02 - Cognition and General Knowledge
03 - Approaches Toward Learning
04 - Physical Well-being and Motor
05 - Social and Emotional Development
</t>
  </si>
  <si>
    <t>Assessments -&gt; Assessment
Assessments -&gt; Assessment Subtest
Early Learning -&gt; Early Learning Child -&gt; Developmental Assessments</t>
  </si>
  <si>
    <t xml:space="preserve">School - School-assigned number
District - District-assigned number
State - State-assigned number
Federal - Federal identification number
OtherFederal - Other federally assigned number
TestContractor - Test contractor assigned assessment number
Other - Other
</t>
  </si>
  <si>
    <t xml:space="preserve">MeanSquareFit - Mean Square Fit
WeightedMeanSquareFit - Weighted Mean Square Fit
RevisedMeanSquareFit - Revised Mean Square Fit
RevisedPointBiserial - Revised Point Biserial Measure
RaschItemScore - Rasch Item Score
ResponseCorrelation - Response Correlation
ResponseCorrelationSquared - Response Correlation Squared
ZCHISquare - Z CHI Square
Pval - Pval
PointBiserial - Point Biserial
Biserial - Biserial
DiscriminationIndex - Discrimination Index
ReliabilityCoefficient - Reliability Coefficient
CoefficientAlpha - Coefficient Alpha
ItemTestCorrelation - Item Test Correlation
ItemVariance - Item Variance
ScaleValue - Scale Value
</t>
  </si>
  <si>
    <t xml:space="preserve">CustomInteraction - Custom Interaction
DrawingInteraction - Drawing Interaction
GapMatchInteraction - Gap Match Interaction
MatchInteraction - Match Interaction
GraphicGapMatchInteraction - Graphic Gap Match Interaction
HotspotInteraction - Hotspot Interaction
GraphicOrderInteraction - Graphic Order Interaction
GraphicAssociateInteraction - Graphic Associate Interaction
ChoiceInteraction - Choice Interaction
InlineChoiceInteraction - Inline Choice Interaction
MediaInteraction - Media Interaction
HottextInteraction - Hottext Interaction
OrderInteraction - Order Interaction
PositionObjectInteraction - Position Object Interaction
TextEntryInteraction - Text Entry Interaction
ExtendedTextInteraction - Extended Text Interaction
EndAttemptInteraction - End Attempt Interaction
UploadInteraction - Upload Interaction
AssociateInteraction - Associate Interaction
</t>
  </si>
  <si>
    <t xml:space="preserve">NotScored -  Not Scored
Scored - Scored
ScoringError - Scoring error
WaitingForMachineScore - Waiting For Machine Score
</t>
  </si>
  <si>
    <t xml:space="preserve">Correct - Correct
Incorrect - Incorrect
Complete - Complete
PartialComplete - Partial Complete
Viewed - Viewed
NotViewed - Not Viewed
Attempted - Attempted
Incomplete - Incomplete
InProgress - In Progress
NotProficient - Not Yet Proficient
Proficient - Proficient
</t>
  </si>
  <si>
    <t xml:space="preserve">CohenUnweighted - Cohen's unweighted algorithm
CohenWeighted - Cohen's weighted algorithm
FleissAlgorithm - Fleiss algorithm
</t>
  </si>
  <si>
    <t xml:space="preserve">None - None: 0
VeryLow - Very low: 0.01 - 0.34
Low - Low: 0.35 - 0.64
Moderate - Moderate: 0.65 - 1.34
High - High: 1.35 - 1.69
VeryHigh - Very high: &gt; 1.70
Perfect - Perfect: + infinity
</t>
  </si>
  <si>
    <t xml:space="preserve">01 - Automated Readability Index
02 - Bormuth Index
03 - Coleman Liau Index
04 - Coh-Metrix Readability
05 - Dale-Chall Readability Formula
06 - Flesch-Kincaid Grade Level
07 - Flesch Reading Ease Formula
08 - FORCAST
09 - Fry Readability Formula
10 - Gunning-Fog Scale
11 - Hull Formula
12 - Lexile
13 - Linsear Write Formula
14 - McAlpine EFLAW
15 - Powers-Sumner-Kearl
16 - Raygor Readability Estimate
17 - SMOG Index
18 - Spache Readability Formula
19 - Strain Index
</t>
  </si>
  <si>
    <t xml:space="preserve">MultipleChoice - Multiple-choice
FillInTheBlank - Fill-in-the-blank
TrueFalse - True/False
MultipleResponse - Multiple Response
Matching - Matching
ShortAnswer - Short answer
Labeling - Labeling
VisualRepresentation - Visual representation
ShowYourWork - Show your work
OtherConstructedResponse - Other constructed response
PerformanceTask - Performance task
ExtendedResponse - Extended Response (Essay)
TechnologyEnhancedInteractive - Technology Enhanced / Interactive
Reordering - Reordering
Substitution - Substitution
Other - Other
</t>
  </si>
  <si>
    <t xml:space="preserve">Audio - Audio
Video - Video
Graphic - Graphic
Text - Text
Interactive - Interactive
</t>
  </si>
  <si>
    <t xml:space="preserve">Contracted - Contracted
Uncontracted - Uncontracted
</t>
  </si>
  <si>
    <t xml:space="preserve">Highlight - Highlight
Bold - Bold
Underline - Underline
Italic - Italic
Strikeout - Strikeout
Color - Color
</t>
  </si>
  <si>
    <t xml:space="preserve">Off - Off
Left - Left
Right - Right
</t>
  </si>
  <si>
    <t xml:space="preserve">Flashing - Flashing
Sound - Sound
Olfactory - Olfactory
MotionSimulation - Motion simulation
</t>
  </si>
  <si>
    <t xml:space="preserve">Line - Line
Word - Word
Character - Character
</t>
  </si>
  <si>
    <t xml:space="preserve">SpeakLink - Speak link
DifferentVoice - Different voice
SoundEffect - Sound effect
None - None
</t>
  </si>
  <si>
    <t xml:space="preserve">CustomMask - Custom mask
AnswerMask - Answer mask
</t>
  </si>
  <si>
    <t xml:space="preserve">6 - Six Braille Dots
8 - Eight Braille Dots
</t>
  </si>
  <si>
    <t xml:space="preserve">ASL - American Sign Language
SignedEnglish - Signed English
</t>
  </si>
  <si>
    <t xml:space="preserve">Human - Human
Synthetic - Synthetic
</t>
  </si>
  <si>
    <t xml:space="preserve">Dictionary - Dictionary
Calculator - Calculator
NoteTaking - Note taking
PeerInteraction - Peer interaction
Thesaurus - Thesaurus
Abacus - Abacus
SpellChecker - Spell checker
Homophone - Homophone checker
MindMapping - Mind mapping software
OutlineTool - Outline tool
</t>
  </si>
  <si>
    <t xml:space="preserve">Required - Required
Preferred - Preferred
OptionallyUse - Optionally  use
Prohibited - Prohibited
</t>
  </si>
  <si>
    <t xml:space="preserve">TextOnly - Text only
TextGraphics - Text and graphics
GraphicsOnly - Graphics only
NonVisual - Non-visual
</t>
  </si>
  <si>
    <t xml:space="preserve">Paper - Paper
Computer - Computer
Mobile - Mobile
Clicker - Clicker
Other - Other
Handheld - Handheld
Tablet - Tablet
</t>
  </si>
  <si>
    <t xml:space="preserve">00512 - Achievement/proficiency level
00494 - ACT score
00490 - Age score
00491 - C-scaled scores
00492 - College Board examination scores
00493 - Grade equivalent or grade-level indicator
03473 - Graduation score
03474 - Growth/value-added/indexing
03475 - International Baccalaureate score
00144 - Letter grade/mark
00513 - Mastery level
00497 - Normal curve equivalent
00498 - Normalized standard score
00499 - Number score
00500 - Pass-fail
03476 - Percentile
00502 - Percentile rank
00503 - Proficiency level
03477 - Promotion score
00504 - Ranking
00505 - Ratio IQ's
03478 - Raw score
03479 - Scale score
00506 - Standard age score
00508 - Stanine score
00509 - Sten score
00510 - T-score
03480 - Workplace readiness score
00511 - Z-score
09999 - Other
</t>
  </si>
  <si>
    <t xml:space="preserve">00050 - Admission
00051 - Assessment of student's progress
73055 - College Readiness
00063 - Course credit
00064 - Course requirement
73069 - Diagnosis
03459 - Federal accountability
73068 - Inform local or state policy
00055 - Instructional decision
03457 - Local accountability
02404 - Local graduation requirement
73042 - Obtain a state- or industry-recognized certificate or license
73043 - Obtain postsecondary credit for the course
73067 - Program eligibility
00057 - Program evaluation
00058 - Program placement
00062 - Promotion to or retention in a grade or program
00061 - Screening
03458 - State accountability
09999 - Other
00054 - State graduation requirement
</t>
  </si>
  <si>
    <t xml:space="preserve">Appeal - Appeal
Completed - Completed
Expired - Expired
Handscoring - Handscoring
Invalidated - Invalidated
Paused - Paused
Reported - Reported
Reset - Reset
Scored - Scored
Submitted - Submitted
</t>
  </si>
  <si>
    <t xml:space="preserve">Participated - Participated
DidNotParticipate - Did Not Participate
</t>
  </si>
  <si>
    <t xml:space="preserve">ParentsOptOut - Parents opt out
Absent - Absent during
Other - Did not participate for other reason
OutOfLevelTest - Participated in an out of level test
NoValidScore - No valid score
Medical - Medical emergency
Moved - Moved
LeftProgram - Person left program - unable to locate
</t>
  </si>
  <si>
    <t xml:space="preserve">Integer - Integer
Decimal - Decimal
Percentile - Percentile
String - String
</t>
  </si>
  <si>
    <t xml:space="preserve">GradeLevel - At or above Grade Level
BelowGradeLevel - Below Grade Level
NA - Not applicable
</t>
  </si>
  <si>
    <t xml:space="preserve">Initial - An initial assessment score instance.
Reliability - An assessment score instance recorded as a measure of reliability
Resolution -  An assessment score instance recorded after resolution of scoring or data issues.
Backread - An assessment score recorded to determine whether or not each individual scorer is correctly applying the scoring guide to student responses.
Final - The final assessment score instance.
</t>
  </si>
  <si>
    <t xml:space="preserve">13807 - Long-term suspension - non-special education
13808 - Short-term suspension - non-special education
13809 - Suspension - special education
13810 - Truancy - paperwork filed
13811 - Truancy - no paperwork filed
13812 - Earlier truancy
13813 - Chronic absences
13814 - Catastrophic illness or accident
13815 - Home schooled for assessed subjects
13816 - Student took this grade level assessment last year
13817 - Incarcerated at adult facility
13818 - Special treatment center
13819 - Special detention center
13820 - Parent refusal
13821 - Cheating
13822 - Psychological factors of emotional trauma
13823 - Student not showing adequate effort
13824 - Homebound
13825 - Foreign exchange student
13826 - Student refusal
13827 - Reading passage read to student (IEP)
13828 - Non-special education student used calculator on non-calculator items
13829 - Student used math journal (non-IEP)
13830 - Other reason for ineligibility
13831 - Other reason for nonparticipation
13832 - Left testing
13833 - Cross-enrolled
13834 - Only for writing
13835 - Administration or system failure
13836 - Teacher cheating or mis-admin
13837 - Fire alarm
09999 - Other
</t>
  </si>
  <si>
    <t xml:space="preserve">Teacher - Teacher
Principal - Principal
Administrator - Administrator
Proctor - Proctor
Observer - Observer
Scorer - Scorer
Registrar - Registrar
</t>
  </si>
  <si>
    <t xml:space="preserve">Standard - Standard
Accommodation - Accommodation
</t>
  </si>
  <si>
    <t xml:space="preserve">Client - Client
Publisher - Publisher
Internal - Internal
Other - Other
</t>
  </si>
  <si>
    <t xml:space="preserve">DailyAttendance - Daily attendance
ClassSectionAttendance - Class/section attendance
ProgramAttendance - Program attendance
ExtracurricularAttendance - Extracurricular attendance
</t>
  </si>
  <si>
    <t xml:space="preserve">Staff - Staff
Student - Student
Parent/Guardian - Parent/Guardian
LEARepresentative - LEA Representative
OutsideAgencySupportRepresentative - Outside Agency Support Representative
</t>
  </si>
  <si>
    <t>Career and Technical -&gt; CTE Student -&gt; Disability
Early Learning -&gt; Early Learning Child -&gt; Disability
K12 -&gt; K12 Student -&gt; Disability</t>
  </si>
  <si>
    <t xml:space="preserve">Eligibility - Eligibility for homeless services
SchoolSelection - School selection
Transportation - Transportation
SchoolRecords - School records
Immunizations - Immunizations
OtherMedicalRecords - Other medical records
OtherBarriers - Other barriers
</t>
  </si>
  <si>
    <t xml:space="preserve">NotAffordable - Not Affordable
NotAvailable - Not Available
NotDesired - Not Desired
Other - Other
</t>
  </si>
  <si>
    <t xml:space="preserve">FaceToFaceContact - Face-to-Face Contact
EventBased - Event-based
TimeBased - Time-based
</t>
  </si>
  <si>
    <t>Adult Education -&gt; AE Staff -&gt; Demographic
Adult Education -&gt; AE Student -&gt; Demographic
Career and Technical -&gt; CTE Staff -&gt; Demographic
Career and Technical -&gt; CTE Student -&gt; Demographic
Early Learning -&gt; Early Learning Child -&gt; Demographic
Early Learning -&gt; Early Learning Staff -&gt; Demographic
Early Learning -&gt; Parent/Guardian -&gt; Demographic
K12 -&gt; K12 Staff -&gt; Demographic
K12 -&gt; K12 Student -&gt; Demographic
K12 -&gt; Parent/Guardian -&gt; Demographic
Postsecondary -&gt; Parent/Guardian -&gt; Demographic
Postsecondary -&gt; PS Staff -&gt; Demographic
Postsecondary -&gt; PS Student -&gt; Demographic
Workforce -&gt; Workforce Program Participant -&gt; Demographic</t>
  </si>
  <si>
    <t xml:space="preserve">02986 - Administrative office/room
02747 - Attendance reception
02744 - Clerical areas
02746 - Conference room
02748 - General reception
75032 - IT center
02745 - Mail room
02742 - Principal's office
02754 - PTO/PTA spaces
02756 - Records room/vault
02753 - School bank
02752 - School store
02749 - Security/police/probation office
02755 - Site-based council office
02750 - Staff lounge
02751 - Staff work room
02759 - Storage - instructional equipment
02758 - Storage - resource materials
02757 - Storage - textbook
02743 - Vice-principal/assistant principal's office
09999 - Other
</t>
  </si>
  <si>
    <t xml:space="preserve">02497 - Air handler units
02496 - Both mechanical exhaust and supply units
02493 - Gravity ventilation units
02494 - Mechanical exhaust units
02495 - Mechanical supply units
09999 - Other units
02492 - Window ventilation units
</t>
  </si>
  <si>
    <t xml:space="preserve">02644 - 2-dimensional art classroom
02645 - 3-dimensional art classroom
02647 - Ceramic studio
02646 - Darkroom
02649 - Kiln room
02648 - Photography studio/graphic arts
09999 - Other
</t>
  </si>
  <si>
    <t xml:space="preserve">02768 - Auditorium (fixed seats)
02772 - Backstage room/green room
02769 - Control room
02770 - Costume storage area
03108 - Disaster shelter area
02773 - Multi-purpose Room
02771 - Set storage area
09999 - Other
</t>
  </si>
  <si>
    <t xml:space="preserve">01304 - Elementary
01981 - Preschool/early childhood
03495 - Resource
02403 - Secondary
14906 - Skills center
09999 - Other
</t>
  </si>
  <si>
    <t xml:space="preserve">02691 - Aeronautical technology classroom
02685 - Agricultural/natural resources shop
02682 - Automotive/avionics technology shop
02687 - Barbering and cosmetology shop
02702 - Biotechnology laboratory
02692 - Building construction technology shop
02697 - Business and administrative services/office management laboratory
02678 - Computer/information technology laboratory
02680 - Consumer science - clothing classroom
02679 - Consumer science - food classroom
02690 - Dental science classroom
02684 - Drafting room/CAD/CAM
02699 - Early childhood laboratory/child care center
02683 - Electronics/engineering technology laboratory
02681 - Family and consumer science
02695 - Financial services center/bank
02696 - Food services/hospitality laboratory
02700 - Graphic/digital arts and design studio
02686 - Greenhouse
02698 - Health occupations laboratory
02701 - Law enforcement/fire technology/protective services laboratory
02688 - Multimedia production studio/communications
02693 - Precision manufacturing laboratory/metalworking shop
02694 - Retail store/entrepreneurship laboratory
02689 - Wood shop
09999 - Other
</t>
  </si>
  <si>
    <t xml:space="preserve">13691 - Leasehold
13692 - Ownership by Charter Non-Profit Corporation
13693 - Third Party Non-Profit Ownership
14907 - Third-party public sector ownership
</t>
  </si>
  <si>
    <t xml:space="preserve">02516 - Elevator
02517 - Escalator
02774 - Hallway
13619 - Handicap Access Ramp
13593 - Lift
02776 - Lobby
13594 - Moving Walk
02775 - Stairway
09999 - Other
</t>
  </si>
  <si>
    <t xml:space="preserve">02831 - Level 1 cleaning
02832 - Level 2 cleaning
02833 - Level 3 cleaning
02834 - Level 4 cleaning
02835 - Level 5 cleaning
</t>
  </si>
  <si>
    <t xml:space="preserve">02500 - Data
14905 - Integrated (voice, data, video, etc.)
02501 - Public address system
02499 - Video
02498 - Voice
09999 - Other
</t>
  </si>
  <si>
    <t xml:space="preserve">02764 - Before- and after-school care
02760 - Before- and after-school office
02761 - Child care and development space
02765 - Community room
02767 - Family resource center
02766 - Full-service health clinic
02987 - Head Start space
02762 - Health clinic
02763 - Parent room
09999 - Other
</t>
  </si>
  <si>
    <t xml:space="preserve">02490 - Ceiling fans or ventilation fans
02486 - Central cooling system
02489 - Combination cooling systems
02488 - Individual (room) unit cooling system
02487 - Local zone cooling system
02491 - Natural systems
09998 - None
09999 - Other
</t>
  </si>
  <si>
    <t xml:space="preserve">02621 - Assembly building
02614 - Central kitchen building
02619 - Dormitory building
02616 - Field house building
02613 - Garage building
02620 - Gymnasium building
02617 - Media production center building
02618 - Natatorium
02611 - Office building
03106 - School building
02610 - Service center building
02615 - Stadium building
02612 - Warehouse building
09999 - Other
</t>
  </si>
  <si>
    <t xml:space="preserve">02476 - Circuit breakers
13570 - Communications and security
02473 - Electrical distribution
02475 - Electrical interface
13571 - Electrical service and distribution
02472 - Electrical supply
02474 - Emergency generator
13572 - Lighting and branch wiring
09999 - Other
</t>
  </si>
  <si>
    <t xml:space="preserve">13653 - Daylighting
13654 - Delamping
02848 - HVAC replacement
02847 - Installation of energy controls
14904 - Installation of solar equipment
02850 - Insulation improvements
02849 - Lighting replacement
14903 - Relamping
02846 - Window replacement
09999 - Other
</t>
  </si>
  <si>
    <t xml:space="preserve">13655 - Biomass
02858 - Coal
02854 - Electric
02853 - Gas
02857 - Geothermal
02859 - Nuclear
02842 - Oil
02855 - Solar
02843 - Water
02856 - Wind
09999 - Other
</t>
  </si>
  <si>
    <t xml:space="preserve">13620 - Climate/Emissions
13621 - Energy
13622 - Indoor Environmental Quality
13623 - Innovations in Operations/ Project/ Environmental Management
13624 - Leadership, Education and Innovation
13625 - Materials and Resources
13626 - Regional Priority
13627 - Sustainable Sites
</t>
  </si>
  <si>
    <t xml:space="preserve">02513 - Alarms
02511 - Automatic sprinkler
13579 - Fire protection specialists
02512 - Fire pump/extinguishers
02514 - Kitchen fire suppressor system
13580 - Other fire protection systems
13581 - Standpipes
09999 - Other
</t>
  </si>
  <si>
    <t xml:space="preserve">02792 - Cafeteria
02793 - Cafetorium
02797 - Convenience kitchen
03251 - Dish return area
02799 - Dry food/non-hazardous supplies storage area
02794 - Faculty dining room
02798 - Finishing/satellite kitchen
03254 - Food receiving area
02800 - Food serving area
02796 - Full-service kitchen
13629 - Kitchen garden
02988 - Multipurpose room
03253 - Recyclable materials area
03109 - Refrigerated/freezer storage area
02801 - Storage of tables and chairs
02795 - Student dining room
03252 - Trash disposal area
09999 - Other
</t>
  </si>
  <si>
    <t xml:space="preserve">03247 - Central kitchen
03250 - Non-production kitchen
03248 - Production kitchen
03249 - Self-contained kitchen
</t>
  </si>
  <si>
    <t xml:space="preserve">02482 - Central duct system
02485 - Displacement ventilation
02484 - Forced air
02479 - Heat pump
02478 - Hot water radiator
02483 - Open plenum system
02477 - Steam radiator
02481 - Unit heaters/baseboard heaters
02480 - Unit ventilators
09999 - Other
</t>
  </si>
  <si>
    <t xml:space="preserve">02415 - Ineligible
02417 - Locally designated
02412 - Locally eligible, not yet designated
75020 - Located in historic district
02419 - Nationally designated
02414 - Nationally eligible, not yet designated
02416 - Not evaluated
02418 - State designated
02413 - State eligible, not yet designated
</t>
  </si>
  <si>
    <t xml:space="preserve">13585 - Air distribution system
13586 - Controls and instrumentation
13587 - Cooling generation systems
13588 - Energy supply
13589 - Heat generating system
13590 - Other HVAC systems and equipment
13591 - Systems testing and balancing
13592 - Terminal and package units
</t>
  </si>
  <si>
    <t xml:space="preserve">02709 - Auxiliary gymnasium
02712 - Dance studio
02716 - Equipment storage
02984 - Gymnasium
02719 - Health classroom
02715 - Locker room
02718 - Multipurpose space
02720 - Playtorium (auditorium/gymnasium)
02714 - Pool/natatorium
02717 - Press box
02713 - Team room
02710 - Weight training room
02711 - Wrestling room
09999 - Other
</t>
  </si>
  <si>
    <t xml:space="preserve">02811 - Instructional space
02812 - Noninstructional space
</t>
  </si>
  <si>
    <t xml:space="preserve">13710 - Increase programs and services for students
13711 - Increase programs and services for the community
13712 - Increase utilization of under used space
13709 - Raise revenue
</t>
  </si>
  <si>
    <t xml:space="preserve">13694 - Drop-in use
13697 - Long term lease
13695 - One-time event use
13696 - Short-term lease
</t>
  </si>
  <si>
    <t xml:space="preserve">13705 - Civic groups
13704 - Individuals
13706 - Other public agencies
13708 - Private for-profit corporations
13707 - Private non-profit organizations
</t>
  </si>
  <si>
    <t xml:space="preserve">02703 - Collections room
02706 - Copy center
02705 - Distance learning lab
02704 - Reading room
13632 - Reception/checkout desk
02707 - Study room
02708 - Workroom
09999 - Other
</t>
  </si>
  <si>
    <t xml:space="preserve">02516 - Elevator
02517 - Escalator
13593 - Lift
13594 - Moving Walk
13595 - Other conveying system
</t>
  </si>
  <si>
    <t xml:space="preserve">02455 - Air distribution system
02454 - Cooling generation system
02453 - Heating generation system
09999 - Other
</t>
  </si>
  <si>
    <t xml:space="preserve">02780 - Boiler room
02784 - Communications closet
02778 - Custodial closet
02777 - Custodian office
02783 - Electrical closet
02781 - Fan room
02779 - Mechanical room
02790 - Public toilet
02785 - Server room
02791 - Staff toilet
02786 - Storage - flammable materials
02788 - Storage - hazardous materials
02787 - Storage - maintenance equipment
02789 - Student toilet
02782 - Systems control room
09999 - Other
</t>
  </si>
  <si>
    <t xml:space="preserve">02728 - Baseball field
02724 - Bleacher seating
02722 - Concessions/restrooms
02985 - Field house
02727 - Fitness trail
02730 - Football field
02721 - Multipurpose grassy play field
02732 - Other sports field
02726 - Paved outdoor basketball courts
02731 - Soccer field
02729 - Softball field
02725 - Tennis courts
02723 - Track/fields
09999 - Other
</t>
  </si>
  <si>
    <t xml:space="preserve">13629 - Kitchen garden
13635 - Natural habitat area
13633 - Outdoor classroom
13634 - Outdoor seating
02433 - Playground
03409 - Sandbox
03407 - Schoolyard Garden
13636 - Splash play area
</t>
  </si>
  <si>
    <t xml:space="preserve">02768 - Auditorium (fixed seats)
02772 - Backstage room/green room
13637 - Balcony
02650 - Band room
02654 - Blackbox theater
02652 - Choral room
02769 - Control room
02770 - Costume storage area
02653 - Drama classroom
02655 - Instrument storage
02656 - Keyboard laboratory
02659 - Multimedia production center
02658 - Multipurpose music room
02651 - Practice room
02660 - Radio/television broadcast studios
02771 - Set storage area
02657 - Television studio
09999 - Other
</t>
  </si>
  <si>
    <t xml:space="preserve">02470 - Detention ponds
13596 - Domestic water distribution
02463 - Drains
02471 - Filtration system
02467 - Parcel drainage
02468 - Piping
13597 - Plumbing fixtures
13598 - Rain water drainage
13599 - Sanitary waste
02465 - Sewage treatment
02464 - Vents
02469 - Water softeners
02466 - Water source
02462 - Water supply
09999 - Other
</t>
  </si>
  <si>
    <t xml:space="preserve">13561 - Church
13562 - Commercial office building
13563 - Commercial warehouse
13564 - Community center
13565 - Public school building
</t>
  </si>
  <si>
    <t xml:space="preserve">02608 - 6-12 school
02605 - Adult education school
02609 - Alternative school
02604 - Career-technology education center
02599 - Early childhood center
02600 - Elementary school
02602 - Junior high school
02607 - K-8 school
02601 - Middle school
13638 - Performing arts school
13639 - Science, technology, engineering and math (STEM) school
02603 - Senior high school
02606 - Special education school
09999 - Other
</t>
  </si>
  <si>
    <t xml:space="preserve">02661 - Biology laboratory
02668 - Chemical storage room
02662 - Chemistry laboratory
02663 - Environmental science laboratory
02670 - General science laboratory
02669 - Miscellaneous storage room
02435 - Outdoor classroom
02664 - Physics laboratory
02665 - Planetarium
02666 - Prep room
02667 - Science lecture room
09999 - Other
</t>
  </si>
  <si>
    <t xml:space="preserve">02508 - Card access control system
02507 - Intrusion detection system
02509 - Keypad access control system
02510 - Metal detector
02499 - Video
09999 - Other
</t>
  </si>
  <si>
    <t xml:space="preserve">02446 - Enterprise zone
02449 - Environmental contamination
02448 - Environmental protection
02447 - Historic district
02445 - Land use
02450 - Site easements
09999 - Other
</t>
  </si>
  <si>
    <t xml:space="preserve">02633 - Administration
02634 - Assembly
02631 - Athletic
02628 - Basic classroom
02635 - Corridors
02639 - Dormitory room
02638 - Food service
02630 - Library/media
02773 - Multi-purpose Room
02636 - Operational support
03017 - Restroom
02629 - Specialty classroom
02637 - Storage
02788 - Storage - hazardous materials
02632 - Student support
09999 - Other
</t>
  </si>
  <si>
    <t xml:space="preserve">02674 - IEP conference room
02675 - Itinerant staff room
02671 - Occupational therapy room
02673 - Physical therapy room
03107 - Resource room
02676 - Self-contained classroom
02672 - Speech and hearing room
09999 - Other
</t>
  </si>
  <si>
    <t xml:space="preserve">02738 - Career center
02739 - College center
02737 - Guidance/counseling room
02736 - Health room lavatory
02735 - Health suite
02733 - In-school suspension room
02740 - Internship center
02734 - Nurse's station
02741 - Student club space
09999 - Other
</t>
  </si>
  <si>
    <t xml:space="preserve">02455 - Air distribution system
02456 - Communications system
02454 - Cooling generation system
02452 - Electrical system
02459 - Fire protection system
02453 - Heating generation system
02460 - Mechanical system
02451 - Plumbing system
02458 - Security system
02457 - Technology wiring
02461 - Vertical transportation
</t>
  </si>
  <si>
    <t xml:space="preserve">02504 - Coaxial cable
02503 - Fiber optic cable
02506 - Twisted pair
02502 - Wire cable
02505 - Wireless
09999 - Other
</t>
  </si>
  <si>
    <t xml:space="preserve">13700 - Administration building
13699 - Alternative school
02621 - Assembly building
02614 - Central kitchen building
02803 - Chapel building
02619 - Dormitory building
02616 - Field house building
02613 - Garage building
13698 - Grade level school
02620 - Gymnasium building
02806 - Holding school
02804 - Investment
02617 - Media production center building
02618 - Natatorium
02805 - Not in use
02611 - Office building
02802 - Operations building
03106 - School building
02610 - Service center building
02615 - Stadium building
02612 - Warehouse building
09999 - Other
</t>
  </si>
  <si>
    <t xml:space="preserve">02516 - Elevator
02517 - Escalator
02515 - Stairs
09999 - Other
</t>
  </si>
  <si>
    <t xml:space="preserve">EmergencyDay - Emergency day
Holiday - Holiday
InstructionalDay - Instructional day
Other - Other
Strike - Strike
LateArrivalEarlyDismissal - Student late arrival/early dismissal
TeacherOnlyDay - Teacher only day
</t>
  </si>
  <si>
    <t xml:space="preserve">Administration - Administration
Education - Education
Operations - Operations
Residential - Residential
Other - Other
</t>
  </si>
  <si>
    <t xml:space="preserve">OnCampus - On campus
OffCampusWFamily - Off campus, with family
OffCampusWOFamily - Off campus, without family
Unknown - Unknown
</t>
  </si>
  <si>
    <t xml:space="preserve">75021 - In district use
75022 - Leased
75023 - Inactive
75024 - Decommissioned
75025 - Sold
</t>
  </si>
  <si>
    <t xml:space="preserve">IncludedAsGraduated - Included in computation as graduated  
NotIncludedAsGraduated - Included in computation as not graduated.
</t>
  </si>
  <si>
    <t xml:space="preserve">01 - Agriculture, Food &amp; Natural Resources
02 - Architecture &amp; Construction
03 - Arts, A/V Technology &amp; Communications
04 - Business Management &amp; Administration
05 - Education &amp; Training
06 - Finance
07 - Government &amp; Public Administration
08 - Health Science
09 - Hospitality &amp; Tourism
10 - Human Services
11 - Information Technology
12 - Law, Public Safety, Corrections &amp; Security
13 - Manufacturing
14 - Marketing
15 - Science, Technology, Engineering &amp; Mathematics
16 - Transportation, Distribution &amp; Logistics
</t>
  </si>
  <si>
    <t xml:space="preserve">Education - Education plan
Career - Career plan
Both - Both education and career plan
Other - Other
</t>
  </si>
  <si>
    <t xml:space="preserve">Underrepresented - Members of an underrepresented gender group
NotUnderrepresented - Not members of an underrepresented gender group
</t>
  </si>
  <si>
    <t>Career and Technical -&gt; CTE Student -&gt; Status
Postsecondary -&gt; PS Student -&gt; CTE</t>
  </si>
  <si>
    <t xml:space="preserve">Assoc/Pub-R-S - Associate's--Public Rural-serving Small
Assoc/Pub-R-M - Associate's--Public Rural-serving Medium
Assoc/Pub-R-L - Associate's--Public Rural-serving Large
Assoc/Pub-S-SC - Associate's--Public Suburban-serving Single Campus
Assoc/Pub-S-MC - Associate's--Public Suburban-serving Multicampus
Assoc/Pub-U-SC - Associate's--Public Urban-serving Single Campus
Assoc/Pub-U-MC - Associate's--Public Urban-serving Multicampus
Assoc/Pub-Spec - Associate's--Public Special Use
Assoc/PrivNFP - Associate's--Private Not-for-profit
Assoc/PrivFP - Associate's--Private For-profit
Assoc/Pub2in4 - Associate's--Public 2-year Colleges under 4-year Universities
Assoc/Pub4 - Associate's--Public 4-year Primarily Associate's
Assoc/PrivNFP4 - Associate's--Private Not-for-profit 4-year Primarily Associate's
Assoc/PrivFP4 - Associate's--Private For-profit 4-year Primarily Associate's
RU/VH - Research Universities (very high research activity)
RU/H - Research Universities (high research activity)
DRU - Doctoral/Research Universities
Masters/L - Master's Colleges and Universities (larger programs)
Masters/M - Master's Colleges and Universities (medium programs)
Masters/S - Master's Colleges and Universities (smaller programs)
Bac/A&amp;S - Baccalaureate Colleges--Arts &amp; Sciences
Bac/Diverse - Baccalaureate Colleges--Diverse Fields
Bac/Assoc - Baccalaureate/Associate's Colleges
Spec/Faith - Special Focus Institutions--Theological seminaries, Bible colleges, other faith-related institutions
Spec/Med - Special Focus Institutions--Medical schools and medical centers
Spec/Health - Special Focus Institutions--Other health professions schools
Spec/Engg - Special Focus Institutions--Schools of engineering
Spec/Tech - Special Focus Institutions--Other technology-related schools
Spec/Bus - Special Focus Institutions--Schools of business and management
Spec/Arts - Special Focus Institutions--Schools of art, music, and design
Spec/Law - Special Focus Institutions--Schools of law
Spec/Other - Special Focus Institutions-Other special-focus institutions
Tribal - Tribal Colleges
</t>
  </si>
  <si>
    <t xml:space="preserve">SBE - State board of education
PCSB - Public charter school board
UNI - University
CC - Community college
LEA - Local education agency
OTH - Other
GOVTENT - Non educational government entities
NONPROFIT - Not for profit organization
SEA - State department of education
</t>
  </si>
  <si>
    <t xml:space="preserve">CMO - Charter Management Organization
EMO - Education Management Organization
SMFP - Single Management (for-profit)
SMNP - Single Management (non-profit)
</t>
  </si>
  <si>
    <t xml:space="preserve">School - School Charter
CollegeUniversity - College/University Charter
NA - Not a Charter School
</t>
  </si>
  <si>
    <t xml:space="preserve">01 - Infant/toddler
02 - Preschool
03 - Family child care home
04 - Home visitor
06 - Other
07 - Bilingual
99 - No current CDA indicated
</t>
  </si>
  <si>
    <t xml:space="preserve">FurtherEvaluationNeeded - Further evaluation needed
NoFurtherEvaluationNeeded - No further evaluation needed
NoScreeningPerformed - No Screening Performed
AssessmentToolUnavailable - Appropriate Assessment Tool Unavailable
PersonnelUnavailable - Personnel Unavailable
</t>
  </si>
  <si>
    <t>Early Learning -&gt; Early Learning Child -&gt; Identity -&gt; Identification
Early Learning -&gt; Parent/Guardian -&gt; Relationship</t>
  </si>
  <si>
    <t xml:space="preserve">01 - Does not show functioning expected at age - does not include immediate foundational skills
02 - Occasionally uses immediate foundational skills across settings and situations
03 - Does not show functioning expected at age - uses immediate foundational skills
04 - Shows occasional age-appropriate functioning across settings and situations
05 - Shows functioning expected at age some of the time and/or in some settings and situations
06 - Functioning generally is considered appropriate for age but there are some significant concerns
07 - Shows functioning expected for age in all or almost all everyday situations
</t>
  </si>
  <si>
    <t xml:space="preserve">No - No
Not Selected - Not Selected
Yes - Yes
</t>
  </si>
  <si>
    <t>Adult Education -&gt; Course Section
Career and Technical -&gt; Course Section
Early Learning -&gt; Early Learning Class/Group
K12 -&gt; Course Section</t>
  </si>
  <si>
    <t xml:space="preserve">PrimaryEnrollment - Primary enrollment
AdditionalEnrollment - Additional enrollment
PrimaryCompletion - Primary completion
AdditionalCompletion - Additional completion
</t>
  </si>
  <si>
    <t xml:space="preserve">01 - Death
02 - Total and permanent disability
03 - Service in the armed forces
04 - Service with a foreign aid service of the federal government
05 - Service on official church missions
</t>
  </si>
  <si>
    <t xml:space="preserve">Library - Library
School - School
ChildDevelopmentCenter - Child development center
Hospital - Hospital
PublicK12School - Public K12 School
University - University
Other - Other
</t>
  </si>
  <si>
    <t>Early Learning -&gt; Early Learning Child -&gt; Program
Early Learning -&gt; Early Learning Organization -&gt; Organization Information</t>
  </si>
  <si>
    <t xml:space="preserve">Prerequisite - Prerequisite
ConformsTo - Conforms To
Defines - Defines
HasFormat - Has Format
HasPart - Has Part
HasVersion - Has Version
IsAssessedBy - Is Assessed By
IsConformedTo - Is Conformed To
IsDefinedBy - Is Defined By
FormatOf - Is Format of
IsPartOf - Is Part Of
IsPrerequisiteTo - Is Prerequisite To
ReferencedBy - Is Referenced By
ReplacedBy - Is Replaced By
RequiredBy - Is Required By
IsTaughtBy - Is Taught By
VersionOf - Is Version Of
Referenced - Referenced
Assesses - Assesses
Teaches - Teaches
Requires - Requires
ComplexityLevel - Complexity Level
ReadingLevel - Reading Level
EducationalSubject - Educational Subject
EducationLevel - Education Level
Precedes - Precedes
Follows - Follows
IsConcurrentTo - Is Concurrent To
</t>
  </si>
  <si>
    <t xml:space="preserve">Cognitive - Cognitive
Affective - Affective
Psychomotor - Psychomotor
</t>
  </si>
  <si>
    <t xml:space="preserve">01043 - No school completed 
00788 - Preschool 
00805 - Kindergarten 
00790 - First grade 
00791 - Second grade 
00792 - Third grade 
00793 - Fourth grade 
00794 - Fifth grade 
00795 - Sixth grade 
00796 - Seventh grade 
00798 - Eighth grade 
00799 - Ninth grade 
00800 - Tenth grade 
00801 - Eleventh Grade 
01809 - 12th grade, no diploma 
01044 - High school diploma 
02408 - High school completers (e.g., certificate of attendance) 
02409 - High school equivalency (e.g., GED) 
00819 - Career and Technical Education certificate
00803 - Grade 13
01049 - Some college but no degree 
01047 - Formal award, certificate or diploma (less than one year) 
01048 - Formal award, certificate or diploma (more than or equal to one year) 
01050 - Associate's degree (two years or more) 
73063 - Adult education certification, endorsement, or degree
01051 - Bachelor's (Baccalaureate) degree 
01054 - Master's degree (e.g., M.A., M.S., M. Eng., M.Ed., M.S.W., M.B.A., M.L.S.) 
01055 - Specialist's degree (e.g., Ed.S.) 
73081 - Post-master’s certificate
01052 - Graduate certificate 
01057 - Doctoral (Doctor's) degree 
01053 - First-professional degree 
01056 - Post-professional degree 
73082 - Doctor’s degree-research/scholarship
73083 - Doctor’s degree-professional practice
73084 - Doctor’s degree-other
73085 - Doctor’s degree-research/scholarship
09999 - Other
</t>
  </si>
  <si>
    <t xml:space="preserve">Linguistic - Linguistic
Logic-mathematical - Logic-mathematical
Musical - Musical
Spatial - Spatial
BodilyKinesthetic - Bodily/kinesthetic
Interpersonal - Interpersonal
Intrapersonal - Intrapersonal
Naturalistic - Naturalistic
</t>
  </si>
  <si>
    <t xml:space="preserve">Vision - Vision
Hearing - Hearing
Communication - Communication
Mobility - Mobility
General - General
</t>
  </si>
  <si>
    <t xml:space="preserve">SingleIndicator - Single Indicator
MultipleIndicator - Multiple Indicator
MultipleCompetency - Multiple Competency
CannotBeAssessed - Cannot be assessed
</t>
  </si>
  <si>
    <t xml:space="preserve">Adopted - Adopted
Draft - Draft
Published - Published
Deprecated - Deprecated
Unknown - Unknown
</t>
  </si>
  <si>
    <t xml:space="preserve">CSI - Comprehensive support and improvement
CSIEXIT - Comprehensive support and improvement - exit status
NOTCSI - Not comprehensive support and improvement
</t>
  </si>
  <si>
    <t xml:space="preserve">01 - Providing services for the duration of the term
02 - Providing services for an additional year -comparable services are not available
03 - Serving secondary students through credit accrual programs
</t>
  </si>
  <si>
    <t xml:space="preserve">Prison - Prison, Penitentiary or Correctional Institution
Jail - Jail
JuvenileFacility - Juvenile Facility
CommunityCorrections - Community Corrections
Other - Other Institution
</t>
  </si>
  <si>
    <t xml:space="preserve">CA1 - Required implementation of a new research-based curriculum or instructional program
CA2 - Extension of the school year or school day 
CA3 - Replacement of staff members relevant to the school's low performance
CA4 - Significant decrease in management authority at the school level
CA5 - Replacement of the principal
CA6 - Restructuring of the internal organization of the school
CA7 - Appointment of an outside expert to advise the school
</t>
  </si>
  <si>
    <t xml:space="preserve">AF - AFGHANISTAN
AX - ÅLAND ISLANDS
AL - ALBANIA
DZ - ALGERIA
AS - AMERICAN SAMOA
AD - ANDORRA
AO - ANGOLA
AI - ANGUILLA
AQ - ANTARCTICA
AG - ANTIGUA AND BARBUDA
AR - ARGENTINA
AM - ARMENIA
AW - ARUBA
AU - AUSTRALIA
AT - AUSTRIA
AZ - AZERBAIJAN
BS - BAHAMAS
BH - BAHRAIN
BD - BANGLADESH
BB - BARBADOS
BY - BELARUS
BE - BELGIUM
BZ - BELIZE
BJ - BENIN
BM - BERMUDA
BT - BHUTAN
BO - BOLIVIA (PLURINATIONAL STATE OF)
BQ - BONAIRE, SINT EUSTATIUS AND SABA
BA - BOSNIA AND HERZEGOVINA
BW - BOTSWANA
BV - BOUVET ISLAND
BR - BRAZIL
IO - BRITISH INDIAN OCEAN TERRITORY
BN - BRUNEI DARUSSALAM
BG - BULGARIA
BF - BURKINA FASO
BI - BURUNDI
KH - CAMBODIA
CM - CAMEROON
CA - CANADA
CV - CABO VERDE
KY - CAYMAN ISLANDS
CF - CENTRAL AFRICAN REPUBLIC
TD - CHAD
CL - CHILE
CN - CHINA
CX - CHRISTMAS ISLAND
CC - COCOS (KEELING) ISLANDS
CO - COLOMBIA
KM - COMOROS
CG - CONGO
CD - CONGO, DEMOCRATIC REPUBLIC OF THE
CK - COOK ISLANDS
CR - COSTA RICA
CI - CÔTE D'IVOIRE
HR - CROATIA
CU - CUBA
CW - CURAÇAO
CY - CYPRUS
CZ - CZECHIA
DK - DENMARK
DJ - DJIBOUTI
DM - DOMINICA
DO - DOMINICAN REPUBLIC
EC - ECUADOR
EG - EGYPT
SV - EL SALVADOR
GQ - EQUATORIAL GUINEA
ER - ERITREA
EE - ESTONIA
ET - ETHIOPIA
FK - FALKLAND ISLANDS (MALVINAS)
FO - FAROE ISLANDS
FJ - FIJI
FI - FINLAND
FR - FRANCE
GF - FRENCH GUIANA
PF - FRENCH POLYNESIA
TF - FRENCH SOUTHERN TERRITORIES
GA - GABON
GM - GAMBIA
GE - GEORGIA
DE - GERMANY
GH - GHANA
GI - GIBRALTAR
GR - GREECE
GL - GREENLAND
GD - GRENADA
GP - GUADELOUPE
GU - GUAM
GT - GUATEMALA
GG - GUERNSEY
GN - GUINEA
GW - GUINEA-BISSAU
GY - GUYANA
HT - HAITI
HM - HEARD ISLAND AND MCDONALD ISLANDS
VA - HOLY SEE
HN - HONDURAS
HK - HONG KONG
HU - HUNGARY
IS - ICELAND
IN - INDIA
ID - INDONESIA
IR - IRAN (ISLAMIC REPUBLIC OF)
IQ - IRAQ
IE - IRELAND
IM - ISLE OF MAN
IL - ISRAEL
IT - ITALY
JM - JAMAICA
JP - JAPAN
JE - JERSEY
JO - JORDAN
KZ - KAZAKHSTAN
KE - KENYA
KI - KIRIBATI
KP - KOREA (DEMOCRATIC PEOPLE'S REPUBLIC OF)
KR - KOREA, REPUBLIC OF
KW - KUWAIT
KG - KYRGYZSTAN
LA - LAO PEOPLE'S DEMOCRATIC REPUBLIC
LV - LATVIA
LB - LEBANON
LS - LESOTHO
LR - LIBERIA
LY - LIBYA
LI - LIECHTENSTEIN
LT - LITHUANIA
LU - LUXEMBOURG
MO - MACAO
MK - NORTH MACEDONIA
MG - MADAGASCAR
MW - MALAWI
MY - MALAYSIA
MV - MALDIVES
ML - MALI
MT - MALTA
MH - MARSHALL ISLANDS
MQ - MARTINIQUE
MR - MAURITANIA
MU - MAURITIUS
YT - MAYOTTE
MX - MEXICO
FM - MICRONESIA (FEDERATED STATES OF)
MD - MOLDOVA, REPUBLIC OF
MC - MONACO
MN - MONGOLIA
ME - MONTENEGRO
MS - MONTSERRAT
MA - MOROCCO
MZ - MOZAMBIQUE
MM - MYANMAR
NA - NAMIBIA
NR - NAURU
NP - NEPAL
NL - NETHERLANDS
NC - NEW CALEDONIA
NZ - NEW ZEALAND
NI - NICARAGUA
NE - NIGER
NG - NIGERIA
NU - NIUE
NF - NORFOLK ISLAND
MP - NORTHERN MARIANA ISLANDS
NO - NORWAY
OM - OMAN
PK - PAKISTAN
PW - PALAU
PS - PALESTINE, STATE OF
PA - PANAMA
PG - PAPUA NEW GUINEA
PY - PARAGUAY
PE - PERU
PH - PHILIPPINES
PN - PITCAIRN
PL - POLAND
PT - PORTUGAL
PR - PUERTO RICO
QA - QATAR
RE - RÉUNION
RO - ROMANIA
RU - RUSSIAN FEDERATION
RW - RWANDA
BL - SAINT BARTHÉLEMY
SH - SAINT HELENA, ASCENSION AND TRISTAN DA CUNHA
KN - SAINT KITTS AND NEVIS
LC - SAINT LUCIA
MF - SAINT MARTIN (FRENCH PART)
PM - SAINT PIERRE AND MIQUELON
VC - SAINT VINCENT AND THE GRENADINES
WS - SAMOA
SM - SAN MARINO
ST - SAO TOME AND PRINCIPE
SA - SAUDI ARABIA
SN - SENEGAL
RS - SERBIA
SC - SEYCHELLES
SL - SIERRA LEONE
SG - SINGAPORE
SX - SINT MAARTEN (DUTCH PART)
SK - SLOVAKIA
SI - SLOVENIA
SB - SOLOMON ISLANDS
SO - SOMALIA
ZA - SOUTH AFRICA
GS - SOUTH GEORGIA AND THE SOUTH SANDWICH ISLANDS
SS - SOUTH SUDAN
ES - SPAIN
LK - SRI LANKA
SD - SUDAN
SR - SURINAME
SJ - SVALBARD AND JAN MAYEN
SZ - ESWATINI
SE - SWEDEN
CH - SWITZERLAND
SY - SYRIAN ARAB REPUBLIC
TW - TAIWAN
TJ - TAJIKISTAN
TZ - TANZANIA, UNITED REPUBLIC OF
TH - THAILAND
TL - TIMOR-LESTE
TG - TOGO
TK - TOKELAU
TO - TONGA
TT - TRINIDAD AND TOBAGO
TN - TUNISIA
TR - TURKEY
TM - TURKMENISTAN
TC - TURKS AND CAICOS ISLANDS
TV - TUVALU
UG - UGANDA
UA - UKRAINE
AE - UNITED ARAB EMIRATES
GB - UNITED KINGDOM OF GREAT BRITAIN AND NORTHERN IRELAND
US - UNITED STATES OF AMERICA
UM - UNITED STATES MINOR OUTLYING ISLANDS
UY - URUGUAY
UZ - UZBEKISTAN
VU - VANUATU
VE - VENEZUELA (BOLIVARIAN REPUBLIC OF)
VN - VIET NAM
VG - VIRGIN ISLANDS (BRITISH)
VI - VIRGIN ISLANDS (U.S.)
WF - WALLIS AND FUTUNA
EH - WESTERN SAHARA
YE - YEMEN
ZM - ZAMBIA
ZW - ZIMBABWE
</t>
  </si>
  <si>
    <t>Adult Education -&gt; AE Staff -&gt; Contact -&gt; Address
Adult Education -&gt; AE Student -&gt; Contact -&gt; Address
Career and Technical -&gt; CTE Staff -&gt; Contact -&gt; Address
Career and Technical -&gt; CTE Student -&gt; Contact -&gt; Address
Early Learning -&gt; Early Learning Child -&gt; Contact -&gt; Address
Early Learning -&gt; Early Learning Organization -&gt; Contact -&gt; Address
Early Learning -&gt; Early Learning Staff -&gt; Contact -&gt; Address
Early Learning -&gt; Parent/Guardian -&gt; Contact -&gt; Address
K12 -&gt; K12 Staff -&gt; Contact -&gt; Address
K12 -&gt; K12 Student -&gt; Contact -&gt; Address
K12 -&gt; Organization -&gt; Contact -&gt; Address
K12 -&gt; Parent/Guardian -&gt; Contact -&gt; Address
K12 -&gt; SEA -&gt; Contact -&gt; Address
Postsecondary -&gt; Organization -&gt; Contact -&gt; Address
Postsecondary -&gt; Parent/Guardian -&gt; Contact -&gt; Address
Postsecondary -&gt; PS Staff -&gt; Contact -&gt; Address
Postsecondary -&gt; PS Student -&gt; Contact -&gt; Address</t>
  </si>
  <si>
    <t>Adult Education -&gt; AE Staff -&gt; Contact -&gt; Address
Adult Education -&gt; AE Student -&gt; Contact -&gt; Address
Career and Technical -&gt; CTE Staff -&gt; Contact -&gt; Address
Career and Technical -&gt; CTE Student -&gt; Contact -&gt; Address
Early Learning -&gt; Early Learning Child -&gt; Contact -&gt; Address
Early Learning -&gt; Early Learning Organization -&gt; Address
Early Learning -&gt; Early Learning Organization -&gt; Contact -&gt; Address
Early Learning -&gt; Early Learning Staff -&gt; Contact -&gt; Address
Early Learning -&gt; Early Learning Staff -&gt; Professional Development -&gt; Instructor
Early Learning -&gt; Early Learning Staff -&gt; Professional Development Activity -&gt; Session - Location
Early Learning -&gt; Parent/Guardian -&gt; Contact -&gt; Address
Facilities -&gt; Facility -&gt; Address
K12 -&gt; K12 School -&gt; Address
K12 -&gt; K12 Staff -&gt; Contact -&gt; Address
K12 -&gt; K12 Staff -&gt; Professional Development -&gt; Instructor
K12 -&gt; K12 Staff -&gt; Professional Development Activity -&gt; Session - Location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Postsecondary -&gt; PS Student -&gt; K12 Transcript
Workforce -&gt; Workforce Program Participant -&gt; Contact -&gt; Address</t>
  </si>
  <si>
    <t xml:space="preserve">AuditedCourse - Audited or visited the course
HonorsGrade - Honors grade
Incomplete - Incomplete
IncompleteNotResolvedFail - Incomplete Not Resolved Fail
InProgress - In Progress
NotYetReported - Not Yet Reported
OtherFail - Other Fail
OtherPass - Other Pass
PassFailFail - Pass-Fail : Fail
PassFailPass - Pass-Fail : Pass
TransferNoGrade - Transfer No Grade
Withdrew - Withdrew
WithdrewFailing - Withdrew failing
WithdrewNoPenalty - Withdrew No Penalty
WithdrewPassing - Withdrew passing
</t>
  </si>
  <si>
    <t xml:space="preserve">IT - Infant/toddler
PR - Preschool
PK - Prekindergarten
TK - Transitional Kindergarten
KG - Kindergarten
01 - First grade
02 - Second grade
03 - Third grade
04 - Fourth grade
05 - Fifth grade
06 - Sixth grade
07 - Seventh grade
08 - Eighth grade
09 - Ninth grade
10 - Tenth grade
11 - Eleventh grade
12 - Twelfth grade
13 - Grade 13
AS - Associate's degree
BA - Bachelor's degree
PB - Post-baccalaureate certificate
MD - Master's degree
PM - Post-master's certificate
DO - Doctoral degree
PD - Post-doctoral certificate
AE - Adult Education
PT - Professional or technical credential
OT - Other
</t>
  </si>
  <si>
    <t xml:space="preserve">Regular - Regular/general enrollment
Major - Credit associated with the student's major
AcademicRenewal - Academic Renewal
AdultBasic - Adult Basic
AdvancedPlacement - Advanced Placement
AdvancedStanding - Advanced Standing
Correspondence - Correspondence
ContinuingEducation - Continuing Education
Exemption - Exemption
Equivalence - Equivalence
InternationalBaccalaureate - International Baccalaureate
Military - Military
Remedial - Remedial/developmental
CreditByExam - Credit granted from successful score on a standardized test of comprehension or proficiency.
HighSchoolTransferCredit - Credit from a high school course is transferred to the college.
HighSchoolCreditOnly - Credit from a college course is transferred back to high school and not counted by the college.
HighSchoolDualCredit - Credit from a college course is counted at both the college and high school.
JuniorHighSchoolCredit - Credit from a junior high school course is counted at the high school.
</t>
  </si>
  <si>
    <t xml:space="preserve">Undergraduate - Undergraduate
Ungraded - Ungraded
LowerDivision - Lower division credit (associated with first/second year)
UpperDivision - Higher or upper division credit (associated with third or fourth year)
Vocational - Vocational/technical credit
TechnicalPreparatory - Technical preparatory credit
Graduate - Graduate level credit
Professional - Professional
Dual - Dual Level
GraduateProfessional - Graduate Professional
</t>
  </si>
  <si>
    <t xml:space="preserve">NoCredit - No Credit
Quarter - Quarter 
Semester - Semester 
Units - Units 
CarnegieUnits - Carnegie Units 
ContinuingEducationUnits - Continuing Education Units 
ClockHours - Clock Hours 
Other - Other
Unreported - Unreported
</t>
  </si>
  <si>
    <t>Adult Education -&gt; Course Section -&gt; Course
Career and Technical -&gt; Course
Career and Technical -&gt; Course Section -&gt; Course
Early Learning -&gt; Early Learning Staff -&gt; Professional Development
K12 -&gt; K12 Course
Postsecondary -&gt; Course Section -&gt; Course
Postsecondary -&gt; PS Staff -&gt; Professional Development</t>
  </si>
  <si>
    <t xml:space="preserve">Applicable - Applicable in GPA
NotApplicable - Not Applicable in GPA
Weighted - Weighted in GPA
</t>
  </si>
  <si>
    <t xml:space="preserve">Honors - Honors
HonorsOption - Honors option
</t>
  </si>
  <si>
    <t xml:space="preserve">Lecture - Lecture
Laboratory - Laboratory
Seminar - Seminar
IndependentStudy - Independent Study
PrivateStudy - Private Study
PracticeTeaching - Practice Teaching
Internship - Internship
Practicum - Practicum
ApprenticeshipExternship - Apprenticeship Externship
AppliedInstruction - Applied Instruction
Residency - Residency
ClinicalRotationInstruction - Clinical Rotation Instruction
SelfPaced - Self Paced
FieldStudy - Field Study
InternetInstruction - Internet Instruction
InteractiveVideo - Interactive Video
Videotape - Videotape
Television - Television
OtherDistanceLearning - Other Distance Learning
Audiotape - Audiotape
ComputerBasedInstruction - Computer Based Instruction
CompressedVideo - Compressed Video
Correspondence - Correspondence
CooperativeEducation - Cooperative Education
WorkStudy - Work Study
</t>
  </si>
  <si>
    <t xml:space="preserve">OnCampus - On campus
OffCampus - Off campus (e.g., branch campus, etc.)
Extension - Extension center or site
StudyAbroad - Study abroad
Correctional - Correctional institution
Military - Military Base
Telecommunication - Instructional telecommunications
Auxiliary - Auxiliary
ClinicHospital - Clinic or hospital
</t>
  </si>
  <si>
    <t xml:space="preserve">Asynchronous - Asynchronous
Synchronous - Synchronous
</t>
  </si>
  <si>
    <t xml:space="preserve">00568 - Remedial course
00569 - Students with disabilities course
00570 - Basic course
00571 - General course
00572 - Honors level course
00573 - Gifted and talented course
00574 - International Baccalaureate course
00575 - Advanced placement course
00576 - College-level course
00577 - Untracked course
00578 - English Learner course
00579 - Accepted as a high school equivalent
73044 - Career and technical education general course
00741 - Completion of requirement, but no units of value awarded
73045 - Career and technical education dual-credit course
73048 - Dual enrollment
73047 - Not applicable
73046 - Pre-advanced placement
73049 - Other
</t>
  </si>
  <si>
    <t xml:space="preserve">RepeatCounted - Repeated, counted in grade point average
RepeatNotCounted - Repeated, not counted in grade point average
ReplacementCounted - Replacement counted
ReplacedNotCounted - Replacement not counted
RepeatOtherInstitution - Repeated, other institution
NotCountedOther - Other, not counted in GPA (e.g., used for academic forgiveness or clemency).
</t>
  </si>
  <si>
    <t xml:space="preserve">Pre-registered - Pre-registered
Registered - Registered
Enrolled - Enrolled
WaitListed - Wait Listed
Dropped - Dropped
Completed - Completed
</t>
  </si>
  <si>
    <t xml:space="preserve">NewEnrollment - New Enrollment
Transfer - Transfer
</t>
  </si>
  <si>
    <t xml:space="preserve">Transfer - Student transferred to another Class Section of the same course in the same educational institution.
CompletedForCredit - Class Section completed, student received credit for the course.
CompletedNoCredit - Class Section completed, student did not receive credit for the course.
Incomplete - Class Section completed, student did not complete the work required to complete the course.
</t>
  </si>
  <si>
    <t xml:space="preserve">Broadcast - Broadcast
Correspondence - Correspondence
EarlyCollege - Early College
AudioVideo - Interactive Audio/Video
Online - Online
IndependentStudy - Independent Study
FaceToFace - Face to Face
BlendedLearning - Blended Learning
</t>
  </si>
  <si>
    <t xml:space="preserve">MaleOnly - Male-only
FemaleOnly - Female-only
NotSingleSex - Not a single-sex class
</t>
  </si>
  <si>
    <t>Adult Education -&gt; Course Section -&gt; Course
Career and Technical -&gt; Course Section -&gt; Course
K12 -&gt; K12 Course
Postsecondary -&gt; Course Section -&gt; Course</t>
  </si>
  <si>
    <t xml:space="preserve">accreditedBy - Accredited By
approvedBy - Approved By
offeredBy - Offered By
ownedBy - Owned By
recognizedBy - Recognized By
regulatedBy - Regulated By
renewedBy - Renewed By
revokedBy - Revoked By
</t>
  </si>
  <si>
    <t xml:space="preserve">Artifact - Artifact
Exam - Exam
Performance - Performance
</t>
  </si>
  <si>
    <t xml:space="preserve">CTID - Credential Transparency Identifier
URI - Uniform Resource Identifier
URL - Uniform Resource Locator
URN - Uniform Resource Name
UUID - Universally Unique Identifier
ARK - Archival Resource Key
DOI - Digital Document Identifier
INFO - INFO URI Scheme
</t>
  </si>
  <si>
    <t xml:space="preserve">GeneralEducation - General Education
JobOrCareerPreparation - Job/Career Preparation
MidCareer - Mid-Career Level
PriorExperience - Prior Learning Experience
</t>
  </si>
  <si>
    <t xml:space="preserve">Active - Active
Deprecated - Deprecated
Probationary - Probationary
Superseded - Superseded
</t>
  </si>
  <si>
    <t xml:space="preserve">BadgeClaim - Badge Claim
TranscriptClaim - Transcript Claim
VerifiedClaim - Verified Claim
</t>
  </si>
  <si>
    <t>Adult Education -&gt; AE Staff -&gt; Credential
Career and Technical -&gt; CTE Staff -&gt; Credential or License
Early Learning -&gt; Early Learning Staff -&gt; Credential or License
K12 -&gt; K12 Staff -&gt; Credential or License
Postsecondary -&gt; PS Staff -&gt; Credential or License</t>
  </si>
  <si>
    <t>Early Learning -&gt; Early Learning Staff -&gt; Credential or License
K12 -&gt; K12 Staff -&gt; Credential or License</t>
  </si>
  <si>
    <t>Early Learning -&gt; Early Learning Staff -&gt; Credential or License
K12 -&gt; K12 Staff -&gt; Credential or License
Postsecondary -&gt; PS Staff -&gt; Credential or License</t>
  </si>
  <si>
    <t xml:space="preserve">00 - None
01 - Undergraduate hours applied towards graduate degree
02 - Credit hours taken at the postbaccalaureate level
03 - Credit hours taken as unclassified student
04 - Credit hours taken as an independent student
05 - Credit hours taken as traveling scholar at another university
06 - Credit hours taken at master's level
07 - Credit hours taken as a master's student in one program, applied towards another master's program
98 - Unknown
99 - Other
</t>
  </si>
  <si>
    <t xml:space="preserve">00585 - Carnegie unit
00586 - Semester hour credit
00587 - Trimester hour credit
00588 - Quarter hour credit
00589 - Quinmester hour credit
00590 - Mini-term hour credit
00591 - Summer term hour credit
00592 - Intersession hour credit
00595 - Long session hour credit
00596 - Twelve month hour credit
00597 - Career and Technical Education credit
73062 - Adult high school credit
00599 - Credit by examination
00600 - Correspondence credit
00601 - Converted occupational experience credit
09999 - Other
75001 - Certificate credit
75002 - Degree credit
75003 - Continuing education credit
75004 - Professional development hours
</t>
  </si>
  <si>
    <t>K12 -&gt; K12 Student -&gt; Academic Record
Postsecondary -&gt; PS Student -&gt; Academic Record</t>
  </si>
  <si>
    <t xml:space="preserve">ApprenticeshipCertificate - Apprenticeship Certificate
AssociateDegree - Associate Degree
BachelorDegree - Bachelor Degree
Badge - Badge
Certificate - Certificate
Certification - Certification
ConditionProfile - Condition Profile
Credential - Credential
Degree - Degree
DigitalBadge - Digital Badge
Diploma - Diploma
DoctoralDegree - Doctoral Degree
GeneralEducationDevelopment - General Education Development
JourneymanCertificate - Journeyman Certificate
License - License
MasterCertificate - Master Certificate
MasterDegree - Master Degree
MicroCredential - Micro Credential
OpenBadge - Open Badge
ProfessionalDoctorate - Professional Doctorate
QualityAssuranceCredential - Quality Assurance Credential
ResearchDoctorate - Research Doctorate
SecondarySchoolDiploma - Secondary School Diploma
</t>
  </si>
  <si>
    <t xml:space="preserve">AssessmentBody - Assessment Body
Business - Business
BusinessAssociation - Business or Industry Association
CertificationBody - Certification Body
FourYear - Four-Year College
Government - Government Agency
HighSchool - High School
LaborUnion - Labor Union
Magnet - Magnet/Competitive Admissions School
Military - Military
NonTraditional - Alternative/Non-Traditional School
Postsecondary - Postsecondary Educational Institution
PrimarilyOnline - Primarily Online
ProfessionalAssociation - Professional Association
QualityAssurance - Quality Assurance Body
SecondarySchool - Secondary School
Technical - Career and Technical School
TrainingProvider - Education and Training Provider
TwoYear - Two-Year College
Vendor - Vendor
</t>
  </si>
  <si>
    <t xml:space="preserve">LEA - Local Education Agency (LEA) curriculum framework
NationalStandard - National curriculum standard
PrivateOrReligious - Private, religious curriculum
School - School curriculum framework
State - State curriculum framework
Other - Other
</t>
  </si>
  <si>
    <t xml:space="preserve">Certified - Certified
Decertified - Decertified
Deleted - Deleted
InProcess - In Process
Published - Published
Retired - Retired
Submitted - Submitted
</t>
  </si>
  <si>
    <t>Early Learning -&gt; Early Learning Class/Group
Early Learning -&gt; Early Learning Organization -&gt; Directory</t>
  </si>
  <si>
    <t xml:space="preserve">73063 - Adult education certification, endorsement, or degree
01050 - Associate's degree (two years or more)
01051 - Bachelor's (Baccalaureate) degree
01057 - Doctoral (Doctor's) degree
01053 - First-professional degree
01047 - Formal award, certificate or diploma (less than one year)
01048 - Formal award, certificate or diploma (more than or equal to one year)
01052 - Graduate certificate
01045 - High school diploma or the equivalent (e.g., GED or recognized home school)
01054 - Master's degree (e.g., M.A., M.S., M. Eng., M.Ed., M.S.W., M.B.A., M.L.S.)
01056 - Post-professional degree
01049 - Some college but no degree
01055 - Specialist's degree (e.g., Ed.S.)
00819 - Career and Technical Education certificate
09999 - Other
</t>
  </si>
  <si>
    <t xml:space="preserve">NonWorkplace - Non-workplace or personal
Workplace - Workplace
Medicaid - Medicaid
CHIP - Children's health insurance program
StateOnlyFunded - State-only funded insurance
SSI - Supplemental security income
Military - Military medical
Veteran - Veteran's medical
None - None
Other - Other
</t>
  </si>
  <si>
    <t>Early Learning -&gt; Early Learning Child -&gt; Health -&gt; Insurance
Early Learning -&gt; Parent/Guardian -&gt; Insurance
K12 -&gt; K12 Student -&gt; Health -&gt; Insurance</t>
  </si>
  <si>
    <t>Early Learning -&gt; Early Learning Child -&gt; Health -&gt; Dental
K12 -&gt; K12 Student -&gt; Health -&gt; Dental</t>
  </si>
  <si>
    <t xml:space="preserve">NoTreatmentNeeded - No Treatment Needed
TreatmentNeeded - Treatment Needed
TreatmentReceived - Treatment Received
</t>
  </si>
  <si>
    <t xml:space="preserve">Dependent - Dependent
Independent - Independent
Unknown - Unknown
</t>
  </si>
  <si>
    <t xml:space="preserve">CollegeReady - College Ready
NotCollegeReady - Not College Ready
</t>
  </si>
  <si>
    <t xml:space="preserve">DevelopmentalMath - Developmental Math
DevelopmentalEnglish - Developmental English
DevelopmentalReading - Developmental Reading
DevelopmentalEnglishReading - Developmental English/Reading
DevelopmentalOther - Developmental Other
</t>
  </si>
  <si>
    <t xml:space="preserve">Adaptive - Adaptive development delay
Cognitive - Cognitive development delay
Communication - Communication development delay
NoDelay - No delay, needs follow-up
None - None
CarnegieUnits - Carnegie Units 
Physical - Physical development delay
SocialEmotional - Social or emotional development delay
NoDelayDetected - No delay detected
EstablishedCondition - Established condition
AtRisk - At-risk of developing delay
</t>
  </si>
  <si>
    <t xml:space="preserve">Block - Block
RemoveBlock - Remove Block
</t>
  </si>
  <si>
    <t xml:space="preserve">Permanent - Disability has been confirmed as a permanent disability
Temporary - Disability has been confirmed as a temporary disability
</t>
  </si>
  <si>
    <t xml:space="preserve">00 - No disability or impairment known or reported
01 - Blindness or Visual Impairment
02 - Cerebral Palsy
03 - Chronic Illness
04 - Deafness or Hearing Impairment
05 - Drug or Alcohol Addiction
06 - Emotionally/Psychologically Disabled: e.g., schizophrenia or depression
07 - Epilepsy or Seizure Disorders
08 - Intellectual Disability
09 - Orthopedic Impairment
10 - Specific learning disability
11 - Speech or Language impairment
99 - Other type of impairment
</t>
  </si>
  <si>
    <t>Career and Technical -&gt; CTE Student -&gt; Disability
Early Learning -&gt; Early Learning Child -&gt; Disability
K12 -&gt; K12 Student -&gt; Disability
Postsecondary -&gt; PS Student -&gt; Disability</t>
  </si>
  <si>
    <t xml:space="preserve">01 - By physician
02 - By health care provider
03 - By school psychologist or other psychologist
04 - By licensed physical therapist
05 - Self-reported
06 - By social service or other type of agency
97 - Not applicable to the student
98 - Unknown or Unreported
99 - Other
</t>
  </si>
  <si>
    <t>Adult Education -&gt; AE Student -&gt; Disability
Career and Technical -&gt; CTE Student -&gt; Disability
Early Learning -&gt; Early Learning Child -&gt; Disability
K12 -&gt; K12 Student -&gt; Disability
Postsecondary -&gt; PS Student -&gt; Disability</t>
  </si>
  <si>
    <t>Adult Education -&gt; AE Student -&gt; Disability
Career and Technical -&gt; CTE Student -&gt; Disability
Early Learning -&gt; Early Learning Child -&gt; Disability
K12 -&gt; K12 Student -&gt; Disability
K12 -&gt; K12 Student -&gt; Individualized Program -&gt; Eligibility -&gt; Determination
Postsecondary -&gt; PS Student -&gt; Disability</t>
  </si>
  <si>
    <t xml:space="preserve">01 - No Difference
02 - Term Modified By District
03 - Term Modified By Court Order
04 - Term Modified By Mutual Agreement
05 - Student Completed Term Requirements Sooner Than Expected
06 - Student Incarcerated
07 - Term Decreased Due To Extenuating Health-Related Circumstances
08 - Student Withdrew From School
09 - School Year Ended
10 - Continuation Of Previous Year's Disciplinary Action Assignment
11 - Term Modified By Placement Program Due To Student Behavior While In The Placement
12 - Other
</t>
  </si>
  <si>
    <t xml:space="preserve">EXPNOTMODNOALT - One year expulsion and no educational services
EXPMODALT - Expulsion modified to less than one year with educational services
EXPMODNOALT - Expulsion modified to less than one year without educational services
EXPALT - One year expulsion and educational services
REMOVEOTHER - Other reasons such as death, withdrawal, or incarceration
OTHERDISACTION - Another type of disciplinary action
NOACTION - No disciplinary action taken
</t>
  </si>
  <si>
    <t xml:space="preserve">OutOfSchool - Out of School Suspensions/Expulsions
InSchool - In School Suspensions
</t>
  </si>
  <si>
    <t xml:space="preserve">DrugRelated - Illicit drug related
AlcoholRelated - Alcohol related
WeaponsPossession - Weapons possession
WithPhysicalInjury - Violent Incident (with Physical Injury)
WithoutPhysicalInjury - Violent Incident (without Physical Injury)
Other - Other reasons for out of school suspensions related to drug use and violence
</t>
  </si>
  <si>
    <t xml:space="preserve">EnrolledExclusively - Enrolled exclusively in distance education courses
EnrolledInSome - Enrolled in some but not all distance education courses
NotEnrolled - Not enrolled in distance education courses
</t>
  </si>
  <si>
    <t xml:space="preserve">True - Student was admitted as a doctoral candidate
False - Student was not admitted as a doctoral candidate
</t>
  </si>
  <si>
    <t xml:space="preserve">Qualifying - Qualifying exam
OralComprehensive - Oral comprehensive exam
WrittenComprehensive - Written comprehensive exam
Candidacy - Candidacy exam
Other - Other departmental or institutional exam
</t>
  </si>
  <si>
    <t xml:space="preserve">SpecializedKnowledge - Specialized Knowledge
BroadAndIntegrativeKnowledge - Broad and Integrative Knowledge
IntellectualSkills - Intellectual Skills
AppliedAndCollaborativeLearning - Applied and Collaborative Learning
CivicAndGlobalLearning - Civic and Global Learning
</t>
  </si>
  <si>
    <t xml:space="preserve">ChildDevelopmentAssociate - Child Development Associate (CDA)
DirectorsLevelCredential - Directors Level Credential
StateInfantToddler - State Awarded Credential for Infant/Toddler
StatePreschool - State Awarded Preschool Credential
StateSchoolAge - State Awarded School-Age Credential
Other - Other
</t>
  </si>
  <si>
    <t xml:space="preserve">01 - Assistive technology services
02 - Audiology services
03 - Family training/counseling services
04 - Health services
05 - Medical services
06 - Nursing services
07 - Nutrition services
08 - Occupational therapy
09 - Physical therapy
10 - Psychological services
11 - Sign language and cued language services
12 - Service coordination
13 - Social work services
14 - Special instruction
15 - Speech-language pathology services
16 - Vision services
17 - Behavioral health
18 - Transportation
98 - None
99 - Other
</t>
  </si>
  <si>
    <t xml:space="preserve">HomeBased - Home-based (Child's Home)
CommunityBased - Community-based (outside the child's home)
CenterBased - Center-based (including a school setting)
CenterBasedSpecial - Center-based for children with special needs
FamilyChildCare - Family Child Care Home (Provider's Home)
MultiSetting - Multi-setting
LocallyDesigned - Locally designed
</t>
  </si>
  <si>
    <t xml:space="preserve">01 - Creative curriculum infants/toddlers
02 - Creative curriculum preschool
03 - Creative curriculum family child care
04 - Highscope preschoolers
05 - Highscope infants/toddlers
06 - Montessori curriculum
07 - Locally designed curriculum
08 - Other curriculum
09 - None
</t>
  </si>
  <si>
    <t xml:space="preserve">01 - Child growth and development
02 - Health safety and nutrition
03 - Teaching and learning
04 - Observing, documenting and assessing
05 - Family and community relationships
06 - Administration and management
07 - Early childhood education profession and policy
</t>
  </si>
  <si>
    <t xml:space="preserve">Teacher - Teacher
AssistanceTeacher - Assistance Teacher
Administrator - Administrator
NonTeachingLeadership - Non-teaching Leadership
NonTeacherOther - Non-teacher Other
Audiologist - Audiologist
BCBA - Board Certified Behavior Analyst (BCBA)
BCaBA - Board Certified Assistant Behavior Analyst (BCaBA)
ABAAide - Applied Behavior Analysis (ABA) Aide
OccupationalTherapyAssistant - Certified Occupational Therapy Assistant
Nurse - Nurse (LPN, RN, NP)
LowVisionSpecialist - Certified Low Vision Specialist
OrientationMobilitySpecialist - Orientation and Mobility Specialist
VisionRehabTherapist - Vision Rehabilitation Therapist
OccupationalTherapist - Occupational Therapist
Optometrist - Optometrist
PhysicalTherapist - Physical Therapist/Physical Therapy Assistant
Pediatrician - Pediatrician
OtherPhysician - Other Physician
PhysicianAssistant - Physician Assistant
Psychologists - Psychologists
RegisteredNutritionist - Registered or Certified Dietitian/Nutritionist
SchoolPsychologist - School Psychologist
SocialWorker - Clinical and Masters Social Worker
SpecialEducationTeacher - Special Education Teacher
SpeechPathologist - Speech and Language Pathologist
TeacherOfVisuallyImpaired - Teacher of the Blind and Visually Impaired
TeacherOfHearingImpaired - Teacher of the Deaf and Hearing Impaired
TeacherOfLanguageDisabilities - Teacher of Speech and Language Disabilities
ServiceCoordinator - Service Coordinator
ContractStaff - Contract Staff
</t>
  </si>
  <si>
    <t xml:space="preserve">01391 - Change of assignment
89604 - Compensation
01404 - Death
01401 - Falsified application form
01400 - Continued absence or tardiness
01402 - Credential revoked or suspended
01399 - Misconduct
01403 - Unsatisfactory work performance
01398 - Unsuitability
01390 - Family/personal relocation
01392 - Formal study or research
01394 - Homemaking/caring for a family member
01393 - Illness/disability
01395 - Budgetary reduction
01397 - Decreased workload
01396 - Organizational restructuring
09999 - Other
01405 - Personal reason
01389 - Retirement
73201 - Termination with Cause
73202 - Leave Planning to Return
73203 - Leave Not Planning to Return
09997 - Unknown
</t>
  </si>
  <si>
    <t xml:space="preserve">Infants - Meets or exceeds standards for infants
Toddlers - Meets or exceeds standards for toddlers
Preschoolers - Meets or exceeds standards for preschoolers
School-Age - Meets or exceeds standards for school-age
</t>
  </si>
  <si>
    <t xml:space="preserve">LEA - LEA
CountyLevyTax - County Levy Tax
Foundations - Foundations
SpecialFundRaising - Special Fund Raising
LocalGovernment - Local Government
CashDonations - Cash Donations
UnitedWay - United Way
PrivateInsurance - Private Insurance
FamilyFees - Family Fees
Other - Other
</t>
  </si>
  <si>
    <t xml:space="preserve">01 - Head Start
02 - Early Head Start
03 - Office of Child Care-CCDF
04 - Early Intervention Part C
05 - Special Education Preschool Part B 619
99 - Other
</t>
  </si>
  <si>
    <t xml:space="preserve">Baseline - Baseline - at entry
AtExit - At exit
No - No
Other - Other
</t>
  </si>
  <si>
    <t xml:space="preserve">Baseline - Baseline - at entry
AtExit - At exit
NA - Not applicable
Other - Other
</t>
  </si>
  <si>
    <t xml:space="preserve">01 - Child Growth and Development
02 - Health Safety and Nutrition
03 - Teaching and Learning
04 - Observing
05 - Documenting and Assessing Family and Community Relationships
06 - Administration and Management
07 - Early Childhood Education Profession and Policy
08 - Working with Diverse Populations
99 - Other
</t>
  </si>
  <si>
    <t>Early Learning -&gt; Early Learning Class/Group
Early Learning -&gt; Early Learning Organization -&gt; Organization Information</t>
  </si>
  <si>
    <t xml:space="preserve">Age - Age
FamilyIncome - Family income
DisabilityStatus - Disability Status
SSSI - Supplemental social security income
WIC - Women, infants, and children
TANF - Temporary assistance for needy families
OtherPublicAssistance - Other public assistance
Foster - Foster
MilitaryFamily - Military family
ELL - Home language other than English
OtherFamilyRisk - Other family risk factors
OtherChildRisk - Other child risk factors
AtRisk - At-risk of having a substantial developmental delay
Other - Other
</t>
  </si>
  <si>
    <t xml:space="preserve">Pending - Pending
NotEligible - Not found eligible
Eligible - Found eligible
NotActive - Not yet active
</t>
  </si>
  <si>
    <t xml:space="preserve">Unlicensed - Unlicensed
ExemptRegulated - Exempt - regulated
ExemptUnregulated - Exempt - unregulated
Licensed - Licensed
</t>
  </si>
  <si>
    <t xml:space="preserve">ABAAide - Applied Behavior Analysis (ABA) Aide
Audiologist - Audiologist
BCaBA - Board Certified Assistant Behavior Analyst (BCaBA)
BCBA - Board Certified Behavior Analyst (BCBA)
LowVisionSpecialist - Certified Low Vision Specialist
OccupationalTherapyAssistant - Certified Occupational Therapy Assistant
SocialWorker - Clinical and Masters Social Worker
ContractStaff - Contract Staff
HomeVisitor - Home Visitor
Nurse - Nurse (LPN, RN, NP)
OccupationalTherapist - Occupational Therapist
Optometrist - Optometrist
Other - Other
OtherPhysician - Other Physician
OrientationMobilitySpecialist - Orientation and Mobility Specialist
Pediatrician - Pediatrician
PhysicalTherapist - Physical Therapist/Physical Therapy Assistant
PhysicianAssistant - Physician Assistant
Psychologists - Psychologists
RegisteredNutritionist - Registered or Certified Dietitian/Nutritionist
SchoolPsychologist - School Psychologist
ServiceCoordinator - Service Coordinator
SpecialEducationTeacher - Special Education Teacher
SpeechPathologist - Speech and Language Pathologist
TeacherOfLanguageDisabilities - Teacher of Speech and Language Disabilities
TeacherOfVisuallyImpaired - Teacher of the Blind and Visually Impaired
TeacherOfHearingImpaired - Teacher of the Deaf and Hearing Impaired
VisionRehabTherapist - Vision Rehabilitation Therapist
</t>
  </si>
  <si>
    <t xml:space="preserve">MentalHealth - Mental health
Nutritional - Nutritional
Educational - Educational
PhysicalRehabilitation - Physical rehabilitation
DentalHealth - Dental Health
Other - Other
</t>
  </si>
  <si>
    <t xml:space="preserve">StatePartCAppropriations - State Part C Appropriations
StateGeneralFunds - State General Funds
TitleVStateFunds - Title V State Funds
CSHCNStateFunds - CSHCN State Funds
StateSpecialEducationFunds - State Special Education Funds
StateChildCareFunds - State Child Care Funds
LotteryFunds - Lottery Funds
TobaccoFunds - Tobacco Funds
StateHomeVisiting - State Home Visiting
StateDevelopmentalDisabilitiesFund - State Developmental Disabilities Fund
StateMentalHealthFunds - State Mental Health Funds
DeafBlindSchools - Deaf Blind Schools
SSBGStateSupplement - SSBG State Supplement
StatePreK - State Pre-K
HeadStartStateSupplementalFund - Head Start State Supplemental Fund
StatePublicEducationFund - State Public Education Fund
OtherStateFunds - Other State Funds
</t>
  </si>
  <si>
    <t xml:space="preserve">01 - Child growth and development
02 - Health safety and nutrition
03 - Teaching and learning
04 - Observing, documenting and assessing
05 - Family and community relationships
06 - Administration and management
07 - Early childhood education profession and policy
99 - Other
</t>
  </si>
  <si>
    <t>Early Learning -&gt; Early Learning Staff -&gt; Professional Development -&gt; Instructor
Early Learning -&gt; Early Learning Staff -&gt; Professional Development Activity -&gt; Session
K12 -&gt; K12 Staff -&gt; Professional Development -&gt; Instructor</t>
  </si>
  <si>
    <t>K12 -&gt; K12 Student -&gt; Economically Disadvantaged
Postsecondary -&gt; PS Student -&gt; Economically Disadvantaged</t>
  </si>
  <si>
    <t xml:space="preserve">1 - Counties in metro areas of 1 million population or more
2 - Counties in metro areas of 250,000 to 1 million population
3 - Counties in metro areas of fewer than 250,000 population
4 - Urban population of 20,000 or more, adjacent to a metro area
5 - Urban population of 20,000 or more, not adjacent to a metro area
6 - Urban population of 2,500 to 19,999, adjacent to a metro area
7 - Urban population of 2,500 to 19,999, not adjacent to a metro area
8 - Completely rural or less than 2,500 urban population, adjacent to a metro area
9 - Completely rural or less than 2,500 urban population, not adjacent to a metro area
</t>
  </si>
  <si>
    <t xml:space="preserve">EARNGED - Earned a GED
EARNCRE - Earned high school course credits
ENROLLGED - Enrolled in a GED program
ENROLLTRAIN - Enrolled in job training courses/programs
ENROLLSCH - Enrolled in local district school
OBTAINEMP - Obtained employment
EARNDIPL - Obtained high school diploma
POSTSEC - Were accepted and/or enrolled into postsecondary education
</t>
  </si>
  <si>
    <t xml:space="preserve">EARNGED - Earned a GED
EARNCRE - Earned high school course credits
ENROLLGED - Enrolled in a GED program
ENROLLTRAIN - Enrolled in job training courses/programs
OBTAINEMP - Obtained employment
EARNDIPL - Obtained high school diploma
POSTSEC - Were accepted and/or enrolled into postsecondary education
</t>
  </si>
  <si>
    <t xml:space="preserve">TCHEXPRNCD - Experienced Teacher
TCHINEXPRNCD - Inexperienced Teacher
</t>
  </si>
  <si>
    <t xml:space="preserve">TCHOUTFLD - Not teaching in field
TCHINFLD - Teaching in field
</t>
  </si>
  <si>
    <t xml:space="preserve">OfficialTranscript - Official transcript
TranscriptCopy - Transcript copy
DegreeCopy - Degree copy
GradeReport - Grade report
Other - Other
</t>
  </si>
  <si>
    <t>Adult Education -&gt; AE Staff -&gt; Education
Early Learning -&gt; Early Learning Staff -&gt; Education
K12 -&gt; K12 Staff -&gt; Education</t>
  </si>
  <si>
    <t xml:space="preserve">MetAdditionalIndicator - Met Additional Indicator
DidNotMeet - Did Not Meet
TooFewStudents - Too Few Students
NoStudents - No Students
NA - Not applicable
</t>
  </si>
  <si>
    <t xml:space="preserve">Free - Free
FullPrice - Full price
ReducedPrice - Reduced price
Other - Other
</t>
  </si>
  <si>
    <t>Adult Education -&gt; AE Staff -&gt; Employment
Adult Education -&gt; AE Student -&gt; Employment
Early Learning -&gt; Early Learning Staff -&gt; Employment
K12 -&gt; K12 Staff -&gt; Employment
K12 -&gt; K12 Student -&gt; Employment
Postsecondary -&gt; PS Staff -&gt; Employment
Postsecondary -&gt; PS Student -&gt; Employment
Workforce -&gt; Workforce Program Participant -&gt; Employment</t>
  </si>
  <si>
    <t xml:space="preserve">Other - Other location
Multiple - Multiple locations
AK - Alaska
AL - Alabama
AR - Arkansas
AS - American Samoa
AZ - Arizona
CA - California
CO - Colorado
CT - Connecticut
DC - District of Columbia
DE - Delaware
FL - Florida
FM - Federated States of Micronesia
GA - Georgia
GU - Guam
HI - Hawaii
IA - Iowa
ID - Idaho
IL - Illinois
IN - Indiana
KS - Kansas
KY - Kentucky
LA - Louisiana
MA - Massachusetts
MD - Maryland
ME - Maine
MH - Marshall Islands
MI - Michigan
MN - Minnesota
MO - Missouri
MP - Northern Marianas
MS - Mississippi
MT - Montana
NC - North Carolina
ND - North Dakota
NE - Nebraska
NH - New Hampshire
NJ - New Jersey
NM - New Mexico
NV - Nevada
NY - New York
OH - Ohio
OK - Oklahoma
OR - Oregon
PA - Pennsylvania
PR - Puerto Rico
PW - Palau
RI - Rhode Island
SC - South Carolina
SD - South Dakota
TN - Tennessee
TX - Texas
UT - Utah
VA - Virginia
VI - Virgin Islands
VT - Vermont
WA - Washington
WI - Wisconsin
WV - West Virginia
WY - Wyoming
</t>
  </si>
  <si>
    <t xml:space="preserve">01 - State UI Wage Records
02 - Wage Record Interchange System (WRIS II)
03 - Federal Employment Data Exchange System (FEDES)
04 - Other
</t>
  </si>
  <si>
    <t xml:space="preserve">01391 - Change of assignment
89604 - Compensation
01404 - Death
01401 - Falsified application form
01400 - Continued absence or tardiness
01402 - Credential revoked or suspended
01399 - Misconduct
01403 - Unsatisfactory work performance
01398 - Unsuitability
01390 - Family/personal relocation
01392 - Formal study or research
01394 - Homemaking/caring for a family member
01393 - Illness/disability
01395 - Budgetary reduction
01397 - Decreased workload
01396 - Organizational restructuring
09999 - Other
01405 - Personal reason
01389 - Retirement
73201 - Termination with Cause
73202 - Leave Planning to Return
73203 - Leave Not Planning to Return
09997 - Unknown
73204 - Dissatisfied with teaching
73206 - End of Term (Participate Learning)
73205 - End of Term (Teach For America)
73207 - Interim contract ended -not rehired
73208 - Non-renewal (probationary contract ended)
73209 - Re-employed retired teacher resigned
73210 - Resigned due to career change
73211 - Resigned due to movement required by Military Orders
</t>
  </si>
  <si>
    <t xml:space="preserve">Involuntary - Involuntary separation
MutualAgreement - Mutual agreement
Other - Other
Voluntary - Voluntary separation
</t>
  </si>
  <si>
    <t>Early Learning -&gt; Early Learning Staff -&gt; Employment
K12 -&gt; K12 Staff -&gt; Employment</t>
  </si>
  <si>
    <t xml:space="preserve">01384 - Contingent upon funding
01379 - Contractual
06071 - Employed or affiliated with outside agency part-time
01383 - Employed or affiliated with outside organization
01385 - Non-contractual
09999 - Other
01378 - Probationary
06070 - Self-employed part-time
01380 - Substitute/temporary
01381 - Tenured or permanent
01382 - Volunteer/no contract
</t>
  </si>
  <si>
    <t xml:space="preserve">01 - Full-time
02 - Less than full-time but at least half-time
03 - Less than half-time
</t>
  </si>
  <si>
    <t xml:space="preserve">Promotion - Promotion
Retention - Retention
</t>
  </si>
  <si>
    <t>Adult Education -&gt; AE Student -&gt; Program Participation
Early Learning -&gt; Early Learning Child -&gt; Enrollment</t>
  </si>
  <si>
    <t>Adult Education -&gt; AE Student -&gt; Program Participation
Early Learning -&gt; Early Learning Child -&gt; Enrollment
K12 -&gt; K12 Student -&gt; Enrollment
Postsecondary -&gt; PS Student -&gt; Institution Enrollment</t>
  </si>
  <si>
    <t xml:space="preserve">01812 - Concurrently enrolled
01811 - Currently enrolled
01810 - Previously enrolled
01813 - Transferring (will enroll)
</t>
  </si>
  <si>
    <t xml:space="preserve">06262 - Attempts to contact the parent and/or child were unsuccessful
02226 - Completion of IFSP prior to reaching maximum age for Part C
01923 - Died or is permanently incapacitated
01927 - Discontinued schooling
02222 - Discontinued schooling, not special education
02221 - Discontinued schooling, special education only
02227 - Eligible for IDEA, Part B
02224 - Expulsion
02212 - Graduated with a high school diploma
02231 - Moved out of state
02216 - No longer receiving special education
73075 - Moved within the US, not known to be continuing
06261 - Not eligible for Part B, exit with no referrals
02228 - Not eligible for Part B, exit with referrals to other programs
02230 - Part B eligibility not determined
02214 - Program completion
02225 - Program discontinued
02215 - Reached maximum age
02213 - Received certificate of completion, modified diploma, or finished IEP requirements
02217 - Refused services
73076 - Student data claimed in error/never attended
73078 - Student moved to another country, may or may not be continuing
73079 - Student with disabilities remaining in school to receive transitional services
02220 - Suspended from school
02406 - Transferred to another district or school, known not to be continuing in program/service
02218 - Transferred to another district or school, known to be continuing in program/service
02219 - Transferred to another district or school, not known to be continuing in program/service
73077 - Transferred to a juvenile or adult correctional facility where educational services are not provided
02233 - Unknown reason
02232 - Withdrawal by a parent (or guardian)
09999 - Other
</t>
  </si>
  <si>
    <t xml:space="preserve">02882 - Act of violence
02880 - Bomb threat
02888 - Debris flows or mudslide
02886 - Earthquake
02895 - Emergency shelter need
02892 - Extreme heat
02878 - Fire
02897 - Flood
02894 - Gas leak
02883 - Hostage
02884 - Hurricane and tropical storm
02893 - Major chemical emergency
02881 - Terrorism
02879 - Theft
02885 - Thunderstorm - severe
02896 - Tornado
02889 - Tsunami
02890 - Volcano
02891 - Wildfire - surface, ground, or crown fire
02887 - Winter storm
09999 - Other
</t>
  </si>
  <si>
    <t xml:space="preserve">13390 - District/Local
00859 - Federal
00391 - State
</t>
  </si>
  <si>
    <t xml:space="preserve">02828 - Capital improvement plan
02827 - Educational facilities master plan
02825 - Emergency response plan
02829 - Energy management plan
02830 - Hazardous materials management plan
02826 - Maintenance plan
09999 - Other
</t>
  </si>
  <si>
    <t xml:space="preserve">02584 - Americans with Disabilities Act (ADA)
02588 - Asbestos Hazardous Emergency Response Act (AHERA)
02585 - Individuals with Disabilities Education Act (IDEA)
02587 - Lead Contamination Control Act
02586 - Safe Drinking Water Act
09999 - Other
</t>
  </si>
  <si>
    <t xml:space="preserve">02979 - Building commissioning
02977 - Financial audit
02980 - Fiscal audit
02976 - Management audit
02978 - Performance audit
13688 - Post Occupancy Evaluation
02981 - Process audit
13687 - Retro-commissioning
09999 - Other
</t>
  </si>
  <si>
    <t xml:space="preserve">02432 - Nonpermanent building
02431 - Permanent building
</t>
  </si>
  <si>
    <t xml:space="preserve">02913 - District management
02824 - Nonschool public agency management
02823 - Private management
09999 - Other
</t>
  </si>
  <si>
    <t xml:space="preserve">00865 - Charter board
13652 - Federal Agency
00862 - Local (e.g., school board, city council, municipal board)
00864 - Private/Religious
00214 - Regional or intermediate educational agency
00860 - State agency
</t>
  </si>
  <si>
    <t xml:space="preserve">02570 - In compliance
02571 - Not in compliance
02572 - Planned compliance
02573 - Waived compliance
</t>
  </si>
  <si>
    <t xml:space="preserve">02420 - Actual
02421 - Estimated
</t>
  </si>
  <si>
    <t xml:space="preserve">02430 - Adobe
02428 - Aluminum
02424 - Block
02422 - Brick
02423 - Brick veneer
02426 - Concrete
02427 - Prefabricated
02429 - Steel
02425 - Wood frame
09999 - Other
</t>
  </si>
  <si>
    <t xml:space="preserve">02579 - Asbestos contamination
75026 - Child nutrition
02577 - Drinking water safety
02574 - Facility accessibility and usability for individuals with disabilities
02580 - Hazardous materials
02575 - Indoor air quality
02583 - Integrated pest control
02578 - Lead contamination
02582 - Material Safety Data Sheet (MSDS)
03264 - National School Lunch Act
02576 - Radon contamination
02581 - Underground storage tank
09999 - Other
</t>
  </si>
  <si>
    <t xml:space="preserve">13717 - Application fee
13718 - Legal fee
13719 - Origination fee
</t>
  </si>
  <si>
    <t xml:space="preserve">00103 - Administrative office
02792 - Cafeteria
03014 - Classroom
00309 - Occupational therapy
00559 - Physical education
00313 - Physical therapy
</t>
  </si>
  <si>
    <t xml:space="preserve">02898 - Asbestos
13656 - Carbon Monoxide
13657 - Chlorofluorocarbons
13658 - Concentrated animal feeding operations (CAFOs)
13659 - Criteria Air Pollutants
13660 - Drip Lines
13661 - Ground Level Ozone
13662 - Hazardous Air Pollutants
13663 - Hazardous, industrial, or municipal waste sites
13664 - Hydrochlorofluorocarbons
02899 - Lead
13665 - Mercury
13666 - Methane
02900 - Mold
13667 - Nitrogen Oxides
13668 - Particulate Matter
02903 - Pesticides
13669 - Polychlorinated biphenyls (PCBs)
13670 - Propellants
02902 - Radon
13671 - Refrigerants
13672 - Sediment, sludge, reuse material
13673 - Sulfur dioxide
02901 - Underground storage tanks (USTs)
13674 - Vapor intrusion
13675 - Volatile organic compounds
09999 - Other
</t>
  </si>
  <si>
    <t xml:space="preserve">13690 - Dedicated
13689 - Shared
</t>
  </si>
  <si>
    <t xml:space="preserve">13720 - Base rent
13721 - Credit
13722 - Escalator
</t>
  </si>
  <si>
    <t xml:space="preserve">13723 - Building lease
13724 - Ground lease
13725 - Lease build to suit
13726 - Lease shell with significant leasehold improvements
13727 - Triple-net lease
</t>
  </si>
  <si>
    <t xml:space="preserve">Regulated - Regulated
Unregulated - Unregulated
Exempt - Exempt
</t>
  </si>
  <si>
    <t xml:space="preserve">02989 - Emergency maintenance repair
02839 - Predictive
02838 - Preventive
02837 - Routine
02836 - Run to fail
</t>
  </si>
  <si>
    <t xml:space="preserve">13730 - Add-on interest
13731 - Adjustable-Rate Mortgage (ARM)
13732 - Balloon Mortgage
13733 - Deferred Interest
13734 - Fixed Payment Mortgage
13735 - Fixed-rate Mortgage
13736 - Floating Rate
13737 - Fully Amortizing Mortgage
13738 - Graduated-payment Mortgage (GPM)
13739 - Interest-only loan
13740 - Open-end Mortgage
</t>
  </si>
  <si>
    <t xml:space="preserve">13741 - Junior Mortgage
13742 - Multiple
13743 - Senior or first mortgage
</t>
  </si>
  <si>
    <t xml:space="preserve">13678 - Arsenic
13679 - Earthquake prone area
13680 - Floodplain
13681 - Liquefaction, landslide areas
13682 - Naturally Occurring Asbestos (NOA)
13683 - Sinkholes, Karst terrain
</t>
  </si>
  <si>
    <t xml:space="preserve">02821 - District and private sector management
02822 - Nonschool public sector management
02820 - Private sector management
02819 - School district management
09999 - Other
</t>
  </si>
  <si>
    <t xml:space="preserve">ForProfit - For-profit facility
NonProfit - Non-profit facility
GovernmentRun - Government run facility
</t>
  </si>
  <si>
    <t xml:space="preserve">02434 - Athletic field - Natural
02438 - Drop-off/driveway
02526 - Fencing enclosures
02437 - Hardscape game area
02436 - Hardscape play area
02443 - Landscaping
02435 - Outdoor classroom
02524 - Parking area
02433 - Playground
02440 - Retaining walls
02439 - Septic fields
02441 - Sidewalks
02442 - Stairs and ramps
02444 - Water filtration system
09999 - Other
</t>
  </si>
  <si>
    <t xml:space="preserve">13566 - Athletic field - Artificial
02434 - Athletic field - Natural
02438 - Drop-off/driveway
02526 - Fencing enclosures
02437 - Hardscape game area
02436 - Hardscape play area
02443 - Landscaping
02524 - Parking area
02433 - Playground
02440 - Retaining walls
13567 - Semi-permeable game area
02439 - Septic fields
02441 - Sidewalks
13568 - Softscape game area
13569 - Softscape play area
02442 - Stairs and ramps
02444 - Water filtration system
</t>
  </si>
  <si>
    <t xml:space="preserve">02633 - Administration
02634 - Assembly
02631 - Athletic
02628 - Basic classroom
02635 - Corridors
02639 - Dormitory room
02638 - Food service
02630 - Library/media
02773 - Multi-purpose room
02636 - Operational support
03017 - Restroom
02629 - Specialty classroom
02637 - Storage
02788 - Storage - hazardous materials
02632 - Student support
09999 - Other
</t>
  </si>
  <si>
    <t xml:space="preserve">02622 - Design guidelines
02626 - Energy performance standards
13628 - Environmental Standards
02625 - Health and safety standards
02624 - Master construction specifications
02627 - Site selection guidelines
02623 - Space standards
09999 - Other
</t>
  </si>
  <si>
    <t xml:space="preserve">02594 - Acreage standards
02589 - Building code
02593 - Design standards
02598 - Earthquake standards
02590 - Fire code
02592 - Flood control
03265 - Food safety standards
02591 - Health code
02596 - Historic preservation requirements
02597 - Occupational health and safety code
02595 - Standard educational specifications
09999 - Other
</t>
  </si>
  <si>
    <t xml:space="preserve">02563 - Adequate system or component condition
02567 - Emergency system or component condition
02561 - Excellent System or Component Condition
02564 - Fair System or Component Condition
02562 - Good System or Component Condition
02983 - Nonoperable system or component condition
02565 - Poor System or Component Condition
02566 - Urgent building system or component condition
</t>
  </si>
  <si>
    <t xml:space="preserve">02852 - Purchased
02851 - Self-generated
</t>
  </si>
  <si>
    <t xml:space="preserve">02840 - Electricity
02990 - Internet service
02841 - Natural gas
02842 - Oil
13685 - Recycling
02844 - Sewer
02845 - Telephone
13686 - Waste
02843 - Water
09999 - Other
</t>
  </si>
  <si>
    <t xml:space="preserve">FAL1 - Level 1 (lowest level)
FAL2 - Level 2
FAL3 - Level 3
FAL4 - Level 4
FAL5 - Level 5
FAL6 - Level 6 (highest level)
EVALNR - Evaluated, not ranked
</t>
  </si>
  <si>
    <t xml:space="preserve">RETAINED - Retained by SEA for program administration, etc.
TRANSFER - Transferred to another state agency
DISTNONLEA - Distributed to entities other  than LEAs
UNALLOC - Unallocated or returned funds
</t>
  </si>
  <si>
    <t xml:space="preserve">FAFSA - Free Application for Federal Student Aid (FAFSA)
StateApplication - State Application
InstitutionApplication - Institution Application
Other - Other
None - None
</t>
  </si>
  <si>
    <t xml:space="preserve">Awarded - Awarded
Accepted - Accepted
Disbursed - Disbursed
Declined - Declined
</t>
  </si>
  <si>
    <t xml:space="preserve">PellGrants - Pell grants
OtherFederalGrants - Other federal grants
StateAndLocalGrants - State and local grants
InstitutionalGrants - Institutional grants
PrivateGrants - Private grants
OtherGrants - Other grants
Assistantships - Assistantships
FederalScholarships - Federal scholarships
StateAndLocalScholarships - State and local scholarships
InstitutionalScholarships - Institutional scholarships
PrivateScholarships - Private scholarships
OtherScholarships - Other scholarships
FederalSubsidizedLoans - Federal subsidized loans
FederalUnsubsidizedLoans - Federal unsubsidized loans
PrivateLoans - Private loans
StateLoans - State loans
InstitutionalLoans - Institutional loans
ParentPLUSLoans - Parent PLUS loans
OtherLoans - Other loans
StateWork - State work
FederalWorkStudy - Federal work study
OtherOnCampusWork - Other on-campus work
</t>
  </si>
  <si>
    <t xml:space="preserve">VeteranReceivingBenefits - Veteran receiving  benefits
VeteranDoesNotReceiveBenefits - Veteran does not receive benefits
DependentReceivingBenefits - Dependent receiving benefits
</t>
  </si>
  <si>
    <t xml:space="preserve">Post911GIBill - Post-9/11 GI Bill
DODTuitionAssistance - Department of Defense Tuition Assistance
</t>
  </si>
  <si>
    <t xml:space="preserve">Federal - Federal
Institutional - Institutional
</t>
  </si>
  <si>
    <t xml:space="preserve">Handguns - Handguns
RiflesShotguns - Rifles / Shotguns
Multiple - More than one type of weapon or firearm
Other - Other
</t>
  </si>
  <si>
    <t>Adult Education -&gt; AE Staff -&gt; Demographic
Adult Education -&gt; AE Student -&gt; Demographic
Career and Technical -&gt; CTE Staff -&gt; Demographic
Career and Technical -&gt; CTE Student -&gt; Demographic
Early Learning -&gt; Early Learning Staff -&gt; Demographic
K12 -&gt; K12 Staff -&gt; Demographic
K12 -&gt; K12 Student -&gt; Demographic
Postsecondary -&gt; PS Staff -&gt; Demographic
Postsecondary -&gt; PS Student -&gt; Demographic
Workforce -&gt; Workforce Program Participant -&gt; Demographic</t>
  </si>
  <si>
    <t>Adult Education -&gt; AE Staff -&gt; Identity -&gt; Name
Adult Education -&gt; AE Student -&gt; Identity -&gt; Name
Assessments -&gt; Assessment Result -&gt; Scorer
Career and Technical -&gt; CTE Staff -&gt; Identity -&gt; Name
Career and Technical -&gt; CTE Student -&gt; Identity -&gt; Name
Early Learning -&gt; Early Learning Child -&gt; Identity -&gt; Name
Early Learning -&gt; Early Learning Organization -&gt; Contact -&gt; Name
Early Learning -&gt; Early Learning Staff -&gt; Identity -&gt; Name
Early Learning -&gt; Early Learning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</si>
  <si>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 xml:space="preserve">01 - Health insurance
02 - Dental insurance
03 - Vision
04 - Disability insurance
05 - Retirement
06 - Professional membership fees paid
07 - Sick leave
08 - Leave
09 - Vacation
10 - Holiday
11 - Personal leave
12 - Family leave
13 - Bereavement leave
14 - Jury duty leave
15 - Life insurance
16 - Maternity leave
17 - Paternity leave
18 - Family medical leave
19 - Flex plan-dependent care
20 - Flex plan-medical (MSA/HSA)
21 - Transportation
22 - Parking
23 - Flex schedule/time
24 - Employee Assistance Program (EAP)
25 - Paid training
26 - Tuition reimbursement
27 - Child care fee assistance
28 - Bonus
</t>
  </si>
  <si>
    <t>Early Learning -&gt; Early Learning Organization -&gt; Organization Information
K12 -&gt; Organization -&gt; Organization Information
Postsecondary -&gt; Organization -&gt; Organization Information</t>
  </si>
  <si>
    <t>Adult Education -&gt; AE Staff -&gt; Identity -&gt; Name
Adult Education -&gt; AE Student -&gt; Identity -&gt; Name
Career and Technical -&gt; CTE Staff -&gt; Identity -&gt; Name
Career and Technical -&gt; CTE Student -&gt; Identity -&gt; Name
Early Learning -&gt; Early Learning Child -&gt; Identity -&gt; Name
Early Learning -&gt; Early Learning Organization -&gt; Contact -&gt; Name
Early Learning -&gt; Early Learning Staff -&gt; Identity -&gt; Name
Early Learning -&gt; Early Learning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Identity -&gt; Name
Workforce -&gt; Workforce Program Participant -&gt; Identity -&gt; Name</t>
  </si>
  <si>
    <t>Assessments -&gt; Goal
Early Learning -&gt; Early Learning Child -&gt; Individualized Program -&gt; Goal
K12 -&gt; K12 Student -&gt; Individualized Program -&gt; Goal
K12 -&gt; K12 Student -&gt; Individualized Program -&gt; Progress Report -&gt; Goal</t>
  </si>
  <si>
    <t xml:space="preserve">Observationlog - Observation log
Datacharts - Data charts
Tests - Tests
Other - Other
</t>
  </si>
  <si>
    <t xml:space="preserve">SatisfactoryProgress - Satisfactory Progress
UnsatisfactoryProgress - Unsatisfactory Progress
Completed - Completed
Other - Other
</t>
  </si>
  <si>
    <t xml:space="preserve">01 - Obtain a job
02 - Retain current job
03 - Earn a secondary school diploma or achieve GED certificate
04 - Enter postsecondary education or job training
05 - Improve basic literacy skills
06 - Improve English language skills
07 - Obtain citizenship skills
08 - Achieve work-based project learner goals
09 - Other personal goals
</t>
  </si>
  <si>
    <t xml:space="preserve">HighSchool - High School
PSUndergraduate - Postsecondary Undergraduate
PSTransfer - Postsecondary Transfer Institution
PSGraduate - Postsecondary Graduate
</t>
  </si>
  <si>
    <t xml:space="preserve">Weighted - Weighted
Unweighted - Unweighted
</t>
  </si>
  <si>
    <t xml:space="preserve">01 - Teaching
02 - Research
03 - Management Occupations
04 - Business and Financial Occupations
05 - Computer, Engineering and Science Occupations
06 - Community Service, Legal, Arts and Media Occupations
07 - Library and Non-postsecondary Teaching
08 - Healthcare Practitioners and Technical Occupations
</t>
  </si>
  <si>
    <t xml:space="preserve">NotRequired - Exam not required
NotTaken - Exam required but not taken
Waived - Exam waived
Passed - Exam taken and passed
Failed - Exam taken and failed
</t>
  </si>
  <si>
    <t xml:space="preserve">YesReportingOffenses - Yes, with reporting of one or more students for an offense
YesNoReportedOffenses - Yes, with no reported offenses
No - No
NA - Not applicable
</t>
  </si>
  <si>
    <t>Early Learning -&gt; Early Learning Child -&gt; Health -&gt; Hearing
K12 -&gt; K12 Student -&gt; Health -&gt; Hearing</t>
  </si>
  <si>
    <t xml:space="preserve">Passed - Passed
FurtherEvaluation - Further Evaluation Needed
</t>
  </si>
  <si>
    <t xml:space="preserve">MetGoal - Met (Goal)
MetTarget - Met (Target)
DidNotMeet - Did Not Meet
TooFewStudents - Too Few Students
NoStudents - There are no students in a student subgroup. 
NA - Not applicable
</t>
  </si>
  <si>
    <t xml:space="preserve">Regional - Regionally accredited
Programmatic - Programmatic accreditation
National - Nationally accredited
Faith - Faith
CareerRelated - Career related
NotAccredited - Not accredited
</t>
  </si>
  <si>
    <t>Adult Education -&gt; AE Staff -&gt; Education
Early Learning -&gt; Early Learning Staff -&gt; Education
K12 -&gt; K12 Staff -&gt; Education
Postsecondary -&gt; PS Staff -&gt; Education</t>
  </si>
  <si>
    <t xml:space="preserve">HighlyQualitifed - Highly qualified
NotHighlyQualified - Not highly qualified
</t>
  </si>
  <si>
    <t xml:space="preserve">DoubledUp - Doubled Up
Unsheltered - Unsheltered
HotelMotel - Hotels/Motels
Shelter - Shelter
SheltersTransitionalHousing - Shelters Transitional Housing
TransitionalHousing - Transitional Housing
</t>
  </si>
  <si>
    <t>Early Learning -&gt; Early Learning Child -&gt; Homeless
K12 -&gt; K12 Student -&gt; Homeless</t>
  </si>
  <si>
    <t>Early Learning -&gt; Early Learning Child -&gt; Demographic
K12 -&gt; K12 Student -&gt; Homeless
Postsecondary -&gt; PS Student -&gt; Homeless</t>
  </si>
  <si>
    <t xml:space="preserve">Autism - Autism
Deafblindness - Deaf-blindness
Deafness - Deafness
Developmentaldelay - Developmental delay
Emotionaldisturbance - Emotional disturbance
Hearingimpairment - Hearing impairment
Intellectualdisability - Intellectual disability
Multipledisabilities - Multiple disabilities
Orthopedicimpairment - Orthopedic impairment
Otherhealthimpairment - Other health impairment
Specificlearningdisability - Specific learning disability
Speechlanguageimpairment - Speech or language impairment
Traumaticbraininjury - Traumatic brain injury
Visualimpairment - Visual impairment
</t>
  </si>
  <si>
    <t xml:space="preserve">EXPMOD - Expulsion modified to less than one year with educational services under IDEA
EXPNOTMOD - One year expulsion with educational services under IDEA
REMOVEOTHER - Other reasons such as death, withdrawal, or incarceration
OTHERDISACTION - Another type of disciplinary action
NOACTION - No disciplinary action taken
</t>
  </si>
  <si>
    <t xml:space="preserve">REC09YOTHLOC - Other location regular early childhood program (less than 10 hours)
REC10YOTHLOC - Other location regular early childhood program (at least 10 hours)
REC09YSVCS - Services regular early childhood program (less than 10 hours)
REC10YSVCS - Services regular early childhood program (at least10 hours)
SC - Separate special education class
SS - Separate school
RF - Residential Facility
H - Home
SPL - Service provider or other location not in any other category
</t>
  </si>
  <si>
    <t>Early Learning -&gt; Early Learning Child -&gt; Disability
Early Learning -&gt; Early Learning Child -&gt; Enrollment
K12 -&gt; K12 Student -&gt; Individualized Program
K12 -&gt; K12 Student -&gt; Individualized Program -&gt; IDEA Placement</t>
  </si>
  <si>
    <t xml:space="preserve">RC80 - Inside regular class 80% or more of the day
RC79TO40 - Inside regular class 40% through 79% of the day
RC39 - Inside regular class less than 40% of the day
SS - Separate school
RF - Residential facility
HH - Homebound/hospital
CF - Correctional facility
PPPS - Parentally placed in private school
</t>
  </si>
  <si>
    <t xml:space="preserve">AcademicAchievement - Academic Achievement
Developmental - Developmental
Motor - Motor
FunctionalBehavior - Functional Behavior
AdaptiveBehavior - Adaptive Behavior
Transition - Transition
Vocational - Vocational
Communication - Communication
Hearing - Hearing
Vision - Vision
O&amp;M - Orientation and Mobility
Medical - Medical
Language - Language
Speech - Speech
Cognitive - Cognitive
Social/Emotional - Social/Emotional
Other - Other
</t>
  </si>
  <si>
    <t xml:space="preserve">Active - Active
Inactive - Inactive
NotSelected - Not Selected
</t>
  </si>
  <si>
    <t xml:space="preserve">REMDW - Removal for drugs, weapons, or serious bodily injury
REMHO - Removed based on a Hearing Officer finding
</t>
  </si>
  <si>
    <t xml:space="preserve">Drugs - Drugs
Weapons - Weapons
SeriousBodilyInjury - Serious bodily injury
</t>
  </si>
  <si>
    <t xml:space="preserve">DevelopmentalDelay - Developmental Delay
DiagnosedCondition - Diagnosed Condition
AtRisk - At-risk
</t>
  </si>
  <si>
    <t xml:space="preserve">Placement - Placement
Amendment - Amendment
AnnualGoal - Annual Goal
MeasurableObjective - Measurable Objective
IEP - IEP
Revoke - Revoke
</t>
  </si>
  <si>
    <t xml:space="preserve">Initial - Initial
Reevaluation - Reevaluation
</t>
  </si>
  <si>
    <t xml:space="preserve">Academic - Academic
Functional - Functional
Transitional - Transitional
</t>
  </si>
  <si>
    <t>Early Learning -&gt; Early Learning Child -&gt; Health -&gt; Immunization
K12 -&gt; K12 Student -&gt; Health -&gt; Immunization</t>
  </si>
  <si>
    <t xml:space="preserve">Diphtheria - Diphtheria
HaemophilusInfluenzae - Haemophilus Influenzae
HepatitisA - Hepatitis A
HepatitisB - Hepatitis B
InactivatedPoliovirus - Inactivated Poliovirus
Influenza - Influenza
Meningococcal - Meningococcal
Mumps - Mumps
Pertussis - Pertussis (Whooping Cough)
Pneumococcal - Pneumococcal
RhImmuneGlobulin - Rh. Immune Globulin
Rotavirus - Rotavirus
Rubella - Rubella (German measles)
Rubeola - Rubeola (Measles)
Smallpox - Smallpox
Tetanus - Tetanus
Tuberculosis - Tuberculosis (BCG)
Varicella - Varicella
ParentOptOut - Parent opt-out
</t>
  </si>
  <si>
    <t xml:space="preserve">MajorInjury - Major injury
MinorInjury - Minor injury
NoInjury - No injury
SeriousBodilyInjury - Serious bodily injury
FatalInjury - Fatal injury
</t>
  </si>
  <si>
    <t xml:space="preserve">03011 - On campus
03012 - Administrative offices area
03013 - Cafeteria area
03014 - Classroom
03015 - Hallway or stairs
03016 - Locker room or gym areas
03017 - Restroom
03018 - Library/media center
03019 - Computer lab
03020 - Auditorium
03021 - On-campus other inside area
03022 - Athletic field or playground
03023 - Stadium
03024 - Parking lot
03025 - On-campus other outside area
03026 - Off campus
03027 - Bus stop
03028 - School bus
03029 - Walking to or from school
03030 - Off-campus at other school
03031 - Off-campus at other school district facility
03413 - Online
13773 - Off-campus at a school sponsored activity
13774 - Off-campus at another location unrelated to school
09997 - Unknown
</t>
  </si>
  <si>
    <t xml:space="preserve">Primary - Primary
Secondary - Secondary
</t>
  </si>
  <si>
    <t xml:space="preserve">03041 - Administrator
13342 - All Other Support Staff
04723 - Athletic coach
04708 - Board of education/school board/board of trustees member
04864 - Bus driver
04877 - Cook/food preparer (food service staff)
04725 - Counselor
04878 - Custodian
04710 - Dean/dean of instructions/dean of students/dean of boys/dean of girls/dean of student activities
04712 - Deputy/associate/assistant superintendent/ commissioner
04711 - Deputy/associate/vice /assistant principal
03168 - Former student
03054 - Law enforcement officer
13335 - Librarians/Media Specialist
03055 - Municipal law enforcement officer assigned to the school
03056 - Municipal law enforcement officer not assigned to the school
03059 - Nonschool personnel
03061 - Other adult
03062 - Other nonstudent youth
13403 - Other Professional Staff
13333 - Paraprofessionals/Instructional Aide
00850 - Parent/guardian
04718 - Principal/headmaster/headmistress/head of school
03035 - Professional educational staff
04783 - Registered nurse
03060 - Representative of visiting school
13340 - School Administrative Support Staff
13334 - School Counselor
03057 - School district police officer assigned to the school
03058 - School district police officer not assigned to the school
04885 - Security guard
04788 - Social worker
03422 - Staff member
00126 - Student
04730 - Student activity advisor/non athletic coach
03033 - Student enrolled in another school
03032 - Student enrolled in the school where the incident occurred
03034 - Student expelled or involuntarily withdrawn
13782 - Substitute teacher
04721 - Superintendent/commissioner
04732 - Teacher
09997 - Unknown
</t>
  </si>
  <si>
    <t xml:space="preserve">Victim - Victim
Perpetrator - Perpetrator
Witness - Witness
Reporter - Reporter
</t>
  </si>
  <si>
    <t xml:space="preserve">00126 - Student
03032 - Student enrolled in the school where the incident occurred
03033 - Student enrolled in another school
03034 - Student expelled or involuntarily withdrawn
03422 - Staff member
03035 - Professional educational staff
04732 - Teacher
13782 - Substitute teacher
13335 - Librarians/Media Specialist
04725 - Counselor
13334 - School Counselor
04723 - Athletic coach
04730 - Student activity advisor/non athletic coach
13403 - Other Professional Staff
04783 - Registered nurse
04788 - Social worker
03041 - Administrator
04718 - Principal/headmaster/headmistress/head of school
04711 - Deputy/associate/vice /assistant principal
04710 - Dean/dean of instructions/dean of students/dean of boys/dean of girls/dean of student activities
04721 - Superintendent/commissioner
04712 - Deputy/associate/assistant superintendent/ commissioner
04708 - Board of education/school board/board of trustees member
13342 - All Other Support Staff
04864 - Bus driver
13340 - School Administrative Support Staff
04878 - Custodian
04877 - Cook/food preparer (food service staff)
13333 - Paraprofessionals/Instructional Aide
04885 - Security guard
03054 - Law enforcement officer
03055 - Municipal law enforcement officer assigned to the school
03056 - Municipal law enforcement officer not assigned to the school
03057 - School district police officer assigned to the school
03058 - School district police officer not assigned to the school
03059 - Nonschool personnel
00850 - Parent/guardian
03060 - Representative of visiting school
03061 - Other adult
03168 - Former student
03062 - Other nonstudent youth
09997 - Unknown
</t>
  </si>
  <si>
    <t xml:space="preserve">13765 - After classes
13761 - Before classes
13762 - During class
13764 - During lunch/recess
13763 - During passing
13770 - Nonschool-sponsored activity
13768 - On the way from school
13767 - On the way to school
13766 - Other time during school hours
13771 - Other time outside school hours
13769 - School-sponsored activity
13772 - Unknown
</t>
  </si>
  <si>
    <t>Early Learning -&gt; Early Learning Family -&gt; Family/Household Information
Early Learning -&gt; Parent/Guardian
Early Learning -&gt; Parent/Guardian -&gt; Relationship</t>
  </si>
  <si>
    <t>Early Learning -&gt; Early Learning Child -&gt; Program
Early Learning -&gt; Early Learning Organization -&gt; Organization Information
K12 -&gt; K12 Student -&gt; Individualized Program
K12 -&gt; K12 Student -&gt; Individualized Program -&gt; IDEA Placement</t>
  </si>
  <si>
    <t xml:space="preserve">HeadStart - Head Start calculation
StateSpecific - State-specific calculation
</t>
  </si>
  <si>
    <t xml:space="preserve">LongerSchoolYear - Longer School Year
LongerSchoolDay - Longer School Day
BeforeOrAfterSchool - Before or After School
SummerSchool - Summer School
WeekendSchool - Weekend School
Other - Other
AfterSchool - After School
BeforeSchool - Before School
NightSchool - Night School
</t>
  </si>
  <si>
    <t>K12 -&gt; K12 School -&gt; Institution Characteristics
Postsecondary -&gt; PS Institution -&gt; Institution Characteristics</t>
  </si>
  <si>
    <t>Early Learning -&gt; Early Learning Child -&gt; Individualized Program
K12 -&gt; K12 Student -&gt; Individualized Program</t>
  </si>
  <si>
    <t xml:space="preserve">Daily - Daily
Weekly - Weekly
Biweekly - Biweekly
Monthly - Monthly
Bimonthly - Bimonthly
Quarterly - Quarterly
Semiannually - Semiannually
Annually - Annually
Other - Other
</t>
  </si>
  <si>
    <t xml:space="preserve">01 - Assistive technology services
02 - Audiology services
03 - Family training/counseling services
04 - Health services
05 - Medical services
06 - Nursing services
07 - Nutrition services
08 - Occupational therapy
09 - Physical therapy
10 - Psychological services
11 - Sign language and cued language services
12 - Service coordination
13 - Social work services
14 - Special instruction
15 - Speech-language pathology services
16 - Vision services
99 - Other
</t>
  </si>
  <si>
    <t xml:space="preserve">Development - Development date
Implementation - Implementation date
TentativeRevision - Tentative revision date
Revision - Revision date
Other - Other
</t>
  </si>
  <si>
    <t xml:space="preserve">Daily - Daily
Weekly - Weekly
Monthly - Monthly
Quarterly - Quarterly
Term - Term
Other - Other
</t>
  </si>
  <si>
    <t xml:space="preserve">Reportcard - Report card
Progressreports - Progress reports
Parentconference - Parent conference
Other - Other
</t>
  </si>
  <si>
    <t xml:space="preserve">03426 - Postsecondary education or training
00518 - Work
09998 - None
</t>
  </si>
  <si>
    <t>Early Learning -&gt; Early Learning Child -&gt; Individualized Program
Early Learning -&gt; Early Learning Child -&gt; Services
K12 -&gt; K12 Student -&gt; Individualized Program</t>
  </si>
  <si>
    <t xml:space="preserve">Main - Main phone number
Administrative - Administrative phone number
HealthClinic - Health clinic phone number
Attendance - Attendance line
Fax - Fax number
FoodServices - Cafeteria/Food Services
Other - Other
</t>
  </si>
  <si>
    <t>Early Learning -&gt; Early Learning Organization -&gt; Telephone
K12 -&gt; K12 School -&gt; Telephone
K12 -&gt; LEA -&gt; Telephone
K12 -&gt; Organization -&gt; Telephone
Postsecondary -&gt; Organization -&gt; Telephone</t>
  </si>
  <si>
    <t xml:space="preserve">ExclusivelyCredit - Exclusively credit
ExclusivelyNotForCredit - Exclusively not-for-credit
Combined - Combined credit/not-for-credit
</t>
  </si>
  <si>
    <t xml:space="preserve">Credit - Credit
Contact - Contact
</t>
  </si>
  <si>
    <t xml:space="preserve">Tenured - Tenured
OnTenureTrack - On tenure track
NotOnTenureTrack - Not on tenure track
WithoutFacultyStatus - Without faculty status
</t>
  </si>
  <si>
    <t xml:space="preserve">Developing - Developing
Approaching - Approaching
Meets - Meets
FullyIntegrated - Fully integrated
NotRequired - Not required to report
</t>
  </si>
  <si>
    <t xml:space="preserve">CellularNetwork - Cellular Network
CommunityProvidedWi-Fi - Community Provided Wi-Fi
Dialup - Dial-up
HotSpot - Hot Spot
None - None
ResidentialBroadband - Residential Broadband
Satellite - Satellite
Unknown - Unknown
Other - Other
</t>
  </si>
  <si>
    <t>Adult Education -&gt; AE Student -&gt; Digital Access -&gt; Internet Speed Test
Career and Technical -&gt; CTE Student -&gt; Digital Access -&gt; Internet Speed Test
Early Learning -&gt; Early Learning Child -&gt; Digital Access -&gt; Internet Speed Test
K12 -&gt; K12 Student -&gt; Digital Access -&gt; Internet Speed Test
Postsecondary -&gt; PS Student -&gt; Digital Access -&gt; Internet Speed Test
Workforce -&gt; Workforce Program Participant -&gt; Digital Access -&gt; Internet Speed Test</t>
  </si>
  <si>
    <t xml:space="preserve">No - No
Sometimes - Sometimes
Yes - Yes
</t>
  </si>
  <si>
    <t xml:space="preserve">Longterminvestments - Long-term investments
PropertyPlantEquipmentnetofaccumulateddepreciation - Property, Plant, and Equipment, net of accumulated depreciation
IntangibleAssetsnetofaccumulatedamortization - Intangible Assets, net of accumulated amortization
AssetsCashcashequivalentstemporaryinvestments - Assets: Cash, cash equivalents, and temporary investments
AssetsReceivablesnetofallowancefor - Assets: Receivables (net of allowance for uncollectible amounts)
AssetsInventoriesprepaidexpensesdeferredcharges - Assets: Inventories, prepaid expenses, and deferred charges
AssetsAmountsheldbytrusteesfor - Assets: Amounts held by trustees for construction and debt service
AssetsOtherassets - Assets: Other assets
LiabilitiesAccountspayable - Liabilities: Accounts payable
LiabilitiesDeferredrevenuesrefundableadvances - Liabilities: Deferred revenues and refundable advances
LiabilitiesPostretirementpostemploymentobligations - Liabilities: Post-retirement and post-employment obligations
LiabilitiesOtheraccruedliabilities - Liabilities: Other accrued liabilities
LiabilitiesAnnuitylifeincomeobligationsother - Liabilities: Annuity and life income obligations and other amounts held for the benefit of others
LiabilitiesBondsnotescapitalleases - Liabilities: Bonds, notes, and capital leases payable and other long-term debt, including current portion
LiabilitiesGovernmentgrantsrefundableunder - Liabilities: Government grants refundable under student loan programs
LiabilitiesOtherliabilities - Liabilities: Other liabilities
DebtrelatedtoPropertyPlantEquipment - Debt related to Property, Plant, and Equipment
Totalunrestrictednetassets - Total unrestricted net assets
Permanentlyrestrictednetassets - Permanently restricted net assets
Temporarilyrestrictednetassets - Temporarily restricted net assets
GrossPropertyPlantEquipmentLandlandimprovements - Gross Property Plant Equipment: Land and land improvements
GrossPropertyPlantEquipmentBuildings - Gross Property Plant Equipment: Buildings
GrossPropertyPlantEquipmentEquipment - Gross Property Plant Equipment: Equipment, including art and library collections
GrossPropertyPlantEquipmentConstructioninProgress - Gross Property Plant Equipment: Construction in Progress
GrossPropertyPlantEquipmentOther - Gross Property Plant Equipment: Other
Accumulateddepreciation - Accumulated depreciation
</t>
  </si>
  <si>
    <t xml:space="preserve">Instruction - Instruction
Research - Research
Publicservice - Public service
Academicsupport - Academic support
Studentservices - Student services
Institutionalsupport - Institutional support
Auxiliaryenterprises - Auxiliary enterprises
Netgrantaidtostudents - Net grant aid to students
Hospitalservices - Hospital services
Independentoperations - Independent operations
Other - Other
</t>
  </si>
  <si>
    <t xml:space="preserve">Passthrough - Pass through
Federalgrantrevenue - Federal grant revenue
DoesnotawardPellgrants - Does not award Pell grants
</t>
  </si>
  <si>
    <t xml:space="preserve">Tuitionfeesnetofallowance - Tuition and fees (net of allowance)
Federalappropriations - Federal appropriations
Stateappropriations - State appropriations
Localappropriations - Local appropriations
Federalgrantscontracts - Federal grants and contracts
Stategrantscontracts - State grants and contracts
Localgrantscontracts - Local grants and contracts
Privategifts - Private gifts
Privategrantscontracts - Private grants and contracts
Contributionsfromaffiliatedentities - Contributions from affiliated entities
Investmentreturn - Investment return
Salesservicesofeducationalactivities - Sales and services of educational activities
Salesservicesofauxiliaryenterprisesnetofallowance - Sales and services of auxiliary enterprises (net of allowance)
Hospitalrevenuenottobereportedby - Hospital revenue (not to be reported by less-than-4-year institutions)
Independentoperationsrevenuenottobe - Independent operations revenue (not to be reported by less-than-4-year institutions)
Otherrevenue - Other revenue
Netassetsreleasedfromrestriction - Net assets released from restriction
</t>
  </si>
  <si>
    <t xml:space="preserve">Unrestricted - Unrestricted
TemporarilyRestricted - Temporarily Restricted
PermanentlyRestricted - Permanently Restricted
</t>
  </si>
  <si>
    <t xml:space="preserve">Pellgrants - Pell grants
Otherfederalgrants - Other federal grants
Grantsbystategovernment - Grants by state government
Grantsbylocalgovernment - Grants by local government
Institutionalgrantsrestricted - Institutional grants (restricted)
Institutionalgrantsunrestricted - Institutional grants (unrestricted)
Discountsallowancesappliedtotuitionfees - Discounts and allowances applied to tuition and fees
Discountsallowancesappliedtoauxiliary - Discounts and allowances applied to auxiliary enterprise revenues
</t>
  </si>
  <si>
    <t xml:space="preserve">Totalcurrentassets - Total current assets
Depreciablecapitalassetsnetofdepreciation - Depreciable capital assets, net of depreciation
Othernoncurrentassets - Other noncurrent assets
Deferredoutflowsofresources - Deferred outflows of resources
Longtermdebtcurrentportion - Long-term debt, current portion
Othercurrentliabilities - Other current liabilities
Longtermdebt - Long-term debt
Othernoncurrentliabilities - Other non-current liabilities
Deferredinflowsofresources - Deferred inflows of resources
Netassetsinvestedincapitalassetsnetofrelateddebt - Net assets invested in capital assets, net of related debt
Restrictedexpendablenetassets - Restricted expendable net assets
Restrictednonexpendablenetassets - Restricted non-expendable net assets
Unrestrictednetassets - Unrestricted net assets
CapitalAssetsLandlandimprovements - Capital Assets: Land and land improvements
CapitalAssetsInfrastructure - Capital Assets: Infrastructure
CapitalAssetsBuildings - Capital Assets: Buildings
CapitalAssetsEquipmentincludingartlibrary - Capital Assets: Equipment, including art and library collections
CapitalAssetsConstructioninprogress - Capital Assets: Construction in progress
CapitalAssetsAccumulateddepreciation - Capital Assets: Accumulated depreciation
CapitalAssetsIntangibleassetsnetof - Capital Assets: Intangible assets, net of accumulated amortization
CapitalAssetsOthercapitalassets - Capital Assets: Other capital assets
</t>
  </si>
  <si>
    <t xml:space="preserve">Instruction - Instruction
Research - Research
Publicservice - Public service
Academicsupport - Academic support
Studentservices - Student services
Institutionalsupport - Institutional support
Auxiliaryenterprises - Auxiliary enterprises
Scholarshipsfellowships - Scholarships and fellowships
Hospitalservices - Hospital services
Independentoperations - Independent operations
Other - Other
</t>
  </si>
  <si>
    <t xml:space="preserve">Tuitionfeesnetofdiscountsallowances - Tuition and fees (net discounts and allowances)
Federaloperatinggrantscontracts - Federal operating grants and contracts
Stateoperatinggrantscontracts - State operating grants and contracts
Localgovernmentoperatinggrantscontracts - Local government operating grants and contracts
Privateoperatinggrantscontracts - Private operating grants and contracts
Salesservicesofauxiliaryenterprisesnetofdiscounts - Sales and services of auxiliary enterprises (net discounts and allowances)
Salesservicesofhospitalsafterdeducting - Sales and services of hospitals (after deducting patient contractual allowances)
Salesservicesofeducationalactivities - Sales &amp; services of educational activities
Independentoperations - Independent operations
Otheroperatingrevenue - Other operating revenue
Federalappropriations - Federal appropriations
Stateappropriations - State appropriations
Localappropriationseducationdistrict - Local appropriations, education district taxes, and similar support
Federalnonoperatinggrants - Federal nonoperating grants
Statenonoperatinggrants - State nonoperating grants
Localgovernmentnonoperatinggrants - Local government nonoperating grants
Giftsincludingcontributionsfromaffiliated - Gifts, including contributions from affiliated organizations
Investmentincome - Investment income
Othernonoperatingrevenues - Other nonoperating revenues
Capitalappropriations - Capital appropriations
Capitalgrantsgifts - Capital grants and gifts
Additionstopermanentendowments - Additions to permanent endowments
Otherrevenuesadditions - Other revenues and additions
</t>
  </si>
  <si>
    <t xml:space="preserve">Pellgrants - Pell grants
Otherfederalgrants - Other federal grants
Grantsbystategovernment - Grants by state government
Grantsbylocalgovernment - Grants by local government
Institutionalgrantsfromrestrictedresources - Institutional grants from restricted resources
Institutionalgrantsfromunrestrictedresources - Institutional grants from unrestricted resources
Discountsallowancesappliedtotuitionfees - Discounts &amp; allowances applied to tuition &amp; fees
Discountsallowancesappliedtosalesservices - Discounts &amp; allowances applied to sales &amp; services of auxiliary enterprises
</t>
  </si>
  <si>
    <t xml:space="preserve">Auxiliaryenterprises - Auxiliary enterprises
Studentservices - Student services
Doesnotparticipateinintercollegiateathletics - Does not participate in intercollegiate athletics
Other - Other
</t>
  </si>
  <si>
    <t xml:space="preserve">Salarieswages - Salaries and wages
Benefits - Benefits
Operationmaintenanceofplant - Operation and maintenance of plant
Depreciation - Depreciation
Interest - Interest
Other - Other
</t>
  </si>
  <si>
    <t xml:space="preserve">aav - Austro-Asiatic languages
afa - Afro-Asiatic languages
alg - Algonquian languages
alv - Atlantic-Congo languages
apa - Apache languages
aqa - Alacalufan languages
aql - Algic languages
art - Artificial languages
ath - Athapascan languages
auf - Arauan languages
aus - Australian languages
awd - Arawakan languages
azc - Uto-Aztecan languages
bad - Banda languages
bai - Bamileke languages
bat - Baltic languages
ber - Berber languages
bih - Bihari languages
bnt - Bantu languages
btk - Batak languages
cai - Central American Indian languages
cau - Caucasian languages
cba - Chibchan languages
ccn - North Caucasian languages
ccs - South Caucasian languages
cdc - Chadic languages
cdd - Caddoan languages
cel - Celtic languages
cmc - Chamic languages
cpe - Creoles and pidgins, Englishâ€‘based
cpf - Creoles and pidgins, Frenchâ€‘based
cpp - Creoles and pidgins, Portuguese-based
crp - Creoles and pidgins
csu - Central Sudanic languages
cus - Cushitic languages
day - Land Dayak languages
dmn - Mande languages
dra - Dravidian languages
egx - Egyptian languages
esx - Eskimo-Aleut languages
euq - Basque (family)
fiu - Finno-Ugrian languages
fox - Formosan languages
gem - Germanic languages
gme - East Germanic languages
gmq - North Germanic languages
gmw - West Germanic languages
grk - Greek languages
hmx - Hmong-Mien languages
hok - Hokan languages
hyx - Armenian (family)
iir - Indo-Iranian languages
ijo - Ijo languages
inc - Indic languages
ine - Indo-European languages
ira - Iranian languages
iro - Iroquoian languages
itc - Italic languages
jpx - Japanese (family)
kar - Karen languages
kdo - Kordofanian languages
khi - Khoisan languages
kro - Kru languages
map - Austronesian languages
mkh - Mon-Khmer languages
mno - Manobo languages
mun - Munda languages
myn - Mayan languages
nah - Nahuatl languages
nai - North American Indian languages
ngf - Trans-New Guinea languages
nic - Niger-Kordofanian languages
nub - Nubian languages
omq - Oto-Manguean languages
omv - Omotic languages
oto - Otomian languages
paa - Papuan languages
phi - Philippine languages
plf - Central Malayo-Polynesian languages
poz - Malayo-Polynesian languages
pqe - Eastern Malayo-Polynesian languages
pqw - Western Malayo-Polynesian languages
pra - Prakrit languages
qwe - Quechuan (family)
roa - Romance languages
sai - South American Indian languages
sal - Salishan languages
sdv - Eastern Sudanic languages
sem - Semitic languages
sgn - sign languages
sio - Siouan languages
sit - Sino-Tibetan languages
sla - Slavic languages
smi - Sami languages
son - Songhai languages
sqj - Albanian languages
ssa - Nilo-Saharan languages
syd - Samoyedic languages
tai - Tai languages
tbq - Tibeto-Burman languages
trk - Turkic languages
tup - Tupi languages
tut - Altaic languages
tuw - Tungus languages
urj - Uralic languages
wak - Wakashan languages
wen - Sorbian languages
xgn - Mongolian languages
xnd - Na-Dene languages
ypk - Yupik languages
zhx - Chinese (family)
zle - East Slavic languages
zls - South Slavic languages
zlw - West Slavic languages
znd - Zande languages
</t>
  </si>
  <si>
    <t xml:space="preserve">LEAOnly - LEA only
SEAOnly - SEA only
Both - LEA and SEA
Neither - Neither LEA or SEA
</t>
  </si>
  <si>
    <t xml:space="preserve">FullDay - Full-day
Part-day - Part-day
NotProvided - Not provided
</t>
  </si>
  <si>
    <t xml:space="preserve">FullDayKindergarten - Full-Day kindergarten
PartDayKindergarten - Part-Day kindergarten
ExtendedDayKindergarten - Extended day kindergarten
</t>
  </si>
  <si>
    <t>Early Learning -&gt; Early Learning Class/Group
Early Learning -&gt; Early Learning Organization -&gt; Cultural and Linguistic Diversity</t>
  </si>
  <si>
    <t>Adult Education -&gt; AE Staff -&gt; Language
Adult Education -&gt; AE Student -&gt; Language
Career and Technical -&gt; CTE Staff -&gt; Language
Career and Technical -&gt; CTE Student -&gt; Language
Early Learning -&gt; Early Learning Child -&gt; Language
Early Learning -&gt; Early Learning Staff -&gt; Language
Early Learning -&gt; Parent/Guardian -&gt; Language
K12 -&gt; K12 Staff -&gt; Language
K12 -&gt; K12 Student -&gt; Language
K12 -&gt; Parent/Guardian -&gt; Language
Postsecondary -&gt; Parent/Guardian -&gt; Language
Postsecondary -&gt; PS Staff -&gt; Language
Postsecondary -&gt; PS Student -&gt; Language
Workforce -&gt; Workforce Program Participant -&gt; Language</t>
  </si>
  <si>
    <t>Adult Education -&gt; AE Staff -&gt; Contact -&gt; Address
Adult Education -&gt; AE Student -&gt; Contact -&gt; Address
Career and Technical -&gt; CTE Staff -&gt; Contact -&gt; Address
Career and Technical -&gt; CTE Student -&gt; Contact -&gt; Address
Early Learning -&gt; Early Learning Child -&gt; Contact -&gt; Address
Early Learning -&gt; Early Learning Organization -&gt; Address
Early Learning -&gt; Early Learning Organization -&gt; Contact -&gt; Address
Early Learning -&gt; Early Learning Staff -&gt; Contact -&gt; Address
Early Learning -&gt; Parent/Guardian -&gt; Contact -&gt; Address
Facilities -&gt; Facility -&gt; Address
K12 -&gt; K12 School -&gt; Address
K12 -&gt; K12 Staff -&gt; Contact -&gt; Address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</si>
  <si>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 xml:space="preserve">abandoned - Abandoned
answered - Answered
asked - Asked
attempted - Attempted
attended - Attended
commented - Commented
completed - Completed
exited - Exited
experienced - Experienced
failed - Failed
imported - Imported
initialized - Initialized
interacted - Interacted
launched - Launched
logged-in - Logged-In
logged-out - Logged-Out
mastered - Mastered
passed - Passed
preferred - Preferred
progressed - Progressed
registered - Registered
responded - Responded
resumed - Resumed
satisfied - Satisfied
scored - Scored
shared - Shared
suspended - Suspended
terminated - Terminated
voided - Voided
waived - Waived
</t>
  </si>
  <si>
    <t xml:space="preserve">Week - Week
Day - Day
Hour - Hour
Minute - Minute
Second - Second
</t>
  </si>
  <si>
    <t xml:space="preserve">Assignment - Assignment
LearningResource - Learning Resource
Activity - Activity
Lesson - Lesson
</t>
  </si>
  <si>
    <t xml:space="preserve">AndroidAccessibility - Android Accessibility
ARIA - ARIA
ATK - ATK
AT-SPI - AT-SPI
BlackberryAccessibility - Blackberry Accessibility
iAccessible2 - I Accessible2
iOSAccessibility - iOS Accessibility
JavaAccessibility - Java Accessibility
MacOSXAccessibility - Mac OSX Accessibility
MSAA - MSAA
UIAutomation - UI Automation
</t>
  </si>
  <si>
    <t xml:space="preserve">Flashing - Flashing
MotionSimulation - Motion simulation
Sound - Sound
</t>
  </si>
  <si>
    <t xml:space="preserve">auditory - Auditory
colorDependent - Color Dependent
tactile - Tactile
textOnImage - Text On Image
textual - Textual
visual - Visual
</t>
  </si>
  <si>
    <t xml:space="preserve">FreeAccess - Free Access
FreeAccessWithRegistration - Free Access with Registration
LimitedFreeAccess - Limited Free Access
AvailableForPurchase - Available for Purchase
AvailableBySubscription - Available by Subscription
PublisherDefined - Publisher Defined
</t>
  </si>
  <si>
    <t xml:space="preserve">Organization - Organization
Person - Person
</t>
  </si>
  <si>
    <t xml:space="preserve">Ebook - Ebook
Hardcover - Hardcover
Paperback - Paperback
DAISY202 - DAISY202
DAISY3 - DAISY3
EPUB2 - EPUB2
EPUB3 - EPUB3
Other - Other
</t>
  </si>
  <si>
    <t xml:space="preserve">Assesses - Assesses
Teaches - Teaches
Requires - Requires
TextComplexity - Text Complexity
ReadingLevel - Reading Level
EducationalSubject - Educational Subject
EducationLevel - Education Level
</t>
  </si>
  <si>
    <t xml:space="preserve">fullAudioControl - Full Audio Control
fullKeyboardControl - Full Keyboard Control
fullMouseControl - Full Mouse Control
fullTouchControl - Full Touch Control
fullVideoControl - Full Video Control
</t>
  </si>
  <si>
    <t xml:space="preserve">application - Application
audio - Audio
example - Example
image - Image
message - Message
model - Model
multipart - Multipart
text - Text
video - Video
</t>
  </si>
  <si>
    <t xml:space="preserve">CurriculumInstruction - Curriculum/Instruction
Assessment - Assessment
ProfessionalDevelopment - Professional Development
Other - Other
</t>
  </si>
  <si>
    <t xml:space="preserve">Administrator - Administrator
Mentor - Mentor
Parent - Parent
Peer-Tutor - Peer- Tutor
Specialist - Specialist
Student - Student
Teacher - Teacher
Team - Team
Other - Other
</t>
  </si>
  <si>
    <t xml:space="preserve">Asynchronous - Student-oriented teaching and learning which is not organized around participants interacting at the same time and in the same space.
Synchronous - Group-oriented teaching and learning organized around participants interacting at the same time and in the same space.
</t>
  </si>
  <si>
    <t xml:space="preserve">Active - Active
Expositive - Expositive
Mixed - Mixed
</t>
  </si>
  <si>
    <t xml:space="preserve">alternativeText - Alternative Text
audioDescription - Audio Description
braille - Braille
captions - Captions
ChemML - Chem M L
describedMath - Described Math
displayTransformability - Display Transformability
haptic - Haptic
highContrast - High Contrast
largePrint - Large Print
latex - Latex
longDescription - Long Description
MathML - Math M L
musicBraille - Music Braille
nemethBraille - Nemeth Braille
signLanguage - Sign Language
structuralNavigation - Structural Navigation
tactileGraphics - Tactile Graphics
tactileObject - Tactile Object
transcript - Transcript
</t>
  </si>
  <si>
    <t xml:space="preserve">AudioCD - Audio CD
Audiotape - Audiotape
Calculator - Calculator
CD-I - CD-I
CD-ROM - CD-ROM
Diskette - Diskette
DuplicationMaster - Duplication Master
DVD - DVD/ Blu-ray
E-Mail - E-Mail
ElectronicSlides - Electronic Slides
FieldTrip - Field Trip
Filmstrip - Filmstrip
Flash - Flash
Image - Image
In-Person - In-Person/Speaker
InteractiveWhiteboard - Interactive Whiteboard
Manipulative - Manipulative
MBL - MBL (Microcomputer Based)
Microfiche - Microfiche
Overhead - Overhead
Pamphlet - Pamphlet
PDF - PDF
Person-to-Person - Person-to-Person
PhonographRecord - Phonograph Record
Photo - Photo
Podcast - Podcast
Printed - Printed
Radio - Radio
Robotics - Robotics
Satellite - Satellite
Slides - Slides
Television - Television
Transparency - Transparency
VideoConference - Video Conference
Videodisc - Videodisc
</t>
  </si>
  <si>
    <t xml:space="preserve">AlternateAssessment - Alternate Assessment
AssessmentItem - Assessment Item
Course - Course
DemonstrationSimulation - Demonstration/Simulation
EducatorCurriculumGuide - Educator/Curriculum Guide
FormativeAssessment - Formative assessment
ImagesVisuals - Images/Visuals
InterimSummativeAssessment - Interim/Summative Assessment
LearningActivity - Learning Activity
Lesson - Lesson
PrimarySource - Primary Source
RubricScoringGuide - Rubric/Scoring Guide
SelfAssessment - Self Assessment
Text - Text
Textbook - Textbook
Unit - Unit
Other - Other
</t>
  </si>
  <si>
    <t xml:space="preserve">FourYear - Four or more years
TwoToFour - At least 2 but less than 4 years
LessThanTwo - Less than 2 years (below associate)
</t>
  </si>
  <si>
    <t xml:space="preserve">Major - Major
Minor - Minor
AreaOfEmphasis - Area of emphasis or concentration
PostDegreeStudy - Post-degree study
AreaOfInterest - Area of Interest
</t>
  </si>
  <si>
    <t xml:space="preserve">TABE - TABE
CASAS - CASAS
BEST - BEST
BESTPlus - BESTPlus
BESTLiteracy - BEST Literacy
PPVT-III - PPVT-III
PPVT-IV - PPVT-IV
TVIP - TVIP
PALSPreKUpperCase - PALS PreK Upper Case
PEPScaleI - PEP Scale I
PEPScaleII - PEP Scale II
PEPScaleIII - PEP Scale III
PEPScaleIV - PEP Scale IV
Other - Other
</t>
  </si>
  <si>
    <t xml:space="preserve">FromEligibleProgram - From Eligible Program
ToEligibleProgram - To Eligible Program
</t>
  </si>
  <si>
    <t xml:space="preserve">CorrectiveAction - Corrective action
Year1 - Improvement status Year 1
Year2 - Improvement status Year 2
NotIdentified - Not identified for improvement
</t>
  </si>
  <si>
    <t xml:space="preserve">All - All students participate
None - No students participate
Some - Some, but not all, students participate
</t>
  </si>
  <si>
    <t xml:space="preserve">Divorced - Divorced
Married - Married
NeverMarried - Never Married
Separated - Separated
Widowed - Widowed
</t>
  </si>
  <si>
    <t>Early Learning -&gt; Early Learning Family -&gt; Family/Household Information
Postsecondary -&gt; PS Student -&gt; Demographic</t>
  </si>
  <si>
    <t xml:space="preserve">01 - Less than high school
02 - High school diploma or equivalent
03 - Some college but no formal award
04 - Certificate, less than an Associate's degree
05 - Associate's degree
06 - Baccalaureate degree
07 - Master's degree
08 - Doctoral/Professional degree
09 - Unknown
</t>
  </si>
  <si>
    <t xml:space="preserve">Chronic - Chronic
Acute - Acute
None - None
</t>
  </si>
  <si>
    <t xml:space="preserve">Individual - Individual
Group - Group
</t>
  </si>
  <si>
    <t>Adult Education -&gt; AE Staff -&gt; Identity -&gt; Name
Adult Education -&gt; AE Student -&gt; Identity -&gt; Name
Career and Technical -&gt; CTE Staff -&gt; Identity -&gt; Name
Career and Technical -&gt; CTE Student -&gt; Identity -&gt; Name
Early Learning -&gt; Early Learning Child -&gt; Identity -&gt; Name
Early Learning -&gt; Early Learning Organization -&gt; Contact -&gt; Name
Early Learning -&gt; Early Learning Staff -&gt; Identity -&gt; Name
Early Learning -&gt; Early Learning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</si>
  <si>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 xml:space="preserve">01 - Basic School Program
02 - Regular Term MEP-Funded Project
03 - Summer/Intersession MEP-Funded Project
04 - Year Round MEP-Funded Project
05 - Basic School Program and Regular-Term MEP-Funded Project
06 - Residency Only (none of the above)
</t>
  </si>
  <si>
    <t xml:space="preserve">SchoolBased - School-based MEP Project
NonSchoolBased - Non-school-based MEP project
</t>
  </si>
  <si>
    <t xml:space="preserve">SchoolDay - Regular school year - school day only
ExtendedDay - Regular school year - school day/extended day
SummerIntersession - Summer/intersession only
YearRound - Year round
</t>
  </si>
  <si>
    <t xml:space="preserve">CounselingServices - Counseling Services
HighSchoolAccrual - High School Accrual
InstructionalServices - Instructional Services
MathematicsInstruction - Mathematics Instruction
ReadingInstruction - Reading Instruction
ReferralServices - Referral Services
SupportServices - Support Services
</t>
  </si>
  <si>
    <t xml:space="preserve">RegularSchoolYear - Regular School Year
SummerTerm - Summer Term or Intersession
</t>
  </si>
  <si>
    <t xml:space="preserve">Teachers - Teachers
Paraprofessionals - Paraprofessionals
Counselors - Counselors
Administrators - Administrators
Recruiters - Recruiters
RecordsTransferStaff - Records Transfer Staff
</t>
  </si>
  <si>
    <t>Early Learning -&gt; Early Learning Child -&gt; Demographic
K12 -&gt; K12 Student -&gt; Migrant
Postsecondary -&gt; PS Student -&gt; Migrant</t>
  </si>
  <si>
    <t xml:space="preserve">Army - Army
MarineCorps - Marine Corps
Navy - Navy
AirForce - Air Force
SpaceForce - Space Force
CoastGuard - Coast Guard
</t>
  </si>
  <si>
    <t>Adult Education -&gt; AE Staff -&gt; Demographic
Adult Education -&gt; AE Student -&gt; Demographic
Early Learning -&gt; Early Learning Staff -&gt; Demographic
Early Learning -&gt; Parent/Guardian -&gt; Demographic
K12 -&gt; K12 Staff -&gt; Demographic
K12 -&gt; K12 Student -&gt; Demographic
K12 -&gt; Parent/Guardian -&gt; Demographic
Postsecondary -&gt; Parent/Guardian -&gt; Demographic
Postsecondary -&gt; PS Staff -&gt; Demographic
Postsecondary -&gt; PS Student -&gt; Demographic
Workforce -&gt; Workforce Program Participant -&gt; Demographic</t>
  </si>
  <si>
    <t xml:space="preserve">NotVeteran - Not a Veteran
Veteran - Veteran
Unknown - Unknown
</t>
  </si>
  <si>
    <t xml:space="preserve">DevelopingInterpretation - Developing Interpretation
MakingReaderTextConnections - Making reader/text connections
ExaminingContentAndStructure - Examining content and structure
</t>
  </si>
  <si>
    <t xml:space="preserve">LowComplexity - Low complexity
ModerateComplexity - Moderate complexity
HighComplexity - High complexity
</t>
  </si>
  <si>
    <t xml:space="preserve">FailedTestingRequirements - Failed to meet testing requirements
Illness - Illness
Immaturity - Immaturity
InadequatePerformance - Inadequate performance
InsufficientCredits - Insufficient credits
Other - Other
ProlongedAbsence - Prolonged absence
</t>
  </si>
  <si>
    <t xml:space="preserve">Hours - Hours
Weeks - Weeks
Quarters - Quarters
Semesters - Semesters
Years - Years
</t>
  </si>
  <si>
    <t>Credentials -&gt; Credential Award
K12 -&gt; Course Section -&gt; Enrollment
K12 -&gt; K12 Student -&gt; Academic Record
Postsecondary -&gt; Course Section -&gt; Enrollment
Postsecondary -&gt; PS Student -&gt; Academic Record</t>
  </si>
  <si>
    <t>Adult Education -&gt; AE Student -&gt; Academic Record
Adult Education -&gt; Course Section -&gt; Enrollment
Career and Technical -&gt; Course Section -&gt; Enrollment
Career and Technical -&gt; CTE Student -&gt; Academic Record
Credentials -&gt; Credential Award
Early Learning -&gt; Early Learning Staff -&gt; Professional Development
K12 -&gt; Course Section -&gt; Enrollment
K12 -&gt; K12 Student -&gt; Academic Record
Postsecondary -&gt; Course Section -&gt; Enrollment
Postsecondary -&gt; PS Staff -&gt; Professional Development
Postsecondary -&gt; PS Student -&gt; Academic Record
Workforce -&gt; Workforce Program Participant -&gt; Academic Record</t>
  </si>
  <si>
    <t>K12 -&gt; Course Section -&gt; Enrollment
K12 -&gt; K12 Student -&gt; Attendance</t>
  </si>
  <si>
    <t xml:space="preserve">All - All
Children - Children
PersonOtherThanChildrenOrSpouse - Person other than children or spouse
Spouse - Spouse
</t>
  </si>
  <si>
    <t>Early Learning -&gt; Early Learning Family -&gt; Family/Household Information
Postsecondary -&gt; PS Student -&gt; Family/Household Information</t>
  </si>
  <si>
    <t>Adult Education -&gt; AE Staff -&gt; Education
Early Learning -&gt; Early Learning Staff -&gt; Education
K12 -&gt; K12 Staff -&gt; Education
Postsecondary -&gt; PS Student -&gt; Teacher Education/Preparation</t>
  </si>
  <si>
    <t>Early Learning -&gt; Early Learning Organization
K12 -&gt; K12 School
K12 -&gt; LEA
K12 -&gt; Organization
K12 -&gt; SEA
Postsecondary -&gt; Organization
Postsecondary -&gt; PS Institution</t>
  </si>
  <si>
    <t xml:space="preserve">Announced - Announced
Unannounced - Unannounced
</t>
  </si>
  <si>
    <t>Early Learning -&gt; Early Learning Organization
Facilities -&gt; Facility
K12 -&gt; K12 School
K12 -&gt; LEA
K12 -&gt; Organization
K12 -&gt; SEA
Postsecondary -&gt; Organization
Postsecondary -&gt; PS Institution</t>
  </si>
  <si>
    <t>Early Learning -&gt; Early Learning Organization -&gt; Accreditation
Postsecondary -&gt; Organization -&gt; Organization Accreditation</t>
  </si>
  <si>
    <t>Adult Education -&gt; AE Staff -&gt; Identity -&gt; Other Name
Adult Education -&gt; AE Student -&gt; Identity -&gt; Other Name
Career and Technical -&gt; CTE Staff -&gt; Identity -&gt; Other Name
Career and Technical -&gt; CTE Student -&gt; Identity -&gt; Other Name
Early Learning -&gt; Early Learning Child -&gt; Identity -&gt; Other Name
Early Learning -&gt; Early Learning Organization -&gt; Contact -&gt; Other Name
Early Learning -&gt; Early Learning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Postsecondary -&gt; Parent/Guardian -&gt; Identity -&gt; Other Name
Postsecondary -&gt; PS Staff -&gt; Identity -&gt; Other Name
Postsecondary -&gt; PS Student -&gt; Graduate Student -&gt; Thesis/Dissertation Advisor
Postsecondary -&gt; PS Student -&gt; Identity -&gt; Other Name
Workforce -&gt; Workforce Program Participant -&gt; Identity -&gt; Other Name</t>
  </si>
  <si>
    <t xml:space="preserve">Alias - Alias
Nickname - Nickname
OtherName - Other name
PreviousLegalName - Previous legal name
PreferredFamilyName - Preferred Family Name
PreferredGivenName - Preferred Given Name
FullName - Full Name
</t>
  </si>
  <si>
    <t>Adult Education -&gt; AE Staff -&gt; Identity -&gt; Other Name
Adult Education -&gt; AE Student -&gt; Identity -&gt; Other Name
Career and Technical -&gt; CTE Staff -&gt; Identity -&gt; Other Name
Career and Technical -&gt; CTE Student -&gt; Identity -&gt; Other Name
Early Learning -&gt; Early Learning Child -&gt; Identity -&gt; Other Name
Early Learning -&gt; Early Learning Organization -&gt; Contact -&gt; Other Name
Early Learning -&gt; Early Learning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Postsecondary -&gt; Parent/Guardian -&gt; Identity -&gt; Other Name
Postsecondary -&gt; PS Staff -&gt; Identity -&gt; Other Name
Postsecondary -&gt; PS Student -&gt; Identity -&gt; Other Name
Workforce -&gt; Workforce Program Participant -&gt; Identity -&gt; Other Name</t>
  </si>
  <si>
    <t xml:space="preserve">Qualified - Qualified
NotQualified - Not Qualified
</t>
  </si>
  <si>
    <t xml:space="preserve">InPerson - In-person
Phone - Phone
Website - Website
Email - Email
Newsletter - Newsletter
BulletinBoard - Bulletin board
HomeVisit - Home visit
Fax - Fax
Other - Other
</t>
  </si>
  <si>
    <t xml:space="preserve">FreeBreakfast - Free breakfast
FreeLunch - Free lunch
FreeMilk - Free milk
FreeSnack - Free snack
FreeSupper - Free supper
FullPriceBreakfast - Full price breakfast
FullPriceLunch - Full price lunch
FullPriceMilk - Full price milk
FullPriceSnack - Full price snack
FullPriceSupper - Full price supper
ReducedPriceBreakfast - Reduced price breakfast
ReducedPriceLunch - Reduced price lunch
ReducedPriceSnack - Reduced price snack
ReducedPriceSupper - Reduced price supper
Other - Other
</t>
  </si>
  <si>
    <t>Early Learning -&gt; Early Learning Child -&gt; Enrollment
K12 -&gt; K12 Student -&gt; Economically Disadvantaged</t>
  </si>
  <si>
    <t xml:space="preserve">Met - Met 95%
DidNotMeet - Did not Meet 95%
TooFewStudents - Too Few Students for Reliability
NoStudents - No Students in the subgroup
NA - Not applicable
</t>
  </si>
  <si>
    <t xml:space="preserve">Aunt - Aunt
Brother - Brother
BrotherInLaw - Brother-in-law
CourtAppointedGuardian - Court appointed guardian
Daughter - Daughter
DaughterInLaw - Daughter-in-law
Employer - Employer
Father - Father
FathersSignificantOther - Father's significant other
FathersCivilPartner - Father's civil partner
FatherInLaw - Father-in-law
Fiance - Fiance
Fiancee - Fiancee
Friend - Friend
Grandfather - Grandfather
Grandmother - Grandmother
Husband - Husband
MothersSignificantOther - Mother's significant other
Mother - Mother
MothersCivilPartner - Mother's civil partner
Nephew - Nephew
Niece - Niece
Other - Other
SignificantOther - Significant other
Sister - Sister
Son - Son
Unknown - Unknown
Uncle - Uncle
Ward - Ward
Wife - Wife
AdoptedDaughter - Adopted Daughter
AdoptedSon - Adopted son
AdoptiveParent - Adoptive parent
Advisor - Advisor
AgencyRepresentative - Agency representative
Cousin - Cousin
Dependent - Dependent
FamilyMember - Family member
FormerHusband - Former husband
FormerWife - Former wife
FosterDaughter - Foster daughter
FosterFather - Foster father
FosterMother - Foster mother
FosterParent - Foster Parent
FosterSon - Foster son
Godparent - Godparent
Granddaughter - Granddaughter
Grandparent - Grandparent
Grandson - Grandson
GreatAunt - Great aunt
GreatGrandparent - Great grandparent
GreatUncle - Great uncle
HalfBrother - Half-brother
HalfSister - Half-sister
LifePartner - Life partner
LifePartnerOfParent - Life partner of parent
MotherInLaw - Mother-in-law
Neighbor - Neighbor
Parent - Parent
Partner - Partner
PartnerOfParent - Partner of parent
ProbationOfficer - Probation officer
Relative - Relative
Sibling - Sibling
SisterInLaw - Sister-in-law
SonInLaw - Son-in-law
Spouse - Spouse
Stepbrother - Stepbrother
Stepdaughter - Stepdaughter
Stepfather - Stepfather
Stepmother - Stepmother
Stepparent - Stepparent
Stepsister - Stepsister
Stepson - Stepson
</t>
  </si>
  <si>
    <t>Adult Education -&gt; AE Staff -&gt; Relationship
Adult Education -&gt; AE Student -&gt; Relationship
Career and Technical -&gt; CTE Staff -&gt; Relationship
Career and Technical -&gt; CTE Student -&gt; Relationship
Early Learning -&gt; Early Learning Child -&gt; Relationship
Early Learning -&gt; Early Learning Staff -&gt; Relationship
Early Learning -&gt; Parent/Guardian -&gt; Relationship
K12 -&gt; K12 Staff -&gt; Relationship
K12 -&gt; K12 Student -&gt; Relationship
K12 -&gt; Parent/Guardian -&gt; Relationship
Postsecondary -&gt; Parent/Guardian -&gt; Relationship
Postsecondary -&gt; PS Student -&gt; Relationship
Workforce -&gt; Workforce Program Participant -&gt; Relationship</t>
  </si>
  <si>
    <t>Adult Education -&gt; AE Staff -&gt; Identity -&gt; Name
Adult Education -&gt; AE Student -&gt; Identity -&gt; Name
Career and Technical -&gt; CTE Staff -&gt; Identity -&gt; Name
Career and Technical -&gt; CTE Student -&gt; Identity -&gt; Name
Early Learning -&gt; Early Learning Organization -&gt; Contact -&gt; Name
Early Learning -&gt; Early Learning Staff -&gt; Identity -&gt; Name
Early Learning -&gt; Early Learning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Identity -&gt; Name
Workforce -&gt; Workforce Program Participant -&gt; Identity -&gt; Name</t>
  </si>
  <si>
    <t xml:space="preserve">01 - Staff feedback
02 - Staff meetings
03 - Annual performance evaluation
04 - Personal  development plans
05 - New staff orientation
</t>
  </si>
  <si>
    <t xml:space="preserve">B17 - Did not complete secondary school
B18 - Standard High School Diploma which may or may not include an exit test
B19 - Advanced or honors diploma
B20 - Vocational diploma
B21 - Special Education Diploma normally for students with a disability
B22 - Certificate of completion or attendance
B23 - Special certificate of completion or attendance
B24 - General Education Development Test Diploma (GED)
B25 - Other high school equivalency diploma
B26 - International diploma or certificate (such as International Baccalaureate)
B27 - Standard High School Diploma with only 3 year curriculum
B28 - Met all graduation requirements except for required exit test
1.1 - Certificate of completion
1.2 - Certificate of proficiency
2.0 - Certificate
2.1 - Postsecondary Certificate Or Diploma (less than one year)
2.2 - Postsecondary Certificate Or Diploma (one year or more but less than four years)
2.3 - Associate Degree (e.g., Associate In Arts, Associate In Science)
2.4 - Baccalaureate Degree
2.5 - Baccalaureate (Honors) Degree
2.6 - Postsecondary Certificate Or Diploma (one year or more but less than two years)
2.7 - Postsecondary Certificate Or Diploma (two years or more but less than four years)
3.1 - First Professional Degree
3.2 - Post-Professional Degree
4.1 - Graduate Certificate
4.2 - Master's Degree
4.3 - Intermediate Graduate Degree
4.4 - Doctoral Degree
4.5 - Post-doctoral Award
IPEDS1 - Postsecondary award, certificate, or diploma of less than one academic year (less than 900 contact or clock hours)
IPEDS2 - Postsecondary award, certificate, or diploma of at least one but less than two academic years (at least 900 but less than 1800 contact or clock hours)
IPEDS3 - Associate's Degree
IPEDS4 - Postsecondary award, certificate, or diploma of at least two but less than four academic years (at least 1800 contact or clock hours)
IPEDS5 - Bachelor's Degree or equivalent
IPEDS6 - Postbaccalaureate Certificate
IPEDS7 - Master's Degree
IPEDS8 - Post Masters Certificate
IPEDS9 - Doctor's Degree
IPEDS10 - First-Professional Degree
IPEDS11 - First-Professional Certificate (Post-Degree)
IPEDS17 - Doctor's degree - research/scholarship
IPEDS18 - Doctor's degree - professional practice
IPEDS19 - Doctor's degree - other Award Levels
CEGEP - CEGEP (an award made by Canadian secondary schools that is typically equivalent to a high school diploma plus one year of college level courses)
FrenchBaccalaureate - French Baccalaureate (award made to high school students that allows French and international students to obtain a standardized qualification)
4.0 - Graduate non-degree - value to represent an award from graduate coursework that is not a certificate or degree
3.3 - Graduate Professional - value to represent an award from graduate coursework in a professional program
0.0 - Other - value to represent an award that does not otherwise fit existing enumerations
1.5 - Statement of achievement
1.4 - Statement of completion
1.3 - Statement of participation
2.8 - Undergraduate non-degree - value to represent an award from undergraduate coursework that is not a certificate or degree
</t>
  </si>
  <si>
    <t xml:space="preserve">01 - Full-time
02 - Less than full-time but at least half-time
03 - Less than half-time
04 - Less than full-time but at least three quarter-time
05 - Less than three quarter-time but at least half-time
</t>
  </si>
  <si>
    <t xml:space="preserve">FirstTime - First time at institution, non-transfer in
Continuing - Continuing
Re-admit - Re-admit
TransferIn - Transfer in
</t>
  </si>
  <si>
    <t xml:space="preserve">Withdrawn - Withdrawn
Graduated - Graduated
ApprovedLeaveOfAbsence - Approved Leave of Absence
Deceased - Deceased
Unknown - Unknown
</t>
  </si>
  <si>
    <t xml:space="preserve">Major - Major
Minor - Minor
Certificate - Certificate
Other - Other
</t>
  </si>
  <si>
    <t xml:space="preserve">PreAndPostTest - The student took both a pre-test and post-test
DidNotTakeBoth - The student did not take both a pre-test and a post-test
</t>
  </si>
  <si>
    <t xml:space="preserve">All - All students
IDEA - Students with disabilities (IDEA)
TitleI - Students in Title I schools
LowIncome - Students from low income families
Other - Other
</t>
  </si>
  <si>
    <t xml:space="preserve">Age0-2 - Students aged 0-2
Age3 - Students aged 3
Age4 - Students aged 4
NoPreK - No pre-kindergarten or only for IDEA students
</t>
  </si>
  <si>
    <t xml:space="preserve">13290 - Present - Disciplinary action, receiving instruction
13288 - Present - In school, regular instructional program
13289 - Present - Nontraditional school setting, regular instructional program
13291 - Present - Out of school, regular instructional program activity
13292 - Present - Out of school, school-approved extracurricular or cocurricular activity
</t>
  </si>
  <si>
    <t>Early Learning -&gt; Early Learning Organization -&gt; Contact
Early Learning -&gt; Parent/Guardian -&gt; Relationship
K12 -&gt; Organization -&gt; Contact
K12 -&gt; Parent/Guardian -&gt; Relationship
K12 -&gt; SEA -&gt; Contact
Postsecondary -&gt; Organization -&gt; Contact</t>
  </si>
  <si>
    <t xml:space="preserve">AUT - Autism
DB - Deaf-blindness
DD - Developmental delay
EMN - Emotional disturbance
HI - Hearing impairment
ID - Intellectual Disability
MD - Multiple disabilities
OI - Orthopedic impairment
OHI - Other health impairment
SLD - Specific learning disability
SLI - Speech or language impairment
TBI - Traumatic brain injury
VI - Visual impairment
</t>
  </si>
  <si>
    <t>Career and Technical -&gt; CTE Student -&gt; Disability
Early Learning -&gt; Early Learning Child -&gt; Disability
K12 -&gt; K12 Student -&gt; Disability
K12 -&gt; K12 Student -&gt; Individualized Program -&gt; Eligibility -&gt; Determination
Postsecondary -&gt; PS Student -&gt; Disability</t>
  </si>
  <si>
    <t xml:space="preserve">NotShared - Not Shared
Shared - Shared
Unknown - Unknown
</t>
  </si>
  <si>
    <t xml:space="preserve">Chromebook - Chromebook
DesktopComputer - Desktop Computer
LaptopComputer - Laptop Computer
None - None
Smartphone - Smartphone
Tablet - Tablet
Other - Other
</t>
  </si>
  <si>
    <t xml:space="preserve">Personal - Personal
School - School
Other - Other
</t>
  </si>
  <si>
    <t>Adult Education -&gt; AE Staff -&gt; Contact -&gt; Telephone
Adult Education -&gt; AE Student -&gt; Contact -&gt; Telephone
Career and Technical -&gt; CTE Staff -&gt; Contact -&gt; Telephone
Career and Technical -&gt; CTE Student -&gt; Contact -&gt; Telephone
Early Learning -&gt; Early Learning Child -&gt; Contact -&gt; Telephone
Early Learning -&gt; Early Learning Organization -&gt; Contact -&gt; Telephone
Early Learning -&gt; Early Learning Organization -&gt; Telephone
Early Learning -&gt; Early Learning Staff -&gt; Contact -&gt; Telephone
Early Learning -&gt; Early Learning Staff -&gt; Professional Development -&gt; Instructor
Early Learning -&gt; Parent/Guardian -&gt; Contact -&gt; Telephone
K12 -&gt; K12 School -&gt; Telephone
K12 -&gt; K12 Staff -&gt; Contact -&gt; Telephone
K12 -&gt; K12 Staff -&gt; Professional Development -&gt; Instructor
K12 -&gt; K12 Student -&gt; Contact -&gt; Telephone
K12 -&gt; LEA -&gt; Telephone
K12 -&gt; Organization -&gt; Contact -&gt; Telephone
K12 -&gt; Organization -&gt; Telephone
K12 -&gt; Parent/Guardian -&gt; Contact -&gt; Telephone
K12 -&gt; SEA -&gt; Contact -&gt; Telephone
Postsecondary -&gt; Organization -&gt; Contact -&gt; Telephone
Postsecondary -&gt; Organization -&gt; Telephone
Postsecondary -&gt; Parent/Guardian -&gt; Contact -&gt; Telephone
Postsecondary -&gt; PS Staff -&gt; Contact -&gt; Telephone
Postsecondary -&gt; PS Student -&gt; Contact -&gt; Telephone
Workforce -&gt; Workforce Program Participant -&gt; Contact -&gt; Telephone</t>
  </si>
  <si>
    <t>Early Learning -&gt; Early Learning Staff -&gt; Professional Development
Postsecondary -&gt; PS Staff -&gt; Status</t>
  </si>
  <si>
    <t>Credentials -&gt; Credential Award
Early Learning -&gt; Early Learning Staff -&gt; Credential or License</t>
  </si>
  <si>
    <t>Early Learning -&gt; Early Learning Staff -&gt; Professional Development Activity
K12 -&gt; K12 Staff -&gt; Professional Development Activity</t>
  </si>
  <si>
    <t xml:space="preserve">QRIS - Quality Rating and Improvement System
Licensing - Licensing
StateStandard - State standard
Other - Other
</t>
  </si>
  <si>
    <t>Early Learning -&gt; Early Learning Staff -&gt; Professional Development Activity
K12 -&gt; K12 Staff -&gt; Professional Development Activity
Postsecondary -&gt; PS Staff -&gt; Professional Development Activity
Postsecondary -&gt; PS Staff -&gt; Status</t>
  </si>
  <si>
    <t xml:space="preserve">Hours - Hours
CEUs - Continuing Education Units
QuarterCredits - Quarter credits
SemesterCredits - Semester credits
</t>
  </si>
  <si>
    <t>Early Learning -&gt; Early Learning Staff -&gt; Professional Development Activity
K12 -&gt; K12 Staff -&gt; Professional Development Activity
Postsecondary -&gt; PS Staff -&gt; Professional Development Activity</t>
  </si>
  <si>
    <t xml:space="preserve">IN - Infant
TO - Toddler
PR - Preschool
PK - Prekindergarten
TK - Transitional Kindergarten
KG - Kindergarten
01 - First grade
02 - Second grade
03 - Third grade
04 - Fourth grade
05 - Fifth grade
06 - Sixth grade
07 - Seventh grade
08 - Eighth grade
09 - Ninth grade
10 - Tenth grade
11 - Eleventh grade
12 - Twelfth grade
13 - Grade 13
AS - Associate's degree
BA - Bachelor's degree
PB - Post-baccalaureate certificate
MD - Master's degree
PM - Post-master's certificate
DO - Doctoral degree
PD - Post-doctoral certificate
AE - Adult education
OT - Other
</t>
  </si>
  <si>
    <t xml:space="preserve">Beginner - Beginner
Intermediate - Intermediate
Advanced - Advanced
</t>
  </si>
  <si>
    <t>Early Learning -&gt; Early Learning Staff -&gt; Professional Development Activity
Postsecondary -&gt; PS Staff -&gt; Professional Development Activity</t>
  </si>
  <si>
    <t xml:space="preserve">AdministrativeSupportStaff - Administrative Support Staff
Administrators - Administrators
AllOtherSupportStaff - All Other Support Staff 
BehavioralSpecialists - Behavioral Specialists
ELAssistantTeachers - Early Leaning Assistant Teachers
ELTeachers - Early Learning Teachers
ElementaryTeachers - Elementary Teachers
FamilyServiceWorkers - Family Service Workers
HealthSpecialists - Health Specialists
HomeVisitors - Home Visitors
InstructionalCoordinators - Instructional Coordinators
KindergartenTeachers - Kindergarten Teachers
LibraryMediaSpecialists - Librarians/Media Specialists
LibraryMediaSupportStaff - Library/Media Support Staff
MentalHealthSpecialists - Mental Health Specialists
NutritionSpecialists - Nutrition Specialists
Paraprofessionals - Paraprofessionals
PartCEarlyInterventionists - Part C Early Interventionists
PartCServiceCoordinators - Part C Service Coordinators
SchoolCounselors - School Counselors
SecondaryTeachers - Secondary Teachers
SocialWorkers - Social Workers
SpecialEducationTeachers - Special Education Teachers
SpecialNeedsSpecialists - Special Needs Specialists
StudentSupportServicesStaff - Student Support Services Staff
UngradedTeachers - Ungraded Teachers
Other - Other
</t>
  </si>
  <si>
    <t xml:space="preserve">CollegeCourse - College Course
Coaching - Coaching
Mentoring - Mentoring
Consultation - Consultation
P2P - Person-to-Person
TechnicalAssistance - Technical Assistance
Advisement - Advisement
OneTimeWorkshopTraining - One-time Workshop Training
SeriesOfWorkshopsTraining - Series of Workshops Training
Other - Other
</t>
  </si>
  <si>
    <t>Early Learning -&gt; Early Learning Staff -&gt; Professional Development
Postsecondary -&gt; PS Staff -&gt; Professional Development Activity</t>
  </si>
  <si>
    <t>Early Learning -&gt; Early Learning Staff -&gt; Professional Development Activity -&gt; Session
K12 -&gt; K12 Staff -&gt; Professional Development Activity -&gt; Session
Postsecondary -&gt; PS Staff -&gt; Professional Development Activity
Postsecondary -&gt; PS Staff -&gt; Professional Development Activity -&gt; Session</t>
  </si>
  <si>
    <t xml:space="preserve">01 - One time non-credit
02 - One time credit paid
03 - On-going non-credit paid
04 - On-going credit paid
05 - Salary bonus
06 - Wage enhancement
07 - Tuition reimbursement
08 - Travel child care
09 - Release time
10 - Scholarship
11 - Loan
</t>
  </si>
  <si>
    <t>Early Learning -&gt; Early Learning Staff -&gt; Professional Development
Postsecondary -&gt; PS Staff -&gt; Professional Development
Postsecondary -&gt; PS Staff -&gt; Professional Development Activity
Postsecondary -&gt; PS Staff -&gt; Professional Development Activity -&gt; Session</t>
  </si>
  <si>
    <t>Early Learning -&gt; Early Learning Staff -&gt; Professional Development Activity -&gt; Session
K12 -&gt; K12 Staff -&gt; Professional Development Activity -&gt; Session</t>
  </si>
  <si>
    <t xml:space="preserve">Broadcast - Broadcast
Correspondence - Correspondence
EarlyCollege - Early College
AudioVideo - Interactive Audio/Video
Conference - Conference
Online - Online
IndependentStudy - Independent Study
FaceToFace - Face To Face
BlendedLearning - Blended Learning
Other - Other
</t>
  </si>
  <si>
    <t>Early Learning -&gt; Early Learning Staff -&gt; Professional Development Activity -&gt; Session
K12 -&gt; K12 Staff -&gt; Professional Development Activity -&gt; Session
Postsecondary -&gt; PS Staff -&gt; Professional Development
Postsecondary -&gt; PS Staff -&gt; Professional Development Activity
Postsecondary -&gt; PS Staff -&gt; Professional Development Activity -&gt; Session</t>
  </si>
  <si>
    <t>Early Learning -&gt; Early Learning Staff -&gt; Professional Development Activity -&gt; Session - Location
K12 -&gt; K12 Staff -&gt; Professional Development Activity -&gt; Session - Location</t>
  </si>
  <si>
    <t xml:space="preserve">Registering - Registering
Completed - Completed
Cancelled - Cancelled
</t>
  </si>
  <si>
    <t xml:space="preserve">OccupationalLicense - Occupational License
IndustryCertification - Industry-recognized Certification
ApprenticeshipCertificate - Apprenticeship Certificate
EmployerCertification - Employer certification
PreEmploymentTraining - Pre-employment training certificate
OtherOccupational - Other recognized occupational skills credential
</t>
  </si>
  <si>
    <t xml:space="preserve">Proficient - Proficient
NotProficient - Not proficient
</t>
  </si>
  <si>
    <t xml:space="preserve">Met - Met: Regular Determination
MetGrowthModel - Met: Growth Model 
MetBecauseSafeHarbor - Met Because of Safe Harbor
DidNotMeetTarget - Did Not Meet Target
TooFewStudents - Too Few Students for Reliability
NoStudents - No Students in the Sub-group
NA - Not applicable
</t>
  </si>
  <si>
    <t xml:space="preserve">13452 - General Intellectual Aptitude only
13453 - Specific Academic Aptitude only
13454 - Visual/Performing Arts only
13456 - General Intellectual Aptitude &amp; Specific Academic Aptitude
13457 - General Intellectual Aptitude &amp; Visual/Performing Arts
13458 - General Intellectual Aptitude &amp; Technical/Practical Arts
13459 - Specific Academic Aptitude &amp; Visual/Performing Arts
13460 - Specific Academic Aptitude &amp; Technical/Practical Arts
13461 - Visual/Performing Arts &amp; Technical/Practical Arts
13462 - General Intellectual Aptitude, Specific Academic Aptitude, and Visual Performing Arts
13463 - General Intellectual Aptitude, Specific Academic Aptitude, &amp; Technical/Practical Arts
13464 - Specific Academic Aptitude, Visual/Performing Arts, &amp; Technical/Practical Arts
13465 - General Intellectual &amp; Specific Academic Aptitude, Visual/Performing Arts &amp; Technical/Practical Arts
06002 - Not specified
09999 - Other
</t>
  </si>
  <si>
    <t>Career and Technical -&gt; CTE Student -&gt; Program Participation
Early Learning -&gt; Early Learning Child -&gt; Program
K12 -&gt; K12 Student -&gt; English Learner
K12 -&gt; K12 Student -&gt; IDEA
K12 -&gt; K12 Student -&gt; Migrant
K12 -&gt; K12 Student -&gt; Neglected or Delinquent
K12 -&gt; K12 Student -&gt; Program
K12 -&gt; K12 Student -&gt; Title I
Postsecondary -&gt; PS Student -&gt; Institution Enrollment -&gt; Program</t>
  </si>
  <si>
    <t xml:space="preserve">Referred - Referred to program
Eligible - Eligible for program
NotEligible - Not eligible for program
Active - Active in program
Exited - Exited program
Withdrew - Withdrew/refused program
Other - Other
</t>
  </si>
  <si>
    <t>Early Learning -&gt; Early Learning Child -&gt; Program
K12 -&gt; K12 Student -&gt; Program
Postsecondary -&gt; PS Student -&gt; Institution Enrollment -&gt; Program</t>
  </si>
  <si>
    <t>Early Learning -&gt; Early Learning Organization -&gt; Parental/Family Involvement
Postsecondary -&gt; PS Institution -&gt; Program -&gt; Parental/Family Involvement</t>
  </si>
  <si>
    <t xml:space="preserve">NOSTUDENTS - No students in the subgroup
STTDEF - State defined status
TOOFEW - Too few students
</t>
  </si>
  <si>
    <t xml:space="preserve">NEGGRADE - Negative grade level change
NOCHANGE - No change
UPHALFGRADE - Improvement of up to one half grade level
UPONEGRADE - Improvement from one half grade level up to one full grade level
UPGTONE - Improvement of more than one full grade level
</t>
  </si>
  <si>
    <t xml:space="preserve">AcceleratedPromotion - Accelerated promotion
ContinuousPromotion - Continuous promotion
Other - Other
ProbationaryPromotion - Probationary promotion
RegularPromotion - Regular promotion
VariableProgress - Variable progress
</t>
  </si>
  <si>
    <t xml:space="preserve">BankStatement - Bank statement
UtilityBill - Utility bill
Lease - Lease
Other - Other
</t>
  </si>
  <si>
    <t>Adult Education -&gt; AE Staff -&gt; Status
Adult Education -&gt; AE Student -&gt; Status
Career and Technical -&gt; CTE Staff -&gt; Status
Career and Technical -&gt; CTE Student -&gt; Status
Early Learning -&gt; Early Learning Child -&gt; Status
Early Learning -&gt; Early Learning Staff -&gt; Status
Early Learning -&gt; Parent/Guardian -&gt; Status
K12 -&gt; K12 Staff -&gt; Status
K12 -&gt; K12 Student -&gt; Status
K12 -&gt; Parent/Guardian -&gt; Status
Postsecondary -&gt; Parent/Guardian -&gt; Status
Postsecondary -&gt; PS Student -&gt; Status
Workforce -&gt; Workforce Program Participant -&gt; Status</t>
  </si>
  <si>
    <t xml:space="preserve">ImplementedAllGrades - Implemented at all grade levels
ImplementedSomeGrades - Implemented at some but not all grade levels
UnableToImplement - Unable to implement at any grades levels
NotRequiredToImplement - Not required to implement public school choice
</t>
  </si>
  <si>
    <t xml:space="preserve">LicensingVisits - Licensing Visits
HeathSafety - Health and Safety
Renewal - Renewal
Review - Review
Other - Other
</t>
  </si>
  <si>
    <t xml:space="preserve">AK - Alaska
AL - Alabama
AR - Arkansas
AS - American Samoa
AZ - Arizona
CA - California
CO - Colorado
CT - Connecticut
DC - District of Columbia
DE - Delaware
FL - Florida
FM - Federated States of Micronesia
GA - Georgia
GU - Guam
HI - Hawaii
IA - Iowa
ID - Idaho
IL - Illinois
IN - Indiana
KS - Kansas
KY - Kentucky
LA - Louisiana
MA - Massachusetts
MD - Maryland
ME - Maine
MH - Marshall Islands
MI - Michigan
MN - Minnesota
MO - Missouri
MP - Northern Marianas
MS - Mississippi
MT - Montana
NC - North Carolina
ND - North Dakota
NE - Nebraska
NH - New Hampshire
NJ - New Jersey
NM - New Mexico
NV - Nevada
NY - New York
OH - Ohio
OK - Oklahoma
OR - Oregon
PA - Pennsylvania
PR - Puerto Rico
PW - Palau
RI - Rhode Island
SC - South Carolina
SD - South Dakota
TN - Tennessee
TX - Texas
UT - Utah
VA - Virginia
VI - Virgin Islands
VT - Vermont
WA - Washington
WI - Wisconsin
WV - West Virginia
WY - Wyoming
AA - Armed Forces America
AE - Armed Forces Africa, Canada, Europe, and Mideast
AP - Armed Forces Pacific
</t>
  </si>
  <si>
    <t xml:space="preserve">Yes - Yes
No - No
NotEligible - Not Eligible
NoOperatingQRIS - No Operating QRIS
InformationUnavailable - Information Unavailable
</t>
  </si>
  <si>
    <t xml:space="preserve">AmericanIndianOrAlaskaNative - American Indian or Alaska Native
Asian - Asian
BlackOrAfricanAmerican - Black or African American
DemographicRaceTwoOrMoreRaces - Demographic Race Two or More Races
NativeHawaiianOrOtherPacificIslander - Native Hawaiian or Other Pacific Islander
RaceAndEthnicityUnknown - Race and Ethnicity Unknown
White - White
</t>
  </si>
  <si>
    <t>Early Learning -&gt; Early Learning Child -&gt; Services
K12 -&gt; K12 Student -&gt; Individualized Program -&gt; Services</t>
  </si>
  <si>
    <t xml:space="preserve">Family - Family
Program - Program
BeyondProgramControl - Other beyond the control of the program
Promotion - Promotion or advancement
</t>
  </si>
  <si>
    <t xml:space="preserve">03451 - Absent
03455 - Disruptive behavior
03454 - Medical waiver
03456 - Previously passed the examination
03452 - Refusal by parent
03453 - Refusal by student
09999 - Other
</t>
  </si>
  <si>
    <t xml:space="preserve">00737 - Athletic awards
00738 - Awarding of units of value
00740 - Citizenship award/recognition
00741 - Completion of requirement, but no units of value awarded
00742 - Certificate
00743 - Honor award
02048 - Letter of commendation
00745 - Medals
00746 - Monogram/letter
00747 - Points
00748 - Promotion or advancement
09999 - Other
</t>
  </si>
  <si>
    <t xml:space="preserve">Yes - Reconstituted school
No - Not a reconstituted school
</t>
  </si>
  <si>
    <t>Implementation Variables -&gt; Report
Postsecondary -&gt; PS Student -&gt; Contact -&gt; Address</t>
  </si>
  <si>
    <t>Early Learning -&gt; Early Learning Child -&gt; Referral
K12 -&gt; K12 Student -&gt; Individualized Program -&gt; Eligibility -&gt; Referral
K12 -&gt; K12 Student -&gt; Referral</t>
  </si>
  <si>
    <t xml:space="preserve">WaitingList - Waiting list
ParentDeclined - Parent declined service
Enrolled - Enrolled
Unreachable - Unable to contact parent/family/guardian
NotEligible - Not eligible
Other - Other
</t>
  </si>
  <si>
    <t xml:space="preserve">FeeForService - Fee for Service
CapitatedRate - Capitated Rate
GrantContract - Grant/contract
Subsidy - Subsidy
Other - Other
</t>
  </si>
  <si>
    <t>Early Learning -&gt; Early Learning Child -&gt; Enrollment
Early Learning -&gt; Early Learning Child -&gt; Program
K12 -&gt; K12 Student -&gt; Enrollment</t>
  </si>
  <si>
    <t xml:space="preserve">RA1 - Replacement of all or most of the school staff (which may include the principal)
RA2 - Reopening the school as a public charter school
RA3 - Entering into a contract with a private entity to operate the school
RA4 - Take of the school by the state
RA5 - Other major restructuring of the school governance
</t>
  </si>
  <si>
    <t xml:space="preserve">Newborn - Newborn well child visit
3To5Days - 3 to 5 days well child visit
1Month - 1 month well child visit
2Months - 2 months well child visit
4Months - 4 months well child visit
6Months - 6 months well child visit
9Months - 9 months well child visit
12Months - 12 months well child visit
15Months - 15 months well child visit
18Months - 18 months well child visit
24Months - 24 months well child visit
30Months - 30 months well child visit
36Months - 36 months well child visit
48Months - 48 months well child visit
60Months - 60 months well child visit
</t>
  </si>
  <si>
    <t xml:space="preserve">Turnaround - Turnaround model
Restart - Restart model
Closure - School closure model
Transformation - Transformation model
</t>
  </si>
  <si>
    <t xml:space="preserve">CorrectiveAction - Corrective action
Year1 - Improvement status Year 1
Year2 - Improvement status Year 2
Planning - Planning for restructuring
Restructuring - Restructuring
NA - Not applicable
</t>
  </si>
  <si>
    <t xml:space="preserve">Regular - Regular School
Special - Special Education School
CareerAndTechnical - Career and Technical Education School
Alternative - Alternative Education School
Reportable - Reportable Program
</t>
  </si>
  <si>
    <t xml:space="preserve">03066 - Alcohol-related
03067 - Drug-related
03068 - Gang-related
13778 - Hate-related (Disability)
13777 - Hate-related (Other)
13779 - Hate-related (Race, Color, or National Origin)
13780 - Hate-related (Sex)
03070 - Weapon-related
</t>
  </si>
  <si>
    <t xml:space="preserve">FullDayFullYear - Full-day/full-year
FullDayPartYear - Full-day/part-year
PartDayFullYear - Part-day/full-year
PartDayPartYear - Part-day/part-year
HomeBased - Home based
NA - Not applicable
</t>
  </si>
  <si>
    <t>Early Learning -&gt; Early Learning Child -&gt; Services -&gt; Service Partners
Early Learning -&gt; Early Learning Organization -&gt; Service Partners</t>
  </si>
  <si>
    <t xml:space="preserve">FullSchoolYear - Full School Year
Intersession - Intersession
LongSession - Long Session
MiniTerm - Mini Term
Quarter - Quarter
Quinmester - Quinmester
Semester - Semester
SummerTerm - Summer Term
Trimester - Trimester
TwelveMonth - Twelve Month
Other - Other
</t>
  </si>
  <si>
    <t xml:space="preserve">Male - Male
Female - Female
NotSelected - Not selected
</t>
  </si>
  <si>
    <t>Adult Education -&gt; AE Student -&gt; Demographic
Career and Technical -&gt; CTE Student -&gt; Demographic
Early Learning -&gt; Early Learning Child -&gt; Demographic
Early Learning -&gt; Early Learning Staff -&gt; Demographic
Early Learning -&gt; Parent/Guardian -&gt; Demographic
K12 -&gt; K12 Staff -&gt; Demographic
K12 -&gt; K12 Student -&gt; Demographic
K12 -&gt; Parent/Guardian -&gt; Demographic
Postsecondary -&gt; PS Staff -&gt; Demographic
Postsecondary -&gt; PS Student -&gt; Demographic
Workforce -&gt; Workforce Program Participant -&gt; Demographic</t>
  </si>
  <si>
    <t xml:space="preserve">Wages - Wages
Alimony - Alimony
ChildSupport - Child support
WorkersComp - Worker's compensation
Unemployment - Unemployment
SSI - Supplemental security income
TANF - Temporary assistance for needy families
Agricultural - Agricultural
Other - Other
</t>
  </si>
  <si>
    <t xml:space="preserve">ELL - English language learners
CWD - Children with disabilities
Homeless - Homeless
MentalHealth - Mental health
SpecialHealthNeeds - Special health needs
Foster - Foster
Other - Other
</t>
  </si>
  <si>
    <t>Early Learning -&gt; Early Learning Organization -&gt; Directory
Postsecondary -&gt; Organization -&gt; Organization Information</t>
  </si>
  <si>
    <t>Early Learning -&gt; Early Learning Child -&gt; Services
K12 -&gt; K12 Student -&gt; IDEA</t>
  </si>
  <si>
    <t xml:space="preserve">K12School - K12 School
LEA - Local Education Agency
State - State
</t>
  </si>
  <si>
    <t xml:space="preserve">SAT_Reading - SAT Reading
SAT_Writing - SAT Writing
SAT_Math - SAT Math
SAT_Total - SAT Total
ACT_English - ACT English
ACT_Math - ACT Math
ACT_Reading - ACT Reading
ACT_Science - ACT Science
ACT_Composite - ACT Composite
COMPASS_reading - COMPASS reading
COMPASS_writing - COMPASS writing
COMPASS_math - COMPASS math
Accuplacer_reading - Accuplacer reading
Accuplacer_writing - Accuplacer writing
Accuplacer_math - Accuplacer math
Other - Other
</t>
  </si>
  <si>
    <t>Credentials -&gt; Credential Award -&gt; Credential Issuer
Early Learning -&gt; Early Learning Staff -&gt; Credential or License
K12 -&gt; K12 Staff -&gt; Credential or License</t>
  </si>
  <si>
    <t xml:space="preserve">75027 - Feeder school rights
75028 - Geographic right
75029 - Lottery
75030 - Policy preference
75031 - Selective admissions
</t>
  </si>
  <si>
    <t xml:space="preserve">Undergraduate - Undergraduate
Graduate - Graduate
</t>
  </si>
  <si>
    <t xml:space="preserve">1 - Educational Testing Service (ETS)
2 - Evaluation Systems Group of Pearson
3 - College Board
4 - American Board for Certification of Teacher Excellence (ABCTE)
5 - American Council on the Teaching of Foreign Languages (ACTFL)
98 - State
99 - Other
</t>
  </si>
  <si>
    <t xml:space="preserve">No - No
SeekingCandidacy - Seeking Candidacy
Enrolled - Enrolled
</t>
  </si>
  <si>
    <t xml:space="preserve">01050 - Associate's degree (two years or more) 
01235 - 4-year bachelor's degree
01236 - 5-year bachelor's degree
73205 - Post-baccalaureate certificate
01237 - Master's degree
73081 - Post-master’s certificate
01238 - Doctoral degree
73206 - Post-doctoral certificate
01239 - Met state testing requirement
01240 - Special/alternative program completion
01241 - Relevant experience
01242 - Credentials based on reciprocation with another state
</t>
  </si>
  <si>
    <t xml:space="preserve">Emergency - Emergency
Intern - Intern
Master - Master
Nonrenewable - Nonrenewable
Probationary - Probationary/initial
Professional - Professional
Provisional - Provisional
Regular - Regular/standard
Retired - Retired
Specialist - Specialist
Substitute - Substitute
TeacherAssistant - Teacher assistant
Temporary - Temporary
09999 - Other
</t>
  </si>
  <si>
    <t xml:space="preserve">01 - Core Knowledge Area
02 - Health Safety Technical Assistance
03 - Inclusion Technical Assistance
04 - Infant Toddler Care Technical Assistance
05 - Mental Health Technical Assistance
06 - Program Administration and Management Practices Technical Assistance
07 - School Age Technical Assistance
08 - Understanding Developmental Screening Technical Assistance
09 - Dual Language Learner Technical Assistance
10 - Language and Literacy Development
11 - Cognition and General Knowledge (including early mathematics and early scientific development)
12 - Approaches Toward Learning
13 - Physical Well-being and Motor Development (including adaptive skills)
14 - Social and Emotional Development
</t>
  </si>
  <si>
    <t xml:space="preserve">TechnologyLiterate - Technology literate
NotTechnologyLiterate - Not technology literate
</t>
  </si>
  <si>
    <t xml:space="preserve">Listed - Listed
Unknown - Unknown
Unlisted - Unlisted
</t>
  </si>
  <si>
    <t xml:space="preserve">Home - Home phone number
Work - Work phone number
Mobile - Mobile phone number
Fax - Fax number
Other - Other
</t>
  </si>
  <si>
    <t xml:space="preserve">01 - Public Targeted Assistance Program
02 - Public Schoolwide Program
03 - Private school students participating
04 - Local Neglected Program
05 - Was not served
</t>
  </si>
  <si>
    <t xml:space="preserve">ReadingLanguageArts - Reading/Language Arts
Mathematics - Mathematics
Science - Science
SocialSciences - Social Sciences
CareerAndTechnical - Career and Technical Education
Other - Other
</t>
  </si>
  <si>
    <t xml:space="preserve">TGELGBNOPROG - Title I Targeted Assistance Eligible School- No Program
TGELGBTGPROG - Title I Targeted Assistance School
SWELIGTGPROG - Title I, Schoolwide eligible-Title I Targeted Assistance Program
SWELIGNOPROG - Title I Schoolwide Eligible School - No Program
SWELIGSWPROG - Title I Schoolwide School
NOTTITLE1ELIG - Not a Title I School
</t>
  </si>
  <si>
    <t xml:space="preserve">HealthDentalEyeCare - Health, Dental and Eye Care
GuidanceAdvocacy - Supporting Guidance/Advocacy
Other - Other
</t>
  </si>
  <si>
    <t xml:space="preserve">PROGRESS - Making progress
NOPROGRESS - Did not make progress
PROFICIENT - Attained proficiency
</t>
  </si>
  <si>
    <t xml:space="preserve">DualLanguage - Dual language
TwoWayImmersion - Two-way immersion
TransitionalBilingual - Transitional bilingual
DevelopmentalBilingual - Developmental bilingual
HeritageLanguage - Heritage language
ShelteredEnglishInstruction - Sheltered English instruction
StructuredEnglishImmersion - Structured English immersion
SDAIE - Specially designed academic instruction delivered in English (SDAIE)
ContentBasedESL - Content-based ESL
PullOutESL - Pull-out ESL
NewcomerPrograms - Newcomer Programs
Other - Other
</t>
  </si>
  <si>
    <t xml:space="preserve">InstructionalStrategies - Instructional strategies
Assessment - Assessment
ELPContentStandards - ELP and content standards
CurriculumAlignmentELP - Curriculum alignment to ELP standards
SubjectMatter - Subject matter
Other - Other
</t>
  </si>
  <si>
    <t xml:space="preserve">YesStateDefined - Yes, state defined
YesInstitutionDefined - Yes, institution defined
</t>
  </si>
  <si>
    <t xml:space="preserve">FirstTrimester - First trimester
SecondTrimester - Second trimester
ThirdTrimester - Third trimester
NoPrenatalHealthCare - No prenatal health care
</t>
  </si>
  <si>
    <t xml:space="preserve">InDistrict - In-district
InState - In-state
OutOfState - Out-of-state
NoDifferential - No differential tuition based on residency
</t>
  </si>
  <si>
    <t xml:space="preserve">PerTerm - Per Term
PerYear - Per Year
PerProgram - Per Program
PerCourse - Per Course
PerCredit - Per Credit
</t>
  </si>
  <si>
    <t xml:space="preserve">01 - Teacher recruitment and retention
02 - Teacher professional development
03 - Educational technology
04 - Parental involvement activities
05 - Activities authorized under the Safe and Drug-Free Schools Program (Title IV, Part A)
06 - Activities authorized under Title I, Part A
07 - Activities authorized under Title III (Language instruction for English Learner and immigrant students)
</t>
  </si>
  <si>
    <t xml:space="preserve">F1 - Foreign Student Visa
M1 - Foreign Student pursuing vocational or non-academic studies Visa
H1 - Employment Visa
B1 - Business Visa
B2 - Tourist Visa
J1 - Exchange Scholar Visa
OV - Other Visa
</t>
  </si>
  <si>
    <t xml:space="preserve">01 - Collected as an hourly wage amount
02 - Collected as salary and converted to an hourly wage amount
03 - Collected in both methods but method not tracked on an individual record
99 - Wage data not present
</t>
  </si>
  <si>
    <t xml:space="preserve">01 - Verified
02 - Not verified
03 - Wage data not present
</t>
  </si>
  <si>
    <t>Early Learning Organization</t>
  </si>
  <si>
    <t>Early Learning Child</t>
  </si>
  <si>
    <t>Early Learning Family</t>
  </si>
  <si>
    <t>Early Learning Staff</t>
  </si>
  <si>
    <t>Early Learning Class/Group</t>
  </si>
  <si>
    <t>Implementation</t>
  </si>
  <si>
    <t>Accessible Format Issued Begin Date</t>
  </si>
  <si>
    <t>The date the student was issued any accessible format(s).</t>
  </si>
  <si>
    <t>002090</t>
  </si>
  <si>
    <t>AccessibleFormatIssuedBeginDate</t>
  </si>
  <si>
    <t>Accessible Format Issued End Date</t>
  </si>
  <si>
    <t>The end date for the issuance of accessible format(s) to the student.</t>
  </si>
  <si>
    <t>002091</t>
  </si>
  <si>
    <t>AccessibleFormatIssuedEndDate</t>
  </si>
  <si>
    <t>Accessible Format Issued Indicator</t>
  </si>
  <si>
    <t xml:space="preserve">An indication that the student was issued an accessible format according to their IEP or 504 Plan. </t>
  </si>
  <si>
    <t>002088</t>
  </si>
  <si>
    <t>AccessibleFormatIssuedIndicator</t>
  </si>
  <si>
    <t>Accessible Format Required Indicator</t>
  </si>
  <si>
    <t>An indication that the student requires an accessible format according to their IEP or 504 Plan.</t>
  </si>
  <si>
    <t>002092</t>
  </si>
  <si>
    <t>AccessibleFormatRequiredIndicator</t>
  </si>
  <si>
    <t>Accessible Format Type</t>
  </si>
  <si>
    <t>An alternative manner or form that gives an eligible person access to the work when the copy or phonorecord in the accessible format is used exclusively by the eligible person to permit him or her to have access as feasibly and comfortably as a person without such disability (20 U.S.C. § 121(d)(1)).</t>
  </si>
  <si>
    <t>002089</t>
  </si>
  <si>
    <t>AccessibleFormatType</t>
  </si>
  <si>
    <t>Adjusted Exit or Withdrawal Type</t>
  </si>
  <si>
    <t>An adjustment of the last known circumstances under which the student exited from membership in an educational institution.</t>
  </si>
  <si>
    <t>There are extended periods of time where information collected about a student can change, but for which there may not be another enrollment record. Summer is a good example of this. At the end of the school year, the Exit or Withdrawal Reason for the student may be 73062 - Student is expected to return to the same school. Then halfway through the summer, the student moves out of state - 01909 - Transferred to a public school in a different state. There is a need to capture this adjusted exit information while still retaining the original exit or withdrawal type. This element serves that purpose and should always be used in conjunction with an existing Exit or Withdrawal Type and enrollment record.</t>
  </si>
  <si>
    <t>002017</t>
  </si>
  <si>
    <t>AdjustedExitOrWithdrawalType</t>
  </si>
  <si>
    <t>Attendance Event Duration Day</t>
  </si>
  <si>
    <t>The duration of the attendance event captured as one whole day or a portion of a day.</t>
  </si>
  <si>
    <t>When used to capture daily attendance, 1.0 would represent a whole day. Other examples would include 0.5 as a half-day and 0.33 as one-third of a day. For capturing course section attendance, the recommendation would be to use the element "Attendance Event Duration Minutes".</t>
  </si>
  <si>
    <t>002098</t>
  </si>
  <si>
    <t>AttendanceEventDurationDay</t>
  </si>
  <si>
    <t>Attendance Event Duration Hours</t>
  </si>
  <si>
    <t>The duration of the attendance event in hours.</t>
  </si>
  <si>
    <t>002015</t>
  </si>
  <si>
    <t>AttendanceEventDurationHours</t>
  </si>
  <si>
    <t>Attendance Event Duration Minutes</t>
  </si>
  <si>
    <t>The duration of the attendance event in minutes.</t>
  </si>
  <si>
    <t>002014</t>
  </si>
  <si>
    <t>AttendanceEventDurationMinutes</t>
  </si>
  <si>
    <t>Board Member Position Type</t>
  </si>
  <si>
    <t>The position or role the person performs on the board.</t>
  </si>
  <si>
    <t>002104</t>
  </si>
  <si>
    <t>BoardMemberPositionType</t>
  </si>
  <si>
    <t>Board Member Term End Date</t>
  </si>
  <si>
    <t>The date on which the board member's term ends.</t>
  </si>
  <si>
    <t>002103</t>
  </si>
  <si>
    <t>BoardMemberTermEndDate</t>
  </si>
  <si>
    <t>Board Member Term Start Date</t>
  </si>
  <si>
    <t>The date on which the board member's term begins.</t>
  </si>
  <si>
    <t>002102</t>
  </si>
  <si>
    <t>BoardMemberTermStartDate</t>
  </si>
  <si>
    <t>Board Membership Type</t>
  </si>
  <si>
    <t>The type of membership for the board member.</t>
  </si>
  <si>
    <t>002105</t>
  </si>
  <si>
    <t>BoardMembershipType</t>
  </si>
  <si>
    <t>Chronic Student Absenteeism Indicator</t>
  </si>
  <si>
    <t>Indicates whether a student was absent 10% or more school days during the school year with an absence being defined as a student not physically on school grounds and was not participating in instruction or instruction-related activities at an approved off-grounds location for at least half the school day.</t>
  </si>
  <si>
    <t>002022</t>
  </si>
  <si>
    <t>ChronicStudentAbsenteeismIndicator</t>
  </si>
  <si>
    <t>Coding System Organization Type</t>
  </si>
  <si>
    <t>The type of organization that created the coding system for this element.</t>
  </si>
  <si>
    <t>002073</t>
  </si>
  <si>
    <t>CodingSystemOrganizationType</t>
  </si>
  <si>
    <t>Course Funding Program Allowed</t>
  </si>
  <si>
    <t>An indication of permission for allocation of a course funding program's funds for the support of a course.</t>
  </si>
  <si>
    <t>This element is used in relation to the element Course Funding Program.</t>
  </si>
  <si>
    <t>002065</t>
  </si>
  <si>
    <t>CourseFundingProgramAllowed</t>
  </si>
  <si>
    <t>Credential Award Relationship</t>
  </si>
  <si>
    <t>The nature of a credential award's relationship to another credential award.</t>
  </si>
  <si>
    <t>002081</t>
  </si>
  <si>
    <t>CredentialAwardRelationship</t>
  </si>
  <si>
    <t>Delinquent Program Type</t>
  </si>
  <si>
    <t>The type of delinquent programs under Title I, Part D, Subpart 1 (State Agency) of ESEA as amended or under Title I, Part D, Subpart 2 (LEA) of ESEA, as amended.</t>
  </si>
  <si>
    <t>002085</t>
  </si>
  <si>
    <t>DelinquentProgramType</t>
  </si>
  <si>
    <t>Diversity Equity Inclusion Policy Indicator</t>
  </si>
  <si>
    <t>Indicates whether or not the program has a written policy addressing diversity, equity and inclusion (DEI).</t>
  </si>
  <si>
    <t>002016</t>
  </si>
  <si>
    <t>DEIPolicyIndicator</t>
  </si>
  <si>
    <t>Dropout Reason Type</t>
  </si>
  <si>
    <t>The reason or reasons the student dropped out of school.</t>
  </si>
  <si>
    <t>002113</t>
  </si>
  <si>
    <t>DropoutReasonType</t>
  </si>
  <si>
    <t>Education Job Type</t>
  </si>
  <si>
    <t>A broad categorization of the job as it relates to education.</t>
  </si>
  <si>
    <t>002074</t>
  </si>
  <si>
    <t>EducationJobType</t>
  </si>
  <si>
    <t>Facility Joint Use Description</t>
  </si>
  <si>
    <t>A description explaining the details of an organization's shared facility arrangement.</t>
  </si>
  <si>
    <t>002112</t>
  </si>
  <si>
    <t>FacilityJointUseDescription</t>
  </si>
  <si>
    <t>Facility Joint Use Indicator</t>
  </si>
  <si>
    <t>An indication that an organization shares a facility or space within a facility with another organization.</t>
  </si>
  <si>
    <t>002111</t>
  </si>
  <si>
    <t>FacilityJointUseIndicator</t>
  </si>
  <si>
    <t>Financial Account GASB Revenue Classification</t>
  </si>
  <si>
    <t>The classification of Governmental Accounting Standards Board (GASB) revenues.</t>
  </si>
  <si>
    <t>002066</t>
  </si>
  <si>
    <t>FinancialAccountGASBRevenueClassification</t>
  </si>
  <si>
    <t>Financial Account Local GASB Revenue Classification</t>
  </si>
  <si>
    <t>A local code used to classify Governmental Accounting Standards Board (GASB) revenues.</t>
  </si>
  <si>
    <t>002067</t>
  </si>
  <si>
    <t>FinancialAccountLocalGASBRevenueClassification</t>
  </si>
  <si>
    <t>Funding Source Amount</t>
  </si>
  <si>
    <t>The amount of financial support contributed by a specific funding or revenue stream.</t>
  </si>
  <si>
    <t>The funding source, usually an organization, is related to either another organization that is receiving the funding or to a person such as in the case of employment.</t>
  </si>
  <si>
    <t>002059</t>
  </si>
  <si>
    <t>FundingSourceAmount</t>
  </si>
  <si>
    <t>Funding Source Percentage</t>
  </si>
  <si>
    <t>The proportion or percentage of financial support or resources contributed by a specific funding or revenue stream in relation to the total funding.</t>
  </si>
  <si>
    <t>002058</t>
  </si>
  <si>
    <t>FundingSourcePercentage</t>
  </si>
  <si>
    <t>High Grade Level</t>
  </si>
  <si>
    <t>The highest grade level when referring to grade levels as a range.</t>
  </si>
  <si>
    <t>002083</t>
  </si>
  <si>
    <t>HighGradeLevel</t>
  </si>
  <si>
    <t>High Quality Instructional Material Indicator</t>
  </si>
  <si>
    <t>An indication of whether the related learning resource meets requirements to be considered high quality instructional material as defined by the organization assigning the indicator.</t>
  </si>
  <si>
    <t>002032</t>
  </si>
  <si>
    <t>HighQualityInstructionalMaterialIndicator</t>
  </si>
  <si>
    <t>Incident Activity</t>
  </si>
  <si>
    <t xml:space="preserve">The activity taking place during the occurrence. </t>
  </si>
  <si>
    <t>002110</t>
  </si>
  <si>
    <t>IncidentActivity</t>
  </si>
  <si>
    <t>Instructional Minutes Per Day</t>
  </si>
  <si>
    <t>The number of instructional minutes in the day in which the school is normally in session.</t>
  </si>
  <si>
    <t>Integer- greater than or equal to 0</t>
  </si>
  <si>
    <t>002099</t>
  </si>
  <si>
    <t>InstructionalMinutesPerDay</t>
  </si>
  <si>
    <t>Job Identification System</t>
  </si>
  <si>
    <t>A coding scheme that is used by an organization for identification and record keeping purposes to refer to a job.</t>
  </si>
  <si>
    <t>002070</t>
  </si>
  <si>
    <t>JobIdentificationSystem</t>
  </si>
  <si>
    <t>Job Identifier</t>
  </si>
  <si>
    <t>A unique number or alphanumeric code used to identify a job.</t>
  </si>
  <si>
    <t>002069</t>
  </si>
  <si>
    <t>JobIdentifier</t>
  </si>
  <si>
    <t>Job Position Expected Start Date</t>
  </si>
  <si>
    <t>The date, determined by the organization, on which they anticipate the selected individual to commence their role within the organization.</t>
  </si>
  <si>
    <t>002077</t>
  </si>
  <si>
    <t>JobPositionExpectedStartDate</t>
  </si>
  <si>
    <t>Job Position Identification System</t>
  </si>
  <si>
    <t>A coding scheme that is used by an organization for identification and record keeping purposes to refer to a job position.</t>
  </si>
  <si>
    <t>002076</t>
  </si>
  <si>
    <t>JobPositionIdentificationSystem</t>
  </si>
  <si>
    <t>Job Position Identifier</t>
  </si>
  <si>
    <t>A unique number or alphanumeric code used to identify a job position.</t>
  </si>
  <si>
    <t>002075</t>
  </si>
  <si>
    <t>JobPositionIdentifier</t>
  </si>
  <si>
    <t>Job Position Status</t>
  </si>
  <si>
    <t>A value defining the status of the job position.</t>
  </si>
  <si>
    <t>002078</t>
  </si>
  <si>
    <t>JobPositionStatus</t>
  </si>
  <si>
    <t>Job Position Status Cancelled Reason</t>
  </si>
  <si>
    <t>The reason why the job position was given the job position status of cancelled.</t>
  </si>
  <si>
    <t>To be used in conjunction with the element Job Position Status.</t>
  </si>
  <si>
    <t>002080</t>
  </si>
  <si>
    <t>JobPositionStatusCancelledReason</t>
  </si>
  <si>
    <t>Job Position Status Date</t>
  </si>
  <si>
    <t>The effective date of the job position status.</t>
  </si>
  <si>
    <t>Used in conjunction with the element Job Position Status.</t>
  </si>
  <si>
    <t>002079</t>
  </si>
  <si>
    <t>JobPositionStatusDate</t>
  </si>
  <si>
    <t>LEA GFSA Assurance of Compliance Indicator</t>
  </si>
  <si>
    <t>Indicates if a Local Education Agency (LEA) has provided an assurance that it is in compliance with the State law requiring that a student who brings a firearm to school, or possesses a firearm at school, be expelled for one year, except that such State law shall allow the chief administering officer of a local educational agency to modify such expulsion requirement for a student on a case-by-case basis if such modification is in writing.</t>
  </si>
  <si>
    <t>This data is part of the requirement for LEAs to adhere to the Gun Free Schools Act (GFSA).</t>
  </si>
  <si>
    <t>002096</t>
  </si>
  <si>
    <t>LEAGFSAAssuranceofComplianceIndicator</t>
  </si>
  <si>
    <t>LEA GFSA Policy Assurance Indicator</t>
  </si>
  <si>
    <t xml:space="preserve">Indicates if a Local Education Agency has provided an assurance that it is in compliance with the requirement in Section 4141(h) that an LEA receiving ESEA funds have in place a policy requiring referral to the criminal justice or juvenile delinquency system of any student who brings a firearm to a school or possesses a firearm at school. </t>
  </si>
  <si>
    <t>002097</t>
  </si>
  <si>
    <t>LEAGFSAPolicyAssuranceIndicator</t>
  </si>
  <si>
    <t>Learning Resource Identification System</t>
  </si>
  <si>
    <t>A coding scheme that is used for identification and record-keeping purposes to refer to a learning resource.</t>
  </si>
  <si>
    <t>002028</t>
  </si>
  <si>
    <t>LearningResourceIdentificationSystem</t>
  </si>
  <si>
    <t>Learning Resource Identifier</t>
  </si>
  <si>
    <t>A unique number or alphanumeric code assigned to a learning resource by an organization.</t>
  </si>
  <si>
    <t>002027</t>
  </si>
  <si>
    <t>LearningResourceIdentifier</t>
  </si>
  <si>
    <t>Learning Resource Issued Date</t>
  </si>
  <si>
    <t>The date the learning resource was issued to the student.</t>
  </si>
  <si>
    <t>002093</t>
  </si>
  <si>
    <t>LearningResourceIssuedDate</t>
  </si>
  <si>
    <t>Learning Resource Ordered Date</t>
  </si>
  <si>
    <t>The date the learning resource was ordered for the student.</t>
  </si>
  <si>
    <t>002095</t>
  </si>
  <si>
    <t>LearningResourceOrderedDate</t>
  </si>
  <si>
    <t>Learning Resource Received Date</t>
  </si>
  <si>
    <t xml:space="preserve">The date the learning resource was received by the organization that placed the order. </t>
  </si>
  <si>
    <t>002094</t>
  </si>
  <si>
    <t>LearningResourceReceivedDate</t>
  </si>
  <si>
    <t>Learning Resource Status</t>
  </si>
  <si>
    <t>The status of the Learning Resource as of the status start date.</t>
  </si>
  <si>
    <t>002031</t>
  </si>
  <si>
    <t>LearningResourceStatus</t>
  </si>
  <si>
    <t>Learning Resource Status Quantity</t>
  </si>
  <si>
    <t>The total number of a specific related learning resource for each distinct learning resource status.</t>
  </si>
  <si>
    <t>002033</t>
  </si>
  <si>
    <t>LearningResourceStatusQuantity</t>
  </si>
  <si>
    <t>Local Job Category</t>
  </si>
  <si>
    <t>A local code used to describe and classify the job.</t>
  </si>
  <si>
    <t>002071</t>
  </si>
  <si>
    <t>LocalJobCategory</t>
  </si>
  <si>
    <t>Local Job Function</t>
  </si>
  <si>
    <t>A local code indicating the broad business activity supported by the job.</t>
  </si>
  <si>
    <t>002072</t>
  </si>
  <si>
    <t>LocalJobFunction</t>
  </si>
  <si>
    <t>Low Grade Level</t>
  </si>
  <si>
    <t>The lowest grade level when referring to grade levels as a range.</t>
  </si>
  <si>
    <t>002082</t>
  </si>
  <si>
    <t>LowGradeLevel</t>
  </si>
  <si>
    <t>Lunch Minutes Per Day</t>
  </si>
  <si>
    <t>The number of lunch minutes in the day in which the school is normally in session.</t>
  </si>
  <si>
    <t>002100</t>
  </si>
  <si>
    <t>LunchMinutesPerDay</t>
  </si>
  <si>
    <t>Military Campaigns</t>
  </si>
  <si>
    <t>A military campaign in which the person has been involved during the service period.</t>
  </si>
  <si>
    <t xml:space="preserve">This element is applicable for specifying more details when using indicators related to U.S. Military service, such as Military Connected Student Indicator, Active Military Status Indicator, Military Veteran Status Indicator and Military Enlistment After Exit elements. </t>
  </si>
  <si>
    <t>002050</t>
  </si>
  <si>
    <t>MilitaryCampaigns</t>
  </si>
  <si>
    <t>Military Country</t>
  </si>
  <si>
    <t>The unique two character International Organization for Standardization (ISO) code for the country in whose military a person serves or served.</t>
  </si>
  <si>
    <t>This element is applicable for specifying more details when using indicators related to U.S. Military service, such as Military Connected Student Indicator, Active Military Status Indicator, Military Veteran Status Indicator and Military Enlistment After Exit elements. The CEDS Country Code option set comes from the ISO 3166 standard, the short name for Officially assigned codes. Discontinued codes from the ISO standard are not included in the CEDS list. This element is intended to show when a person is serving or has served in another country's military, not the country in which they serve as part of the US Military.</t>
  </si>
  <si>
    <t>002034</t>
  </si>
  <si>
    <t>MilitaryCountry</t>
  </si>
  <si>
    <t>Military Current Rank</t>
  </si>
  <si>
    <t>The rank a person currently holds as part of active service. Do not use this indicator if the person is no longer holding this rank.</t>
  </si>
  <si>
    <t>002048</t>
  </si>
  <si>
    <t>MilitaryCurrentRank</t>
  </si>
  <si>
    <t>Military Deployment Activity Code</t>
  </si>
  <si>
    <t>The codes of any activities performed by the person while deployed in the military.</t>
  </si>
  <si>
    <t>Alphanumeric - 200 characters maximum</t>
  </si>
  <si>
    <t>002055</t>
  </si>
  <si>
    <t>MilitaryDeploymentActivityCode</t>
  </si>
  <si>
    <t>Military Deployment Activity Name</t>
  </si>
  <si>
    <t>The names of any activities performed by the person while deployed in the military.</t>
  </si>
  <si>
    <t>Alphanumeric - 400 characters maximum</t>
  </si>
  <si>
    <t>002056</t>
  </si>
  <si>
    <t>MilitaryDeploymentActivityName</t>
  </si>
  <si>
    <t>Military Deployment Description</t>
  </si>
  <si>
    <t>A textual description of the person's military deployment.</t>
  </si>
  <si>
    <t>002052</t>
  </si>
  <si>
    <t>MilitaryDeploymentDescription</t>
  </si>
  <si>
    <t>Military Deployment End Date</t>
  </si>
  <si>
    <t>The date when a person's military deployment ended.</t>
  </si>
  <si>
    <t>002043</t>
  </si>
  <si>
    <t>MilitaryDeploymentEndDate</t>
  </si>
  <si>
    <t>Military Deployment Order Description</t>
  </si>
  <si>
    <t>A textual description of the person's military deployment order.</t>
  </si>
  <si>
    <t>002053</t>
  </si>
  <si>
    <t>MilitaryDeploymentOrderDescription</t>
  </si>
  <si>
    <t>Military Deployment Requested By</t>
  </si>
  <si>
    <t>A textual description of an entity that requested the person's military deployment.</t>
  </si>
  <si>
    <t>002054</t>
  </si>
  <si>
    <t>MilitaryDeploymentRequestedBy</t>
  </si>
  <si>
    <t>Military Deployment Start Date</t>
  </si>
  <si>
    <t>The date when a person's military deployment started.</t>
  </si>
  <si>
    <t>002042</t>
  </si>
  <si>
    <t>MilitaryDeploymentStartDate</t>
  </si>
  <si>
    <t>Military Deployment Status Code</t>
  </si>
  <si>
    <t>Deployment status code issued to military personnel by the U.S. military.</t>
  </si>
  <si>
    <t>002051</t>
  </si>
  <si>
    <t>MilitaryDeploymentStatusCode</t>
  </si>
  <si>
    <t>Military Discharge Category</t>
  </si>
  <si>
    <t>A kind of discharge a person received from military services.</t>
  </si>
  <si>
    <t>002044</t>
  </si>
  <si>
    <t>MilitaryDischargeCategory</t>
  </si>
  <si>
    <t>Military Discharge Date</t>
  </si>
  <si>
    <t>The date when a person was released from further military obligations.</t>
  </si>
  <si>
    <t>002040</t>
  </si>
  <si>
    <t>MilitaryDischargeDate</t>
  </si>
  <si>
    <t>Military Discharge Rank</t>
  </si>
  <si>
    <t>A rank at time a person was discharged from military service.</t>
  </si>
  <si>
    <t>002046</t>
  </si>
  <si>
    <t>MilitaryDischargeRank</t>
  </si>
  <si>
    <t>Military Duties</t>
  </si>
  <si>
    <t>A description of the duties encompassed within a period of military service.</t>
  </si>
  <si>
    <t>002037</t>
  </si>
  <si>
    <t>MilitaryDuties</t>
  </si>
  <si>
    <t>Military Expertise</t>
  </si>
  <si>
    <t>A list of expertise that the person developed during the service period.</t>
  </si>
  <si>
    <t>002036</t>
  </si>
  <si>
    <t>MilitaryExpertise</t>
  </si>
  <si>
    <t>Military Highest Rank</t>
  </si>
  <si>
    <t>The highest rank achieved by a person in military service.</t>
  </si>
  <si>
    <t>002047</t>
  </si>
  <si>
    <t>MilitaryHighestRank</t>
  </si>
  <si>
    <t>Military Honors</t>
  </si>
  <si>
    <t>A military honor that the person received during the service period.</t>
  </si>
  <si>
    <t>002049</t>
  </si>
  <si>
    <t>MilitaryHonors</t>
  </si>
  <si>
    <t>Military Induction Date</t>
  </si>
  <si>
    <t>The date when a person was inducted into active military service.</t>
  </si>
  <si>
    <t>002039</t>
  </si>
  <si>
    <t>MilitaryInductionDate</t>
  </si>
  <si>
    <t>Military Induction Rank</t>
  </si>
  <si>
    <t>A rank at the time a person started their military experience.</t>
  </si>
  <si>
    <t>002045</t>
  </si>
  <si>
    <t>MilitaryInductionRank</t>
  </si>
  <si>
    <t xml:space="preserve">Military Occupational Specialties </t>
  </si>
  <si>
    <t xml:space="preserve">A military occupational specialty of a person. </t>
  </si>
  <si>
    <t xml:space="preserve">This is a code or an identifier of an occupation applicable for specifying more details when using indicators related to U.S. Military service, such as Military Connected Student Indicator, Active Military Status Indicator, Military Veteran Status Indicator and Military Enlistment After Exit elements. The complete list of MOS for each branch of the U.S. military can be found on their respective websites. In addition, there are other resources available that provide information on how MOS relate to civilian jobs, such as the crosswalk tools available on the Department of Veterans Affairs website: https://www.myhealth.va.gov/mhv-portal-web/dod-military-service-information-faqs#civilianjobs. </t>
  </si>
  <si>
    <t>002035</t>
  </si>
  <si>
    <t>MilitaryOccupationalSpecialties</t>
  </si>
  <si>
    <t>Military Release Date</t>
  </si>
  <si>
    <t>The date a person was released from active military service.</t>
  </si>
  <si>
    <t>002041</t>
  </si>
  <si>
    <t>MilitaryReleaseDate</t>
  </si>
  <si>
    <t>Military Service Locations</t>
  </si>
  <si>
    <t>A description of the duty stations (locations) encompassed within a period of military service.</t>
  </si>
  <si>
    <t>002038</t>
  </si>
  <si>
    <t>MilitaryServiceLocations</t>
  </si>
  <si>
    <t>Military Service Number</t>
  </si>
  <si>
    <t>The military service number or identifier of the person as defined by the country, branch, and/or division.</t>
  </si>
  <si>
    <t>This identifier is applicable for specifying more details when using indicators related to U.S. Military service, such as Military Connected Student Indicator, Active Military Status Indicator, Military Veteran Status Indicator and Military Enlistment After Exit elements.</t>
  </si>
  <si>
    <t>002114</t>
  </si>
  <si>
    <t>MilitaryServiceNumber</t>
  </si>
  <si>
    <t>Most Prevalent Level of Institution</t>
  </si>
  <si>
    <t>A classification of a postsecondary institution's most prevalent level.</t>
  </si>
  <si>
    <t>002025</t>
  </si>
  <si>
    <t>MostPrevalentLevelOfInstitution</t>
  </si>
  <si>
    <t>National Guard Indicator</t>
  </si>
  <si>
    <t xml:space="preserve">A person's current membership status in the United States National Guard. </t>
  </si>
  <si>
    <t>002057</t>
  </si>
  <si>
    <t>NationalGuardIndicator</t>
  </si>
  <si>
    <t>Neglected Program Type</t>
  </si>
  <si>
    <t>The type of neglected programs under Title I, Part D, Subpart 1 (State Agency) of ESEA as amended.</t>
  </si>
  <si>
    <t>002084</t>
  </si>
  <si>
    <t>NeglectedProgramType</t>
  </si>
  <si>
    <t>Organization Jurisdiction Square Miles</t>
  </si>
  <si>
    <t xml:space="preserve">The total area, measured in square miles, over which an organization holds administrative or governing authority, including regions under its regulatory, operational, or legal control. </t>
  </si>
  <si>
    <t>002063</t>
  </si>
  <si>
    <t>OrganizationJurisdictionSquareMiles</t>
  </si>
  <si>
    <t>Part B Postsecondary Outcomes Indicator</t>
  </si>
  <si>
    <t>An indication of the status of a person within one year of leaving secondary school and who had an individualized education program in effect at the time they left secondary school.</t>
  </si>
  <si>
    <t>002086</t>
  </si>
  <si>
    <t>PartBPostsecondaryOutcomesIndicator</t>
  </si>
  <si>
    <t>Perkins Post-Program Placement Indicator</t>
  </si>
  <si>
    <t>An indication of the post-program status of a CTE Concentrator in the second quarter after exiting from secondary education.</t>
  </si>
  <si>
    <t>002087</t>
  </si>
  <si>
    <t>PerkinsPostProgramPlacementIndicator</t>
  </si>
  <si>
    <t>Projected High School Diploma Type</t>
  </si>
  <si>
    <t>The type of projected diploma/credential a person would be awarded in recognition of his/her completion of the curricular requirements.</t>
  </si>
  <si>
    <t>002026</t>
  </si>
  <si>
    <t>ProjectedHighSchoolDiplomaType</t>
  </si>
  <si>
    <t>Recess Minutes Per Day</t>
  </si>
  <si>
    <t>The number of recess minutes in the day in which the school is normally in session.</t>
  </si>
  <si>
    <t>002101</t>
  </si>
  <si>
    <t>RecessMinutesPerDay</t>
  </si>
  <si>
    <t>Record Reference Identification System</t>
  </si>
  <si>
    <t>A coding scheme that is used for identification and record-keeping purposes to refer to a record.</t>
  </si>
  <si>
    <t>002030</t>
  </si>
  <si>
    <t>RecordReferenceIdentificationSystem</t>
  </si>
  <si>
    <t>Record Reference Identifier</t>
  </si>
  <si>
    <t>A unique number or alphanumeric code assigned to a record.</t>
  </si>
  <si>
    <t>002029</t>
  </si>
  <si>
    <t>RecordReferenceIdentifier</t>
  </si>
  <si>
    <t>Salary Schedule Criterion Description</t>
  </si>
  <si>
    <t>A description given to a specific criterion used to determine a salary provided or offered.</t>
  </si>
  <si>
    <t>002107</t>
  </si>
  <si>
    <t>SalaryScheduleCriterionDescription</t>
  </si>
  <si>
    <t>Salary Schedule Criterion Name</t>
  </si>
  <si>
    <t>A name given to a specific criterion used to determine a salary provided or offered.</t>
  </si>
  <si>
    <t>002106</t>
  </si>
  <si>
    <t>SalaryScheduleCriterionName</t>
  </si>
  <si>
    <t>Salary Schedule Criterion Value</t>
  </si>
  <si>
    <t>A unique value or code assigned to a salary schedule criterion used to differentiate between the achievable levels of the criterion.</t>
  </si>
  <si>
    <t>002108</t>
  </si>
  <si>
    <t>SalaryScheduleCriterionValue</t>
  </si>
  <si>
    <t>Salary Schedule Salary Value</t>
  </si>
  <si>
    <t>The salary or wage determined by the salary schedule criteria.</t>
  </si>
  <si>
    <t>002109</t>
  </si>
  <si>
    <t>SalaryScheduleSalaryValue</t>
  </si>
  <si>
    <t>Sequence of Course</t>
  </si>
  <si>
    <t xml:space="preserve">Where a specific course lies when it is part of a consecutive sequence of courses. </t>
  </si>
  <si>
    <t>Alphanumeric- 10 characters maximum</t>
  </si>
  <si>
    <t>002023</t>
  </si>
  <si>
    <t>SequenceOfCourse</t>
  </si>
  <si>
    <t>Session Sequence Number</t>
  </si>
  <si>
    <t>The position of this session in a sequence of sessions.</t>
  </si>
  <si>
    <t>002021</t>
  </si>
  <si>
    <t>SessionSequenceNumber</t>
  </si>
  <si>
    <t>Staff Compensation Annual Supplement Description</t>
  </si>
  <si>
    <t>A description of the annual supplement awarded to a staff member.</t>
  </si>
  <si>
    <t>Used in relation to the element Staff Compensation Annual Supplement.</t>
  </si>
  <si>
    <t>002064</t>
  </si>
  <si>
    <t>StaffCompensationAnnualSupplementDescription</t>
  </si>
  <si>
    <t>Student Dropout Status</t>
  </si>
  <si>
    <t>An indication of the status of this student as dropout.</t>
  </si>
  <si>
    <t>002068</t>
  </si>
  <si>
    <t>StudentDropoutStatus</t>
  </si>
  <si>
    <t>Teen Parent Indicator</t>
  </si>
  <si>
    <t>The child's parent or guardian is a teen parent between ages 10 to 19 years.</t>
  </si>
  <si>
    <t>002062</t>
  </si>
  <si>
    <t>TeenParentIndicator</t>
  </si>
  <si>
    <t>Transportation Public Expense Eligibility Type</t>
  </si>
  <si>
    <t>The type of eligibility for transporting a person at public expense.</t>
  </si>
  <si>
    <t>002018</t>
  </si>
  <si>
    <t>TransportationPublicExpenseEligibilityType</t>
  </si>
  <si>
    <t>Transportation State Aid Qualification Type</t>
  </si>
  <si>
    <t>The qualification status for the transportation of a person that entitles an organization to receive state transportation aid.</t>
  </si>
  <si>
    <t>002020</t>
  </si>
  <si>
    <t>TransportationStateAidQualificationType</t>
  </si>
  <si>
    <t>Transportation Status Type</t>
  </si>
  <si>
    <t>The transportation status of the person.</t>
  </si>
  <si>
    <t>002019</t>
  </si>
  <si>
    <t>TransportationStatusType</t>
  </si>
  <si>
    <t>Years of Prior Professional Experience</t>
  </si>
  <si>
    <t>The total number of years that an individual has previously held a similar professional position in one or more education institutions prior to the current school year.</t>
  </si>
  <si>
    <t>002061</t>
  </si>
  <si>
    <t>YearsOfPriorProfessionalExperience</t>
  </si>
  <si>
    <t>Years of Total Experience</t>
  </si>
  <si>
    <t>The total number of years that a person has held this position or a similar position in one or more organizations.</t>
  </si>
  <si>
    <t>002060</t>
  </si>
  <si>
    <t>YearsOfTotalExperience</t>
  </si>
  <si>
    <t xml:space="preserve">1000 - Audio
1001 - Audio Described Video
1002 - Braille
1003 - Captioned Video
1004 - Digital Text
1005 - Large Print
1006 - Tactile Graphics
1007 - Text Transcripts of Audio
1008 - Video with Synchronized American Sign Language (ASL)
</t>
  </si>
  <si>
    <t xml:space="preserve">Chair - Chair
Member - Member
Secretary - Secretary
Treasurer - Treasurer
ViceChair - Vice Chair
Other - Other
</t>
  </si>
  <si>
    <t xml:space="preserve">Appointed - Appointed
Elected - Elected
Other - Other
</t>
  </si>
  <si>
    <t xml:space="preserve">LEA - Local Education Agency
SEA - State Education Agency
Other - Other
</t>
  </si>
  <si>
    <t xml:space="preserve">ADLTCORR - Adult Correction
CMNTYDAYPRG - Community day programs
GRPHOMES - Group Homes
JUVDET - Juvenile detention centers
JUVLNGTRMFAC - Long-term secure juvenile facility
RNCHWLDRNSCMPS - Ranch/wilderness camps
RSDNTLTRTMTCTRS - Residential treatment centers
SHELTERS - Shelters
OTHER - Other programs
</t>
  </si>
  <si>
    <t xml:space="preserve">Eating - Eating
IndividualIndependent - Individual/Independent
LargeGroup - Large Group
Playtime - Playtime
RestTime - Rest Time
SmallGroup - Small Group
Transition - Transition
</t>
  </si>
  <si>
    <t xml:space="preserve">LEA - Local Education Agency assigned number
School - School-assigned number
SEA - State Education Agency assigned number
Other - Other
</t>
  </si>
  <si>
    <t xml:space="preserve">Active - Active
Approved - Approved
Cancelled - Cancelled
Filled - Filled
Frozen - Frozen
</t>
  </si>
  <si>
    <t xml:space="preserve">Not Provided - Not Provided
Provided - Provided
</t>
  </si>
  <si>
    <t xml:space="preserve">ISBN - International Standard Book Number
Other - Other
</t>
  </si>
  <si>
    <t xml:space="preserve">Active - Active
Disposal - Disposal
PendingTransfer - Pending transfer
Surplus - Surplus
Other - Other
</t>
  </si>
  <si>
    <t xml:space="preserve">None - None
GulfWar - The Gulf War (1990-1991)
IraqWar - The Iraq War (2003-2011)
KoreanWar - The Korean War (1950-1953)
VietnamWar - The Vietnam War (1955-1975)
WarInAfganistan - The War in Afghanistan (2001-2021)
Unknown - Unknown
WorldWarII - World War II (1939-1945)
Other - Other
</t>
  </si>
  <si>
    <t xml:space="preserve">AF - AFGHANISTAN
AX - ÅLAND ISLANDS
AL - ALBANIA
DZ - ALGERIA
AS - AMERICAN SAMOA
AD - ANDORRA
AO - ANGOLA
AI - ANGUILLA
AQ - ANTARCTICA
AG - ANTIGUA AND BARBUDA
AR - ARGENTINA
AM - ARMENIA
AW - ARUBA
AU - AUSTRALIA
AT - AUSTRIA
AZ - AZERBAIJAN
BS - BAHAMAS
BH - BAHRAIN
BD - BANGLADESH
BB - BARBADOS
BY - BELARUS
BE - BELGIUM
BZ - BELIZE
BJ - BENIN
BM - BERMUDA
BT - BHUTAN
BO - BOLIVIA (PLURINATIONAL STATE OF)
BQ - BONAIRE, SINT EUSTATIUS AND SABA
BA - BOSNIA AND HERZEGOVINA
BW - BOTSWANA
BV - BOUVET ISLAND
BR - BRAZIL
IO - BRITISH INDIAN OCEAN TERRITORY
BN - BRUNEI DARUSSALAM
BG - BULGARIA
BF - BURKINA FASO
BI - BURUNDI
CV - CABO VERDE
KH - CAMBODIA
CM - CAMEROON
CA - CANADA
KY - CAYMAN ISLANDS
CF - CENTRAL AFRICAN REPUBLIC
TD - CHAD
CL - CHILE
CN - CHINA
CX - CHRISTMAS ISLAND
CC - COCOS (KEELING) ISLANDS
CO - COLOMBIA
KM - COMOROS
CG - CONGO
CD - CONGO, DEMOCRATIC REPUBLIC OF THE
CK - COOK ISLANDS
CR - COSTA RICA
CI - CÔTE D'IVOIRE
HR - CROATIA
CU - CUBA
CW - CURAÇAO
CY - CYPRUS
CZ - CZECHIA
DK - DENMARK
DJ - DJIBOUTI
DM - DOMINICA
DO - DOMINICAN REPUBLIC
EC - ECUADOR
EG - EGYPT
SV - EL SALVADOR
GQ - EQUATORIAL GUINEA
ER - ERITREA
EE - ESTONIA
SZ - ESWATINI
ET - ETHIOPIA
FK - FALKLAND ISLANDS (MALVINAS)
FO - FAROE ISLANDS
FJ - FIJI
FI - FINLAND
FR - FRANCE
GF - FRENCH GUIANA
PF - FRENCH POLYNESIA
TF - FRENCH SOUTHERN TERRITORIES
GA - GABON
GM - GAMBIA
GE - GEORGIA
DE - GERMANY
GH - GHANA
GI - GIBRALTAR
GR - GREECE
GL - GREENLAND
GD - GRENADA
GP - GUADELOUPE
GU - GUAM
GT - GUATEMALA
GG - GUERNSEY
GN - GUINEA
GW - GUINEA-BISSAU
GY - GUYANA
HT - HAITI
HM - HEARD ISLAND AND MCDONALD ISLANDS
VA - HOLY SEE
HN - HONDURAS
HK - HONG KONG
HU - HUNGARY
IS - ICELAND
IN - INDIA
ID - INDONESIA
IR - IRAN (ISLAMIC REPUBLIC OF)
IQ - IRAQ
IE - IRELAND
IM - ISLE OF MAN
IL - ISRAEL
IT - ITALY
JM - JAMAICA
JP - JAPAN
JE - JERSEY
JO - JORDAN
KZ - KAZAKHSTAN
KE - KENYA
KI - KIRIBATI
KP - KOREA (DEMOCRATIC PEOPLE'S REPUBLIC OF)
KR - KOREA, REPUBLIC OF
KW - KUWAIT
KG - KYRGYZSTAN
LA - LAO PEOPLE'S DEMOCRATIC REPUBLIC
LV - LATVIA
LB - LEBANON
LS - LESOTHO
LR - LIBERIA
LY - LIBYA
LI - LIECHTENSTEIN
LT - LITHUANIA
LU - LUXEMBOURG
MO - MACAO
MG - MADAGASCAR
MW - MALAWI
MY - MALAYSIA
MV - MALDIVES
ML - MALI
MT - MALTA
MH - MARSHALL ISLANDS
MQ - MARTINIQUE
MR - MAURITANIA
MU - MAURITIUS
YT - MAYOTTE
MX - MEXICO
FM - MICRONESIA (FEDERATED STATES OF)
MD - MOLDOVA, REPUBLIC OF
MC - MONACO
MN - MONGOLIA
ME - MONTENEGRO
MS - MONTSERRAT
MA - MOROCCO
MZ - MOZAMBIQUE
MM - MYANMAR
NA - NAMIBIA
NR - NAURU
NP - NEPAL
NL - NETHERLANDS
NC - NEW CALEDONIA
NZ - NEW ZEALAND
NI - NICARAGUA
NE - NIGER
NG - NIGERIA
NU - NIUE
NF - NORFOLK ISLAND
MK - NORTH MACEDONIA
MP - NORTHERN MARIANA ISLANDS
NO - NORWAY
OM - OMAN
PK - PAKISTAN
PW - PALAU
PS - PALESTINE, STATE OF
PA - PANAMA
PG - PAPUA NEW GUINEA
PY - PARAGUAY
PE - PERU
PH - PHILIPPINES
PN - PITCAIRN
PL - POLAND
PT - PORTUGAL
PR - PUERTO RICO
QA - QATAR
RE - RÉUNION
RO - ROMANIA
RU - RUSSIAN FEDERATION
RW - RWANDA
BL - SAINT BARTHÉLEMY
SH - SAINT HELENA, ASCENSION AND TRISTAN DA CUNHA
KN - SAINT KITTS AND NEVIS
LC - SAINT LUCIA
MF - SAINT MARTIN (FRENCH PART)
PM - SAINT PIERRE AND MIQUELON
VC - SAINT VINCENT AND THE GRENADINES
WS - SAMOA
SM - SAN MARINO
ST - SAO TOME AND PRINCIPE
SA - SAUDI ARABIA
SN - SENEGAL
RS - SERBIA
SC - SEYCHELLES
SL - SIERRA LEONE
SG - SINGAPORE
SX - SINT MAARTEN (DUTCH PART)
SK - SLOVAKIA
SI - SLOVENIA
SB - SOLOMON ISLANDS
SO - SOMALIA
ZA - SOUTH AFRICA
GS - SOUTH GEORGIA AND THE SOUTH SANDWICH ISLANDS
SS - SOUTH SUDAN
ES - SPAIN
LK - SRI LANKA
SD - SUDAN
SR - SURINAME
SJ - SVALBARD AND JAN MAYEN
SE - SWEDEN
CH - SWITZERLAND
SY - SYRIAN ARAB REPUBLIC
TW - TAIWAN
TJ - TAJIKISTAN
TZ - TANZANIA, UNITED REPUBLIC OF
TH - THAILAND
TL - TIMOR-LESTE
TG - TOGO
TK - TOKELAU
TO - TONGA
TT - TRINIDAD AND TOBAGO
TN - TUNISIA
TR - TURKEY
TM - TURKMENISTAN
TC - TURKS AND CAICOS ISLANDS
TV - TUVALU
UG - UGANDA
UA - UKRAINE
AE - UNITED ARAB EMIRATES
GB - UNITED KINGDOM OF GREAT BRITAIN AND NORTHERN IRELAND
UM - UNITED STATES MINOR OUTLYING ISLANDS
US - UNITED STATES OF AMERICA
UY - URUGUAY
UZ - UZBEKISTAN
VU - VANUATU
VE - VENEZUELA (BOLIVARIAN REPUBLIC OF)
VN - VIET NAM
VG - VIRGIN ISLANDS (BRITISH)
VI - VIRGIN ISLANDS (U.S.)
WF - WALLIS AND FUTUNA
EH - WESTERN SAHARA
YE - YEMEN
ZM - ZAMBIA
ZW - ZIMBABWE
</t>
  </si>
  <si>
    <t xml:space="preserve">AvailableForDeployment - Available for deployment
CurrentlyDeployed - Currently deployed
NonDeployable - Nondeployable
PermanentDeploymentExemption - Permanent deployment exemption
RetiredOrSeparatedFromMilitaryService - Retired or separated from military service
Temporary exemption from deployment - Temporary deployment exemption
</t>
  </si>
  <si>
    <t xml:space="preserve">AdministrativeDischarge - Administrative discharge
BadConductDischarge - Bad conduct discharge
DishonorableDischarge - Dishonorable discharge
EntryLevelSeparation - Entry level separation
GeneralDischargeUnderHonorableConditions - General discharge under honorable conditions
HonorableDischarge - Honorable discharge
MedicalDischarge - Medical discharge
OtherThanHonorableDischarge - Other than honorable discharge
RetirementDischarge - Retirement discharge
</t>
  </si>
  <si>
    <t xml:space="preserve">AdministrativeDuties - Administrative duties
CombatAndMissions - Combat and missions
LogisticsAndSupplyChainManagement - Logistics and supply chain management
MaintenanceAndRepairs - Maintenance and repairs
OperationsAndTraining - Operations and training
Unknown - Unknown
Other - Other
</t>
  </si>
  <si>
    <t xml:space="preserve">CommunicationSkills - Communication skills
CulturalAwareness - Cultural awareness
LeadershipAndManagement - Leadership and management
LogisticsAndMaintenance - Logistics and maintenance
SecurityAndSafety - Security and safety
TechnicalSkills - Technical skills
Unknown - Unknown
</t>
  </si>
  <si>
    <t xml:space="preserve">FourYearDegreeConferred - Four-year based on degrees conferred
FourYearDegreeOffered - Four-year based on degrees offered
FourYearFunding - Four-year based on funding
TwoYearDegreeConferred - Two-year based on degrees conferred
TwoYearDegreeOffered - Two-year based on degrees offered
TwoYearFunding - Two-year based on funding
Other - Other
</t>
  </si>
  <si>
    <t xml:space="preserve">CMNTYDAYPRG - Community Day Programs
GRPHOMES - Group Homes
RSDNTLTRTMTHOME - Residential Treatment Home
SHELTERS - Shelters
OTHER - Other Programs
</t>
  </si>
  <si>
    <t xml:space="preserve">00812 - Alternative credential
00819 - Career and Technical Education certificate
00813 - Certificate of attendance
00814 - Certificate of completion
00807 - Endorsed/advanced diploma
00816 - General Educational Development (GED) credential
00815 - High school equivalency credential, other than GED
00809 - International Baccalaureate
00810 - Modified diploma
00811 - Other diploma
00818 - Post graduate certificate (grade 13)
00808 - Regents diploma
00806 - Regular High School Diploma
75000 - State Defined Alternate Diploma
</t>
  </si>
  <si>
    <t xml:space="preserve">System - System-assigned
Other - Other
</t>
  </si>
  <si>
    <t xml:space="preserve">Potential - Potential Dropout
Reported - Reported Dropout
VerifiedReported - Verified Reported Dropout
</t>
  </si>
  <si>
    <t xml:space="preserve">75000 - Eligible
02069 - Eligible because of disability
02068 - Eligible because of distance
02071 - Eligible because of hazardous conditions
02074 - Not eligible
09999 - Other
</t>
  </si>
  <si>
    <t xml:space="preserve">02067 - Does not qualify
02065 - Qualifies for regular state aid
02066 - Qualifies for special education aid
09999 - Other
</t>
  </si>
  <si>
    <t xml:space="preserve">02062 - Not at public expense
02064 - Not transported
02060 - Public expense
02061 - Reduced public expense
02063 - Room board or payment
09999 - Other
</t>
  </si>
  <si>
    <t>Active Military Status Indicator</t>
  </si>
  <si>
    <t>Indicates whether a person is an active member of the active duty forces, national guard, or reserve forces.</t>
  </si>
  <si>
    <t>ActiveMilitaryStatusIndicator</t>
  </si>
  <si>
    <t>300 characters maximum</t>
  </si>
  <si>
    <t>Alphanumeric-1024 characters maximum</t>
  </si>
  <si>
    <t>A homeless unaccompanied youth is a youth who is not in the physical custody of a parent or guardian and who fits the McKinney-Vento definition of homeless.  Students must be both unaccompanied and homeless to be included as unaccompanied homeless youth. There is no age range specified for an unaccompanied youth in the law. The upper age range is determined by what a state defines as school age, unless the child is in special education. The upper age range for students in special education may extend to 22 years of age. There is no lower age range. Therefore, as an example, a young child not in the physical custody of a parent or guardian, though living with a caregiver, and is living in a situation that is not fixed, regular, and adequate, would be identified as a homeless unaccompanied youth.</t>
  </si>
  <si>
    <t>Homelessness Status and Primary Nighttime Residence should be known in order to collect this additional information.</t>
  </si>
  <si>
    <t>Use of this element for EDFacts reporting beginning in school year 2022-2023 must include student enrollment. This element does not indicate if the student was served under the McKinney-Vento Act.</t>
  </si>
  <si>
    <t>Military Veteran Status Indicator</t>
  </si>
  <si>
    <t>An indication that a person is a veteran who served on Active Duty, in the National Guard, or in the Reserve components of the United States military services.</t>
  </si>
  <si>
    <t>MilitaryVeteranStatusIndicator</t>
  </si>
  <si>
    <t>The last year, month, day, and optionally time when a status applied.</t>
  </si>
  <si>
    <t>The year, month, day and optionally time, that a status became applicable.</t>
  </si>
  <si>
    <t xml:space="preserve">NotActive - Not Active
Active - Active
Unknown - Unknown
NationalGuardOrReserve - National Guard Or Reserve
</t>
  </si>
  <si>
    <t xml:space="preserve">AchievementTest - Achievement test
AdvancedPlacementTest - Advanced placement test
AlternateAssessmentELL - Alternate assessment/ELL
AlternateAssessmentGradeLevelStandards - Alternate assessment/grade-level standards
AlternativeAssessmentModifiedStandards - Alternative assessment/modified standards
AptitudeTest - Aptitude Test
Benchmark - Benchmark
CognitiveAndPerceptualSkills - Cognitive and perceptual skills test
ComputerAdaptiveTest - Computer Adaptive Test
DevelopmentalObservation - Developmental observation
Diagnostic - Diagnostic
DirectAssessment - Direct Assessment
Formative - Formative
GrowthMeasure - Growth Measure
Interim - Interim
KindergartenReadiness - Kindergarten Readiness
LanguageProficiency - Language proficiency test
MentalAbility - Mental ability (intelligence) test
Observation - Observation
ParentReport - Parent Report
PerformanceAssessment - Performance assessment
PortfolioAssessment - Portfolio assessment
PrekindergartenReadiness - Prekindergarten Readiness
ReadingReadiness - Reading readiness test
Screening - Screening
TeacherReport - Teacher Report
AlternateAssessmentAlternateStandards - Alternate assessment/alternate standards
WorkplaceSkills - Workplace skills
Other - Other
</t>
  </si>
  <si>
    <t xml:space="preserve">CanadianSIN - Canadian Social Insurance Number
District - District-assigned number
Family - Family unit number
Federal - Federal identification number
NationalMigrant - National migrant number
School - School-assigned number
SSN - Social Security Administration number
State - State-assigned number
StateMigrant - State migrant number
Program - Program-assigned number
BirthCertificate - Birth certificate number
</t>
  </si>
  <si>
    <t xml:space="preserve">CIP1980 - CIP 1980
CIP1985 - CIP 1985
CIP1990 - CIP 1990
CIP2000 - CIP 2000
CIP2010 - CIP 2010
CIP2020 - CIP 2020
</t>
  </si>
  <si>
    <t xml:space="preserve">HeadStart - Head Start
EarlyHeadStart - Early Head Start
StatePreschool - State Preschool
PublicPreschool - Public Preschool
PrivatePreschool - Private Preschool
EarlyChildhoodSpecialEducation - Early Childhood Special Education (619)
HomeVisiting - Home Visiting
ChildCare - Child Care
EarlyInterventionPartC - Early Intervention Services Part C
Other - Other
None - None
FamilyChildCare - Family Child Care
HomeBasedInformalCare - Home-Based Informal Care
MigrantHeadStart - Migrant Head Start
PrivatePreKindergarten - Private Pre-Kindergarten
PublicPreKindergarten - Public Pre-Kindergarten
</t>
  </si>
  <si>
    <t xml:space="preserve">Home - Home/personal
Work - Work
Organizational - Organizational address
Other - Other
</t>
  </si>
  <si>
    <t>Adult Education -&gt; AE Staff -&gt; Contact -&gt; Email
Adult Education -&gt; AE Student -&gt; Contact -&gt; Email
Career and Technical -&gt; CTE Staff -&gt; Contact -&gt; Email
Career and Technical -&gt; CTE Student -&gt; Contact -&gt; Email
Early Learning -&gt; Early Learning Child -&gt; Contact -&gt; Email
Early Learning -&gt; Early Learning Organization -&gt; Contact -&gt; Email
Early Learning -&gt; Early Learning Staff -&gt; Contact -&gt; Email
Early Learning -&gt; Parent/Guardian -&gt; Contact -&gt; Email
K12 -&gt; K12 Staff -&gt; Contact -&gt; Email
K12 -&gt; K12 Student -&gt; Contact -&gt; Email
K12 -&gt; Organization -&gt; Contact -&gt; Email
K12 -&gt; Parent/Guardian -&gt; Contact -&gt; Email
K12 -&gt; SEA -&gt; Contact -&gt; Email
Postsecondary -&gt; Organization -&gt; Contact -&gt; Email
Postsecondary -&gt; Parent/Guardian -&gt; Contact -&gt; Email
Postsecondary -&gt; PS Staff -&gt; Contact -&gt; Email
Postsecondary -&gt; PS Student -&gt; Contact -&gt; Email
Workforce -&gt; Workforce Program Participant -&gt; Contact -&gt; Email</t>
  </si>
  <si>
    <t xml:space="preserve">Minimum - Minimum
Recommended - Recommended
Distinguished - Distinguished
OpenEnrollment - Open Enrollment
MagnaCumLaude - Magna cum laude
SummaCumLaude - Summa cum laude
CareerandTechnical - Career and Technical
SealofBiliteracy - Seal of Biliteracy
Other - Other
</t>
  </si>
  <si>
    <t xml:space="preserve">00806 - Regular High School Diploma
00807 - Endorsed/advanced diploma
00808 - Regents diploma
00809 - International Baccalaureate
00810 - Modified diploma
00811 - Other diploma
00812 - Alternative credential
00813 - Certificate of attendance
00814 - Certificate of completion
00815 - High school equivalency credential, other than GED
00816 - General Educational Development (GED) credential
00818 - Post graduate certificate (grade 13)
00819 - Career and Technical Education certificate
75000 - State Defined Alternate Diploma
</t>
  </si>
  <si>
    <t xml:space="preserve">NeglectedPrograms - Neglected programs
JuvenileDetention - Juvenile Detention
JuvenileCorrection - Juvenile Correction
AdultCorrection - Adult Correction
AtRiskPrograms - At-risk programs
OtherPrograms - Other Programs
DelinquentPrograms - Delinquent Programs
</t>
  </si>
  <si>
    <t xml:space="preserve">Employer - Employer
K12School - K12 School
LEA - Local Education Agency (LEA)
IEU - Intermediate Educational Unit (IEU)
SEA - State Education Agency (SEA)
Recruiter - Recruiter
EmployeeBenefitCarrier - Employee Benefit Carrier
EmployeeBenefitContributor - Employee Benefit Contributor
ProfessionalMembershipOrganization - Professional Membership Organization
EducationInstitution - Education Institution
StaffDevelopmentProvider - Staff Development Provider
Facility - Facility
Course - Course
CourseSection - Course Section
Program - Program
PostsecondaryInstitution - Postsecondary Institution
AdultEducationProvider - Adult Education Provider
ServiceProvider - Service Provider
AffiliatedInstitution - Affiliated Institution
GoverningBoard - Governing Board
CredentialingOrganization - Credentialing Organization
AccreditingOrganization - Accrediting Organization
EducationOrganizationNetwork - Education Organization Network
IDEAPartCLeadAgency -  IDEA Part C Lead Agency
CharterSchoolManagementOrganization - Charter School Management Organization
CharterSchoolAuthorizingOrganization - Charter School Authorizing Organization
EmergencyResponseAgency - Emergency Response Agency
EarlyCollege - Early College
Campus - Campus
PostsecondarySystem - Postsecondary System
SHEEOAgency - SHEEO Agency
Region - Region
</t>
  </si>
  <si>
    <t xml:space="preserve">SSN - Social Security Administration number
USVisa - US government Visa number
PIN - Personal identification number
Federal - Federal identification number
DriversLicense - Driver's license number
Medicaid - Medicaid number
HealthRecord - Health record number
ProfessionalCertificate - Professional certificate or license number
School - School-assigned number
District - District-assigned number
State - State-assigned number
Institution - Institution-assigned number
OtherFederal - Other federally assigned number
SelectiveService - Selective Service Number
CanadianSIN - Canadian Social Insurance Number
BirthCertificate - Birth certificate number
Other - Other
</t>
  </si>
  <si>
    <t>Assessments -&gt; Assessment Result -&gt; Scorer
Credentials -&gt; Credential Award -&gt; Credential Issuer
Credentials -&gt; Credential Definition Agent
Early Learning -&gt; Parent/Guardian -&gt; Identity -&gt; Identification
Early Learning -&gt; Parent/Guardian -&gt; Relationship
K12 -&gt; K12 Student -&gt; Individualized Program -&gt; Authorization
K12 -&gt; K12 Student -&gt; Individualized Program -&gt; Eligibility -&gt; Authorization
K12 -&gt; K12 Student -&gt; Individualized Program -&gt; Services -&gt; Service Provider
K12 -&gt; Parent/Guardian -&gt; Identity -&gt; Identification
K12 -&gt; Parent/Guardian -&gt; Relationship
Postsecondary -&gt; Parent/Guardian -&gt; Identity -&gt; Identification
Postsecondary -&gt; Parent/Guardian -&gt; Relationship
Postsecondary -&gt; PS Student -&gt; Academic Record -&gt; Academic Award -&gt; Endorser
Postsecondary -&gt; PS Student -&gt; Academic Record -&gt; Academic Award -&gt; Thesis or Dissertation Advisor
Postsecondary -&gt; PS Student -&gt; Institution Enrollment -&gt; Prior Academic Award -&gt; Endorser
Postsecondary -&gt; PS Student -&gt; Institution Enrollment -&gt; Prior Academic Award -&gt; Thesis or Dissertation Advisor
Workforce -&gt; Quarterly Employment Record
Workforce -&gt; Workforce Program Participant -&gt; Identity -&gt; Identification</t>
  </si>
  <si>
    <t>Career and Technical -&gt; Program
Early Learning -&gt; Early Learning Child -&gt; Program
Early Learning -&gt; Early Learning Class/Group
Early Learning -&gt; Early Learning Organization -&gt; Directory
Early Learning -&gt; Early Learning Program
K12 -&gt; K12 School -&gt; Directory
K12 -&gt; K12 Student -&gt; Program
K12 -&gt; Program -&gt; Implementation</t>
  </si>
  <si>
    <t xml:space="preserve">Accountability - Accountability
Attendance - Attendance
Funding - Funding
Graduation - Graduation
IndividualizedEducationProgram - Individualized education program (IEP)
Transportation - Transportation
IEPServiceProvider - Individualized education program service provider
Assessment - Assessment
Instruction - Instruction
Resident - Resident
</t>
  </si>
  <si>
    <t>Early Learning -&gt; Early Learning Child -&gt; Enrollment
Early Learning -&gt; Early Learning Class/Group
K12 -&gt; Course Section -&gt; Enrollment
K12 -&gt; K12 Student -&gt; Enrollment</t>
  </si>
  <si>
    <t xml:space="preserve">HighSchoolDiploma - Graduated with regular high school diploma
ReceivedCertificate - Received a certificate
ReachedMaximumAge - Reached maximum age
Died - Died
MovedAndContinuing - Moved, known to be continuing
DroppedOut - Dropped out
Transferred - Transferred to regular education
PartCNoLongerEligible - No longer eligible for Part C prior to reaching age three.
PartBEligibleExitingPartC - Part B eligible, exiting Part C.
PartBEligibleContinuingPartC - Part B eligible, continuing in Part C.
PartBEligibilityNotDeterminedExitingPartC - Part B eligibility not determined.
WithdrawalByParent - Withdrawal by parent (or guardian).
MovedOutOfState - Moved out of State
Unreachable - Attempts to contact the parent and/or child were unsuccessful.
GraduatedAlternateDiploma - Graduated with an alternate diploma
NotPartBEligibleExitingPartCWithoutReferrals - Not eligible for Part B, exit with no referrals.
NotPartBEligibleExitingPartCWithReferrals - Not eligible for Part B, exit with referrals to other programs.
</t>
  </si>
  <si>
    <t xml:space="preserve">SSN - Social Security Administration number
USVisa - US government Visa number
PIN - Personal identification number
Federal - Federal identification number
DriversLicense - Driver's license number
Medicaid - Medicaid number
HealthRecord - Health record number
ProfessionalCertificate - Professional certificate or license number
School - School-assigned number
District - District-assigned number
State - State-assigned number
OtherFederal - Other federally assigned number
SelectiveService - Selective Service Number
CanadianSIN - Canadian Social Insurance Number
Other - Other
BirthCertificate - Birth certificate number
</t>
  </si>
  <si>
    <t>Adult Education -&gt; AE Staff -&gt; Identity -&gt; Identification
Adult Education -&gt; Course Section -&gt; Staff
Career and Technical -&gt; Course Section -&gt; Staff
Career and Technical -&gt; CTE Staff -&gt; Identity -&gt; Identification
Early Learning -&gt; Early Learning Class/Group -&gt; Staff
Early Learning -&gt; Early Learning Staff -&gt; Identity -&gt; Identification
Early Learning -&gt; Early Learning Staff -&gt; Professional Development -&gt; Instructor
K12 -&gt; Course Section -&gt; Staff
K12 -&gt; K12 Staff -&gt; Identity -&gt; Identification
K12 -&gt; K12 Staff -&gt; Professional Development -&gt; Instructor
Postsecondary -&gt; Course Section -&gt; Staff
Postsecondary -&gt; PS Staff -&gt; Identity -&gt; Identification</t>
  </si>
  <si>
    <t xml:space="preserve">CanadianSIN - Canadian Social Insurance Number
District - District-assigned number
Family - Family unit number
Federal - Federal identification number
NationalMigrant - National migrant number
School - School-assigned number
SSN - Social Security Administration number
State - State-assigned number
StateMigrant - State migrant number
BirthCertificate - Birth certificate number
</t>
  </si>
  <si>
    <t>Adult Education -&gt; AE Student -&gt; Identity -&gt; Identification
Adult Education -&gt; Course Section -&gt; Enrollment
Career and Technical -&gt; Course Section -&gt; Enrollment
Career and Technical -&gt; CTE Student -&gt; Identity -&gt; Identification
Early Learning -&gt; Early Learning Class/Group
Early Learning -&gt; Parent/Guardian -&gt; Relationship
K12 -&gt; Course Section -&gt; Enrollment
K12 -&gt; K12 Student -&gt; Identity -&gt; Identification
K12 -&gt; K12 Student -&gt; Migrant
K12 -&gt; Parent/Guardian -&gt; Relationship
Postsecondary -&gt; Course Section -&gt; Enrollment
Postsecondary -&gt; PS Student -&gt; Identity -&gt; Identification
Postsecondary -&gt; PS Student -&gt; K12 Transcript</t>
  </si>
  <si>
    <t xml:space="preserve">Firearm - Firearm
Handgun - Handgun
Shotgun - Shotgun
Rifle - Rifle
OtherFirearm - Other Firearm
Knife - Knife
KnifeLessThanTwoPointFiveInches - Knife Less Than 2.5 Inches
KnifeLessThanThreeInches - Knife Less Than Three Inches
KnifeGreaterThanThreeInches - Knife Greater Than Three Inches
OtherSharpObject - Other sharp object
OtherObject - Other object
Substance - Substance used as weapon
OtherWeapon - Other weapon
None - None
Unknown - Unknown weapon
BBGun - BB Gun
DestructiveDevice - Destructive Device
IEPServiceProvider - Individualized education program service provider
</t>
  </si>
  <si>
    <t xml:space="preserve">805 - Cultural barriers
807 - Displaced Caregiver
803 - English language learner
601 - Exhausting Temporary Assistance for Needy Families (TANF) within 2 years
801 - Ex-offender
800 - Homeless or runaway youth
202 - Individual with disabilities
402 - Long-term unemployed
804 - Low literacy level
802 - Low-income
808 - Migrant and seasonal farmworker
806 - Single parent
798 - Current Foster Care Youth
799 - Former Foster Care Youth
</t>
  </si>
  <si>
    <t xml:space="preserve">Apprenticeship - Apprenticeship
ClinicalWork - Clinical work experience
CooperativeEducation - Cooperative education
JobShadowing - Job shadowing
Mentorship - Mentorship
NonPaidInternship - Non-Paid Internship
OnTheJob - On-the-Job
PaidInternship - Paid internship
ServiceLearning - Service learning
SupervisedAgricultural - Supervised agricultural experience
UnpaidInternship - Unpaid internship
Entrepreneurship - Entrepreneurship
SchoolBasedEnterprise - School-Based Enterprise
SimulatedWorksite - Simulated Worksite
Other - Other
</t>
  </si>
  <si>
    <t>Adult Education -&gt; AE Staff -&gt; Contact -&gt; Address
Adult Education -&gt; AE Student -&gt; Contact -&gt; Address
Career and Technical -&gt; CTE Staff -&gt; Contact -&gt; Address
Career and Technical -&gt; CTE Student -&gt; Contact -&gt; Address
Early Learning -&gt; Early Learning Child -&gt; Contact -&gt; Address
Early Learning -&gt; Early Learning Organization -&gt; Address
Early Learning -&gt; Early Learning Organization -&gt; Contact -&gt; Address
Early Learning -&gt; Early Learning Program -&gt; Address
Early Learning -&gt; Early Learning Staff -&gt; Contact -&gt; Address
Early Learning -&gt; Early Learning Staff -&gt; Professional Development -&gt; Instructor
Early Learning -&gt; Early Learning Staff -&gt; Professional Development Activity -&gt; Session - Location
Early Learning -&gt; Parent/Guardian -&gt; Contact -&gt; Address
Facilities -&gt; Facility -&gt; Address
K12 -&gt; K12 School -&gt; Address
K12 -&gt; K12 Staff -&gt; Contact -&gt; Address
K12 -&gt; K12 Staff -&gt; Professional Development -&gt; Instructor
K12 -&gt; K12 Staff -&gt; Professional Development Activity -&gt; Session - Location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t>
  </si>
  <si>
    <t>Adult Education -&gt; Course Section
Career and Technical -&gt; Course Section
Early Learning -&gt; Early Learning Class/Group
Early Learning -&gt; Early Learning Organization -&gt; Directory
Early Learning -&gt; Early Learning Organization -&gt; Licensing
Early Learning -&gt; Early Learning Staff -&gt; Professional Development Activity -&gt; Session
Facilities -&gt; Facility -&gt; Utilization
K12 -&gt; Course Section
K12 -&gt; K12 Staff -&gt; Professional Development Activity -&gt; Session
Postsecondary -&gt; Course Section</t>
  </si>
  <si>
    <t>Early Learning -&gt; Early Learning Organization -&gt; Identification
Early Learning -&gt; Early Learning Organization -&gt; Organization Information
K12 -&gt; K12 School -&gt; Directory
Postsecondary -&gt; PS Institution -&gt; Directory</t>
  </si>
  <si>
    <t>Early Learning -&gt; Early Learning Staff -&gt; Employment
Postsecondary -&gt; PS Staff -&gt; Employment</t>
  </si>
  <si>
    <t xml:space="preserve">00512 - Achievement/proficiency level
00494 - ACT score
00490 - Age score
00491 - C-scaled scores
00492 - College Board examination scores
00493 - Grade equivalent or grade-level indicator
03473 - Graduation score
03474 - Growth/value-added/indexing
03475 - International Baccalaureate score
00144 - Letter grade/mark
00513 - Mastery level
00497 - Normal curve equivalent
00498 - Normalized standard score
00499 - Number score
00500 - Pass-fail
03476 - Percentile
00502 - Percentile rank
00503 - Proficiency level
03477 - Promotion score
00504 - Ranking
00505 - Ratio IQ's
03478 - Raw score
03479 - Scale score
00506 - Standard age score
00508 - Stanine score
00509 - Sten score
00510 - T-score
03480 - Workplace readiness score
00511 - Z-score
03481 - SAT Score
09999 - Other
</t>
  </si>
  <si>
    <t>Adult Education -&gt; Course Section -&gt; Staff
Career and Technical -&gt; Course Section -&gt; Staff
Early Learning -&gt; Early Learning Class/Group -&gt; Staff
Early Learning -&gt; Early Learning Staff -&gt; Assignment
K12 -&gt; Course Section -&gt; Staff
K12 -&gt; K12 Staff -&gt; Assignment
Postsecondary -&gt; Course Section -&gt; Staff</t>
  </si>
  <si>
    <t>Adult Education -&gt; Course Section -&gt; Attendance
Career and Technical -&gt; Course Section -&gt; Attendance
Early Learning -&gt; Early Learning Class/Group
Early Learning -&gt; Early Learning Staff -&gt; Attendance
K12 -&gt; Course Section -&gt; Attendance
K12 -&gt; K12 Staff -&gt; Attendance
K12 -&gt; K12 Student -&gt; Attendance</t>
  </si>
  <si>
    <t>Adult Education -&gt; Course Section
Career and Technical -&gt; Course Section
Early Learning -&gt; Early Learning Program
K12 -&gt; Course Section
K12 -&gt; K12 Course
K12 -&gt; K12 School -&gt; Directory</t>
  </si>
  <si>
    <t>Early Learning -&gt; Early Learning Organization -&gt; Address
Early Learning -&gt; Early Learning Program -&gt; Address
Facilities -&gt; Facility -&gt; Address
K12 -&gt; K12 School -&gt; Address
K12 -&gt; LEA -&gt; Address
K12 -&gt; Organization -&gt; Address
K12 -&gt; SEA -&gt; Address
Postsecondary -&gt; Organization -&gt; Address</t>
  </si>
  <si>
    <t>Early Learning -&gt; Early Learning Child -&gt; Identity -&gt; Identification
Early Learning -&gt; Parent/Guardian -&gt; Relationship
K12 -&gt; Parent/Guardian -&gt; Relationship</t>
  </si>
  <si>
    <t>Adult Education -&gt; Course Section
Adult Education -&gt; Course Section -&gt; Staff
Career and Technical -&gt; Course Section
Career and Technical -&gt; Course Section -&gt; Staff
Early Learning -&gt; Early Learning Staff -&gt; Assignment
K12 -&gt; Course Section
K12 -&gt; Course Section -&gt; Staff
K12 -&gt; K12 Staff -&gt; Assignment</t>
  </si>
  <si>
    <t>Competencies -&gt; Competency Set
K12 -&gt; Program -&gt; Implementation</t>
  </si>
  <si>
    <t>Early Learning -&gt; Early Learning Organization -&gt; Directory
Postsecondary -&gt; PS Institution -&gt; Directory</t>
  </si>
  <si>
    <t>Adult Education -&gt; Course Section
Career and Technical -&gt; Course Section
Early Learning -&gt; Early Learning Class/Group
Early Learning -&gt; Early Learning Program
K12 -&gt; Course Section
Postsecondary -&gt; Course Section</t>
  </si>
  <si>
    <t>Early Learning -&gt; Early Learning Class/Group
K12 -&gt; Course Section -&gt; Enrollment</t>
  </si>
  <si>
    <t>Adult Education -&gt; AE Staff -&gt; Contact -&gt; Address
Adult Education -&gt; AE Staff -&gt; Contact -&gt; Email
Adult Education -&gt; AE Staff -&gt; Contact -&gt; Telephone
Adult Education -&gt; AE Student -&gt; Contact -&gt; Address
Adult Education -&gt; AE Student -&gt; Contact -&gt; Email
Adult Education -&gt; AE Student -&gt; Contact -&gt; Telephone
Career and Technical -&gt; CTE Staff -&gt; Contact -&gt; Address
Career and Technical -&gt; CTE Staff -&gt; Contact -&gt; Email
Career and Technical -&gt; CTE Staff -&gt; Contact -&gt; Telephone
Career and Technical -&gt; CTE Student -&gt; Contact -&gt; Address
Career and Technical -&gt; CTE Student -&gt; Contact -&gt; Email
Career and Technical -&gt; CTE Student -&gt; Contact -&gt; Telephone
Early Learning -&gt; Early Learning Child -&gt; Contact -&gt; Address
Early Learning -&gt; Early Learning Child -&gt; Contact -&gt; Telephone
Early Learning -&gt; Early Learning Organization -&gt; Address
Early Learning -&gt; Early Learning Organization -&gt; Contact -&gt; Address
Early Learning -&gt; Early Learning Organization -&gt; Contact -&gt; Email
Early Learning -&gt; Early Learning Organization -&gt; Contact -&gt; Telephone
Early Learning -&gt; Early Learning Organization -&gt; Telephone
Early Learning -&gt; Early Learning Program -&gt; Address
Early Learning -&gt; Early Learning Staff -&gt; Contact -&gt; Address
Early Learning -&gt; Early Learning Staff -&gt; Contact -&gt; Email
Early Learning -&gt; Early Learning Staff -&gt; Contact -&gt; Telephone
Early Learning -&gt; Early Learning Staff -&gt; Professional Development -&gt; Instructor
Early Learning -&gt; Early Learning Staff -&gt; Professional Development Activity -&gt; Session - Location
Early Learning -&gt; Parent/Guardian -&gt; Contact -&gt; Address
Early Learning -&gt; Parent/Guardian -&gt; Contact -&gt; Email
Early Learning -&gt; Parent/Guardian</t>
  </si>
  <si>
    <t>K12 -&gt; K12 Student -&gt; Individualized Program -&gt; Services
K12 -&gt; Program -&gt; Implementation</t>
  </si>
  <si>
    <t>Early Learning -&gt; Early Learning Child -&gt; English Learner
K12 -&gt; K12 Student -&gt; English Learner</t>
  </si>
  <si>
    <t>Adult Education -&gt; Course Section -&gt; Enrollment
Career and Technical -&gt; Course Section -&gt; Enrollment
Career and Technical -&gt; Program
Early Learning -&gt; Early Learning Organization -&gt; Directory
Facilities -&gt; Facility -&gt; Utilization
K12 -&gt; Course Section -&gt; Enrollment
K12 -&gt; K12 School -&gt; Directory
K12 -&gt; K12 School -&gt; Session
K12 -&gt; LEA -&gt; Directory
K12 -&gt; Program
Postsecondary -&gt; Course Section -&gt; Enrollment
Postsecondary -&gt; PS Institution -&gt; Directory</t>
  </si>
  <si>
    <t>Early Learning -&gt; Early Learning Child -&gt; Enrollment
Early Learning -&gt; Early Learning Class/Group
K12 -&gt; Course Section -&gt; Enrollment
K12 -&gt; K12 Student -&gt; Enrollment
Postsecondary -&gt; PS Student -&gt; Institution Enrollment</t>
  </si>
  <si>
    <t>Early Learning -&gt; Early Learning Class/Group
K12 -&gt; Course Section -&gt; Enrollment
K12 -&gt; K12 Student -&gt; Enrollment</t>
  </si>
  <si>
    <t>Early Learning -&gt; Early Learning Organization -&gt; Directory
Facilities -&gt; Facility -&gt; Identification
K12 -&gt; LEA -&gt; Directory</t>
  </si>
  <si>
    <t>K12 -&gt; K12 School -&gt; Finance
K12 -&gt; LEA -&gt; Finance</t>
  </si>
  <si>
    <t>Early Learning -&gt; Early Learning Organization -&gt; Finance
Early Learning -&gt; Early Learning Program
K12 -&gt; K12 School -&gt; Finance
K12 -&gt; LEA -&gt; Finance
K12 -&gt; Program -&gt; Finance
K12 -&gt; SEA -&gt; Finance
Postsecondary -&gt; PS Institution -&gt; Finance</t>
  </si>
  <si>
    <t>Early Learning -&gt; Early Learning Organization -&gt; Finance
K12 -&gt; K12 School -&gt; Finance
K12 -&gt; LEA -&gt; Finance
K12 -&gt; Program -&gt; Finance
K12 -&gt; SEA -&gt; Finance</t>
  </si>
  <si>
    <t>Early Learning -&gt; Early Learning Organization -&gt; Finance
K12 -&gt; K12 School -&gt; Finance
K12 -&gt; LEA -&gt; Finance
K12 -&gt; Program -&gt; Finance
K12 -&gt; SEA -&gt; Finance
Postsecondary -&gt; PS Institution -&gt; Finance</t>
  </si>
  <si>
    <t>Early Learning -&gt; Early Learning Organization -&gt; Finance
Early Learning -&gt; Early Learning Program
K12 -&gt; K12 School -&gt; Finance
K12 -&gt; LEA -&gt; Finance
K12 -&gt; Program -&gt; Finance
K12 -&gt; SEA -&gt; Finance</t>
  </si>
  <si>
    <t>Assessments -&gt; Goal
Early Learning -&gt; Early Learning Child -&gt; Individualized Program -&gt; Goal
K12 -&gt; K12 Student -&gt; Individualized Program -&gt; Goal
K12 -&gt; K12 Student -&gt; Individualized Program -&gt; Progress Report -&gt; Goal
K12 -&gt; Program -&gt; Implementation</t>
  </si>
  <si>
    <t>K12 -&gt; K12 Student -&gt; Individualized Program -&gt; Goal
K12 -&gt; Program -&gt; Implementation</t>
  </si>
  <si>
    <t>Early Learning -&gt; Early Learning Staff -&gt; Attendance
Postsecondary -&gt; PS Staff -&gt; Employment</t>
  </si>
  <si>
    <t>K12 -&gt; Course Section
K12 -&gt; K12 Course
K12 -&gt; K12 School -&gt; Directory</t>
  </si>
  <si>
    <t>Early Learning -&gt; Early Learning Organization -&gt; Directory
K12 -&gt; K12 School -&gt; Directory</t>
  </si>
  <si>
    <t>Early Learning -&gt; Early Learning Staff -&gt; Assignment
K12 -&gt; K12 Staff -&gt; Assignment</t>
  </si>
  <si>
    <t>Early Learning -&gt; Early Learning Staff -&gt; Employment
K12 -&gt; K12 Staff -&gt; Assignment</t>
  </si>
  <si>
    <t>Early Learning -&gt; Early Learning Staff -&gt; Attendance
K12 -&gt; K12 Staff -&gt; Attendance
Postsecondary -&gt; PS Staff -&gt; Attendance</t>
  </si>
  <si>
    <t>Assessments -&gt; Assessment Administration
Assessments -&gt; Assessment Registration
Assessments -&gt; Assessment Session
Early Learning -&gt; Early Learning Organization -&gt; Identification
K12 -&gt; K12 Staff -&gt; Assignment
K12 -&gt; K12 Student -&gt; Enrollment
K12 -&gt; LEA -&gt; Identification
Postsecondary -&gt; PS Student -&gt; K12 Transcript</t>
  </si>
  <si>
    <t>Early Learning -&gt; Early Learning Organization -&gt; Directory
K12 -&gt; LEA -&gt; Directory</t>
  </si>
  <si>
    <t>Adult Education -&gt; AE Provider
Adult Education -&gt; AE Staff -&gt; Education
Early Learning -&gt; Early Learning Organization -&gt; Identification
Early Learning -&gt; Early Learning Staff -&gt; Education
K12 -&gt; K12 School -&gt; Identification
K12 -&gt; K12 Staff -&gt; Education
Postsecondary -&gt; PS Institution -&gt; Directory
Postsecondary -&gt; PS Staff -&gt; Education
Postsecondary -&gt; PS Student -&gt; Institution Enrollment -&gt; Prior Academic Award
Postsecondary -&gt; PS Student -&gt; K12 Transcript</t>
  </si>
  <si>
    <t>Early Learning -&gt; Early Learning Organization -&gt; Site Level Characteristics
K12 -&gt; K12 School -&gt; Institution Characteristics</t>
  </si>
  <si>
    <t>Early Learning -&gt; Early Learning Child -&gt; Enrollment
Early Learning -&gt; Early Learning Class/Group
K12 -&gt; Course Section -&gt; Enrollment
K12 -&gt; K12 Student -&gt; Attendance
Postsecondary -&gt; PS Staff -&gt; Attendance</t>
  </si>
  <si>
    <t>Early Learning -&gt; Early Learning Child -&gt; Enrollment
Early Learning -&gt; Early Learning Class/Group
K12 -&gt; Course Section -&gt; Enrollment
K12 -&gt; K12 Student -&gt; Attendance</t>
  </si>
  <si>
    <t>Early Learning -&gt; Early Learning Organization
K12 -&gt; K12 School -&gt; Directory
K12 -&gt; LEA -&gt; Directory
K12 -&gt; Organization
K12 -&gt; Program
Postsecondary -&gt; PS Institution -&gt; Directory</t>
  </si>
  <si>
    <t>Early Learning -&gt; Early Learning Organization
Early Learning -&gt; Early Learning Program
K12 -&gt; Organization
K12 -&gt; Program
Postsecondary -&gt; Organization</t>
  </si>
  <si>
    <t>Adult Education -&gt; AE Staff -&gt; Identity -&gt; Identification
Adult Education -&gt; AE Student -&gt; Identity -&gt; Identification
Career and Technical -&gt; CTE Staff -&gt; Identity -&gt; Identification
Career and Technical -&gt; CTE Student -&gt; Identity -&gt; Identification
Early Learning -&gt; Early Learning Child -&gt; Identity -&gt; Identification
Early Learning -&gt; Early Learning Staff -&gt; Identity -&gt; Identification
Early Learning -&gt; Parent/Guardian -&gt; Identity -&gt; Identification
K12 -&gt; K12 Staff -&gt; Identity -&gt; Identification
K12 -&gt; K12 Student -&gt; Identity -&gt; Identification
K12 -&gt; Parent/Guardian -&gt; Identity -&gt; Identification
Postsecondary -&gt; Parent/Guardian -&gt; Identity -&gt; Identification
Postsecondary -&gt; PS Staff -&gt; Identity -&gt; Identification
Postsecondary -&gt; PS Student -&gt; Identity -&gt; Identification
Workforce -&gt; Workforce Program Participant -&gt; Identity -&gt; Identification</t>
  </si>
  <si>
    <t>Career and Technical -&gt; Program
K12 -&gt; K12 School -&gt; Directory</t>
  </si>
  <si>
    <t>Adult Education -&gt; AE Student -&gt; Academic Record -&gt; Academic Award
Career and Technical -&gt; CTE Student -&gt; Academic Record -&gt; Academic Award
Early Learning -&gt; Early Learning Child -&gt; Program
Early Learning -&gt; Early Learning Program
K12 -&gt; K12 Student -&gt; Academic Record -&gt; Academic Award
K12 -&gt; K12 Student -&gt; Program
K12 -&gt; LEA -&gt; Programs and Services
K12 -&gt; Program
K12 -&gt; Program -&gt; Implementation
Postsecondary -&gt; PS Institution -&gt; Program
Postsecondary -&gt; PS Student -&gt; Academic Record -&gt; Academic Award
Postsecondary -&gt; PS Student -&gt; Institution Enrollment -&gt; Program
Workforce -&gt; Workforce Program Participant -&gt; Academic Record -&gt; Academic Award</t>
  </si>
  <si>
    <t>Career and Technical -&gt; Program
Early Learning -&gt; Early Learning Child -&gt; Program
Early Learning -&gt; Early Learning Program
K12 -&gt; K12 Student -&gt; Program
K12 -&gt; Program
K12 -&gt; Program -&gt; Implementation
Postsecondary -&gt; PS Institution -&gt; Program
Postsecondary -&gt; PS Student -&gt; Institution Enrollment -&gt; Program</t>
  </si>
  <si>
    <t>Career and Technical -&gt; Program
Early Learning -&gt; Early Learning Program
K12 -&gt; K12 Staff -&gt; Credential or License
K12 -&gt; Program</t>
  </si>
  <si>
    <t>Early Learning -&gt; Early Learning Child -&gt; Demographic
K12 -&gt; K12 Student -&gt; Demographic</t>
  </si>
  <si>
    <t>Adult Education -&gt; Course Section
Career and Technical -&gt; Course Section
K12 -&gt; Course Section
K12 -&gt; Program -&gt; Implementation
Postsecondary -&gt; PS Student -&gt; Graduate Student -&gt; Thesis/Dissertation Advisor</t>
  </si>
  <si>
    <t>Career and Technical -&gt; Course
Early Learning -&gt; Early Learning Class/Group
K12 -&gt; K12 Course
K12 -&gt; K12 Student -&gt; Graduation Plan -&gt; Course</t>
  </si>
  <si>
    <t>Adult Education -&gt; Course Section -&gt; Course
Career and Technical -&gt; Course
Career and Technical -&gt; Course Section -&gt; Course
Early Learning -&gt; Early Learning Class/Group
K12 -&gt; Course Section -&gt; Course
K12 -&gt; K12 Course
K12 -&gt; K12 Student -&gt; Graduation Plan -&gt; Course</t>
  </si>
  <si>
    <t>Assessments -&gt; Assessment Administration
Assessments -&gt; Assessment Registration
Assessments -&gt; Assessment Session
Early Learning -&gt; Early Learning Organization -&gt; Identification
Early Learning -&gt; Early Learning Staff -&gt; Assignment
K12 -&gt; K12 School -&gt; Identification
K12 -&gt; K12 Staff -&gt; Assignment
K12 -&gt; K12 Student -&gt; Enrollment
Postsecondary -&gt; PS Institution -&gt; Identification
Postsecondary -&gt; PS Student -&gt; K12 Transcript</t>
  </si>
  <si>
    <t>Early Learning -&gt; Early Learning Organization -&gt; Organization Information
K12 -&gt; Calendar -&gt; Session
K12 -&gt; Program -&gt; Implementation</t>
  </si>
  <si>
    <t>Adult Education -&gt; AE Provider
Adult Education -&gt; AE Staff -&gt; Education
Early Learning -&gt; Early Learning Organization -&gt; Identification
Early Learning -&gt; Early Learning Organization -&gt; Site Level Characteristics
Early Learning -&gt; Early Learning Staff -&gt; Education
Facilities -&gt; Facility -&gt; Identification
K12 -&gt; K12 School -&gt; Identification
K12 -&gt; K12 Staff -&gt; Education
K12 -&gt; Organization -&gt; Identification
Postsecondary -&gt; Organization -&gt; Identification
Postsecondary -&gt; PS Institution -&gt; Directory
Postsecondary -&gt; PS Student -&gt; K12 Transcript</t>
  </si>
  <si>
    <t>Early Learning -&gt; Early Learning Staff -&gt; Assignment
K12 -&gt; K12 Staff -&gt; Assignment
K12 -&gt; K12 Student -&gt; Individualized Program -&gt; Services -&gt; Service Provider</t>
  </si>
  <si>
    <t>Early Learning -&gt; Early Learning Staff -&gt; Assignment
Early Learning -&gt; Early Learning Staff -&gt; Employment
K12 -&gt; K12 Staff -&gt; Assignment
Postsecondary -&gt; PS Staff -&gt; Employment</t>
  </si>
  <si>
    <t>Assessments -&gt; Assessment Registration
Early Learning -&gt; Early Learning Organization -&gt; Identification
K12 -&gt; SEA -&gt; Identification</t>
  </si>
  <si>
    <t>K12 -&gt; K12 School -&gt; Institution Characteristics
K12 -&gt; K12 Student -&gt; Individualized Program
K12 -&gt; K12 Student -&gt; Individualized Program -&gt; Services
K12 -&gt; Program -&gt; Implementation
Postsecondary -&gt; PS Institution -&gt; Program
Postsecondary -&gt; PS Student -&gt; Program Participation</t>
  </si>
  <si>
    <t>Early Learning -&gt; Early Learning Staff -&gt; Credential or License
Postsecondary -&gt; PS Student -&gt; Teacher Education/Preparation</t>
  </si>
  <si>
    <t>Board</t>
  </si>
  <si>
    <t>Job</t>
  </si>
  <si>
    <t>Organization Characteristics</t>
  </si>
  <si>
    <t>Military</t>
  </si>
  <si>
    <t>EL Child</t>
  </si>
  <si>
    <t>EL Organization</t>
  </si>
  <si>
    <t>Compliance</t>
  </si>
  <si>
    <t>Transportation</t>
  </si>
  <si>
    <t>End of Course Requirement</t>
  </si>
  <si>
    <t>Adult Education Staff</t>
  </si>
  <si>
    <t>Workforce Program</t>
  </si>
  <si>
    <t xml:space="preserve">73056 - Adult Basic Education
73058 - Adult English as a Second Language
73057 - Adult Secondary Education
04961 - Alternative Education
04932 - Athletics
04923 - Bilingual education program
04906 - Career and Technical Education
04931 - Cocurricular programs
04958 - College preparatory
04945 - Community service program
04944 - Community/junior college education program
04922 - Compensatory services for disadvantaged students
73059 - Continuing Education
04956 - Counseling services
14609 - Early Head Start
04928 - English as a second language (ESL) program
04919 - Even Start
04955 - Extended day/child care services
75000 - Foster Care
04930 - Gifted and talented program
04918 - Head start
04963 - Health Services Program
04957 - Immigrant education
04921 - Indian education
04959 - International Baccalaureate
04962 - Library/Media Services Program
04960 - Magnet/Special Program Emphasis
04920 - Migrant education
04887 - Regular education
04964 - Remedial education
04967 - Section 504 Placement
04966 - Service learning
04888 - Special Education Services
04954 - Student retention/ Dropout Prevention
04953 - Substance abuse education/prevention
73204 - Targeted intervention program
04968 - Teacher professional development / Mentoring
04917 - Technical preparatory
75001 - Title I
73090 - Work-based Learning Opportunities
75014 - Autism program
75015 - Early childhood special education tier one program
09999 - Other
75016 - Early childhood special education tier two program
75002 - Early College
75006 - Emotional disturbance program
75008 - Hearing impairment program
75017 - K12 Resource Program
75003 - Mild cognitive disability program
75004 - Moderate cognitive disability program
75012 - Multiple disabilities program
75011 - Orthopedic impairment
75010 - Other health impairment
75005 - Significant cognitive disability program
75007 - Specific learning disability program
75013 - Speech or language impairment program
75009 - Visual impairment program
75018 - Hospital
76000 - McKinney-Vento Homeless
77000 - Title III LIEP
75019 - Neglected or delinquent
75020 - TANF
</t>
  </si>
  <si>
    <t xml:space="preserve">00290 - Adaptive physical education
00291 - Art therapy
00292 - Assistive technology services
00293 - Audiological services
73050 - Augmentative Communication Service
73051 - Autism Spectrum Disorder Service
73052 - Behavior and Behavioral Consultation Service
73053 - Braille Service
00889 - Career and technical education rehabilitation training and job placement
00878 - Case management services
00295 - Children's protective services
00881 - Communication services
73057 - Community based career training
73056 - Community based career training for Special Education
00882 - Community recreational services
73048 - Curriculum planning
00334 - Developmental childcare program
73047 - Early Intervention / Early Childhood Special Education Special Service
00297 - Early intervention services
00298 - Educational therapy
73054 - ESL/Migrant Service
00299 - Family counseling
00333 - Family training, counseling, and home visits
00303 - Health care
73060 - Homebound or Hospitalized
00883 - Independent living
73058 - Individual career education
73059 - Individual career education for special education
73049 - Instructional Aide/Assistant/Intervener Service
00304 - Interpretation for the hearing impaired
00332 - Medical services only for diagnostic or evaluation purposes
00305 - Mental health counseling
00884 - Mental health services
00306 - Music therapy
00300 - National School Nutrition programs
00308 - Note-taking assistance
00335 - Nursing service
00336 - Nutrition services
00309 - Occupational therapy
00310 - Orientation and mobility services
09999 - Other
00311 - Parenting skills assistance
00312 - Peer services
00313 - Physical therapy
00331 - Psychological services
00314 - Reader service
00315 - Recreation service
00318 - Rehabilitation counseling services
00885 - Residential services
73046 - Respite Care
00319 - School clothing
00302 - School counseling
00320 - School health nursing services
73061 - School Psychologist
00294 - Service coordination (case management services)
00337 - Social work services
00321 - Special transportation
00322 - Speech-language therapy
00323 - Study skills assistance
00324 - Substance abuse education/prevention
00886 - Supported employment services
73062 - Teacher consultant for autism
73064 - Teacher Consultant for disturbance emotional
73066 - Teacher consultant for hearing impairment
73063 - Teacher Consultant for intellectual disability
73068 - Teacher consultant for orthopedic impairment
73069 - Teacher consultant for other health impairment
73065 - Teacher consultant for specifical learning disability
73067 - Teacher consultant for visual impairment
00887 - Technological aids
00325 - Teen/adolescent family planning
00326 - Test assistance
00327 - Translation/interpreter services
00888 - Transportation services
00329 - Tutoring services
00330 - Vision services
73055 - Work-based Learning
73070 - Extended school year services
</t>
  </si>
  <si>
    <t xml:space="preserve">1000 - Instructional
1002 - Non-Instructional Support and Services
1001 - Student Support Staff
9999 - Other
</t>
  </si>
  <si>
    <t xml:space="preserve">1001 - Budgetary Reduction
1003 - Enrollment Changes
1002 - Organizational Restructure
1004 - Specific Grant or Funding Expiration
9999 - Other
</t>
  </si>
  <si>
    <t xml:space="preserve">1002 - Absenteeism
1001 - Academic issues
1003 - Adult Education Program
1004 - Adult High School Enrollment
1010 - Care for a family member
1009 - Childcare
1025 - Compulsory attendance age
1006 - Discipline or Behavioral issues
1011 - Disengaged
1007 - Employment necessity
1008 - Employment preference
1016 - Home environment instability
1015 - Illness or health-related issues
1017 - Incarceration without high school diploma services
1012 - Lack of expectations
1018 - Language barrier
1019 - Marriage
1020 - Moved
1013 - Permanent expulsion
1005 - Postsecondary enrollment
1021 - Pregnancy
1023 - Psychological or emotional issues
1014 - Removal
1022 - Runaway
1000 - Substance abuse
1024 - Unknown
9999 - Other
</t>
  </si>
  <si>
    <t xml:space="preserve">100 - Charges for Services
400 - General Revenue
300 - Program-specific capital grants and contributions.
200 - Program-specific operating grants and contributions
</t>
  </si>
  <si>
    <t xml:space="preserve">01907 - Student is in a different public school in the same local education agency
01908 - Transferred to a public school in a different local education agency in the same state
01909 - Transferred to a public school in a different state
01910 - Transferred to a private, non-religiously-affiliated school within the geographic boundaries as the same local education agency
01911 - Transferred to a private, non-religiously-affiliated school within the geographic boundaries of a different LEA in the same state
01912 - Transferred to a private, non-religiously-affiliated school in a different state
01913 - Transferred to a private, religiously-affiliated school within the geographic boundaries of the same local education agency
01914 - Transferred to a private, religiously-affiliated school within the geographic boundaries of a different LEA in the same state
01915 - Transferred to a private, religiously-affiliated school in a different state
01916 - Transferred to a school outside of the country
01917 - Transferred to an institution
01918 - Transferred to home schooling
01919 - Transferred to a charter school in a different LEA in the state
01921 - Graduated with regular, advanced, International Baccalaureate, or other type of diploma
01922 - Completed school with other credentials
01924 - Withdrawn due to illness
01925 - Expelled or involuntarily withdrawn
01926 - Reached maximum age for services
01927 - Discontinued schooling
01928 - Completed grade 12, but did not meet all graduation requirements
01930 - Enrolled in a postsecondary early admission program
01931 - Not enrolled, unknown status
03499 - Student is in the same LEA, receiving education services, but is not assigned to a particular school
03502 - Not enrolled, eligible to return
03503 - Enrolled in a foreign exchange program
03505 - Exited
03508 - Student is in a charter school managed by the same local education agency
03509 - Completed with a state-recognized equivalency certificate
09999 - Other
73060 - Officially withdrew and enrolled in ABE, adult secondary education, or adult ESL program
73061 - Officially withdrew and enrolled in a workforce training program
73064 - Died
73065 - Permanently incapacitated
73062 - Student is expected to return to the same school
73063 - Transferred to a charter school in a different state
73066 - Matriculation to another school in the same local education agency
73068 - Transfer to a private school in the state
73067 - Transferred to a school outside of the state
</t>
  </si>
  <si>
    <t xml:space="preserve">01928 - Completed grade 12, but did not meet all graduation requirements
01922 - Completed school with other credentials
03509 - Completed with a state-recognized equivalency certificate
73064 - Died
01927 - Discontinued schooling
03503 - Enrolled in a foreign exchange program
01930 - Enrolled in a postsecondary early admission program
03505 - Exited
01925 - Expelled or involuntarily withdrawn
01921 - Graduated with regular, advanced, International Baccalaureate, or other type of diploma
73066 - Matriculation to another school in the same local education agency
03502 - Not enrolled, eligible to return
01931 - Not enrolled, unknown status
73061 - Officially withdrew and enrolled in a workforce training program
73060 - Officially withdrew and enrolled in ABE, adult secondary education, or adult ESL program
73065 - Permanently incapacitated
01926 - Reached maximum age for services
73062 - Student is expected to return to the same school
03508 - Student is in a charter school managed by the same local education agency
01907 - Student is in a different public school in the same local education agency
03499 - Student is in the same LEA, receiving education services, but is not assigned to a particular school
73068 - Transfer to a private school in the state
01919 - Transferred to a charter school in a different LEA in the state
73063 - Transferred to a charter school in a different state
01912 - Transferred to a private, non-religiously-affiliated school in a different state
01910 - Transferred to a private, non-religiously-affiliated school within the geographic boundaries as the same local education agency
01911 - Transferred to a private, non-religiously-affiliated school within the geographic boundaries of a different LEA in the same state
01915 - Transferred to a private, religiously-affiliated school in a different state
01914 - Transferred to a private, religiously-affiliated school within the geographic boundaries of a different LEA in the same state
01913 - Transferred to a private, religiously-affiliated school within the geographic boundaries of the same local education agency
01908 - Transferred to a public school in a different local education agency in the same state
01909 - Transferred to a public school in a different state
01916 - Transferred to a school outside of the country
73067 - Transferred to a school outside of the state
01917 - Transferred to an institution
01918 - Transferred to home schooling
01924 - Withdrawn due to illness
09999 - Other
</t>
  </si>
  <si>
    <t xml:space="preserve">1002 - Competitively employed within one year
1001 - Higher education within one year
9998 - Not engaged Part B outcomes
1004 - Other employment within one year
1003 - Other postsecondary education or training within one year
9997 - Unknown
9999 - Other
</t>
  </si>
  <si>
    <t xml:space="preserve">03071 - Bus suspension
03072 - Change of placement (long-term)
03073 - Change of placement (reassignment), pending an expulsion hearing
03074 - Change of placement (reassignment), resulting from an expulsion hearing
03075 - Change of placement (reassignment), temporary
03076 - Community service
03077 - Conference with and warning to student
03078 - Conference with and warning to student and parent/guardian
03079 - Confiscation of contraband
03080 - Conflict resolution or anger management services mandated
03081 - Corporal punishment
03082 - Counseling mandated
03083 - Demerit
03084 - Detention
03085 - Expulsion recommendation
03086 - Expulsion with services
03087 - Expulsion without services
03120 - Interim removal to alternative educational setting
03088 - Juvenile justice referral
03089 - Law enforcement referral
03090 - Letter of apology
03091 - Loss of privileges
13357 - Mechanical Restraint
03105 - No action
09998 - None
09999 - Other
03092 - Physical activity
13358 - Physical Restraint
75000 - Placed in juvenile detention center
03158 - Removal by a hearing officer
03093 - Reprimand
03094 - Restitution
03095 - Saturday school
03096 - School probation
75001 - School-related arrest
13359 - Seclusion
03097 - Substance abuse counseling mandated
03098 - Substance abuse treatment mandated
03099 - Suspension after school
03100 - Suspension, in-school
03154 - Suspension, out of school, greater than 10 consecutive school days
03155 - Suspension, out of school, separate days cumulating to more than 10 school days
03101 - Suspension, out-of-school, with services
03102 - Suspension, out-of-school, without services
03157 - Unilateral removal - drug incident
03156 - Unilateral removal - weapon incident
09997 - Unknown
03103 - Unsatisfactory behavior grade
03104 - Work detail
</t>
  </si>
  <si>
    <t xml:space="preserve">04618 - Alcohol
04625 - Arson
75004 - Assault
04626 - Attendance Policy Violation
04632 - Battery
75005 - Bullying
04633 - Burglary/Breaking and Entering
04634 - Disorderly Conduct
75000 - Domestic Assault
04635 - Drugs Excluding Alcohol and Tobacco
75006 - Electronic Bullying
04645 - Fighting
13354 - Harassment or bullying on the basis of disability
13355 - Harassment or bullying on the basis of race, color, or national origin
13356 - Harassment or bullying on the basis of sex
04646 - Harassment, Nonsexual
04650 - Harassment, Sexual
75003 - Hazing
04651 - Homicide
04652 - Inappropriate Use of Medication
04659 - Insubordination
04660 - Kidnapping
04661 - Obscene Behavior
04669 - Physical Altercation, Minor
75007 - Rape or Attempted Rape
04670 - Robbery
04671 - School Threat
04677 - Sexual Battery (sexual assault)
04678 - Sexual Offenses, Other (lewd behavior, indecent exposure)
75001 - Stalking
04682 - Theft
04686 - Threat/Intimidation
04692 - Tobacco Possession or Use
04699 - Trespassing
75002 - Unlawful Restraint
04700 - Vandalism
04704 - Violation of School Rules
04705 - Weapons Possession
</t>
  </si>
  <si>
    <t xml:space="preserve">1001 - Advanced training
1010 - Employment
1002 - Military service
1101 - National or community service
1003 - National or community service or Peace Corps
9998 - Not engaged Perkins Post-Program Placement
1009 - Peace Corps
1007 - Postsecondary associate degree
1008 - Postsecondary baccalaureate degree
1006 - Postsecondary certificate
1005 - Postsecondary education
9997 - Unknown
9999 - Other
</t>
  </si>
  <si>
    <t xml:space="preserve">01 - Labor Exchange Services
02 - Adult Workforce Investment Act Program
03 - Dislocated Worker Workforce Investment Act Program
04 - Youth Workforce Investment Act Program
05 - Job Corps
06 - Adult Education and Literacy
07 - National Farmworker Jobs Program
08 - Indian and Native American Programs
09 - Veteran's Programs
10 - Trade Adjustment Assistance Program
11 - YouthBuild Program
12 - Title V Older Worker Program
13 - Registered Apprenticeship
14 - Non-traditional Apprenticeship
15 - Vocational Rehabilitation
16 - Food Stamp Employment and Training Program
17 - TANF Employment and Training Program
18 - Other On-The-Job training Program
19 - Other Workforce Related Employment and Training Program
99 - No identified services
20 - Reentry workforce and education program
</t>
  </si>
  <si>
    <t xml:space="preserve">1000 - Extension
</t>
  </si>
  <si>
    <t xml:space="preserve">Prenatal - Prenatal
Birth - Birth
IT - Infant/toddler
PR - Preschool
PK - Prekindergarten
TK - Transitional Kindergarten
KG - Kindergarten
01 - First grade
02 - Second grade
03 - Third grade
04 - Fourth grade
05 - Fifth grade
06 - Sixth grade
07 - Seventh grade
08 - Eighth grade
09 - Ninth grade
10 - Tenth grade
11 - Eleventh grade
12 - Twelfth grade
13 - Grade 13
PS - Postsecondary
UG - Ungraded
AE - Adult Education
Other - Other
</t>
  </si>
  <si>
    <t>System</t>
  </si>
  <si>
    <t>Element Number</t>
  </si>
  <si>
    <t>Element Type</t>
  </si>
  <si>
    <t>Field Length</t>
  </si>
  <si>
    <t>Ed-Fi</t>
  </si>
  <si>
    <t>AcademicWeek--&gt;BeginDate</t>
  </si>
  <si>
    <t>The start date for the academic week.</t>
  </si>
  <si>
    <t>AcademicWeek--&gt;EndDate</t>
  </si>
  <si>
    <t>The end date for the academic week.</t>
  </si>
  <si>
    <t>AcademicWeek--&gt;WeekIdentifier</t>
  </si>
  <si>
    <t>The school label for the week.</t>
  </si>
  <si>
    <t>Account--&gt;AccountCode</t>
  </si>
  <si>
    <t>The set of account codes defined for the education accounting system organized by account code type (e.g., fund, function, object, etc.) that map to the account.</t>
  </si>
  <si>
    <t>Account--&gt;FiscalYear</t>
  </si>
  <si>
    <t>The financial accounting year.</t>
  </si>
  <si>
    <t>Actual--&gt;AmountToDate</t>
  </si>
  <si>
    <t>Current balance for the account.</t>
  </si>
  <si>
    <t>Actual--&gt;AsOfDate</t>
  </si>
  <si>
    <t>The date of the reported actual element.</t>
  </si>
  <si>
    <t>Assessment--&gt;ContentStandard--&gt;PublicationDate</t>
  </si>
  <si>
    <t>Assessment--&gt;ContentStandard--&gt;PublicationYear</t>
  </si>
  <si>
    <t>The year at which this content was first published.</t>
  </si>
  <si>
    <t>Assessment--&gt;Nomenclature</t>
  </si>
  <si>
    <t>Reflects the specific nomenclature used for Assessment.</t>
  </si>
  <si>
    <t>Assessment--&gt;RevisionDate</t>
  </si>
  <si>
    <t>AssessmentFamily--&gt;AssessmentFamilyIdentificationCode--&gt;IdentificationCode</t>
  </si>
  <si>
    <t>A unique number or alphanumeric code assigned to an assessment by a school, school system, state or other agency or entity.</t>
  </si>
  <si>
    <t>AssessmentFamily--&gt;Nomenclature</t>
  </si>
  <si>
    <t xml:space="preserve">Reflects the specific nomenclature used for this level of AssessmentFamily. </t>
  </si>
  <si>
    <t>AssessmentFamily--&gt;RevisionDate</t>
  </si>
  <si>
    <t>The month, day, and year that the conceptual design for the assessment family was most recently revised substantially.</t>
  </si>
  <si>
    <t>AssessmentFamily--&gt;Version</t>
  </si>
  <si>
    <t>The version identifier for the assessment family.</t>
  </si>
  <si>
    <t>AssessmentItem--&gt;CorrectResponse</t>
  </si>
  <si>
    <t>The correct response for the AssessmentItem.</t>
  </si>
  <si>
    <t>AssessmentItem--&gt;Nomenclature</t>
  </si>
  <si>
    <t>Reflects the specific nomenclature used for AssessmentItem.</t>
  </si>
  <si>
    <t>AttendanceEvent--&gt;EducationalEnvironment</t>
  </si>
  <si>
    <t>The setting in which a child receives education and related services.  This attribute is only used if it differs from the EducationalEnvironment of the section. This is only used in the AttendanceEvent if different from the associated Section.</t>
  </si>
  <si>
    <t>BellSchedule--&gt;BellScheduleName</t>
  </si>
  <si>
    <t>Name or title of the BellSchedule.</t>
  </si>
  <si>
    <t>BellSchedule--&gt;MeetingTime--&gt;OfficialAttendancePeriod</t>
  </si>
  <si>
    <t>Indicator of whether this meeting time is used for official daily attendance.</t>
  </si>
  <si>
    <t>Budget--&gt;AsOfDate</t>
  </si>
  <si>
    <t>The date of the reported budget element.</t>
  </si>
  <si>
    <t>Cohort--&gt;AcademicSubject</t>
  </si>
  <si>
    <t>The academic subject associated with an academic intervention.</t>
  </si>
  <si>
    <t>Cohort--&gt;CohortScope</t>
  </si>
  <si>
    <t>The scope of cohort (e.g., school, district, classroom).</t>
  </si>
  <si>
    <t>Cohort--&gt;CohortType</t>
  </si>
  <si>
    <t>The type of cohort (e.g., academic intervention, classroom breakout)</t>
  </si>
  <si>
    <t>ContractedStaff--&gt;AmountToDate</t>
  </si>
  <si>
    <t>Current balance (amount paid to contractor) for account for the fiscal year.</t>
  </si>
  <si>
    <t>ContractedStaff--&gt;AsOfDate</t>
  </si>
  <si>
    <t>The date of the reported contracted staff element.</t>
  </si>
  <si>
    <t>Course--&gt;CompetencyLevel</t>
  </si>
  <si>
    <t>The competency levels defined to rate the student for the course.</t>
  </si>
  <si>
    <t>Course--&gt;DateCourseAdopted</t>
  </si>
  <si>
    <t>Date the course was adopted by the education agency.</t>
  </si>
  <si>
    <t>Course--&gt;MinimumAvailableCredits--&gt;Credits</t>
  </si>
  <si>
    <t>The value of credits or units of value awarded for the completion of a course.</t>
  </si>
  <si>
    <t>Course--&gt;NumberOfParts</t>
  </si>
  <si>
    <t>The number of parts identified for a course.</t>
  </si>
  <si>
    <t>CourseOffering--&gt;InstructionalTimePlanned</t>
  </si>
  <si>
    <t>The plannned total number of clock minutes of instruction for this course offering. Generally, this should be at least as many minutes as is required for completion by the related state- or district-defined Course.</t>
  </si>
  <si>
    <t>CourseTranscript--&gt;MethodCreditEarned</t>
  </si>
  <si>
    <t>The method the credits were earned (e.g., Classroom, Examination, Transfer).</t>
  </si>
  <si>
    <t>Education Organization--&gt;AccountabilityRating--&gt;Rating</t>
  </si>
  <si>
    <t>An accountability rating level, designation, or assessment.</t>
  </si>
  <si>
    <t>EducationContent--&gt;AdditionalAuthorsIndicator</t>
  </si>
  <si>
    <t xml:space="preserve">Indicates whether there are additional un-named authors. In a research report, this is often marked by the abbreviation "et al". </t>
  </si>
  <si>
    <t>EducationContent--&gt;AppropriateSex</t>
  </si>
  <si>
    <t>Sexes for which this education content is applicable-if omitted, considered generally applicable.</t>
  </si>
  <si>
    <t>EducationContent--&gt;Cost</t>
  </si>
  <si>
    <t>An amount that has to be paid or spent to buy or obtain the education content.</t>
  </si>
  <si>
    <t>EducationContent--&gt;CostRate</t>
  </si>
  <si>
    <t>The rate by which the cost applies.</t>
  </si>
  <si>
    <t>EducationContent--&gt;LearningResourceMetadataURI</t>
  </si>
  <si>
    <t>The URI (typical a URL) pointing to the metadata entry in a LRMI metadata repository, which describes this content item.</t>
  </si>
  <si>
    <t>EducationOrganization--&gt;AccountabilityRating--&gt;RatingDate</t>
  </si>
  <si>
    <t>The date the rating was awarded.</t>
  </si>
  <si>
    <t>EducationOrganization--&gt;AccountabilityRating--&gt;RatingOrganization</t>
  </si>
  <si>
    <t>The organization that assessed the rating.</t>
  </si>
  <si>
    <t>EducationOrganization--&gt;AccountabilityRating--&gt;RatingProgram</t>
  </si>
  <si>
    <t>The program associated with the accountability rating (e.g., NCLB, AEIS).</t>
  </si>
  <si>
    <t>EducationOrganization--&gt;AccountabilityRating--&gt;RatingTitle</t>
  </si>
  <si>
    <t>The title of the rating (e.g., School Rating, Safety Score).</t>
  </si>
  <si>
    <t>EducationOrganization--&gt;Address--&gt;BeginDate</t>
  </si>
  <si>
    <t>The first date the address is valid.  For physical addresses, the date the person moved to that address.</t>
  </si>
  <si>
    <t>EducationOrganization--&gt;Address--&gt;EndDate</t>
  </si>
  <si>
    <t>The last date the address is valid.  For physical addresses, this would be the date the person moved from that address.</t>
  </si>
  <si>
    <t>EducationOrganizationInterventionPrescriptionAssociation--&gt;BeginDate</t>
  </si>
  <si>
    <t>The begin date of the period during which the InterventionPrescription is available.</t>
  </si>
  <si>
    <t>EducationOrganizationInterventionPrescriptionAssociation--&gt;EndDate</t>
  </si>
  <si>
    <t>The end date of the period during which the InterventionPrescription is available.</t>
  </si>
  <si>
    <t>EducationOrganizationNetwork--&gt;AccountabilityRating--&gt;Rating</t>
  </si>
  <si>
    <t>EducationOrganizationNetwork--&gt;AccountabilityRating--&gt;RatingDate</t>
  </si>
  <si>
    <t>EducationOrganizationNetwork--&gt;AccountabilityRating--&gt;RatingOrganization</t>
  </si>
  <si>
    <t>EducationOrganizationNetwork--&gt;AccountabilityRating--&gt;RatingProgram</t>
  </si>
  <si>
    <t>EducationOrganizationNetwork--&gt;AccountabilityRating--&gt;RatingTitle</t>
  </si>
  <si>
    <t>EducationOrganizationNetwork--&gt;NetworkPurpose</t>
  </si>
  <si>
    <t>The purpose(s) of the network (e.g., shared services, collective procurement).</t>
  </si>
  <si>
    <t>EducationOrganizationNetworkAssociation--&gt;BeginDate</t>
  </si>
  <si>
    <t>The date on which the EducationOrganization joined this network.</t>
  </si>
  <si>
    <t>EducationOrganizationNetworkAssociation--&gt;EndDate</t>
  </si>
  <si>
    <t>The date on which the EducationOrganization left this network.</t>
  </si>
  <si>
    <t>EducationServiceCenter--&gt;AccountabilityRating--&gt;Rating</t>
  </si>
  <si>
    <t>EducationServiceCenter--&gt;AccountabilityRating--&gt;RatingDate</t>
  </si>
  <si>
    <t>EducationServiceCenter--&gt;AccountabilityRating--&gt;RatingOrganization</t>
  </si>
  <si>
    <t>EducationServiceCenter--&gt;AccountabilityRating--&gt;RatingProgram</t>
  </si>
  <si>
    <t>EducationServiceCenter--&gt;AccountabilityRating--&gt;RatingTitle</t>
  </si>
  <si>
    <t>EducationServiceCenter--&gt;Address--&gt;BeginDate</t>
  </si>
  <si>
    <t>EducationServiceCenter--&gt;Address--&gt;EndDate</t>
  </si>
  <si>
    <t>FeederSchoolAssociation--&gt;BeginDate</t>
  </si>
  <si>
    <t>The month, day, and year of the first day of the feeder school association.</t>
  </si>
  <si>
    <t>FeederSchoolAssociation--&gt;EndDate</t>
  </si>
  <si>
    <t xml:space="preserve">The month, day, and year of the last day of the feeder school association. </t>
  </si>
  <si>
    <t>FeederSchoolAssociation--&gt;FeederRelationshipDescription</t>
  </si>
  <si>
    <t>Describes the relationship from the feeder school to the receiving school, for example by program emphasis, such as special education, language immersion, science or performing art.</t>
  </si>
  <si>
    <t>GradebookEntry--&gt;GradebookEntryTitle</t>
  </si>
  <si>
    <t>The name or title of the activity to be recorded in the gradebook entry.</t>
  </si>
  <si>
    <t>GradingPeriod--&gt;BeginDate</t>
  </si>
  <si>
    <t>Month, day, and year of the first day of the GradingPeriod.</t>
  </si>
  <si>
    <t>GradingPeriod--&gt;PeriodSequence</t>
  </si>
  <si>
    <t>The sequential order of this period relative to other periods.</t>
  </si>
  <si>
    <t>GraduationPlan--&gt;CreditsByCourse--&gt;Credits--&gt;Credits</t>
  </si>
  <si>
    <t>GraduationPlan--&gt;CreditsByCourse--&gt;WhenTakenGradeLevel</t>
  </si>
  <si>
    <t>The grade level when the student is planned to take the course.</t>
  </si>
  <si>
    <t>GraduationPlan--&gt;GraduationPlanType</t>
  </si>
  <si>
    <t>The type of academic plan the student is following for graduation: for example, Minimum, Recommended, Distinguished or Standard.</t>
  </si>
  <si>
    <t>Intervention--&gt;GradeLevelAppropriateness</t>
  </si>
  <si>
    <t>Grade levels for the prescribed intervention. If omitted, considered generally applicable.</t>
  </si>
  <si>
    <t>Intervention--&gt;MeetingTime--&gt;OfficialAttendancePeriod</t>
  </si>
  <si>
    <t>Intervention--&gt;SexAppropriateness</t>
  </si>
  <si>
    <t>Sexes for the InterventionPrescription. If omitted, considered generally applicable.</t>
  </si>
  <si>
    <t>InterventionPrescription--&gt;AppropriateGradeLevel</t>
  </si>
  <si>
    <t>InterventionPrescription--&gt;AppropriateSex</t>
  </si>
  <si>
    <t>InterventionPrescription--&gt;DeliveryMethod</t>
  </si>
  <si>
    <t>The way in which an intervention was implemented: individual, small group, whole class, or whole school.</t>
  </si>
  <si>
    <t>InterventionPrescription--&gt;Diagnosis</t>
  </si>
  <si>
    <t>Targeted purpose of the InterventionPrescription (e.g., attendance issue, dropout risk).</t>
  </si>
  <si>
    <t>InterventionPrescription--&gt;InterventionClass</t>
  </si>
  <si>
    <t>The way in which an intervention is used: curriculum, supplement, or practice.</t>
  </si>
  <si>
    <t>InterventionPrescription--&gt;PopulationServed</t>
  </si>
  <si>
    <t>A subset of students that are the focus of the InterventionPrescription.</t>
  </si>
  <si>
    <t>InterventionStudy--&gt;AppropriateSex</t>
  </si>
  <si>
    <t>Sexes participating in this study. If omitted, considered generally applicable.</t>
  </si>
  <si>
    <t>InterventionStudy--&gt;DeliveryMethod</t>
  </si>
  <si>
    <t>InterventionStudy--&gt;InterventionClass</t>
  </si>
  <si>
    <t>InterventionStudy--&gt;InterventionEffectiveness--&gt;Diagnosis</t>
  </si>
  <si>
    <t>Targeted purpose of the intervention (e.g., attendance issue, dropout risk) for which the effectiveness is measured.</t>
  </si>
  <si>
    <t>InterventionStudy--&gt;InterventionEffectiveness--&gt;ImprovementIndex</t>
  </si>
  <si>
    <t>Along a percentile distribution of students, the improvement index represents the change in an average student’s percentile rank that is considered to be due to the intervention.</t>
  </si>
  <si>
    <t>InterventionStudy--&gt;InterventionEffectiveness--&gt;PopulationServed</t>
  </si>
  <si>
    <t>Population for which effectiveness is measured.</t>
  </si>
  <si>
    <t>InterventionStudy--&gt;InterventionEffectivenessRating</t>
  </si>
  <si>
    <t>An intervention demonstrates effectiveness if the research has shown that the program caused an improvement in outcomes. Values: positive effects, potentially positive effects, mixed effects, potentially negative effects, negative effects and no discernible effects.</t>
  </si>
  <si>
    <t>InterventionStudy--&gt;Participants</t>
  </si>
  <si>
    <t>The number of participants observed in the study.</t>
  </si>
  <si>
    <t>InterventionStudy--&gt;PopulationServed</t>
  </si>
  <si>
    <t>A subset of students that are the focus of the InterventionStudy.</t>
  </si>
  <si>
    <t>LearningObjective--&gt;AcademicSubject</t>
  </si>
  <si>
    <t xml:space="preserve">The description of the content or subject area (e.g., arts, mathematics, reading, stenography, or a foreign language) of an assessment. </t>
  </si>
  <si>
    <t>LearningObjective--&gt;ContentStandard--&gt;PublicationDate</t>
  </si>
  <si>
    <t>LearningObjective--&gt;ContentStandard--&gt;PublicationYear</t>
  </si>
  <si>
    <t>LearningObjective--&gt;LearningObjectiveId</t>
  </si>
  <si>
    <t>The Identifier for the specific learning objective in the context of a standard (e.g., 111.15.3.1.A)</t>
  </si>
  <si>
    <t>LearningObjective--&gt;Nomenclature</t>
  </si>
  <si>
    <t>Reflects the specific nomenclature used for the LearningObjective.</t>
  </si>
  <si>
    <t>LearningStandard--&gt;AcademicSubject</t>
  </si>
  <si>
    <t>Subject area for the LearningStandard.</t>
  </si>
  <si>
    <t>LearningStandard--&gt;ContentStandard--&gt;PublicationDate</t>
  </si>
  <si>
    <t>LearningStandard--&gt;ContentStandard--&gt;PublicationYear</t>
  </si>
  <si>
    <t>LearningStandard--&gt;CourseTitle</t>
  </si>
  <si>
    <t>The official Course Title with which this learning standard is associated.</t>
  </si>
  <si>
    <t>LeaveEvent--&gt;EventDate</t>
  </si>
  <si>
    <t>Date for this leave event.</t>
  </si>
  <si>
    <t>LeaveEvent--&gt;HoursOnLeave</t>
  </si>
  <si>
    <t>The hours the staff was absent, if not the entire working day.</t>
  </si>
  <si>
    <t>LeaveEvent--&gt;LeaveEventReason</t>
  </si>
  <si>
    <t>Expanded reason for the staff leave.</t>
  </si>
  <si>
    <t>LeaveEvent--&gt;SubstituteAssigned</t>
  </si>
  <si>
    <t>Indicator of whether a substitute was assigned during the period of staff leave.</t>
  </si>
  <si>
    <t>LocalEducationAgency--&gt;AccountabilityRating--&gt;RatingDate</t>
  </si>
  <si>
    <t>LocalEducationAgency--&gt;AccountabilityRating--&gt;RatingOrganization</t>
  </si>
  <si>
    <t>LocalEducationAgency--&gt;Address--&gt;BeginDate</t>
  </si>
  <si>
    <t>LocalEducationAgency--&gt;Address--&gt;EndDate</t>
  </si>
  <si>
    <t>LocalEducationAgency--&gt;LocalEducationAgencyFederalFunds--&gt;FiscalYear</t>
  </si>
  <si>
    <t>The school year for which the accountability is reported.</t>
  </si>
  <si>
    <t>Location--&gt;OptimalNumberOfSeats</t>
  </si>
  <si>
    <t>The number of seats that is most favorable to the class.</t>
  </si>
  <si>
    <t>ObjectiveAssessment--&gt;Nomenclature</t>
  </si>
  <si>
    <t>Reflects the specific nomenclature used for this level of ObjectiveAssessment.</t>
  </si>
  <si>
    <t>ObjectiveAssessment--&gt;PercentOfAssessment</t>
  </si>
  <si>
    <t>The percentage of the Assessment that tests this objective.</t>
  </si>
  <si>
    <t>OpenStaffPosition--&gt;AcademicSubject</t>
  </si>
  <si>
    <t>The teaching field required for the OpenStaffPosition, for example English/Language Arts, Reading, Mathematics, Science, Social Sciences, etc.</t>
  </si>
  <si>
    <t>OpenStaffPosition--&gt;DatePosted</t>
  </si>
  <si>
    <t>Date the OpenStaffPosition was posted.</t>
  </si>
  <si>
    <t>OpenStaffPosition--&gt;DatePostingRemoved</t>
  </si>
  <si>
    <t>The date the posting was removed or filled.</t>
  </si>
  <si>
    <t>OpenStaffPosition--&gt;InstructionalGradeLevel</t>
  </si>
  <si>
    <t>The set of grade levels for which the position's assignment is responsible.</t>
  </si>
  <si>
    <t>OpenStaffPosition--&gt;PostingResult</t>
  </si>
  <si>
    <t>Indication of whether the OpenStaffPosition was filled or retired without filling.</t>
  </si>
  <si>
    <t>OpenStaffPosition--&gt;ProgramAssignment</t>
  </si>
  <si>
    <t>The name of the program for which the OpenStaffPosition will be assigned; for example: Regular education Title I-Academic Title I-Non-Academic Special Education Bilingual/English as a Second Language.</t>
  </si>
  <si>
    <t>OpenStaffPosition--&gt;RequisitionNumber</t>
  </si>
  <si>
    <t>The number or identifier assigned to an open staff position, typically a requisition number assigned by Human Resources.</t>
  </si>
  <si>
    <t>Parent--&gt;Address--&gt;BeginDate</t>
  </si>
  <si>
    <t>Parent--&gt;Address--&gt;BuildingSiteNumber</t>
  </si>
  <si>
    <t xml:space="preserve">The number of the building on the site, if more than one building shares the same address. </t>
  </si>
  <si>
    <t>Parent--&gt;Address--&gt;EndDate</t>
  </si>
  <si>
    <t>Parent--&gt;LoginId</t>
  </si>
  <si>
    <t>The login ID for the user; used for security access control interface.</t>
  </si>
  <si>
    <t>Parent--&gt;Name--&gt;PersonalIdentificationDocument--&gt;DocumentExpirationDate</t>
  </si>
  <si>
    <t>The day when the document  expires, if null then never expires.</t>
  </si>
  <si>
    <t>Parent--&gt;Name--&gt;PersonalIdentificationDocument--&gt;DocumentTitle</t>
  </si>
  <si>
    <t>The title of the document given by the issuer.</t>
  </si>
  <si>
    <t>Parent--&gt;Name--&gt;PersonalIdentificationDocument--&gt;IssuerCountry</t>
  </si>
  <si>
    <t>Country of origin of the document.</t>
  </si>
  <si>
    <t>Parent--&gt;Name--&gt;PersonalIdentificationDocument--&gt;IssuerDocumentIdentificationCode</t>
  </si>
  <si>
    <t>The unique identifier on the issuer's identification system.</t>
  </si>
  <si>
    <t>Parent--&gt;Name--&gt;PersonalIdentificationDocument--&gt;IssuerName</t>
  </si>
  <si>
    <t>Name of the entity or institution that issued the document.</t>
  </si>
  <si>
    <t>Parent--&gt;ParentUniqueId</t>
  </si>
  <si>
    <t>A unique alphanumeric code assigned to a parent.</t>
  </si>
  <si>
    <t>Payroll--&gt;AsOfDate</t>
  </si>
  <si>
    <t>The date of the reported payroll element.</t>
  </si>
  <si>
    <t>PostSecondaryEvent--&gt;PostSecondaryInstitution--&gt;MediumOfInstruction</t>
  </si>
  <si>
    <t>The categories in which an institution serves the students.</t>
  </si>
  <si>
    <t>Program--&gt;ProgramCharacteristic</t>
  </si>
  <si>
    <t>Reflects important characteristics of the Program, such as categories or particular indications.</t>
  </si>
  <si>
    <t>Program--&gt;Service</t>
  </si>
  <si>
    <t>Defines the services this program provides to students.</t>
  </si>
  <si>
    <t>RestraintEvent--&gt;EducationalEnvironment</t>
  </si>
  <si>
    <t>The setting where the RestraintEvent was exercised.</t>
  </si>
  <si>
    <t>RestraintEvent--&gt;RestraintEventReason</t>
  </si>
  <si>
    <t>A categoration of the circumstances or reason for the RestraintEvent</t>
  </si>
  <si>
    <t>School--&gt;AccountabilityRating--&gt;RatingDate</t>
  </si>
  <si>
    <t>School--&gt;AccountabilityRating--&gt;RatingOrganization</t>
  </si>
  <si>
    <t>School--&gt;Address--&gt;BeginDate</t>
  </si>
  <si>
    <t>School--&gt;Address--&gt;EndDate</t>
  </si>
  <si>
    <t>Section--&gt;SectionCharacteristic</t>
  </si>
  <si>
    <t>Reflects important characteristics of the Section, such as whether or not attendance is taken and the Section is graded.</t>
  </si>
  <si>
    <t>Staff--&gt;Address--&gt;BeginDate</t>
  </si>
  <si>
    <t>Staff--&gt;Address--&gt;BuildingSiteNumber</t>
  </si>
  <si>
    <t>Staff--&gt;Address--&gt;EndDate</t>
  </si>
  <si>
    <t>Staff--&gt;Citizenship--&gt;ForeignCitizenshipIdentificationDocument--&gt;DocumentExpirationDate</t>
  </si>
  <si>
    <t>Staff--&gt;Citizenship--&gt;ForeignCitizenshipIdentificationDocument--&gt;DocumentTitle</t>
  </si>
  <si>
    <t>Staff--&gt;Citizenship--&gt;ForeignCitizenshipIdentificationDocument--&gt;IssuerCountry</t>
  </si>
  <si>
    <t>Staff--&gt;Citizenship--&gt;ForeignCitizenshipIdentificationDocument--&gt;IssuerDocumentIdentificationCode</t>
  </si>
  <si>
    <t>Staff--&gt;Citizenship--&gt;ForeignCitizenshipIdentificationDocument--&gt;IssuerName</t>
  </si>
  <si>
    <t>Staff--&gt;Citizenship--&gt;USCitizenshipIdentificationDocument--&gt;DocumentExpirationDate</t>
  </si>
  <si>
    <t>Staff--&gt;Citizenship--&gt;USCitizenshipIdentificationDocument--&gt;DocumentTitle</t>
  </si>
  <si>
    <t>Staff--&gt;Citizenship--&gt;USCitizenshipIdentificationDocument--&gt;IssuerCountry</t>
  </si>
  <si>
    <t>Staff--&gt;Citizenship--&gt;USCitizenshipIdentificationDocument--&gt;IssuerDocumentIdentificationCode</t>
  </si>
  <si>
    <t>Staff--&gt;Citizenship--&gt;USCitizenshipIdentificationDocument--&gt;IssuerName</t>
  </si>
  <si>
    <t>Staff--&gt;Credential--&gt;CredentialField</t>
  </si>
  <si>
    <t>The field of certification for the certificate (e.g., Mathematics, Music)</t>
  </si>
  <si>
    <t>Staff--&gt;Credential--&gt;Level</t>
  </si>
  <si>
    <t>The grade level(s) certified for teaching.</t>
  </si>
  <si>
    <t>Staff--&gt;LoginId</t>
  </si>
  <si>
    <t>Staff--&gt;Name--&gt;PersonalIdentificationDocument--&gt;DocumentExpirationDate</t>
  </si>
  <si>
    <t>Staff--&gt;Name--&gt;PersonalIdentificationDocument--&gt;DocumentTitle</t>
  </si>
  <si>
    <t>Staff--&gt;Name--&gt;PersonalIdentificationDocument--&gt;IssuerCountry</t>
  </si>
  <si>
    <t>Staff--&gt;Name--&gt;PersonalIdentificationDocument--&gt;IssuerDocumentIdentificationCode</t>
  </si>
  <si>
    <t>Staff--&gt;Name--&gt;PersonalIdentificationDocument--&gt;IssuerName</t>
  </si>
  <si>
    <t>Staff--&gt;StaffUniqueId</t>
  </si>
  <si>
    <t>A unique alphanumeric code assigned to a staff.</t>
  </si>
  <si>
    <t>StaffCohortAssociation--&gt;BeginDate</t>
  </si>
  <si>
    <t>The month, day, and year on which the student was first identified as  part of the cohort.</t>
  </si>
  <si>
    <t>StaffCohortAssociation--&gt;EndDate</t>
  </si>
  <si>
    <t>End date for the association of staff to this cohort.</t>
  </si>
  <si>
    <t>StaffCohortAssociation--&gt;StudentRecordAccess</t>
  </si>
  <si>
    <t>Indicator of whether the staff has access to the student records of the cohort per district interpretation of FERPA and other privacy laws, regulations and policies.</t>
  </si>
  <si>
    <t>StaffEducationOrganizationEmploymentAssociation--&gt;Department</t>
  </si>
  <si>
    <t>The department or suborganization the employee/contractor is associated with in the EducationOrganization.</t>
  </si>
  <si>
    <t>StaffEducationOrganizationEmploymentAssociation--&gt;OfferDate</t>
  </si>
  <si>
    <t>Date at which the staff member was made an official offer for this employment.</t>
  </si>
  <si>
    <t>StaffProgramAssociation--&gt;BeginDate</t>
  </si>
  <si>
    <t>Start date for the association of staff to this program.</t>
  </si>
  <si>
    <t>StaffProgramAssociation--&gt;EndDate</t>
  </si>
  <si>
    <t>End date for the association of staff to this program.</t>
  </si>
  <si>
    <t>StaffProgramAssociation--&gt;StudentRecordAccess</t>
  </si>
  <si>
    <t>Indicator of whether the staff has access to the student records of the program per district interpretation of FERPA and other privacy laws, regulations and policies.</t>
  </si>
  <si>
    <t>StateEducationAgency--&gt;AccountabilityRating--&gt;RatingDate</t>
  </si>
  <si>
    <t>StateEducationAgency--&gt;AccountabilityRating--&gt;RatingOrganization</t>
  </si>
  <si>
    <t>StateEducationAgency--&gt;Address--&gt;BeginDate</t>
  </si>
  <si>
    <t>StateEducationAgency--&gt;Address--&gt;EndDate</t>
  </si>
  <si>
    <t>StateEducationAgency--&gt;StateEducationAgencyFederalFunds--&gt;FiscalYear</t>
  </si>
  <si>
    <t>The fiscal year for which the federal funds are received.</t>
  </si>
  <si>
    <t>Student--&gt;Address--&gt;BeginDate</t>
  </si>
  <si>
    <t>Student--&gt;Address--&gt;BuildingSiteNumber</t>
  </si>
  <si>
    <t>Student--&gt;Address--&gt;EndDate</t>
  </si>
  <si>
    <t>Student--&gt;Citizenship--&gt;ForeignCitizenshipIdentificationDocument--&gt;DocumentExpirationDate</t>
  </si>
  <si>
    <t>Student--&gt;Citizenship--&gt;ForeignCitizenshipIdentificationDocument--&gt;DocumentTitle</t>
  </si>
  <si>
    <t>Student--&gt;Citizenship--&gt;ForeignCitizenshipIdentificationDocument--&gt;IssuerCountry</t>
  </si>
  <si>
    <t>Student--&gt;Citizenship--&gt;ForeignCitizenshipIdentificationDocument--&gt;IssuerDocumentIdentificationCode</t>
  </si>
  <si>
    <t>Student--&gt;Citizenship--&gt;ForeignCitizenshipIdentificationDocument--&gt;IssuerName</t>
  </si>
  <si>
    <t>Student--&gt;Citizenship--&gt;USCitizenshipIdentificationDocument--&gt;DocumentExpirationDate</t>
  </si>
  <si>
    <t>Student--&gt;Citizenship--&gt;USCitizenshipIdentificationDocument--&gt;DocumentTitle</t>
  </si>
  <si>
    <t>Student--&gt;Citizenship--&gt;USCitizenshipIdentificationDocument--&gt;IssuerCountry</t>
  </si>
  <si>
    <t>Student--&gt;Citizenship--&gt;USCitizenshipIdentificationDocument--&gt;IssuerDocumentIdentificationCode</t>
  </si>
  <si>
    <t>Student--&gt;Citizenship--&gt;USCitizenshipIdentificationDocument--&gt;IssuerName</t>
  </si>
  <si>
    <t>Student--&gt;Disability--&gt;DisabilityDiagnosis</t>
  </si>
  <si>
    <t>A description of the disability diagnosis.</t>
  </si>
  <si>
    <t>Student--&gt;LearningStyle--&gt;AuditoryLearning</t>
  </si>
  <si>
    <t>The student's relative preference expressed as a percent to auditory learning.</t>
  </si>
  <si>
    <t>Student--&gt;LearningStyle--&gt;TactileLearning</t>
  </si>
  <si>
    <t>The student's relative preference expressed as a percent to kinesthetic or tactile learning.</t>
  </si>
  <si>
    <t>Student--&gt;LearningStyle--&gt;VisualLearning</t>
  </si>
  <si>
    <t>The student's relative preference expressed as a percent to visual learning.</t>
  </si>
  <si>
    <t>Student--&gt;LoginId</t>
  </si>
  <si>
    <t>Student--&gt;Name--&gt;MaidenName</t>
  </si>
  <si>
    <t>The person's maiden name.</t>
  </si>
  <si>
    <t>Student--&gt;Name--&gt;PersonalIdentificationDocument--&gt;DocumentExpirationDate</t>
  </si>
  <si>
    <t>Student--&gt;Name--&gt;PersonalIdentificationDocument--&gt;DocumentTitle</t>
  </si>
  <si>
    <t>Student--&gt;Name--&gt;PersonalIdentificationDocument--&gt;IssuerCountry</t>
  </si>
  <si>
    <t>Student--&gt;Name--&gt;PersonalIdentificationDocument--&gt;IssuerDocumentIdentificationCode</t>
  </si>
  <si>
    <t>Student--&gt;Name--&gt;PersonalIdentificationDocument--&gt;IssuerName</t>
  </si>
  <si>
    <t>Student--&gt;ProgramParticipation--&gt;DesignatedBy</t>
  </si>
  <si>
    <t>The person, organization, or department that designated the program association.</t>
  </si>
  <si>
    <t>Student--&gt;ProgramParticipation--&gt;ProgramCharacteristic</t>
  </si>
  <si>
    <t>Student--&gt;StudentCharacteristic--&gt;DesignatedBy</t>
  </si>
  <si>
    <t>The person, organization, or department that designated the characteristic.</t>
  </si>
  <si>
    <t>Student--&gt;StudentIndicator--&gt;BeginDate</t>
  </si>
  <si>
    <t>The date when the indicator was assigned or computed.</t>
  </si>
  <si>
    <t>Student--&gt;StudentIndicator--&gt;DesignatedBy</t>
  </si>
  <si>
    <t>Student--&gt;StudentIndicator--&gt;EndDate</t>
  </si>
  <si>
    <t>The date the indicator or metric was sunset or removed.</t>
  </si>
  <si>
    <t>Student--&gt;StudentIndicator--&gt;IndicatorGroup</t>
  </si>
  <si>
    <t>The name for a group of indicators.</t>
  </si>
  <si>
    <t>StudentAcademicRecord--&gt;AcademicHonor--&gt;Achievement--&gt;AcheivementCategory</t>
  </si>
  <si>
    <t>The category of achievement attributed to the learner.</t>
  </si>
  <si>
    <t>StudentAcademicRecord--&gt;ClassRanking--&gt;PercentageRanking</t>
  </si>
  <si>
    <t>The academic percentage rank of a student in relation to his or her graduating class (e.g., 95%, 80%, 50%).</t>
  </si>
  <si>
    <t>StudentAcademicRecord--&gt;Diploma--&gt;Achievement--&gt;AcheivementCategory</t>
  </si>
  <si>
    <t>StudentAcademicRecord--&gt;Diploma--&gt;Achievement--&gt;AchievementCategorySystem</t>
  </si>
  <si>
    <t>The system that defines the categories by which an achievement is attributed to the learner.</t>
  </si>
  <si>
    <t>StudentAcademicRecord--&gt;Diploma--&gt;Achievement--&gt;IssuerName</t>
  </si>
  <si>
    <t>The name of the agent, entity or institution issuing the element.</t>
  </si>
  <si>
    <t>StudentAcademicRecord--&gt;Recognition--&gt;Achievement--&gt;AchievementCategory</t>
  </si>
  <si>
    <t>StudentAcademicRecord--&gt;Recognition--&gt;Achievement--&gt;AchievementCategorySystem</t>
  </si>
  <si>
    <t>StudentAcademicRecord--&gt;Recognition--&gt;Achievement--&gt;IssuerName</t>
  </si>
  <si>
    <t>StudentAcademicRecord--&gt;Recognition--&gt;RecognitionAwardDate</t>
  </si>
  <si>
    <t>The date the recognition was awarded or earned.</t>
  </si>
  <si>
    <t>StudentAcademicRecord--&gt;Recognition--&gt;RecognitionDescription</t>
  </si>
  <si>
    <t>A description of the type of academic distinctions earned by or awarded to the individual.</t>
  </si>
  <si>
    <t>StudentAcademicRecord--&gt;SessionAttemptedCredits--&gt;Credits</t>
  </si>
  <si>
    <t>The value of credits or units of value awarded for the completion of a course</t>
  </si>
  <si>
    <t>StudentAcademicRecord--&gt;SessionGradePointsEarned</t>
  </si>
  <si>
    <t>The number of grade points an individual earned for this session.</t>
  </si>
  <si>
    <t>StudentCompetencyObjective--&gt;CompetencyLevel</t>
  </si>
  <si>
    <t>The competency level assessed for the student for the referenced learning objective.</t>
  </si>
  <si>
    <t>StudentCTEProgramAssociation--&gt;CTEProgram--&gt;PrimaryCTEProgramIndicator</t>
  </si>
  <si>
    <t>A Boolean indicator of whether this CTE program, is the student’s primary CTE program.</t>
  </si>
  <si>
    <t>StudentCTEProgramAssociation--&gt;ServedOutsideOfRegularSession</t>
  </si>
  <si>
    <t>Indicates whether the student received services during the summer session or between sessions.</t>
  </si>
  <si>
    <t>StudentCTEProgramAssociation--&gt;Service</t>
  </si>
  <si>
    <t>Indicates the Service(s) being provided to the student by the program.</t>
  </si>
  <si>
    <t>StudentDisciplineIncidentAssociation--&gt;Behavior--&gt;BehaviorDetailedDescription</t>
  </si>
  <si>
    <t>Specifies a more granular level of detail of a behavior involved in the incident.</t>
  </si>
  <si>
    <t>StudentGradebookEntry--&gt;CompetencyLevel</t>
  </si>
  <si>
    <t>The competency level assessed for the student for the referenced LearningObjective.</t>
  </si>
  <si>
    <t>StudentGradebookEntry--&gt;DateFulfilled</t>
  </si>
  <si>
    <t>The date an assignment was turned in or the date of an assessment.</t>
  </si>
  <si>
    <t>StudentInterventionAssociation--&gt;InterventionEffectiveness--&gt;Diagnosis</t>
  </si>
  <si>
    <t>StudentInterventionAssociation--&gt;InterventionEffectiveness--&gt;GradeLevel</t>
  </si>
  <si>
    <t>Grade level for which effectiveness is measured.</t>
  </si>
  <si>
    <t>StudentInterventionAssociation--&gt;InterventionEffectiveness--&gt;ImprovementIndex</t>
  </si>
  <si>
    <t>StudentInterventionAssociation--&gt;InterventionEffectiveness--&gt;InterventionEffectivenessRating</t>
  </si>
  <si>
    <t>An intervention demonstrates effectiveness if the research has shown that the program caused an improvement in outcomes. Rating Values: positive effects, potentially positive effects, mixed effects, potentially negative effects, negative effects and no discernible effects.</t>
  </si>
  <si>
    <t>StudentInterventionAssociation--&gt;InterventionEffectiveness--&gt;PopulationServed</t>
  </si>
  <si>
    <t>StudentMigrantEducationProgramAssociation--&gt;Services</t>
  </si>
  <si>
    <t>StudentMigrantEducationProgramAssociation--&gt;USInitialEntry</t>
  </si>
  <si>
    <t>The month, day, and year on which the student first entered the US.</t>
  </si>
  <si>
    <t>StudentMigrantEducationProgramAssociation--&gt;USInitialSchoolEntry</t>
  </si>
  <si>
    <t>The month, day, and year on which the student first entered a US School.</t>
  </si>
  <si>
    <t>StudentMigrantEducationProgramAssociation--&gt;USMostRecentEntry</t>
  </si>
  <si>
    <t>The month, day, and year of the student's most recent entry into the US.</t>
  </si>
  <si>
    <t>StudentProgramAssociation--&gt;ServedOutsideOfRegularSession</t>
  </si>
  <si>
    <t>StudentProgramAssociation--&gt;Service</t>
  </si>
  <si>
    <t>StudentSchoolAssociation--&gt;ResidencyStatus</t>
  </si>
  <si>
    <t xml:space="preserve">An indication of the location of a persons legal residence relative to (within or outside of) the boundaries of the public school attended and its administrative unit. </t>
  </si>
  <si>
    <t>StudentSpecialEdProgramAssociation--&gt;Service</t>
  </si>
  <si>
    <t>StudentTitleIPartAProgramAssociation--&gt;ServedOutsideOfRegularSession</t>
  </si>
  <si>
    <t>StudentTitleIPartAProgramAssociation--&gt;Service</t>
  </si>
  <si>
    <t>Teacher--&gt;Address--&gt;BeginDate</t>
  </si>
  <si>
    <t>Teacher--&gt;Address--&gt;EndDate</t>
  </si>
  <si>
    <t>Teacher--&gt;Credential--&gt;CredentialField</t>
  </si>
  <si>
    <t>Teacher--&gt;Credential--&gt;Level</t>
  </si>
  <si>
    <t>Teacher--&gt;YearsOfPriorProfessionalExperience</t>
  </si>
  <si>
    <t>The total number of years that an individual has previously held a similar professional position in one or more education institutions.</t>
  </si>
  <si>
    <t>NCES Handbooks/Forum</t>
  </si>
  <si>
    <t>Access to Records Status</t>
  </si>
  <si>
    <t>An indicator as to whether this contact has access to the student''s records.</t>
  </si>
  <si>
    <t>ID</t>
  </si>
  <si>
    <t xml:space="preserve">Yes/No
</t>
  </si>
  <si>
    <t>Accountability Focus</t>
  </si>
  <si>
    <t>A description of the educational unit under evaluation for accountability.</t>
  </si>
  <si>
    <t>AN</t>
  </si>
  <si>
    <t xml:space="preserve">No Options
</t>
  </si>
  <si>
    <t>Accountability Interventions</t>
  </si>
  <si>
    <t>A description of the interventions as a result of the accountability results.</t>
  </si>
  <si>
    <t>Accountability Report Producing Organization</t>
  </si>
  <si>
    <t>The name of the organization that produced the accountability report.</t>
  </si>
  <si>
    <t>Accountability Report Producing Organization Type</t>
  </si>
  <si>
    <t>The type of organization that produced the accountability report.</t>
  </si>
  <si>
    <t>Accountability Rewards</t>
  </si>
  <si>
    <t>A description of the rewards as a result of the accountability results.</t>
  </si>
  <si>
    <t>Accountability Sanctions</t>
  </si>
  <si>
    <t>A description of the sanctions as a result of the accountability results.</t>
  </si>
  <si>
    <t>Accreditation Status</t>
  </si>
  <si>
    <t>An indication as to whether the organization has been accredited by an outside accrediting agency. The accreditation process generally includes a review of an organization's educational program and staff for quality, and concludes with certification (or not) that the organization meets a minimal set of standards.</t>
  </si>
  <si>
    <t>Activity Curriculum Type</t>
  </si>
  <si>
    <t>An indication of the degree that an activity is related to a student''s curriculum.</t>
  </si>
  <si>
    <t>The description of a particular co-curricular or extra-curricular activity in which the individual is involved.</t>
  </si>
  <si>
    <t>Activity Leadership/Coordinator Participation Level</t>
  </si>
  <si>
    <t>The individual''s level of leadership or coordinator involvement in the activity.</t>
  </si>
  <si>
    <t>Activity Level</t>
  </si>
  <si>
    <t>A description of the separation of level in the activity.</t>
  </si>
  <si>
    <t>Activity Time</t>
  </si>
  <si>
    <t>An indication of the time of day the activity takes place.</t>
  </si>
  <si>
    <t>Activity Type</t>
  </si>
  <si>
    <t>The type of co-curricular or extra-curricular activity.</t>
  </si>
  <si>
    <t>Actual Use Date</t>
  </si>
  <si>
    <t>The month, day, and year on which a benefit will be paid off in a lump-sum payment or distributed in installments to an individual.</t>
  </si>
  <si>
    <t>DT</t>
  </si>
  <si>
    <t>Additional Compensation Type</t>
  </si>
  <si>
    <t>An indication of the category of income, wages, or benefits an individual receives as compensation for service in compliance with the employment agreement.</t>
  </si>
  <si>
    <t>Additional Geographic Designation</t>
  </si>
  <si>
    <t>Any additional relevant description, beyond locale code or geo-coding, for a geographical location.</t>
  </si>
  <si>
    <t>Additional Health Data and Medical Condition</t>
  </si>
  <si>
    <t>Additional information concerning an individual's health (e.g., consideration for healthy life choices, such as "non-smoker").</t>
  </si>
  <si>
    <t>Additional Post-school Accomplishments</t>
  </si>
  <si>
    <t>Notable post-school activities and accomplishments other than information about employment, education, and military service (e.g., elective offices held and books published).</t>
  </si>
  <si>
    <t>Additional Special Health Needs, Information, or Instructions</t>
  </si>
  <si>
    <t>The description or detailed specific instructions (beyond what has already been included) regarding an individual''s medical or dental treatment as directed by the individual or his or her parents/guardian, or health care provider.</t>
  </si>
  <si>
    <t>Adequate Yearly Progress Failure Begin Date</t>
  </si>
  <si>
    <t>The month, day, and year on which the education institution fails to meet AYP standards.</t>
  </si>
  <si>
    <t>Adequate Yearly Progress Met Date</t>
  </si>
  <si>
    <t>The month, day, and year on which the education institution meets AYP standards.</t>
  </si>
  <si>
    <t>Adjusted Income Amount</t>
  </si>
  <si>
    <t>The amount of income and supplemental pay earned after deductions for the specific time period.</t>
  </si>
  <si>
    <t>R</t>
  </si>
  <si>
    <t>Admission Date</t>
  </si>
  <si>
    <t>The month, day, and year on which a student is admitted to a school or an educational institution.</t>
  </si>
  <si>
    <t>Admission Status</t>
  </si>
  <si>
    <t>The status given to a student when he or she is admitted to a school or an educational institution.</t>
  </si>
  <si>
    <t>Advance Pay</t>
  </si>
  <si>
    <t>The amount paid to an individual prior to services rendered (e.g., deposit).</t>
  </si>
  <si>
    <t>Affiliated Institution Type</t>
  </si>
  <si>
    <t>An indication of the type of institution or organization providing the educational experience to the individual.</t>
  </si>
  <si>
    <t>Ages Served</t>
  </si>
  <si>
    <t>The ages of children served by an institution as identified by the funding and/or licensing source.</t>
  </si>
  <si>
    <t>Ala Carte Non-Reimbursable Purchase Price</t>
  </si>
  <si>
    <t>The total dollar amount paid for the purchase of food, for which no federal reimbursement is received, associated with a particular individual transaction.</t>
  </si>
  <si>
    <t>Alcohol Violation</t>
  </si>
  <si>
    <t xml:space="preserve">Violation of laws or ordinances prohibiting the manufacture, sale, purchase, transportation, possession, or consumption of intoxicating alcoholic beverages or substances represented as alcohol. Suspicion of being under the influence of alcohol may be included if it results in disciplinary action. </t>
  </si>
  <si>
    <t>Alias</t>
  </si>
  <si>
    <t>An assumed name, or a name by which an individual is otherwise known.</t>
  </si>
  <si>
    <t>Allergy Alert</t>
  </si>
  <si>
    <t>An indication that the individual has a severe allergy.</t>
  </si>
  <si>
    <t>Allowances Number</t>
  </si>
  <si>
    <t>The total number of personal allowances an individual is claiming on his or her tax withholding form.</t>
  </si>
  <si>
    <t>N</t>
  </si>
  <si>
    <t>Alternative School</t>
  </si>
  <si>
    <t>A school that: 1) addresses needs of students which cannot typically be met in a regular school; 2) provides nontraditional education; 3) falls outside of the categories of regular, magnet/special program emphasis, special, or vocational/technical education.</t>
  </si>
  <si>
    <t>Amount of Activity Involvement</t>
  </si>
  <si>
    <t>An indication of the degree to which the individual is involved in the activity (e.g., number of hours per week).</t>
  </si>
  <si>
    <t>Amount of Non-school Activity Involvement</t>
  </si>
  <si>
    <t>An indication of the degree to which the student is involved in the activity (e.g., number of hours per week).</t>
  </si>
  <si>
    <t>Annual Earning Rate of Pay</t>
  </si>
  <si>
    <t>The monetary unit of salary compensation an individual is paid for performance of agreed-upon duties on an annual basis.</t>
  </si>
  <si>
    <t>Annual Hours of School Operation-After School</t>
  </si>
  <si>
    <t>The number of hours that a building is open after regular school hours for its school related programs and operations over a twelve month period.</t>
  </si>
  <si>
    <t>Annual Hours of School Operation-Before School</t>
  </si>
  <si>
    <t>The number of hours that a building is open before regular school hours for its school related programs and operations over a twelve month period.</t>
  </si>
  <si>
    <t>Annual Hours of School Operation-Regular School Hours</t>
  </si>
  <si>
    <t>The number of hours that a building is open during regular school hours for its school related programs and operations over a twelve month period.</t>
  </si>
  <si>
    <t>Annual Hours of School Operation-Summer Session</t>
  </si>
  <si>
    <t>The number of hours that a building is open during the summer session for its school related programs and operations over a twelve month period.</t>
  </si>
  <si>
    <t>Annual Hours of School Operation-Weekend Hours</t>
  </si>
  <si>
    <t>The number of hours that a building is open during weekend hours for its school related programs and operations over a twelve month period.</t>
  </si>
  <si>
    <t>Annual Maximum Payroll Deduction Allowed</t>
  </si>
  <si>
    <t>The maximum allowable amount of money within a year that would be withheld or deducted from the employee's paycheck.</t>
  </si>
  <si>
    <t>Applicable Grades</t>
  </si>
  <si>
    <t>The specific grade or combination of grades.</t>
  </si>
  <si>
    <t>Application Status</t>
  </si>
  <si>
    <t>An indication of the status of the individual's employment application.</t>
  </si>
  <si>
    <t>Areas of Informal Qualification</t>
  </si>
  <si>
    <t>Other areas or fields in which an individual has some special informal qualification or occupational training (e.g., as an artist).</t>
  </si>
  <si>
    <t>Assessment Administration Window/Date(s)</t>
  </si>
  <si>
    <t>The month(s), day(s), and year on which an assessment is administered.</t>
  </si>
  <si>
    <t>Assessment Description</t>
  </si>
  <si>
    <t>A description of the assessment.</t>
  </si>
  <si>
    <t>Assessment Development</t>
  </si>
  <si>
    <t>An indication of how the assessment was produced or developed.</t>
  </si>
  <si>
    <t>Assessment Development Vendor Name</t>
  </si>
  <si>
    <t>The name of the contractor(s) who developed and/or provided the assessment.</t>
  </si>
  <si>
    <t>Assessment Feedback</t>
  </si>
  <si>
    <t>Feedback provided to the student from various sources.</t>
  </si>
  <si>
    <t>Assessment for Promotion/Graduation Status</t>
  </si>
  <si>
    <t>An indication of whether the district or state assessments that were given to students were required to be passed or were used as a significant factor in making promotion or graduation decisions for all students being assessed.</t>
  </si>
  <si>
    <t>Assessment Groups</t>
  </si>
  <si>
    <t>The groups or subgroups of individuals at the designated grades who were assessed.</t>
  </si>
  <si>
    <t>Assessment Item Choice Content</t>
  </si>
  <si>
    <t>The text of the choice, such as true, 27, or Important economic and social factors.</t>
  </si>
  <si>
    <t>Assessment Item Choice Credit Value</t>
  </si>
  <si>
    <t>A numeric value that indicates the amount of credit awarded for choosing the choice.</t>
  </si>
  <si>
    <t>Assessment Item Choice Label</t>
  </si>
  <si>
    <t>A choice number or other identifier for the choice. It may be used to indicate the order or grouping of the choices.</t>
  </si>
  <si>
    <t>Assessment Item Correct Response</t>
  </si>
  <si>
    <t>The correct response for the assessment item.</t>
  </si>
  <si>
    <t>Assessment Item Description</t>
  </si>
  <si>
    <t>A description of the assessment item.</t>
  </si>
  <si>
    <t>Assessment Item Rubric URL Reference</t>
  </si>
  <si>
    <t>The URL location where the rubric for scoring an item may be found.</t>
  </si>
  <si>
    <t>Assessment Item Rubric/Rating</t>
  </si>
  <si>
    <t>An indication of the quantitative or qualitative range of possible scores/ratings for an individual''s performance on an assessment item.</t>
  </si>
  <si>
    <t>Assessment Item Title</t>
  </si>
  <si>
    <t>The title or name of the assessment item.</t>
  </si>
  <si>
    <t>Assessment Number of Items</t>
  </si>
  <si>
    <t>The number of items on an assessment.</t>
  </si>
  <si>
    <t>Assessment Performance Level Name</t>
  </si>
  <si>
    <t>The level of performance of students on an assessment.</t>
  </si>
  <si>
    <t>Assessment Reference Type</t>
  </si>
  <si>
    <t>A classification of how results of achievement tests are related and interpreted.</t>
  </si>
  <si>
    <t>Assessment Registration Grade Level When Assessed</t>
  </si>
  <si>
    <t>The grade or level of the learner as specified during assessment registration.</t>
  </si>
  <si>
    <t>Assessment Reporting Level</t>
  </si>
  <si>
    <t>The level at which results are presented.</t>
  </si>
  <si>
    <t>Assessment Requirement Authority</t>
  </si>
  <si>
    <t>The person, agency, governmental entity, or other institution requiring or sponsoring the completion of the assessment requirement.</t>
  </si>
  <si>
    <t>Assessment Response Language</t>
  </si>
  <si>
    <t>The language in which assessment responses are provided. (Note: A list of languages and codes is currently maintained and updated by the ISO as ISO 639.2 on its website http://www.iso.org/iso/iso_catalogue/catalogue_tc/catalogue_detail.htm?csnumber=4767).</t>
  </si>
  <si>
    <t>Assessment Rubric/Rating</t>
  </si>
  <si>
    <t>An indication of the quantitative or qualitative range of possible scores/rating for an individual's performance on an assessment.</t>
  </si>
  <si>
    <t>Assessment Scoring Vendor Name</t>
  </si>
  <si>
    <t>The name of the contractor(s) who score the assessment.</t>
  </si>
  <si>
    <t>Assessment Subest Score Value</t>
  </si>
  <si>
    <t>A score value expressed as a number representing the performance of a person on an administration of an assessment as determined by the sub test scoring rules. The score relates to the overall assessment or a sub test scoring one aspect of performance on the test. This value may be used to determine performance level for the test or sub test.</t>
  </si>
  <si>
    <t>The name or description of the assignment.</t>
  </si>
  <si>
    <t>Assignment Description</t>
  </si>
  <si>
    <t>Further description of a staff assignment that fully defines the activity, as necessary. For example, a "teacher" assignment would be defined in terms of the grade levels taught or the types of duties involved (e.g., lead teacher for a class of third graders).</t>
  </si>
  <si>
    <t>Assignment Finish Date</t>
  </si>
  <si>
    <t>The month, day, and year that the assignment is finished by students.</t>
  </si>
  <si>
    <t>Assignment Number of Attempts</t>
  </si>
  <si>
    <t>The number of attempts allowed by an instructor on an assignment or taken by a student to complete the assignment.</t>
  </si>
  <si>
    <t>Assignment to Physical Space</t>
  </si>
  <si>
    <t>A unique number or alphanumeric code assigned to a physical space to which the equipment is assigned.</t>
  </si>
  <si>
    <t>At Risk of Developmental Delay</t>
  </si>
  <si>
    <t>The risk of having substantial developmental delays if early intervention services are not provided.</t>
  </si>
  <si>
    <t>At-Risk Status</t>
  </si>
  <si>
    <t>An indication that the student met the criteria for classification as being at-risk.</t>
  </si>
  <si>
    <t>Attendance Area Code</t>
  </si>
  <si>
    <t>A unique number or alphanumeric code of an attendance area that the school or building serves assigned by a school, school system, state, or other agency or entity.</t>
  </si>
  <si>
    <t>Attendance Description</t>
  </si>
  <si>
    <t xml:space="preserve">A description of the attendance status. </t>
  </si>
  <si>
    <t>Attendance Policy Violation</t>
  </si>
  <si>
    <t xml:space="preserve">Violation of state, school district, or school policy relating to attendance. </t>
  </si>
  <si>
    <t>Attendance Status Time</t>
  </si>
  <si>
    <t>An indication of the time of day the attendance status is recorded.</t>
  </si>
  <si>
    <t>Attendance zone</t>
  </si>
  <si>
    <t>The geographical area that determines the school  that age appropriate children are assigned to.</t>
  </si>
  <si>
    <t>Authorized Instructional Level</t>
  </si>
  <si>
    <t>The instructional level or levels within which an individual is authorized to serve by an active credential.</t>
  </si>
  <si>
    <t>Authorized/Insured to Use Organization Vehicles</t>
  </si>
  <si>
    <t>An indication of whether the individual is authorized and/or insured to use the employer's vehicles to conduct official business.</t>
  </si>
  <si>
    <t>Authorized/Insured to Use Own Vehicles</t>
  </si>
  <si>
    <t>An indication of whether the individual is authorized and/or insured to use his or her own vehicles to conduct official business.</t>
  </si>
  <si>
    <t>Avocational Interests and Skills</t>
  </si>
  <si>
    <t>Description of a hobby or other interest or skill of an individual. These may include but are not limited to singing, art, music, writing, public speaking, and youth work.</t>
  </si>
  <si>
    <t>Award Amount</t>
  </si>
  <si>
    <t>The amount of money awarded to the individual or institution for high performance or improvement.</t>
  </si>
  <si>
    <t>Background Check Completion Date</t>
  </si>
  <si>
    <t>The month, day, and year on which the examination of the individual's employment and/or other records was completed. This examination is part of the requirements for this position or a credential.</t>
  </si>
  <si>
    <t>Background Check Description</t>
  </si>
  <si>
    <t>A description of the means used to check an individual's employment and/or other records investigated to determine whether he or she meets the basic and security requirements for employment or a credential.</t>
  </si>
  <si>
    <t>Background Check Type</t>
  </si>
  <si>
    <t>An indication of the type of employment and/or other records that are investigated to determine whether the individual meets the basic and security requirements for employment or a credential.</t>
  </si>
  <si>
    <t>Bank Account Type</t>
  </si>
  <si>
    <t>The type of bank account that is under an individual's name.</t>
  </si>
  <si>
    <t>Base Indicators</t>
  </si>
  <si>
    <t>A description of the indicators that are used as the primary indicators of improvement and performance.</t>
  </si>
  <si>
    <t>Baseline Utility Cost</t>
  </si>
  <si>
    <t>The calculated utility cost of operating and maintaining a utility before carrying out any utility efficiency improvements.</t>
  </si>
  <si>
    <t>Basement Excavation</t>
  </si>
  <si>
    <t>The site work required to create basement spaces under a building.</t>
  </si>
  <si>
    <t>Basement Walls</t>
  </si>
  <si>
    <t>The construction of structural vertical faces in the basement of a building.</t>
  </si>
  <si>
    <t>Beginning Date of Data in Report</t>
  </si>
  <si>
    <t>The first month, day, and year of data covered in the report.</t>
  </si>
  <si>
    <t>Bell Period End Time</t>
  </si>
  <si>
    <t>The ending time for the bell period.</t>
  </si>
  <si>
    <t>Bell Period Start Time</t>
  </si>
  <si>
    <t>The starting time for the bell period.</t>
  </si>
  <si>
    <t>Bell Schedule Name</t>
  </si>
  <si>
    <t>A name that uniquely identifies a particular Bell Schedule from others for the same school and year.</t>
  </si>
  <si>
    <t>Benefit Contribution Amount</t>
  </si>
  <si>
    <t>The monetary amount or description of the contribution given to an employee's benefit plan.</t>
  </si>
  <si>
    <t>Benefit Contribution Type</t>
  </si>
  <si>
    <t>An indication of the form of donation an individual or institution gives to an employee's benefit plan.</t>
  </si>
  <si>
    <t>Benefit Contributor Type</t>
  </si>
  <si>
    <t>An indication of the category of an individual or institution that donates to an employee's benefit plan.</t>
  </si>
  <si>
    <t>Benefit Payoff Date</t>
  </si>
  <si>
    <t>The earliest possible month, day, and year on which a benefit will be paid off in a lump-sum payment or distributed in installments to an individual.</t>
  </si>
  <si>
    <t>Bilingual Education Program Type</t>
  </si>
  <si>
    <t xml:space="preserve">The types of program of instruction and services that uses more than one language to teach a content area. Students served by this program may or may not be proficient in English. </t>
  </si>
  <si>
    <t>Blood Pressure</t>
  </si>
  <si>
    <t>An indication of an individual's blood pressure as measured by a qualified health care provider, usually expressed in terms of systolic pressure relative to diastolic pressure.</t>
  </si>
  <si>
    <t>Boarding Status</t>
  </si>
  <si>
    <t>The status of a student in relation to campus housing during the school year.</t>
  </si>
  <si>
    <t>Bond Interest Rate</t>
  </si>
  <si>
    <t>The interest rate payable by the issuer to the buyer of the bonds.</t>
  </si>
  <si>
    <t>Bond Term</t>
  </si>
  <si>
    <t>The length of time in years during which a bond may be repaid.</t>
  </si>
  <si>
    <t>Bond Year</t>
  </si>
  <si>
    <t>The year in which a bond must be repaid.</t>
  </si>
  <si>
    <t>Born Outside of the U.S.</t>
  </si>
  <si>
    <t>An indication that an individual was born outside of the 50 states, the District of Columbia, and the outlying areas (e.g., territories, embassies, military bases, etc.).</t>
  </si>
  <si>
    <t>Building Elements Demolition</t>
  </si>
  <si>
    <t>A description of the destruction and removal of parts of an existing building.</t>
  </si>
  <si>
    <t>Bus Driver Name</t>
  </si>
  <si>
    <t>The name of the driver who drives the bus route.</t>
  </si>
  <si>
    <t>Bus Maximum Load</t>
  </si>
  <si>
    <t>The maximum number of students who are on the bus at any point along the bus route.</t>
  </si>
  <si>
    <t>Bus Route Description</t>
  </si>
  <si>
    <t>The description of the bus route. It may include a designation of the area or a general name used to label the bus routes (ex. the `orange` route).</t>
  </si>
  <si>
    <t>Bus Route Distance Loaded</t>
  </si>
  <si>
    <t>The distance the bus drives when at least one student is riding the bus.</t>
  </si>
  <si>
    <t>Bus Route Distance Total</t>
  </si>
  <si>
    <t>The total distance driven for the bus route including to and from garage.</t>
  </si>
  <si>
    <t>Bus Route Duration Loaded</t>
  </si>
  <si>
    <t>The amount of time that at least one student is riding the bus.</t>
  </si>
  <si>
    <t>Bus Route Duration Total</t>
  </si>
  <si>
    <t>The amount of time of the entire bus route, including time in which no students are on the bus such as driving to and from the garage, etc.</t>
  </si>
  <si>
    <t>Bus Route ID</t>
  </si>
  <si>
    <t>A unique number or alphanumeric code assigned to the bus route.</t>
  </si>
  <si>
    <t>Bus Route Type</t>
  </si>
  <si>
    <t>An indication to whether the bus route is in an inbound or outbound direction.</t>
  </si>
  <si>
    <t>Bus Stop Arrival Time</t>
  </si>
  <si>
    <t>The time that the bus will stop at the bus stop.</t>
  </si>
  <si>
    <t>Bus Stop Description</t>
  </si>
  <si>
    <t>The description of the bus stop. It may include a designation of the area or a general name used to label the bus stop.</t>
  </si>
  <si>
    <t>Bus Stop Distance</t>
  </si>
  <si>
    <t>The distance between the student''s address and the bus stop where they are picked up and/or dropped off.</t>
  </si>
  <si>
    <t>Bus Stop from School ID</t>
  </si>
  <si>
    <t>A unique number or alphanumeric code assigned to the bus stop the student uses to leave school.</t>
  </si>
  <si>
    <t>Bus Stop ID</t>
  </si>
  <si>
    <t>A unique number or alphanumeric code assigned to the bus stop the student uses to go to school.</t>
  </si>
  <si>
    <t>Bus Stop to School Distance</t>
  </si>
  <si>
    <t>The distance between the bus stop where a student is picked up and/or dropped off and the school.</t>
  </si>
  <si>
    <t>Bus Stop to School ID</t>
  </si>
  <si>
    <t>Business Type</t>
  </si>
  <si>
    <t>An indication of the general nature of an organization or institution.</t>
  </si>
  <si>
    <t>Calendar Date Number</t>
  </si>
  <si>
    <t>The order in which the calendar date falls within the school calendar.</t>
  </si>
  <si>
    <t>Calendar Event Description</t>
  </si>
  <si>
    <t>A brief description of the reason for scheduled and unscheduled interruption to instruction.</t>
  </si>
  <si>
    <t>Calendar Event Ending Date</t>
  </si>
  <si>
    <t>The month, day, and year on which the event ends.</t>
  </si>
  <si>
    <t>Calendar Type</t>
  </si>
  <si>
    <t>Designation of the nature of the instructional calendar.</t>
  </si>
  <si>
    <t>Capital Budget Year</t>
  </si>
  <si>
    <t>The year for which the project has been approved for expenditures.</t>
  </si>
  <si>
    <t>Capital Expenditure per Building</t>
  </si>
  <si>
    <t>The annual expenditure from capital funds for a building.</t>
  </si>
  <si>
    <t>Capital Expenditure per School</t>
  </si>
  <si>
    <t>The annual expenditure from capital funds for a school.</t>
  </si>
  <si>
    <t>Capital Improvement Project Type</t>
  </si>
  <si>
    <t>The type of a capital improvement project as characterized by the kind of alteration, addition, new construction, system or component renewal.</t>
  </si>
  <si>
    <t>Capital Project Actual Completion Date</t>
  </si>
  <si>
    <t>The month, day, and year on which the project is determined to be at substantial completion.</t>
  </si>
  <si>
    <t>Capital Project Audit Date</t>
  </si>
  <si>
    <t>The month, day, and year when a capital project audit was done.</t>
  </si>
  <si>
    <t>Capital Project Change Scheduled Completion Date</t>
  </si>
  <si>
    <t>The revised day, month and year that a capital project is scheduled to be completed such that the owners may safely occupy or use the building, system, or space.</t>
  </si>
  <si>
    <t>Capital Project Change Start Date</t>
  </si>
  <si>
    <t>The revised day, month, year for the start of a capital improvement project.</t>
  </si>
  <si>
    <t>Capital Project Delivery Method</t>
  </si>
  <si>
    <t>The method for packaging, contracting, and managing capital improvement projects.</t>
  </si>
  <si>
    <t>Capital Project Expenditure</t>
  </si>
  <si>
    <t>The expenditure of bond proceeds for approved capital projects.</t>
  </si>
  <si>
    <t>Capital Project Scheduled Completion Date</t>
  </si>
  <si>
    <t>The month, day, and year on which the project is scheduled for completion.</t>
  </si>
  <si>
    <t>Capital Project Sequence</t>
  </si>
  <si>
    <t>A description of the sequence of work required to complete a major capital project.</t>
  </si>
  <si>
    <t>Capital Project Start Date</t>
  </si>
  <si>
    <t>The month, day, and year on which a project is approved for expenditures.</t>
  </si>
  <si>
    <t>Capital Project Status</t>
  </si>
  <si>
    <t>The phases of work required to complete a major capital project.</t>
  </si>
  <si>
    <t>Capital Project Work Type</t>
  </si>
  <si>
    <t>The type of work required to complete a major capital project.</t>
  </si>
  <si>
    <t>Care/Service Beginning Date</t>
  </si>
  <si>
    <t>The month, day, and year on which an individual first receives program services.</t>
  </si>
  <si>
    <t>Care/Service Day Status</t>
  </si>
  <si>
    <t>An indication as to whether care, education, and/or services provided to an individual takes place during full-day or part-day session.</t>
  </si>
  <si>
    <t>Care/Service Ending Date</t>
  </si>
  <si>
    <t>The month, day, and year on which an individual last participated in or received program services.</t>
  </si>
  <si>
    <t>Care/Service Intensity</t>
  </si>
  <si>
    <t>The average number of hours or portion of hours per week that care, education, and/or services are provided to an individual.</t>
  </si>
  <si>
    <t>Career Development Needs</t>
  </si>
  <si>
    <t>A description of the exposure and preparation needed by an individual to be ready for a specified future assignment or position.</t>
  </si>
  <si>
    <t>Career Objectives</t>
  </si>
  <si>
    <t>A student''s occupational plan or aspirations. (Note: The Bureau of Labor Statistics maintains a website of the Standard Occupational Classification (SOC) System. The option set uses the SOC''s broad occupation categories. To see the list of detailed occupations see http://stats.bls.gov/soc/home.htm).</t>
  </si>
  <si>
    <t>Career Technical Education Representation Status</t>
  </si>
  <si>
    <t>An indication of whether CTE participants were members of an underrepresented gender group.</t>
  </si>
  <si>
    <t>Caregiver/Early Childhood Program Description</t>
  </si>
  <si>
    <t>The title (or description) which identifies the caregiver or the early childhood programs in which a child participates (e.g., Head Start, University Child Development Center, or Thomas Jefferson Elementary School).</t>
  </si>
  <si>
    <t>Case Manager</t>
  </si>
  <si>
    <t>The name of the case manager responsible for the academic plans of this student.</t>
  </si>
  <si>
    <t>Catalog of Federal Domestic Assistance (CFDA) Number</t>
  </si>
  <si>
    <t xml:space="preserve">The number given to all Federal programs available to State and local governments. </t>
  </si>
  <si>
    <t>Certification Status</t>
  </si>
  <si>
    <t>An indication that the educator holds the certification required by his or her assignment.</t>
  </si>
  <si>
    <t>Change in Developmental Delay Status</t>
  </si>
  <si>
    <t>As measured by appropriate diagnostic instruments and procedures, change in the delay a child demonstrates.</t>
  </si>
  <si>
    <t>Charter School Location Duration</t>
  </si>
  <si>
    <t>An indication of permanency that a public charter school will be in a location.</t>
  </si>
  <si>
    <t>Child-to-Instructional Staff Ratio</t>
  </si>
  <si>
    <t>The number of children per instructional staff member.</t>
  </si>
  <si>
    <t>Children Service</t>
  </si>
  <si>
    <t>An indication of the children an employee serves in current employment.</t>
  </si>
  <si>
    <t>Class Attendance Status</t>
  </si>
  <si>
    <t>The status of a student''s attendance in class.</t>
  </si>
  <si>
    <t>Class Organization</t>
  </si>
  <si>
    <t>The structure in which class instruction is arranged.</t>
  </si>
  <si>
    <t>Class Pace</t>
  </si>
  <si>
    <t>The pace at which class instruction is arranged.</t>
  </si>
  <si>
    <t>Classroom Instruction Use Type</t>
  </si>
  <si>
    <t>Indication of the particular grade levels that receives instruction in the classroom.</t>
  </si>
  <si>
    <t xml:space="preserve">Classroom Instruction Use Type
</t>
  </si>
  <si>
    <t>Co-educational Status</t>
  </si>
  <si>
    <t>An indication of the genders to whom the school offers instruction.</t>
  </si>
  <si>
    <t>Collaborative Assignment</t>
  </si>
  <si>
    <t>An indication whether the assignment/activity was collaborative or independent.</t>
  </si>
  <si>
    <t>Commercial Equipment</t>
  </si>
  <si>
    <t>Food preparation equipment used for warming, cooking, drying, cleaning, freezing, or cooling.</t>
  </si>
  <si>
    <t>Community Service Hours</t>
  </si>
  <si>
    <t>The number of hours the student participated in community service.</t>
  </si>
  <si>
    <t>Community Services Program Type</t>
  </si>
  <si>
    <t>The types of program of activities which are not directly related to the provision of educational services in a school system. These include services provided to the community as a whole or some segment of the community.</t>
  </si>
  <si>
    <t>Compensation Amount</t>
  </si>
  <si>
    <t>The amount of income, supplemental pay, fringe benefits, or in-kind compensation an individual receives for performance of duties within a position.</t>
  </si>
  <si>
    <t>Compensation Description</t>
  </si>
  <si>
    <t>A description of the compensation (salary, supplemental pay, fringe benefits, in-kind compensation, or other) an individual receives for the position.</t>
  </si>
  <si>
    <t>Compensation Eligibility</t>
  </si>
  <si>
    <t>The maximum amount of income, supplemental pay, fringe benefits, or in-kind compensation an individual is eligible to receive for performance of duties within a position.</t>
  </si>
  <si>
    <t>Completion Date</t>
  </si>
  <si>
    <t>The month, day, and year on which an individual completed a course, an education program or a staff development activity.</t>
  </si>
  <si>
    <t>Compulsory Attendance Status at Time of Discontinuing School</t>
  </si>
  <si>
    <t>Information about a student at the time of discontinuing school, recorded in accordance with state or local laws and regulations for compulsory school attendance. This may include information about the student's age, his or her progress, the distance from his or her residence to the school or school bus route, economic needs of his or her family, and employment status as it relates to his or her attendance status.</t>
  </si>
  <si>
    <t>Computer Hardware</t>
  </si>
  <si>
    <t>The computer equipment used to do the work (i.e., operate software programs). It consists of the items that can be touched, such as the computer case and peripherals (e.g., monitor, keyboard, mouse) that are attached to the computer.</t>
  </si>
  <si>
    <t>Computer Operating System Version</t>
  </si>
  <si>
    <t>Software that contains the electronic instructions that control the computer and run the programs. This software is generally specific to a type of computer (e.g., Windows 2000, UNIX linux, and Mac OS X).</t>
  </si>
  <si>
    <t>Computers Available for Instruction</t>
  </si>
  <si>
    <t>The number of computers available to students for instruction, other than on-line testing (e.g., in classrooms, media centers, and movable from one room to another on media carts.).</t>
  </si>
  <si>
    <t>Condition of Employment</t>
  </si>
  <si>
    <t>Information concerning the employment contract between an individual and an organization.</t>
  </si>
  <si>
    <t>Condition Onset Date</t>
  </si>
  <si>
    <t>The month, day, and year of the onset of a condition.</t>
  </si>
  <si>
    <t>Congressional District Number</t>
  </si>
  <si>
    <t>The legislatively defined subdivisions of a State for the purpose of electing representatives or delegates to the House of Representatives of the United States Congress. A State or equivalent entity may comprise a single congressional district or similar representational area. The Federal Information Processing Standard (FIPS) provides the structure of numeric codes for representing congressional districts and similar areas defined for the various Congresses of the United States.  The Congressional Districts Number is a two-digit numeric code. (Note: The Congressional District code can be accessed online by visiting the FIPS Home Page at http://www.itl.nist.gov/fipspubs/.)</t>
  </si>
  <si>
    <t>Contact Sequence</t>
  </si>
  <si>
    <t>Number indicating the order in which the person should be contacted.</t>
  </si>
  <si>
    <t>Contract Beginning Date</t>
  </si>
  <si>
    <t>The month, day, and year on which a contract between an individual and a governing authority specifies that employment is to begin (or the date on which the agreement is made valid).</t>
  </si>
  <si>
    <t>Contract Ending Date</t>
  </si>
  <si>
    <t>The month, day, and year on which a contract between an individual and a governing authority specifies that employment is to end (or the date on which the agreement is no longer valid).</t>
  </si>
  <si>
    <t>Contractual Term</t>
  </si>
  <si>
    <t>The length of the contract under which an individual is employed by an employer.</t>
  </si>
  <si>
    <t>Copyright Date</t>
  </si>
  <si>
    <t>The month, day, and year that a publication lists for its copyright.</t>
  </si>
  <si>
    <t>Copyright Holder</t>
  </si>
  <si>
    <t>Name of the copyright holder</t>
  </si>
  <si>
    <t>Corrected Score/Results</t>
  </si>
  <si>
    <t>A revised qualitative or quantitative description or indicator of an individual's health status, condition, performance, or assessed ability with the assistance of corrective equipment. This is recorded after a medical examination is performed.</t>
  </si>
  <si>
    <t>Corrective Equipment Prescribed</t>
  </si>
  <si>
    <t>A description of the corrective equipment (e.g., contact lenses, glasses, or hearing aid) that an individual's condition necessitates.</t>
  </si>
  <si>
    <t>Corrective Equipment Purpose</t>
  </si>
  <si>
    <t>A description of the reason for or the prescribed use of corrective equipment.</t>
  </si>
  <si>
    <t>Country of Citizenship Code</t>
  </si>
  <si>
    <t>The unique two digit International Organization for Standardization (ISO) code for the country to which an individual acknowledges citizenship. (Note: A list of countries and codes is currently maintained and updated by the ISO as ISO 3166 on its website http://www.iso.org/iso/en/prods-services/iso3166ma/index.html.)</t>
  </si>
  <si>
    <t>County Federal Information Processing Standards Code</t>
  </si>
  <si>
    <t>The Federal Information Processing Standards (FIPS) numeric code for the county issued by the National Institute of Standards and Technology (NIST). Counties are considered to be the `first-order subdivisions` of each State and statistically equivalent entity, regardless of their local designations (county, parish, borough, etc.).  Counties in different States will have the same code. A unique county number is created when combined with the 2-digit FIPS State Code.</t>
  </si>
  <si>
    <t>{replace os}</t>
  </si>
  <si>
    <t>County of Birth</t>
  </si>
  <si>
    <t>The name of the county, parish, borough, or comparable unit (within a state) in which an individual was born.</t>
  </si>
  <si>
    <t>Course Attendance Frequency Requirement</t>
  </si>
  <si>
    <t>A description of any synchronous attendance requirement (online or in person) or the number of times a student must log in and the length of the log in time required for an asynchronous course.</t>
  </si>
  <si>
    <t>Course Attendance Requirement</t>
  </si>
  <si>
    <t>An indication that a course attendance is required during specific periods, at specific intervals, or for a specific student population.</t>
  </si>
  <si>
    <t>Course Weight</t>
  </si>
  <si>
    <t>The amount of weight this course holds in calculating a grade or GPA.</t>
  </si>
  <si>
    <t>Coverage Amount</t>
  </si>
  <si>
    <t>The total amount or degree to which an individual is entitled benefits.</t>
  </si>
  <si>
    <t>Coverage Beginning Date</t>
  </si>
  <si>
    <t>The month, day, and year on which an individual's benefit plan becomes effective.</t>
  </si>
  <si>
    <t>Coverage Description</t>
  </si>
  <si>
    <t>A description or title of the actual plan, program, or policy by which an individual is provided coverage.</t>
  </si>
  <si>
    <t>Coverage Ending Date</t>
  </si>
  <si>
    <t>The month, day, and year on which an individual's benefit plan ends.</t>
  </si>
  <si>
    <t>Coverage Identifier</t>
  </si>
  <si>
    <t>Information necessary to identify an individual's benefit plan (e.g., group reference, policy number, etc.).</t>
  </si>
  <si>
    <t>Coverage Type</t>
  </si>
  <si>
    <t>The specific type of plan (e.g., family coverage, high option, low option, term, whole life) by which an individual is covered.</t>
  </si>
  <si>
    <t>Crafts and Trades Job Classification</t>
  </si>
  <si>
    <t xml:space="preserve">A general job classification that describes staff that performs tasks requiring high manual skill level which is acquired through on-the-job training and experience or through apprenticeship or other formal training programs. This assignment requires considerable judgment and a thorough and comprehensive knowledge of the processes involved in the work. </t>
  </si>
  <si>
    <t>Credential Assessment Code</t>
  </si>
  <si>
    <t>A unique number or alphanumeric code used by a state or local education agency or a testing organization to identify a particular assessment given to an individual.</t>
  </si>
  <si>
    <t>Credential Assessment Content</t>
  </si>
  <si>
    <t>An indication of the specific content (e.g., subject matter) on which an individual is evaluated through an assessment.</t>
  </si>
  <si>
    <t>Credential Assessment Content Level</t>
  </si>
  <si>
    <t>An indication of the level (e.g., basic or advanced) of the content on which an individual is evaluated through an assessment.</t>
  </si>
  <si>
    <t>Credential Assessment Date</t>
  </si>
  <si>
    <t>The day, month, and year on which a credential assessment was administered.</t>
  </si>
  <si>
    <t>Credential Assessment Purpose</t>
  </si>
  <si>
    <t>The reason for which an assessment is being conducted.</t>
  </si>
  <si>
    <t>Credential Assessment Score/Results</t>
  </si>
  <si>
    <t>An indication of the evaluated performance of an individual on a credential assessment.</t>
  </si>
  <si>
    <t>Credential Authorized Function</t>
  </si>
  <si>
    <t>A functional area within which an individual is authorized to serve by an active credential (e.g., English teaching, vocational education, special education, career counseling, principal, superintendent, or online teacher).</t>
  </si>
  <si>
    <t>An indication of the title or description of a credential that an individual holds.</t>
  </si>
  <si>
    <t>Credential Fee Amount</t>
  </si>
  <si>
    <t>The amount of money required from an individual as a fee for receiving a credential.</t>
  </si>
  <si>
    <t>Credential Renewal Date</t>
  </si>
  <si>
    <t>The month, day, and year on which the individual met the requirements necessary to renew a credential.</t>
  </si>
  <si>
    <t>Credential Renewal Requirement</t>
  </si>
  <si>
    <t>An indication of any requirements necessary for an individual to renew a credential.</t>
  </si>
  <si>
    <t>Credential Renewal Units Attempted</t>
  </si>
  <si>
    <t>The number of professional development or re-certification units attempted by the individual.</t>
  </si>
  <si>
    <t>Credential Renewal Units Earned</t>
  </si>
  <si>
    <t>The number of professional development or re-certification units earned by the individual.</t>
  </si>
  <si>
    <t>Credential Revocation Date</t>
  </si>
  <si>
    <t>The month, day, and year on which a credential was revoked.</t>
  </si>
  <si>
    <t>Credential Revocation Reason</t>
  </si>
  <si>
    <t>The basis of the decision to revoke a credential (e.g., lapsed, felony conviction).</t>
  </si>
  <si>
    <t>Credits Attempted:  Given Grading Period</t>
  </si>
  <si>
    <t>The number of credits an individual attempts to earn by taking courses during a given grading period.</t>
  </si>
  <si>
    <t>Credits Attempted:  Given School Year</t>
  </si>
  <si>
    <t>The total number of credits an individual attempts to earn by taking courses during a given school year (e.g., 1999-2000).</t>
  </si>
  <si>
    <t>Credits Attempted:  Given Session</t>
  </si>
  <si>
    <t>The total number of credits an individual attempts to earn by taking courses during a given grading period.</t>
  </si>
  <si>
    <t>Credits Earned in Course/Staff Development Activity</t>
  </si>
  <si>
    <t>The number of credits earned by an individual for completing a course or staff development activity.</t>
  </si>
  <si>
    <t>Credits Received: Given Grading Period</t>
  </si>
  <si>
    <t>The number of credits an individual earns by successfully completing courses or examinations during a given grading period.</t>
  </si>
  <si>
    <t>Credits Received: Given School Year</t>
  </si>
  <si>
    <t>The total number of credits an individual earns by successfully completing courses or examinations during a given school year.</t>
  </si>
  <si>
    <t>Credits Received: Given Session</t>
  </si>
  <si>
    <t>The total number of credits an individual earns by successfully completing courses or examinations during a given session.</t>
  </si>
  <si>
    <t>Crisis Descriptor(s)</t>
  </si>
  <si>
    <t>Curriculum Framework Name</t>
  </si>
  <si>
    <t>The name of the curriculum framework use for this course.</t>
  </si>
  <si>
    <t>Custody Status</t>
  </si>
  <si>
    <t>An indicator as to whether this contact has or shares custody of the student.</t>
  </si>
  <si>
    <t>Daily Attendance Status</t>
  </si>
  <si>
    <t>The status of a student's attendance during a given day while school is in session.</t>
  </si>
  <si>
    <t>Date Attendance Value</t>
  </si>
  <si>
    <t>Amount of the school day in which the student should be in attendance.</t>
  </si>
  <si>
    <t>Date Count toward Attendance</t>
  </si>
  <si>
    <t>An indication as to whether date should be counted toward student attendance.</t>
  </si>
  <si>
    <t>Date Credential Requirement Met</t>
  </si>
  <si>
    <t>The month, day, and year on which the individual met the requirement necessary to receive a credential.</t>
  </si>
  <si>
    <t>Date Founded</t>
  </si>
  <si>
    <t>The month, day, and year in which the institution was founded.</t>
  </si>
  <si>
    <t>Date of Assessment Revision</t>
  </si>
  <si>
    <t>Date of Capital Expenditure</t>
  </si>
  <si>
    <t>The month, day, and year that the funds for a capital project are encumbered, usually upon execution of a service or construction contract.</t>
  </si>
  <si>
    <t>Date of Closure</t>
  </si>
  <si>
    <t>The month, day, and year that the education institution was closed.</t>
  </si>
  <si>
    <t>Date of Complaint</t>
  </si>
  <si>
    <t>The month, day, and year on which a statement or official expression is submitted by another individual against the employee about his or her employment.</t>
  </si>
  <si>
    <t>Date of Last Bond Referendum</t>
  </si>
  <si>
    <t>The month, day, and year of the last request to the public for approval to raise revenue that will enable borrowing by a school district, as is required and prescribed by law.</t>
  </si>
  <si>
    <t>Date of Release</t>
  </si>
  <si>
    <t>The day, month, and year that the accountability report is released.</t>
  </si>
  <si>
    <t>Date Opened</t>
  </si>
  <si>
    <t>The first month, day, and year of operation.</t>
  </si>
  <si>
    <t>Day/Evening Session</t>
  </si>
  <si>
    <t>An indication of the time of day that instruction is provided by the educational institution.</t>
  </si>
  <si>
    <t>Day/Evening Status</t>
  </si>
  <si>
    <t>The status of a student in relation to the time of day that he or she attends the majority of his or her classes, as defined by the educational institution.</t>
  </si>
  <si>
    <t>Days of Service Per Week</t>
  </si>
  <si>
    <t>The average number of days per week that an individual is expected to work as outlined specifically in his or her employment agreement.</t>
  </si>
  <si>
    <t>Death Cause</t>
  </si>
  <si>
    <t>The official cause of an individual's death.</t>
  </si>
  <si>
    <t>Death Date</t>
  </si>
  <si>
    <t>The month, day, and year of an individual's death.</t>
  </si>
  <si>
    <t>Debt Amount</t>
  </si>
  <si>
    <t>The amount of debt currently being carried by the school district.</t>
  </si>
  <si>
    <t>Debt Financing Type</t>
  </si>
  <si>
    <t>The type of long-term debt instrument, usually applicable to large capital projects, that obligates the issuer to pay back debt principal over a defined period at an agreed-upon rate of interest.</t>
  </si>
  <si>
    <t>Deduction Amount</t>
  </si>
  <si>
    <t>The amount of money to be withheld or deducted from the employee's paycheck.</t>
  </si>
  <si>
    <t>Deduction Period</t>
  </si>
  <si>
    <t>The length of time in which money is withheld or deducted from the employee's paycheck, which begins on the month, day, and year on which the deduction is first made, and ends on the month, day, and year on which the last deduction is made.</t>
  </si>
  <si>
    <t>Degree/Certificate Service Area</t>
  </si>
  <si>
    <t>The Early Intervention service area specialization of a degree or certificate.</t>
  </si>
  <si>
    <t>Deposit Amount</t>
  </si>
  <si>
    <t>The amount that is deposited into an individual's bank account.</t>
  </si>
  <si>
    <t>Deposit Date</t>
  </si>
  <si>
    <t>The month, day, and year on which the deposit was made to an individual's bank account.</t>
  </si>
  <si>
    <t>Description of Collaboration</t>
  </si>
  <si>
    <t>A description of the collaboration between organizations.</t>
  </si>
  <si>
    <t>Description of Work Requested</t>
  </si>
  <si>
    <t>A description of the work requested.</t>
  </si>
  <si>
    <t>Developmental Delay</t>
  </si>
  <si>
    <t>Delays as measured by appropriate diagnostic instruments and procedures.</t>
  </si>
  <si>
    <t>Developmental Screening Results</t>
  </si>
  <si>
    <t>The administration of a brief standardized screening tool aiding in the identification of children at risk of a developmental disorder.</t>
  </si>
  <si>
    <t>Diagnosis of Causative Factor (Condition)</t>
  </si>
  <si>
    <t>An evaluation of the physiological reason for an individual's condition or impairment by a qualified health care provider.</t>
  </si>
  <si>
    <t>Dialect Name</t>
  </si>
  <si>
    <t>The name of the specific dialect that an individual uses to communicate.</t>
  </si>
  <si>
    <t>Direct Assessment Administration of Group/Individual</t>
  </si>
  <si>
    <t>Information about the grouping of the direct administration of the assessment to students.</t>
  </si>
  <si>
    <t>Disability Level</t>
  </si>
  <si>
    <t>The degree of disability as determined by a qualified evaluator (e.g., mild mental retardation, moderate mental retardation, severe mental retardation).</t>
  </si>
  <si>
    <t>Disability Severity</t>
  </si>
  <si>
    <t>The severity of the disability.</t>
  </si>
  <si>
    <t>Discontinuing Schooling Reason</t>
  </si>
  <si>
    <t>The primary reason for which a student discontinued schooling or left school before graduation or matriculation.</t>
  </si>
  <si>
    <t>Discount Rate</t>
  </si>
  <si>
    <t>The interest rate used to assess the present value of future cost and revenue streams.</t>
  </si>
  <si>
    <t>Diseases, Illnesses, and Other Health Conditions</t>
  </si>
  <si>
    <t>An instance in which an individual has contracted a disease, illness, or other health condition (e.g., pregnancy).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</si>
  <si>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Distance From Home to School</t>
  </si>
  <si>
    <t>The distance between a student's residence and the school measured according to state or local regulations.</t>
  </si>
  <si>
    <t>Distinguished School Status</t>
  </si>
  <si>
    <t>An indication of whether the school has been identified as distinguished based on the state accountability requirements.</t>
  </si>
  <si>
    <t>Drugs Excluding Alcohol and Tobacco Violation</t>
  </si>
  <si>
    <t xml:space="preserve">Unlawful use, cultivation, manufacture, distribution, sale, solicitation, purchase, possession, transportation, or importation of any controlled drug (e.g., Demerol, morphine) or narcotic substance. </t>
  </si>
  <si>
    <t>Dwelling Arrangement</t>
  </si>
  <si>
    <t>An indication of the arrangement or environment in which an individual resides.</t>
  </si>
  <si>
    <t>Dwelling Ownership</t>
  </si>
  <si>
    <t>An indication of the type of ownership of a residence in which an individual lives.</t>
  </si>
  <si>
    <t>Early Childhood Program Purposes</t>
  </si>
  <si>
    <t>A description of the major purposes of an early childhood program.</t>
  </si>
  <si>
    <t>Early Childhood Program Sponsorship</t>
  </si>
  <si>
    <t>The type of organizational sponsorship of an early childhood program.</t>
  </si>
  <si>
    <t>Early Childhood Special Education Funding Source</t>
  </si>
  <si>
    <t>The primary method by which funds are generated in order to support a program.</t>
  </si>
  <si>
    <t>Early Childhood Special Education Program Focus</t>
  </si>
  <si>
    <t>An indication as to whether the programs and services provided to a child have a special education focus.</t>
  </si>
  <si>
    <t>Early Childhood Special Education Setting</t>
  </si>
  <si>
    <t>The site or setting in which a child receives special education early childhood care, education, and/or services.</t>
  </si>
  <si>
    <t>Early Intervention Caseload</t>
  </si>
  <si>
    <t>The number of children ages birth-three for whom an employee provides services.</t>
  </si>
  <si>
    <t>Early Intervention Credential Assessment Content</t>
  </si>
  <si>
    <t>An indication of the specific early intervention content on which an individual is evaluated through an assessment.</t>
  </si>
  <si>
    <t>Early Intervention Credential Service Area</t>
  </si>
  <si>
    <t>The early intervention service area specialization of a license/credential.</t>
  </si>
  <si>
    <t>Early Intervention Evaluation Process Description/Title</t>
  </si>
  <si>
    <t>The process, instrument, or informed clinical opinion used to identify or evaluate an individual''s need for services.</t>
  </si>
  <si>
    <t>Early Intervention Level of Personal Functioning</t>
  </si>
  <si>
    <t>An activity or execution of a task or action by an infant or toddler. (Note: see the Activity Codes and their qualifiers established in the World''s Health Organization''s International Classification of Functioning, Disability and Health.)</t>
  </si>
  <si>
    <t>Early Intervention Postsecondary Subject Matter Area</t>
  </si>
  <si>
    <t>The descriptive name of an Early Intervention academic or vocational discipline studied by an individual in an educational program or staff development activity.</t>
  </si>
  <si>
    <t>Early Intervention Program Degree Type</t>
  </si>
  <si>
    <t>The type of Early Intervention certification or degree earned by an individual.</t>
  </si>
  <si>
    <t>Early Intervention Service Description</t>
  </si>
  <si>
    <t>The type of Early Intervention services delivered to a child who has been determined eligible for services under Part C of IDEA.</t>
  </si>
  <si>
    <t>Early Intervention Service Location</t>
  </si>
  <si>
    <t>The type of location at which Early Intervention instruction or service takes place.</t>
  </si>
  <si>
    <t>Earned Income Credit</t>
  </si>
  <si>
    <t>The amount of tax credit available to an eligible individual that he or she can use to reduce his or her tax liability.</t>
  </si>
  <si>
    <t>Earning Rates of Pay</t>
  </si>
  <si>
    <t>The monetary unit of salary compensation an individual is paid for performance of agreed-upon duties.</t>
  </si>
  <si>
    <t>Education Planned</t>
  </si>
  <si>
    <t>The extent of postsecondary education a student is planning to pursue after graduating from or leaving his or her current school or enrollment.</t>
  </si>
  <si>
    <t>Educational Program/Staff Development Activity Anticipated Outcome</t>
  </si>
  <si>
    <t>The anticipated results of an individual's successful participation in an educational program or staff development activity.</t>
  </si>
  <si>
    <t>Educational Program/Staff Development Activity Arrangement</t>
  </si>
  <si>
    <t>An indication of the manner in which an individual's participation in an educational program or staff development activity has been scheduled.</t>
  </si>
  <si>
    <t>Educational Program/Staff Development Activity Compensation</t>
  </si>
  <si>
    <t>An indication of the type of financial support an individual receives for participating in an educational program or staff development activity.</t>
  </si>
  <si>
    <t>Educational Program/Staff Development Activity Contact Hours</t>
  </si>
  <si>
    <t>The total number of hours or portion of hours in which an individual participates in an educational program or staff development activity.</t>
  </si>
  <si>
    <t>Educational Program/Staff Development Activity Description</t>
  </si>
  <si>
    <t>A description of the content standards and goals covered in the educational program/staff development activity.</t>
  </si>
  <si>
    <t>Educational Program/Staff Development Activity Duration</t>
  </si>
  <si>
    <t>The average number of hours or portion of hours that an individual participates in an educational program or staff development activity session.</t>
  </si>
  <si>
    <t>Educational Program/Staff Development Activity Format</t>
  </si>
  <si>
    <t>A designation of the specific category explaining how an educational program or staff development activity is organized.</t>
  </si>
  <si>
    <t>Educational Program/Staff Development Activity Frequency</t>
  </si>
  <si>
    <t>The average number of sessions per month that an individual participates in an educational program or staff development activity.</t>
  </si>
  <si>
    <t>Educational Program/Staff Development Activity Intensity</t>
  </si>
  <si>
    <t>The total number of sessions an individual is expected to participate in an educational program or staff development activity.</t>
  </si>
  <si>
    <t>Educational Program/Staff Development Activity Involvement</t>
  </si>
  <si>
    <t>A description of an individual's level of involvement in an educational program or staff development activity (e.g., chairperson of a committee, voting or affiliate member of a group, student enrolled in a course, student auditing a course).</t>
  </si>
  <si>
    <t>Educational Program/Staff Development Activity Location</t>
  </si>
  <si>
    <t>An indication as to the location at which an educational program or staff development activity takes place (e.g., room number, building site, campus designation, or address of a business organization, service center, or community building).</t>
  </si>
  <si>
    <t>Educational Program/Staff Development Activity Name</t>
  </si>
  <si>
    <t>The name given to an educational program/staff development activity offered in a school or other institution or organization.</t>
  </si>
  <si>
    <t>Educational Program/Staff Development Activity Outcomes</t>
  </si>
  <si>
    <t>The description of any products, honors, or recognition resulting from participation in an educational program or staff development activity. Examples include the development of reports, publications, curriculum frameworks, and/or program plans.</t>
  </si>
  <si>
    <t>Educational Program/Staff Development Activity Participant's Role</t>
  </si>
  <si>
    <t>An indication of the level of involvement of an individual while participating in an educational program or staff development activity.</t>
  </si>
  <si>
    <t>Educational Program/Staff Development Activity Purpose</t>
  </si>
  <si>
    <t>The primary reason an individual is involved in an educational program or staff development activity.</t>
  </si>
  <si>
    <t>Educational Program/Staff Development Activity Relevance</t>
  </si>
  <si>
    <t>An indication as to whether the contents of an educational program or staff development activity are directly related to an individual's performance of job duties.</t>
  </si>
  <si>
    <t>Educational Program/Staff Development Early Intervention Activity Participant''s Role</t>
  </si>
  <si>
    <t>An indication of the level of involvement, in terms of role, of an Early Intervention individual (e.g., employee) while participating in an educational program or staff development activity.</t>
  </si>
  <si>
    <t>Educator/Agency Program Focus</t>
  </si>
  <si>
    <t>A description of the focus of the program or services offered to educators or agencies.</t>
  </si>
  <si>
    <t>Electronic Deposit Bank Account Number</t>
  </si>
  <si>
    <t>An identification number uniquely assigned to an account within a bank for the purpose of conducting electronic transfers of funds.</t>
  </si>
  <si>
    <t>Electronic Deposit Bank Routing Number</t>
  </si>
  <si>
    <t>An identification number uniquely assigned to a bank for the purpose of conducting electronic transfers of funds.</t>
  </si>
  <si>
    <t>Eligibility Status</t>
  </si>
  <si>
    <t>An appraisal as to whether an individual is or is not eligible for a given benefit plan.</t>
  </si>
  <si>
    <t>Emergency Factor</t>
  </si>
  <si>
    <t>An identification of a physical or medical condition of potential special significance during an emergency treatment.</t>
  </si>
  <si>
    <t>Emergency Repair</t>
  </si>
  <si>
    <t>A description of the urgent restoration work on a piece of equipment, building, or grounds to original completeness or efficiency from a worn, damaged, or deteriorated condition.</t>
  </si>
  <si>
    <t>Emergency Transportation Cost</t>
  </si>
  <si>
    <t>The cost of transporting students who are temporarily served in other facilities pending repairs to a building to comply with federal, state, or local requirements.</t>
  </si>
  <si>
    <t>Employer Type</t>
  </si>
  <si>
    <t>An indication of the general nature of the major employment of an individual.</t>
  </si>
  <si>
    <t>Employment Eligibility Verification</t>
  </si>
  <si>
    <t>The documentation in addition to an identification document with photograph (e.g., driver's license) furnished by an individual to prove his or her eligibility to be legally employed in the United States.</t>
  </si>
  <si>
    <t>Employment Location State Abbreviation</t>
  </si>
  <si>
    <t>The state in which an individual is found employed.</t>
  </si>
  <si>
    <t>Employment Permit Certifying Organization</t>
  </si>
  <si>
    <t>The organization responsible for sanctioning an individual's employment permit.</t>
  </si>
  <si>
    <t>Employment Permit Description</t>
  </si>
  <si>
    <t>The description of a permit, license, or certificate if required of an individual to hold employment.</t>
  </si>
  <si>
    <t>Employment Permit Expiration Date</t>
  </si>
  <si>
    <t>The month, day, and year on which an employment permit expires.</t>
  </si>
  <si>
    <t>Employment Permit Number</t>
  </si>
  <si>
    <t>The number of the permit, license or certificate, if required, of an individual to hold employment.</t>
  </si>
  <si>
    <t>Employment Permit Valid Date</t>
  </si>
  <si>
    <t>The month, day, and year on which an employment permit becomes valid.</t>
  </si>
  <si>
    <t>Employment Recognition</t>
  </si>
  <si>
    <t>The honor or recognition given to an individual for the successful completion of certain tasks or work performed at his or her job.</t>
  </si>
  <si>
    <t>Employment Separation Date</t>
  </si>
  <si>
    <t>The month, day, and year on which an individual ended a period of self-employment or employment with an organization or institution.</t>
  </si>
  <si>
    <t>Employment Time Annually</t>
  </si>
  <si>
    <t>The annual amount/unit of time an individual is employed to perform an assignment for an employer (e.g., 180 days, nine months, ten months, full year).</t>
  </si>
  <si>
    <t>End Date</t>
  </si>
  <si>
    <t>The ending date on which information in an instance, school year, or reporting period is applicable.</t>
  </si>
  <si>
    <t>End Day</t>
  </si>
  <si>
    <t>Number of the last school day to which an instance, school year, or reporting period applies.</t>
  </si>
  <si>
    <t>Ending Date of Data in Report</t>
  </si>
  <si>
    <t>The last month, day, and year of data covered in the report.</t>
  </si>
  <si>
    <t>English as a Second Language (ESL) Program Type</t>
  </si>
  <si>
    <t xml:space="preserve">The types of program of instruction and services in which students identified as limited English proficient are placed in regular immersion instruction for most of the school day but receive extra instruction in English for part of the day. This extra help is based on a special curriculum designed to teach English as a second language and to develop the student's ability to use the English language in an academic setting. The non-English home language may or may not be used in conjunction with ESL instruction. </t>
  </si>
  <si>
    <t>English Proficiency</t>
  </si>
  <si>
    <t>An individual's adeptness at English as indicated by: a) reading skills (the ability to comprehend and interpret text); b) listening skills (the ability to understand verbal expressions of the language); c) writing skills (the ability to produce written text with content and format); and d) speaking skills (the ability to use oral language appropriately and effectively).</t>
  </si>
  <si>
    <t>Enrollment Projection Number</t>
  </si>
  <si>
    <t>The number of students that may be assumed to enroll in a school or school system in the future, based on the number of live births, housing statistics, capture rate, historical cohort survival patterns, in and out migration into the district, and dropout rate. Projections are typically made for 3-, 5-, and 10-year intervals.</t>
  </si>
  <si>
    <t>Enrollment Projection Number-Next Year</t>
  </si>
  <si>
    <t>The number of students that may be assumed to enroll in a school or school system for the next school year.</t>
  </si>
  <si>
    <t>Enrollment Projection Year</t>
  </si>
  <si>
    <t>The year for the student enrollment projection.</t>
  </si>
  <si>
    <t>Enrollment Projection-End Year</t>
  </si>
  <si>
    <t>The last year for which enrollment projections are being developed-typically 5 to 10 years for school facility planning.</t>
  </si>
  <si>
    <t>Enrollment Projection-Start Year</t>
  </si>
  <si>
    <t>The first school year for which enrollment projections are being developed.</t>
  </si>
  <si>
    <t>D</t>
  </si>
  <si>
    <t>Equipment Description</t>
  </si>
  <si>
    <t>The description of a particular piece of equipment.</t>
  </si>
  <si>
    <t>Equipment Mobility</t>
  </si>
  <si>
    <t>The distinction of whether a piece of equipment can be moved or is built in.</t>
  </si>
  <si>
    <t>Equipment Name</t>
  </si>
  <si>
    <t>The name of a particular piece of equipment.</t>
  </si>
  <si>
    <t>Equipment Purpose</t>
  </si>
  <si>
    <t>The primary purpose of a piece of equipment, regardless of its current use.</t>
  </si>
  <si>
    <t>Essential Personnel Identifier</t>
  </si>
  <si>
    <t>An indication as to whether an individual is considered by his or her employer to have job assignments essential during an emergency situation necessitating that his or her attendance at work is required regardless of any liberal leave or emergency administrative leave announcement.</t>
  </si>
  <si>
    <t>Established IDEA Condition</t>
  </si>
  <si>
    <t>A diagnosed physical or mental condition that has a high probability of resulting in developmental delay (e.g., Down Syndrome, Cerebral Palsy, Spina Bifida).</t>
  </si>
  <si>
    <t>Evaluation Date</t>
  </si>
  <si>
    <t>The month, day, and year on which an individual was evaluated.</t>
  </si>
  <si>
    <t>Evaluation Extension Date</t>
  </si>
  <si>
    <t>Actual date by which evaluation must be completed (for state use in determining timeliness in event that parent and LEA agreed to an extension beyond normal state deadline).</t>
  </si>
  <si>
    <t>Evaluation Location</t>
  </si>
  <si>
    <t>The location where a child''s evaluation was Administered.</t>
  </si>
  <si>
    <t>Evaluation Parental Consent Date</t>
  </si>
  <si>
    <t>Date parent(s) consented to completion of evaluation of child for program participation.</t>
  </si>
  <si>
    <t>Evaluation Periodicity</t>
  </si>
  <si>
    <t>The interval at which an individual's appraisal occurs.</t>
  </si>
  <si>
    <t>Evaluation Purpose</t>
  </si>
  <si>
    <t>The reason that an appraisal of an individual's performance is conducted.</t>
  </si>
  <si>
    <t>Evaluation Recommendations</t>
  </si>
  <si>
    <t>The recommendations by the employer or the supervisor of the individual after an assessment of his or her performance.</t>
  </si>
  <si>
    <t>Evaluation Sequence</t>
  </si>
  <si>
    <t>An indication of the sequence of the evaluation.</t>
  </si>
  <si>
    <t>Experience Type</t>
  </si>
  <si>
    <t>The nature of an individual's work experience.</t>
  </si>
  <si>
    <t>Expulsion Cause</t>
  </si>
  <si>
    <t>The documented reason for expulsion.</t>
  </si>
  <si>
    <t>Expulsion Return Date</t>
  </si>
  <si>
    <t>The month, day, and year on which a student is allowed to return to school after an expulsion, as approved by appropriate school authorities.</t>
  </si>
  <si>
    <t>Extension Description</t>
  </si>
  <si>
    <t xml:space="preserve">A description of the extension. </t>
  </si>
  <si>
    <t>Exterior Walls</t>
  </si>
  <si>
    <t>The covering, structural or not, of the exterior building walls.</t>
  </si>
  <si>
    <t>Exterior Window Frame Material</t>
  </si>
  <si>
    <t>The building material used to construct window frames.</t>
  </si>
  <si>
    <t>Exterior Windows Design Type</t>
  </si>
  <si>
    <t>The type of window design, defined by how it operates.</t>
  </si>
  <si>
    <t>Facilities Capital Activity Type</t>
  </si>
  <si>
    <t>The type of activity that is included in the capital financing and expenditures by virtue of a bond referendum or an appropriation.</t>
  </si>
  <si>
    <t>Facilities Capital Budget</t>
  </si>
  <si>
    <t>The legally approved budget amount for capital finance and expenditures by virtue of a bond referendum or an appropriation.</t>
  </si>
  <si>
    <t>Facilities Operating Budget</t>
  </si>
  <si>
    <t>The estimated annual budget for the facility operation.</t>
  </si>
  <si>
    <t>Facilities Operations Type</t>
  </si>
  <si>
    <t>The type of facilities operations coded into the operating budget.</t>
  </si>
  <si>
    <t>Facilities Plan Cost</t>
  </si>
  <si>
    <t>The estimated total amount of the facilities plan.</t>
  </si>
  <si>
    <t>Facility area</t>
  </si>
  <si>
    <t>The total gross square footage of the building or buildings located on a single site.</t>
  </si>
  <si>
    <t>Facility Type</t>
  </si>
  <si>
    <t>The functional or organizational classification of a function of a facility.</t>
  </si>
  <si>
    <t>Facility utilization</t>
  </si>
  <si>
    <t>A point in time percentage measure of how much of a facility's enrollment capacity is being used.</t>
  </si>
  <si>
    <t>Fair Labor Standards Act Coverage</t>
  </si>
  <si>
    <t>Identification of the status of an individual's assignment, as governed by the provisions of the Fair Labor Standards Act, which establishes a federal minimum wage and eligibility for receiving overtime pay. Coverage depends upon the extent of managerial responsibility, use of independent discretion, position qualifications, and pay level of the assignment.</t>
  </si>
  <si>
    <t>Family Income Range</t>
  </si>
  <si>
    <t>The category which best represents the total combined income during the past 12 months of all members of the family who share financial responsibility in a household. This includes money from jobs, net income from business, farm or rent, pensions, dividends, interest, social security payments and any other money income received by members of the family.</t>
  </si>
  <si>
    <t>Family Involvement Activities</t>
  </si>
  <si>
    <t>Areas in which a program offers opportunities for family involvement.</t>
  </si>
  <si>
    <t>Family Needs Assessment Method</t>
  </si>
  <si>
    <t>The process for assessing a family''s needs, resources, and concerns, relative to their child''s need for services.</t>
  </si>
  <si>
    <t>Family Perceptions of the Impact of Early Intervention Services on the Child</t>
  </si>
  <si>
    <t>The family''s perception on the impact of the early intervention services of the child.</t>
  </si>
  <si>
    <t>Family Public Assistance Type</t>
  </si>
  <si>
    <t>An indication of the type of public assistance received by an individual''s household from a welfare agency, whether local, state, federal, or private.</t>
  </si>
  <si>
    <t>Family''s Primary Insurance Type</t>
  </si>
  <si>
    <t>An indication of the type of insurance covering an individual''s household for hospitalization and other health or medical care.</t>
  </si>
  <si>
    <t>Family''s Secondary Insurance Status</t>
  </si>
  <si>
    <t>An indication of the type of secondary insurance covering an individual''s household for hospitalization and other health or medical care.</t>
  </si>
  <si>
    <t>Fee Amount</t>
  </si>
  <si>
    <t>The amount charged a student for items not covered by tuition for a specified time period while in attendance.</t>
  </si>
  <si>
    <t>Fee Payment Date</t>
  </si>
  <si>
    <t>The month, day, and year on which fee payment was made by an individual for receipt of a credential.</t>
  </si>
  <si>
    <t>Fee Payment Status</t>
  </si>
  <si>
    <t>An indication of whether a required fee was paid.</t>
  </si>
  <si>
    <t>Fee Payment Type</t>
  </si>
  <si>
    <t>The type of charges required of a student for items not covered by tuition for a specified time period while in attendance.</t>
  </si>
  <si>
    <t>Fee-for-Service Funding Amount</t>
  </si>
  <si>
    <t>Amount of funding the Early Intervention program collects from family fees.</t>
  </si>
  <si>
    <t>Feeder pattern</t>
  </si>
  <si>
    <t>A student assignment enrollment pathway based on creating continuity of grade end in one school and grade start at another school within the same district.</t>
  </si>
  <si>
    <t>Finance Options</t>
  </si>
  <si>
    <t>An alternative method to raise revenue and structure financing of school construction or improvements.</t>
  </si>
  <si>
    <t>Financial Assistance Amount</t>
  </si>
  <si>
    <t>The dollar value of financial assistance received by, or made available to, a student under the financial assistance program.</t>
  </si>
  <si>
    <t>Financial Assistance Descriptive Title</t>
  </si>
  <si>
    <t>The title (or description) of a financial assistance program (e.g., the name of a scholarship).</t>
  </si>
  <si>
    <t>Financial Assistance Qualifier</t>
  </si>
  <si>
    <t>The condition for which financial assistance is awarded to a student.</t>
  </si>
  <si>
    <t>Financial Assistance Source</t>
  </si>
  <si>
    <t>The funding source of financial assistance awarded to a student for his or her education.</t>
  </si>
  <si>
    <t>Financial Assistance Type</t>
  </si>
  <si>
    <t>A designation of the specific category of financial assistance awarded to a student.</t>
  </si>
  <si>
    <t>First Entry Date into State</t>
  </si>
  <si>
    <t>The month, day, and year of an individual's initial arrival into the state.</t>
  </si>
  <si>
    <t>First Entry Date into the United States</t>
  </si>
  <si>
    <t>The month, day, and year of an individual's initial arrival into the United States in order to establish residency.</t>
  </si>
  <si>
    <t>Fittings</t>
  </si>
  <si>
    <t>Any machine, component, piping, or tubing part that can attach or connect two or more larger parts.</t>
  </si>
  <si>
    <t>Fixed Furnishings</t>
  </si>
  <si>
    <t>Furniture which is permanently installed in a space.</t>
  </si>
  <si>
    <t>Floor Construction</t>
  </si>
  <si>
    <t>The horizontal structures spanning the width of the building.</t>
  </si>
  <si>
    <t>Focus of Charter School</t>
  </si>
  <si>
    <t>A description of the focus of the Charter School.</t>
  </si>
  <si>
    <t>Food Service Area Eligibility</t>
  </si>
  <si>
    <t>An indication of whether all children in an area eat free in schools or at other sites, based on at least 50 percent of the children being eligible for free/reduced price school meals (applies only to Afterschool Snacks and Summer Food Service Program).</t>
  </si>
  <si>
    <t>Food Service Site</t>
  </si>
  <si>
    <t>The name of the facility where school food services are provided.</t>
  </si>
  <si>
    <t>Form Date</t>
  </si>
  <si>
    <t>The month, day, and year on which the required tax form is filled out by the individual.</t>
  </si>
  <si>
    <t>Form Type</t>
  </si>
  <si>
    <t>An indication of the type of form that is required to be filled out by an individual for tax records.</t>
  </si>
  <si>
    <t>Former Legal Name</t>
  </si>
  <si>
    <t>A previously recognized legally accepted name that is no longer valid.</t>
  </si>
  <si>
    <t>Former Name of Institution</t>
  </si>
  <si>
    <t>The previously recognized or legally accepted name of the education institution that is no longer valid.</t>
  </si>
  <si>
    <t>Foundation Type</t>
  </si>
  <si>
    <t>A part of the substructure of a building upon which the building shell is constructed.</t>
  </si>
  <si>
    <t>Frequency of Accreditation/Evaluation</t>
  </si>
  <si>
    <t>The timing of accreditation/evaluation efforts.</t>
  </si>
  <si>
    <t>Fringe Benefit Type</t>
  </si>
  <si>
    <t>An indication of the type of compensation or benefit in a form other than direct wages, provided in whole or in part by an employer to the employee.</t>
  </si>
  <si>
    <t>FTP Address</t>
  </si>
  <si>
    <t>The File Transfer Protocol address to let users find particular files on servers connected to the internet</t>
  </si>
  <si>
    <t>Full-time Equivalent (FTE) Status</t>
  </si>
  <si>
    <t>The actual full-time equivalent of a student's course load (e.g., 0.25, 0.50, 0.75, or 1.00).</t>
  </si>
  <si>
    <t>Full-time/Part-time Session</t>
  </si>
  <si>
    <t>An indication of the course load status (e.g., full-time equivalency) instructional options available to students at the education institution.</t>
  </si>
  <si>
    <t>Function Code</t>
  </si>
  <si>
    <t>The purpose of the program activities to which an individual is assigned as related to students. (Note: Refer to the Financial Accounting Handbook for Local and State School System 2003 for updated function codes at http://www.nces.ed.gov/pubs2004/h2r2/ch_6_4.asp#1).</t>
  </si>
  <si>
    <t>Functional Age of Building</t>
  </si>
  <si>
    <t>The number of years since a comprehensive upgrade of ALL major building systems and components, such that it functions as a modern building, as measured by a facility condition index not greater than 15%.</t>
  </si>
  <si>
    <t>Future Entry Date</t>
  </si>
  <si>
    <t>The month, date, and year on which an individual is anticipated to being receiving instructional services.</t>
  </si>
  <si>
    <t>Governing Board Meeting Requirements</t>
  </si>
  <si>
    <t>A description of the dates on which the Board is expected to meet or required frequency during a fiscal year, rules for managing the group and other requirements.</t>
  </si>
  <si>
    <t>Governmental Jurisdiction Name</t>
  </si>
  <si>
    <t>The name of the governmental jurisdiction.</t>
  </si>
  <si>
    <t>Governmental Jurisdiction Type</t>
  </si>
  <si>
    <t>The type of governmental jurisdiction.</t>
  </si>
  <si>
    <t>GPS Position</t>
  </si>
  <si>
    <t>The global positioning system location.</t>
  </si>
  <si>
    <t>Grade Level Assessed</t>
  </si>
  <si>
    <t>The grade level or grade spans assessed.</t>
  </si>
  <si>
    <t>Grade Point Average (GPA):  Given School Year</t>
  </si>
  <si>
    <t>A measure of average performance in all courses taken by an individual during a given school year (e.g., 1999-2000). This is obtained by dividing the total grade points received by the number of credits attempted for the same school year.</t>
  </si>
  <si>
    <t>Grade Point Average (GPA): Given Grading Period</t>
  </si>
  <si>
    <t>A measure of average performance in all courses for which grade points are received by an individual during a given grading period. This is obtained by dividing the total grade points received by the number of credits attempted for the same grading period.</t>
  </si>
  <si>
    <t>Grade Points Received: Given Grading Period</t>
  </si>
  <si>
    <t>The number of grade points an individual earns by successfully completing courses or examinations during a given grading period.</t>
  </si>
  <si>
    <t>Grade Points Received: Given School Year</t>
  </si>
  <si>
    <t>The total number of grade points an individual earns by successfully completing courses or examinations during a given school year (e.g., 1999-2000).</t>
  </si>
  <si>
    <t>Grade Points Received: Given Session</t>
  </si>
  <si>
    <t>The total number of grade points an individual earns by successfully completing courses or examinations during a given session.</t>
  </si>
  <si>
    <t>Grading Period Beginning Date</t>
  </si>
  <si>
    <t>The month, day, and year on which a grading period begins.</t>
  </si>
  <si>
    <t>Grading Period Ending Date</t>
  </si>
  <si>
    <t>The month, day, and year on which a grading period ends.</t>
  </si>
  <si>
    <t>Graduation Testing Status</t>
  </si>
  <si>
    <t>An indication of the status of the student with regard to test requirements for graduation.</t>
  </si>
  <si>
    <t>Grievance Action</t>
  </si>
  <si>
    <t>Any action taken by the employer as a result of a grievance filed by an employee.</t>
  </si>
  <si>
    <t>Grievance Date</t>
  </si>
  <si>
    <t>The month, day, and year on which a grievance was filed by an employee.</t>
  </si>
  <si>
    <t>Grievance Description</t>
  </si>
  <si>
    <t>Any statement or official expression submitted by an employee as a grievance about his or her employment.</t>
  </si>
  <si>
    <t>Grievance Outcome</t>
  </si>
  <si>
    <t>An indication of the action(s) taken or not taken by the employer as a result of a grievance filed by an employee.</t>
  </si>
  <si>
    <t>Grievance Resolution Date</t>
  </si>
  <si>
    <t>The month, day, and year on which a resolution of a grievance was announced.</t>
  </si>
  <si>
    <t>Gross Income Amount</t>
  </si>
  <si>
    <t>The amount of income and supplemental pay earned before deductions for the specific time period.</t>
  </si>
  <si>
    <t>Harassment, Nonsexual Violation</t>
  </si>
  <si>
    <t xml:space="preserve">Repeatedly annoying or attacking a student or group of students or other personnel which creates an intimidating or hostile educational or work environment. </t>
  </si>
  <si>
    <t>Hazardous Components Abatement</t>
  </si>
  <si>
    <t>A description of the removal and control of hazardous materials from a construction site.</t>
  </si>
  <si>
    <t>Head of Household</t>
  </si>
  <si>
    <t>The individual with primary responsibility for the maintenance of a residence.</t>
  </si>
  <si>
    <t>Health Award Amount/Benefit</t>
  </si>
  <si>
    <t>The amount or type of benefits paid to an individual through worker's compensation.</t>
  </si>
  <si>
    <t>Health Care History Episode Date</t>
  </si>
  <si>
    <t>The month, day, and year of diagnosis, treatment, or update of any health condition an individual may have experienced.</t>
  </si>
  <si>
    <t>Health Care Plan</t>
  </si>
  <si>
    <t>The description or title of the health care plan by which the individual is covered.</t>
  </si>
  <si>
    <t>Health Condition Progress Report</t>
  </si>
  <si>
    <t>A periodic update on a continuing health concern or medical treatment an individual may be experiencing.</t>
  </si>
  <si>
    <t>Home Day Care Status</t>
  </si>
  <si>
    <t>An indication of the presence of other "non-sibling children" receiving care, education, and/or services with the child.</t>
  </si>
  <si>
    <t>Home Schooled</t>
  </si>
  <si>
    <t>An indication that the student is receiving educational instruction offered in a home environment, as required by local and state law, for reasons other than health.</t>
  </si>
  <si>
    <t>Honor or Award</t>
  </si>
  <si>
    <t>A description of educational or professional honors (e.g., Teacher of the Year) or awards (e.g., scholarships) earned by an individual.</t>
  </si>
  <si>
    <t>Honors Title</t>
  </si>
  <si>
    <t>The title of the honors received.</t>
  </si>
  <si>
    <t>Hospital Preference</t>
  </si>
  <si>
    <t>The hospital to which an individual prefers to be taken under emergency conditions or, in the case of a minor the hospital to which the parent/guardian prefers the individual to be taken.</t>
  </si>
  <si>
    <t>Hours of Leave Used</t>
  </si>
  <si>
    <t>The number of hours of leave an individual has taken.</t>
  </si>
  <si>
    <t>Hours of Service per Day</t>
  </si>
  <si>
    <t>The average number of hours per work day that an individual is expected to work as outlined specifically in his or her employment agreement.</t>
  </si>
  <si>
    <t>Hours of Service per Week</t>
  </si>
  <si>
    <t>The average number of hours per week that an individual is expected to work as outlined specifically in his or her employment agreement.</t>
  </si>
  <si>
    <t>Identification Expiration Date</t>
  </si>
  <si>
    <t>The month, day and year on which the identification document expires and is no longer valid.</t>
  </si>
  <si>
    <t>Identification Procedure</t>
  </si>
  <si>
    <t>The manner by which information about a student's potential need for special services was gathered. This information may suggest, but does not require, that a student receive supplemental services.</t>
  </si>
  <si>
    <t>Identification Results</t>
  </si>
  <si>
    <t>Information gathered by a qualified evaluator about an individual's need for a special program/service.</t>
  </si>
  <si>
    <t>IFSP Goals Met</t>
  </si>
  <si>
    <t>Number of IFSP goals a child has met.</t>
  </si>
  <si>
    <t>IFSP Service Provision Method</t>
  </si>
  <si>
    <t>The manner by which a service is provided, in terms of individual or group basis, as listed on the IFSP.</t>
  </si>
  <si>
    <t>Illness Type</t>
  </si>
  <si>
    <t>A description of the specific illness or ailment which causes a student to leave school.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</si>
  <si>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Immunization Status</t>
  </si>
  <si>
    <t>The current immunization status as well as an indication of circumstances or situations affecting the immunizations of an individual.</t>
  </si>
  <si>
    <t>Immunizations Mandated by State Law for Participation</t>
  </si>
  <si>
    <t>An indication that an immunization is specifically required by an organization or governing body. Some diseases for which immunizations are most frequently required include: Diphtheria, Hepatitis B, Influenza, Mumps, Pertussis (whooping cough), Poliomyelitis, Rubella (German measles), Rubeola (measles), Smallpox, Tetanus, Tuberculosis (BCG), and Rh. Immune Globulin.</t>
  </si>
  <si>
    <t>Impact of Early Intervention Services on the Family</t>
  </si>
  <si>
    <t>A description of the impact of the Early Intervention Services including family empowerment.</t>
  </si>
  <si>
    <t>Improvement Plan Focus Area</t>
  </si>
  <si>
    <t>The main focus area under which strategies can be grouped in the Improvement Plan.</t>
  </si>
  <si>
    <t>Improvement Plan Goals</t>
  </si>
  <si>
    <t>A broad statement that describes a desired outcome(s) of the Improvement Plan.  The desired outcome establishes the organizations long-term priorities and influences the development of short-term objectives.</t>
  </si>
  <si>
    <t>Improvement Plan Model</t>
  </si>
  <si>
    <t>The established model used in the improvement effort.</t>
  </si>
  <si>
    <t>Improvement Plan Objective</t>
  </si>
  <si>
    <t>A statement of measureable outcomes that defines an end result expected to be accomplished.</t>
  </si>
  <si>
    <t>Improvement Plan Strategies</t>
  </si>
  <si>
    <t>A statement of action(s) that describe the means to be used to achieve the goals and objectives of the Improvement Plan.</t>
  </si>
  <si>
    <t>Improvement Plan Vision</t>
  </si>
  <si>
    <t>A statement of where and what the organization wants to be in the future.</t>
  </si>
  <si>
    <t>Inappropriate use of Medication Violation</t>
  </si>
  <si>
    <t>Use, possession, or distribution of any prescription or over-the-counter medication, (e.g., aspirin, cough syrup, caffeine pills, nasal sprays) in violation of school policy.</t>
  </si>
  <si>
    <t>Incident Recording Mechanism</t>
  </si>
  <si>
    <t>The mechanism by which evidence of an incident or offense may have been recorded (e.g., a hallway video camera, e-mail server, or police report.)</t>
  </si>
  <si>
    <t>Induction Program Mentor</t>
  </si>
  <si>
    <t>The name of the individual who offered guidance and assistance to the individual during the induction period.</t>
  </si>
  <si>
    <t>Ineligibility Reason</t>
  </si>
  <si>
    <t>A description of the reason an individual is not covered by or is not eligible to receive an employee benefit.</t>
  </si>
  <si>
    <t>Information Source</t>
  </si>
  <si>
    <t>The individual or agency providing information about a student.</t>
  </si>
  <si>
    <t>Initial Credential Issuance Requirements</t>
  </si>
  <si>
    <t>An indication of any requirements necessary for an individual to receive an initial credential.</t>
  </si>
  <si>
    <t>Injury Circumstances</t>
  </si>
  <si>
    <t>A description of the circumstances surrounding the injury of an individual, including information collected from a witness.</t>
  </si>
  <si>
    <t>Injury Description</t>
  </si>
  <si>
    <t>A description of an injury that was sustained that might or does affect an individual's performance.</t>
  </si>
  <si>
    <t>Injury Occurrence Date</t>
  </si>
  <si>
    <t>The month, day, and year on which an individual was injured.</t>
  </si>
  <si>
    <t>Injury Occurrence Location</t>
  </si>
  <si>
    <t>A designation or description of the site at which the injury took place.</t>
  </si>
  <si>
    <t>Instructional Minutes in Period</t>
  </si>
  <si>
    <t>The number of minutes to be counted for instruction for the bell period.</t>
  </si>
  <si>
    <t>Insurance Policy Number</t>
  </si>
  <si>
    <t>The number assigned to an insurance policy used for claims and other identification.</t>
  </si>
  <si>
    <t>Intended Administration End Date</t>
  </si>
  <si>
    <t>The ending date of the time period in which the form is intended to be administered.</t>
  </si>
  <si>
    <t>Interior Ceiling Finish</t>
  </si>
  <si>
    <t>The type of covering, structural or not, of the interior ceilings.</t>
  </si>
  <si>
    <t>Interior Doors</t>
  </si>
  <si>
    <t>A door that closes off rooms within a building.</t>
  </si>
  <si>
    <t>Interior Finish Type</t>
  </si>
  <si>
    <t>The type of covering, structural or not, of the interior walls, ceilings, and floors.</t>
  </si>
  <si>
    <t>Interior Floor Finish</t>
  </si>
  <si>
    <t>The type of covering, structural or not, of the interior floors.</t>
  </si>
  <si>
    <t>Interior Wall Finish</t>
  </si>
  <si>
    <t>The type of covering, structural or not, of the interior walls.</t>
  </si>
  <si>
    <t>International Dialing Code</t>
  </si>
  <si>
    <t>The international code for the telephone number.</t>
  </si>
  <si>
    <t>Internet Bandwidth to the Building</t>
  </si>
  <si>
    <t>The speed of the telecommunications link between the building and the Internet service provider, routing service, or other method of connection to the Internet.</t>
  </si>
  <si>
    <t>Internship/Apprenticeship Beginning Date</t>
  </si>
  <si>
    <t>The month, day, and year on which an individual began an experience as an intern or apprentice.</t>
  </si>
  <si>
    <t>Internship/Apprenticeship Description</t>
  </si>
  <si>
    <t>A description of the type of internship or apprenticeship (including student or practice teaching) formally served by an individual.</t>
  </si>
  <si>
    <t>Internship/Apprenticeship Ending Date</t>
  </si>
  <si>
    <t>The month, day, and year on which an individual finished an experience as an intern or apprentice.</t>
  </si>
  <si>
    <t>Internship/Apprenticeship Results</t>
  </si>
  <si>
    <t>A description of the outcomes or recommendations resulting from completion of an internship or apprenticeship.</t>
  </si>
  <si>
    <t>IP Address</t>
  </si>
  <si>
    <t>A numerical identification and logical address that is assigned to devices participating in a computer network utilizing the Internet Protocol for communication between its nodes</t>
  </si>
  <si>
    <t>Item Content Standard</t>
  </si>
  <si>
    <t>An indication as to whether an assessment item conforms to a standard.</t>
  </si>
  <si>
    <t>Item Diagnostic Statement</t>
  </si>
  <si>
    <t>Psychometric purpose or design-related comment about the question.</t>
  </si>
  <si>
    <t>Item Number of Attempts</t>
  </si>
  <si>
    <t>The number of times a student changes their answer or attempts a response.</t>
  </si>
  <si>
    <t>Item Response Location</t>
  </si>
  <si>
    <t>The location of the response or additional response.</t>
  </si>
  <si>
    <t>Job Classification</t>
  </si>
  <si>
    <t>A description of the specific group of duties and responsibilities of a position.</t>
  </si>
  <si>
    <t>Job Type</t>
  </si>
  <si>
    <t>The type of trade needed to meet work order job requirements.</t>
  </si>
  <si>
    <t>Knife Type</t>
  </si>
  <si>
    <t>The type of knife used as a weapon.</t>
  </si>
  <si>
    <t>Laborer Job Classification</t>
  </si>
  <si>
    <t xml:space="preserve">A general job classification that describes staff that performs tasks requiring some manual skills which can be conducted with no special training. This includes individuals performing lifting, digging, mixing, loading, and pulling operations. </t>
  </si>
  <si>
    <t>LAN Bandwidth Within the Building</t>
  </si>
  <si>
    <t>The speed of the local area network, the interconnected system of computers and/or peripheral equipment that is confined to a limited area and enables users to communicate and share information and resources.</t>
  </si>
  <si>
    <t>Languages Other Than English</t>
  </si>
  <si>
    <t>An indicator that an individual speaks or uses a language other than English.</t>
  </si>
  <si>
    <t>Last/Surname at Birth</t>
  </si>
  <si>
    <t>The original surname of an individual as identified at birth before any subsequent changes.</t>
  </si>
  <si>
    <t>Learning Standard Benchmark</t>
  </si>
  <si>
    <t>The level within the hierarchy or a learning standard that follows the subject area and the standard.</t>
  </si>
  <si>
    <t>Learning Standard Document Organization</t>
  </si>
  <si>
    <t>Name of organization represented by the document.</t>
  </si>
  <si>
    <t>Learning Standard Document Source</t>
  </si>
  <si>
    <t>Defines source of standard document. This is the descriptive type of the organization listed in Organization. It serves to describe the type of the standards contained within the document.</t>
  </si>
  <si>
    <t>Learning Standard Item</t>
  </si>
  <si>
    <t>The learning standard to which the assessment is aligned.</t>
  </si>
  <si>
    <t>Learning Standard Number</t>
  </si>
  <si>
    <t>This is the specific number of the standard.</t>
  </si>
  <si>
    <t>Learnng Standard Document Date</t>
  </si>
  <si>
    <t>The date of the Learning Standard document.</t>
  </si>
  <si>
    <t>Lease Type (Equipment)</t>
  </si>
  <si>
    <t>The type of agreement that allows the use and possession of equipment or equipment systems from a third party in return for a regularly scheduled installment payment over an agreed-upon period.</t>
  </si>
  <si>
    <t>Leave Accrued</t>
  </si>
  <si>
    <t>The actual number of hours of leave earned but not yet taken by an individual.</t>
  </si>
  <si>
    <t>Leave Balance</t>
  </si>
  <si>
    <t>The current number of hours of leave available for use by an individual.</t>
  </si>
  <si>
    <t>Leave Beginning Date</t>
  </si>
  <si>
    <t>The month, day, and year on which the individual begins his or her leave.</t>
  </si>
  <si>
    <t>Leave Ending Date</t>
  </si>
  <si>
    <t>The month, day, and year on which the individual ends his or her leave.</t>
  </si>
  <si>
    <t>Leave Payment Status</t>
  </si>
  <si>
    <t>An indication as to whether an individual receives compensation from the employer during a time of leave.</t>
  </si>
  <si>
    <t>Leave Substitution Status</t>
  </si>
  <si>
    <t>An indication of the type of substitution provided for an individual's job assignment during the period of his/her absence.</t>
  </si>
  <si>
    <t>Length of Time Transported</t>
  </si>
  <si>
    <t>The usual time a student spends in a vehicle when riding from his or her transfer point or bus stop to the school (including the subsequent return trip).</t>
  </si>
  <si>
    <t>Lesson Activity Begin Date</t>
  </si>
  <si>
    <t>The first month, day, and year of the lesson activity.</t>
  </si>
  <si>
    <t>Lesson Activity Description</t>
  </si>
  <si>
    <t>A description of the lesson activity.</t>
  </si>
  <si>
    <t>Lesson Activity Duration</t>
  </si>
  <si>
    <t>An estimate of the duration of time for the lesson.</t>
  </si>
  <si>
    <t>Lesson Activity End Date</t>
  </si>
  <si>
    <t>The last month, day, and year of the lesson activity.</t>
  </si>
  <si>
    <t>Lesson Activity Name</t>
  </si>
  <si>
    <t>The name of the lesson activity.</t>
  </si>
  <si>
    <t>Lesson Activity Objective</t>
  </si>
  <si>
    <t>The objectives of the lesson activity.</t>
  </si>
  <si>
    <t>Lesson Duration</t>
  </si>
  <si>
    <t>Lesson Name</t>
  </si>
  <si>
    <t>The name of the lesson.</t>
  </si>
  <si>
    <t>Lesson Objective</t>
  </si>
  <si>
    <t>A description of the learning objective(s) of the lesson.</t>
  </si>
  <si>
    <t>Lesson Plan</t>
  </si>
  <si>
    <t>A description of the lesson plan.</t>
  </si>
  <si>
    <t>Level of Specialization</t>
  </si>
  <si>
    <t>The extent to which an individual concentrates upon a particular subject matter area during his or her period of study at an educational institution.</t>
  </si>
  <si>
    <t>License Plate Number</t>
  </si>
  <si>
    <t>The registration plate attached to the vehicle for official identification purposes. The registration identifier is a numeric or alphanumeric code that uniquely identifies the vehicle within the issuing region''s database.</t>
  </si>
  <si>
    <t>Life Status</t>
  </si>
  <si>
    <t>The condition of being living or deceased.</t>
  </si>
  <si>
    <t>Limitation Beginning Date</t>
  </si>
  <si>
    <t>The month, day, and year on which an authorized evaluator recommends that the limitation of activity be instituted.</t>
  </si>
  <si>
    <t>Limitation Cause</t>
  </si>
  <si>
    <t>A description of the reason for imposing or allowing the restriction or limitation on an individual's school activities.</t>
  </si>
  <si>
    <t>Limitation Description</t>
  </si>
  <si>
    <t>A description of any specific modified activity, including alternative placement (e.g., homebound and special programs) permitted or prescribed for an individual.</t>
  </si>
  <si>
    <t>Limitation Ending Date</t>
  </si>
  <si>
    <t>The month, day, and year on which an authorized evaluator recommends that the limitation of activity be disregarded.</t>
  </si>
  <si>
    <t>Lives With Status</t>
  </si>
  <si>
    <t>An indicator as to whether the student lives with this contact.</t>
  </si>
  <si>
    <t>Local Funding Source Type</t>
  </si>
  <si>
    <t>The source of the local funds for the project.</t>
  </si>
  <si>
    <t>Local Funding Type</t>
  </si>
  <si>
    <t>The type of funding from local entities that serves public health, education, social services, developmental disabilities, or other.</t>
  </si>
  <si>
    <t>Locale Code</t>
  </si>
  <si>
    <t>Locale code is a variable that NCES has created for general description, sampling, and other statistical purposes.  Locale codes are derived to describe a school''s location ranging from `large city` to `rural.`  These urban-centric locale codes are based on the physical location represented by an address that is matched against a geographic database maintained by the Census Bureau.  See Appendix D for a history of locale codes.</t>
  </si>
  <si>
    <t>Make-up Day</t>
  </si>
  <si>
    <t>The month, day, and year that students are given instruction during the whole/part-day instruction that is scheduled solely to make up for emergency days or early dismissal days.</t>
  </si>
  <si>
    <t>Make-up Time</t>
  </si>
  <si>
    <t>The number of minutes that students are given instruction during the whole/part-day of make-up time being reported.</t>
  </si>
  <si>
    <t>The condition of an individual with regard to marriage.</t>
  </si>
  <si>
    <t>Marital Status for Tax Withholding</t>
  </si>
  <si>
    <t>An indication of the marital condition of an individual for tax purposes.</t>
  </si>
  <si>
    <t>Marking Period Beginning Date</t>
  </si>
  <si>
    <t>The month, day, and year that the marking period begins.</t>
  </si>
  <si>
    <t>Marking Period Ending Date</t>
  </si>
  <si>
    <t>The month, day, and year that the marking period ends.</t>
  </si>
  <si>
    <t>Maternal Last Name</t>
  </si>
  <si>
    <t>The last name of the female parent.</t>
  </si>
  <si>
    <t>Maximum Leave Allowed</t>
  </si>
  <si>
    <t>The maximum number of hours of leave that an individual can accrue during a calendar or fiscal year.</t>
  </si>
  <si>
    <t>Maximum Number of Seats</t>
  </si>
  <si>
    <t>The most number of seats the class can maintain.</t>
  </si>
  <si>
    <t>Meal Menu Planning Approach Type</t>
  </si>
  <si>
    <t>The type of menu planning approach used to plan healthful and appealing meals for the student body.</t>
  </si>
  <si>
    <t>Meal Payment Method (Reimbursable/Non-reimbursable)</t>
  </si>
  <si>
    <t>The type of meal payment method (reimbursable/non-reimbursable) associated with a particular individual transaction.</t>
  </si>
  <si>
    <t>Meal Purchase Price (Reimbursable)</t>
  </si>
  <si>
    <t>The total dollar amount paid for the purchase of a reimbursable meal, snack, or milk, associated with a particular individual transaction.</t>
  </si>
  <si>
    <t>Meal Service</t>
  </si>
  <si>
    <t>The particular meal or food service associated with a transaction.</t>
  </si>
  <si>
    <t>Meal Service Components</t>
  </si>
  <si>
    <t>The components of the meal service.</t>
  </si>
  <si>
    <t>Meal Service End Time</t>
  </si>
  <si>
    <t>The time the meal service ends. If there are different meal service end times this would be the final end time.</t>
  </si>
  <si>
    <t>Meal Service Start Time</t>
  </si>
  <si>
    <t>The time the meal service starts. If there are different meal service start times this would be the first start time.</t>
  </si>
  <si>
    <t>Meal Service Transaction Date</t>
  </si>
  <si>
    <t>The month, day, and year on which the student received a particular meal or food service.</t>
  </si>
  <si>
    <t>Meal Service Transaction Type</t>
  </si>
  <si>
    <t>The type of transaction for a particular meal or food item(s).</t>
  </si>
  <si>
    <t>Meal Type</t>
  </si>
  <si>
    <t>The type of meal or food service attributable to a particular transaction.</t>
  </si>
  <si>
    <t>Means of Introduction for Employment</t>
  </si>
  <si>
    <t>The manner in which an individual was initially introduced to an employer or the way in which the employer became aware of an individual's availability for employment.</t>
  </si>
  <si>
    <t>Medical Examination Date</t>
  </si>
  <si>
    <t>The month, day, and year on which a health evaluation occurred.</t>
  </si>
  <si>
    <t>Medical Examination Instrument Description/Title</t>
  </si>
  <si>
    <t>The description or title of an evaluative instrument (e.g., a specific chart or mechanical device) that has been used to identify or evaluate an individual's health condition (e.g., Snellen Illiterate "E" Test, Snellen Alphabet Test, Pure Tone Audiometric Test, Speech Discrimination Test-Unaided and Aided, Mantoux Tuberculosis test, or sickle cell anemia blood test).</t>
  </si>
  <si>
    <t>Medical Examination Results</t>
  </si>
  <si>
    <t>A written report outlining specific findings of an individual's health examination or health test as determined by a qualified professional.</t>
  </si>
  <si>
    <t>Medical Examination Type</t>
  </si>
  <si>
    <t>A designation of the specific type of test administered to an individual for the purpose of screening or evaluating a medical condition, process, or impairment.</t>
  </si>
  <si>
    <t>Medical Examination Unit of Measure</t>
  </si>
  <si>
    <t>The scale or standard by which the score or results of a medical examination are measured or compared (e.g., fractional notation referring to distance/smallest line read for vision, decibels for hearing loss, or hertz for sound frequency).</t>
  </si>
  <si>
    <t>Medical Laboratory Procedure Results</t>
  </si>
  <si>
    <t>Significant or relevant conclusions drawn by qualified personnel about an individual's medical condition based on information gained from medical laboratory procedures.</t>
  </si>
  <si>
    <t>Medical Treatment</t>
  </si>
  <si>
    <t>A medical procedure (including surgery) an individual has undergone which might or does affect his or her school performance.</t>
  </si>
  <si>
    <t>Medical Waiver</t>
  </si>
  <si>
    <t>The description or special notation, if, for any reason, an individual has been granted a waiver and is not required to submit to certain medical examinations or treatments.</t>
  </si>
  <si>
    <t>Meeting Agenda</t>
  </si>
  <si>
    <t>A list of topics or meeting activities in the order in which they are to be taken up.</t>
  </si>
  <si>
    <t>Meeting Date</t>
  </si>
  <si>
    <t>The month, day, and year on which the meeting takes place.</t>
  </si>
  <si>
    <t>Meeting Exhibits</t>
  </si>
  <si>
    <t>A list of the materials discussed and/or made available to participants at the meeting.</t>
  </si>
  <si>
    <t>Meeting Location</t>
  </si>
  <si>
    <t>The place where the meeting is held.</t>
  </si>
  <si>
    <t>Meeting Outcome</t>
  </si>
  <si>
    <t>A description of the outcome of the meeting.</t>
  </si>
  <si>
    <t>Meeting Participants</t>
  </si>
  <si>
    <t>The names and/or positions/titles of individuals who attend the meeting.</t>
  </si>
  <si>
    <t>Meeting Type</t>
  </si>
  <si>
    <t>The type of meeting.</t>
  </si>
  <si>
    <t>Metro Status Code (MSC)</t>
  </si>
  <si>
    <t>The classification of the institution's service area relative to a Metropolitan Statistical Area (MSA).</t>
  </si>
  <si>
    <t>Metropolitan/Micropolitan Statistical Area (MSA) Code</t>
  </si>
  <si>
    <t>The Office of Management and Budget (OMB) defines the Metropolitan Statistical Areas (MSAs) as having at least one urbanized area of 50,000 or more population, plus adjacent territory that has a high degree of social and economic integration with the core as measured by commuting ties. Micropolitan Statistical Areas are defined as having at least one urban cluster of at least 10,000 but less than 50,000 population, plus adjacent territory that has a high degree of social and economic integration with the core as measured by commuting ties. The MSA codes are 5 digits in length, falling within the 10000 to 59999 range, which replaces the 4-digit code previously used.</t>
  </si>
  <si>
    <t>Middle Initial</t>
  </si>
  <si>
    <t>The first letter of the secondary name given to an individual at birth, baptism, or during another naming ceremony.</t>
  </si>
  <si>
    <t>Migrant Certificate of Eligibility (COE) Status</t>
  </si>
  <si>
    <t>An indication as to whether a migrant student has completed the COE, which records, usually on a single form, all eligible students in a family who arrived on the same date in the same state or district where the student, parent, guardian, or spouse, obtained or sought qualifying agricultural or fishing work.</t>
  </si>
  <si>
    <t>Migrant Classification Subgroup</t>
  </si>
  <si>
    <t>An indication of the status of a migrant student, as further specified by the migratory pattern (e.g., interstate or intrastate) and industry (e.g., agriculture or fishing) by which his or her family is influenced.</t>
  </si>
  <si>
    <t>Migrant Expected Graduation Institution</t>
  </si>
  <si>
    <t>An indicator that identifies whether the institution is the school or facility from which a migrant student expects to graduate. Only one school or facility may be designated for graduation at any one point in time.</t>
  </si>
  <si>
    <t>Migrant QAD to City</t>
  </si>
  <si>
    <t>The city in which the new school district was located when the migrant student's qualifying move occurred.</t>
  </si>
  <si>
    <t>Migrant QAD to State</t>
  </si>
  <si>
    <t>The state in which the new school district was located when the migrant student's qualifying move occurred.</t>
  </si>
  <si>
    <t>Migrant Qualifying Work Type</t>
  </si>
  <si>
    <t>The type of qualifying agricultural or fishing activity the migrant student and/or the migrant student's family performs.</t>
  </si>
  <si>
    <t>Migrant Residency Date</t>
  </si>
  <si>
    <t>The month, day, and year on which a migrant student entered the school district. The residency date and the qualifying arrival date (QAD) are the same only if the most current move enables the worker to obtain or seek qualifying agricultural or fishing employment. A subsequent move for a reason other than obtaining qualifying work would create a new residency date, but would not change the qualifying arrival date. The residency date is always the same as or after the date of the qualifying arrival date.</t>
  </si>
  <si>
    <t>Migrant to Join Date</t>
  </si>
  <si>
    <t>The month, day, and year on which the student moved, which is either before or after the date the parent, guardian, or spouse moved to seek qualifying work. When the student's move precedes the worker's move, the qualifying arrival and residency dates are the date the worker arrived. When the student's move follows the worker's move, the qualifying arrival and residency dates are the date the student arrived. As a rule of thumb, the student's move should be within a year of the worker's move.</t>
  </si>
  <si>
    <t>The month, day, and year on which an individual was discharged from the military service.</t>
  </si>
  <si>
    <t>Military Discharge Type</t>
  </si>
  <si>
    <t>The type of discharge that an individual was granted upon leaving the Armed Forces.</t>
  </si>
  <si>
    <t>Military Duty Status</t>
  </si>
  <si>
    <t>The current military status of an individual.</t>
  </si>
  <si>
    <t>Military Entry Date</t>
  </si>
  <si>
    <t>The month, day, and year on which an individual entered the military service.</t>
  </si>
  <si>
    <t>Military Reserve Obligation Ending Date</t>
  </si>
  <si>
    <t>The month, day, and year on which an individual's obligation to the Military Reserve ends.</t>
  </si>
  <si>
    <t>Military Service Experience</t>
  </si>
  <si>
    <t>A description of military experience and special training a student acquired while in the service.</t>
  </si>
  <si>
    <t>Military Service Type</t>
  </si>
  <si>
    <t>The branch of the Armed Forces in which an individual serves/served.</t>
  </si>
  <si>
    <t>Minor/Adult Status</t>
  </si>
  <si>
    <t>A person's status in relation to legal adulthood as specified by state law.</t>
  </si>
  <si>
    <t>Monitoring Method</t>
  </si>
  <si>
    <t>The manner by which information about a student's participation and progress was gathered.</t>
  </si>
  <si>
    <t>Monthly Earning Rate of Pay</t>
  </si>
  <si>
    <t>The monetary unit of salary compensation an individual is paid for performance of agreed-upon duties on a monthly basis.</t>
  </si>
  <si>
    <t>Movable Furnishings</t>
  </si>
  <si>
    <t>Furniture which is not permanently installed in a space and can be relocated by simply carrying it from one location to another.</t>
  </si>
  <si>
    <t>Name of Country of Birth</t>
  </si>
  <si>
    <t>The name of the country in which an individual was born.</t>
  </si>
  <si>
    <t>Name of Country of Citizenship</t>
  </si>
  <si>
    <t>The name of the country to which an individual acknowledges citizenship.</t>
  </si>
  <si>
    <t>Name of Language</t>
  </si>
  <si>
    <t>The name of the specific language or dialect that an individual uses to communicate.</t>
  </si>
  <si>
    <t>Name of State of Birth</t>
  </si>
  <si>
    <t>The name of the state (within the United States) or extra-state jurisdiction in which an individual was born.</t>
  </si>
  <si>
    <t>National/Ethnic Origin Subgroup</t>
  </si>
  <si>
    <t>The national or ethnic subgroup of a person other than "American." Examples for Asian include: Chinese, Japanese, Korean, Filipino, Vietnamese, or Asian Indian. For Native Hawaiian or Other Pacific Islander, examples include: Samoan, Hawaiian, or Guamanian. For Hispanics, examples include: Puerto Rican, Mexican-American, Cuban, Argentinean, Dominican, Colombian, Nicaraguan, Salvadoran, or Spaniard. Tribal registration could be listed for Alaska Natives or American Indians (e.g., Navajo).</t>
  </si>
  <si>
    <t>Nature of Complaint</t>
  </si>
  <si>
    <t>The nature of any statement or official expression submitted by another individual against the employee about his or her employment.</t>
  </si>
  <si>
    <t>Nature of Prior Employment</t>
  </si>
  <si>
    <t>The descriptive name (e.g., teaching, office/clerical, custodial) of the occupation or job duties performed by an individual.</t>
  </si>
  <si>
    <t>Neglected or Delinquent Participation Total Day Count</t>
  </si>
  <si>
    <t>The total number of instructional days the student was enrolled in this neglected or delinquent program during this reporting period.</t>
  </si>
  <si>
    <t>Network Connection Type</t>
  </si>
  <si>
    <t>The type of link between a computer and an external network.</t>
  </si>
  <si>
    <t>Nickname</t>
  </si>
  <si>
    <t>A familiar form of a proper name, a descriptive name, or other colloquial name given instead of or in addition to an individual's formal name.</t>
  </si>
  <si>
    <t>Non Traditional Program Enrollee Status</t>
  </si>
  <si>
    <t>An indication that the student who is enrolled in a non-traditional program is a members of the underrepresented gender group.</t>
  </si>
  <si>
    <t>Non-course Graduation Requirement Date Met</t>
  </si>
  <si>
    <t>The month, day, and year on which the student met the non-course graduation requirement.</t>
  </si>
  <si>
    <t>Non-course Graduation Requirement Scores/Results</t>
  </si>
  <si>
    <t>The results from the student's completion of the non-course graduation requirement (e.g., pass/fail, letter grade, percentage scale, and rank).</t>
  </si>
  <si>
    <t>Non-course Graduation Requirement Type</t>
  </si>
  <si>
    <t>The type of non-course graduation requirement that the student must meet in order to graduate.</t>
  </si>
  <si>
    <t>Non-educator Credential Type</t>
  </si>
  <si>
    <t>An indication of the type of non-educator certificate, license, or permit that is issued by a government agency, professional association, or other organization to perform services other than teaching or other educator responsibilities (e.g., school board member, school nurse, registrar, database administrator, computer support personnel, psychologist). (Note: The Council of Licensure, Enforcement, and Regulation provides links to regulatory boards and colleges and listings of regulatory entities of each state at www.clearhq.org.)</t>
  </si>
  <si>
    <t>Non-parental Caregiver/Early Childhood Program Provider</t>
  </si>
  <si>
    <t>A description of the individual or institution which provides care, education, and/or services to the child.</t>
  </si>
  <si>
    <t>Non-resident Attendance Rationale</t>
  </si>
  <si>
    <t>The reason that the student attends a school outside of his or her usual attendance area.</t>
  </si>
  <si>
    <t>Non-school Activity Beginning Date</t>
  </si>
  <si>
    <t>The month, day, and year on which a student begins participating in a non-school activity.</t>
  </si>
  <si>
    <t>Non-school Activity Description</t>
  </si>
  <si>
    <t>A description or title of the non-school activity in which a student participates on a regular basis.</t>
  </si>
  <si>
    <t>Non-school Activity Ending Date</t>
  </si>
  <si>
    <t>The month, day, and year on which a student ceases participating in the non-school activity.</t>
  </si>
  <si>
    <t>Non-school Activity Sponsor</t>
  </si>
  <si>
    <t>The name of the person or organization sponsoring the activity.</t>
  </si>
  <si>
    <t>Non-school Activity Type</t>
  </si>
  <si>
    <t>An indication of the type of non-school activity in which the student is participating.</t>
  </si>
  <si>
    <t>Non-teaching Educator Credential Type</t>
  </si>
  <si>
    <t>An indication of the type of non-teaching educator certificate, license, or permit that is issued by a government agency, professional association, or other organization to hold certain administrative or education support positions. This credential often also requires the possession of a valid teaching credential (e.g., superintendents, principals, assistant principals, supervisors). (Note: The Council of Licensure, Enforcement, and Regulation provides links to regulatory boards and colleges and listings of regulatory entities of each state at www.clearhq.org.)</t>
  </si>
  <si>
    <t>Nontax Revenue Type</t>
  </si>
  <si>
    <t>The source of revenue for capital projects that are voluntarily contributed.</t>
  </si>
  <si>
    <t>Norming Period</t>
  </si>
  <si>
    <t>The time of year when the assessment was given to a sample of students for the purpose of establishing a standard of performance for that group of students (e.g., fall, mid-year, or spring).</t>
  </si>
  <si>
    <t>Notice of Recommended Educational Placement Date</t>
  </si>
  <si>
    <t xml:space="preserve">Date the Notice of Recommended Educational Placement was signed and approved by the parent/guardian of the student. </t>
  </si>
  <si>
    <t>Number of Days of Membership</t>
  </si>
  <si>
    <t>The number of days a student is present plus the number of days absent when school is in session during a given reporting period.</t>
  </si>
  <si>
    <t>Number of Field Test Items</t>
  </si>
  <si>
    <t>The number of field test items on the assessment form. Field test items are those that are not included when deriving a student's score.</t>
  </si>
  <si>
    <t>Number of Forms Used in Assessment</t>
  </si>
  <si>
    <t>The number of different test forms that were in the assessment.</t>
  </si>
  <si>
    <t>Number of Hours in School Day</t>
  </si>
  <si>
    <t>The number of hours (or portion of hours) in the day in which the school is normally in session.</t>
  </si>
  <si>
    <t>Number of Hours Worked per Weekend</t>
  </si>
  <si>
    <t>An estimated average number of hours an individual works or expects to work for an employer over a Saturday and Sunday.</t>
  </si>
  <si>
    <t>Number of Hours Worked per Work Week</t>
  </si>
  <si>
    <t>An estimated average number of hours an individual works or expects to work for an employer between Monday and Friday.</t>
  </si>
  <si>
    <t>Number of Items Revised</t>
  </si>
  <si>
    <t>The number of test items that were changed since the previous or original version.</t>
  </si>
  <si>
    <t>Number of Marking Periods</t>
  </si>
  <si>
    <t>The number of marking period(s) during the school year.</t>
  </si>
  <si>
    <t>Number of Periods per Day</t>
  </si>
  <si>
    <t>The number of class periods in a normal school day for the specific classes/grades covered by the school calendar.</t>
  </si>
  <si>
    <t>Number of Students in Class</t>
  </si>
  <si>
    <t>The number of students for the classroom for which the individual is responsible for providing learning experiences and care during a particular time period or in a given discipline.</t>
  </si>
  <si>
    <t>Number of Tardies</t>
  </si>
  <si>
    <t>The number of instances an individual is late during a given reporting period.</t>
  </si>
  <si>
    <t>Number of Tracks</t>
  </si>
  <si>
    <t>The number of tracks in a year-round school.</t>
  </si>
  <si>
    <t>Number of Units Required for Credential Renewal</t>
  </si>
  <si>
    <t>The number of professional development or re-certification units required to renew a credential.</t>
  </si>
  <si>
    <t>Obscene Behavior Violation</t>
  </si>
  <si>
    <t xml:space="preserve">Language or actions, written, oral, physical, or electronic, in violation of community or school standards.4662 Displays of affection in violation of school policy. </t>
  </si>
  <si>
    <t>Office Held</t>
  </si>
  <si>
    <t>The title of a position of trust and leadership held by an individual in an organization, association, or public political office.</t>
  </si>
  <si>
    <t>Office Term Beginning Date</t>
  </si>
  <si>
    <t>The month, day, and year on which an individual's term of office (for a leadership position) in an organization, association, or political office began.</t>
  </si>
  <si>
    <t>Office Term Ending Date</t>
  </si>
  <si>
    <t>The month, day, and year on which an individual's term of office (for a leadership position) in an organization, association, or political office ended.</t>
  </si>
  <si>
    <t>Office/Clerical/Administrative Support Job Classification</t>
  </si>
  <si>
    <t xml:space="preserve">A general job classification that describes staff that performs the activities of preparing, transferring, transcribing, systematizing, or preserving communications, records, and transactions. </t>
  </si>
  <si>
    <t>Official-Administrative Job Classification</t>
  </si>
  <si>
    <t>A general job classification that describes staff that performs management activities that require developing broad policies and executing those policies through direction of individuals at all levels. This includes high-level administrative activities performed directly for policy makers.</t>
  </si>
  <si>
    <t>Operative Job Classification</t>
  </si>
  <si>
    <t xml:space="preserve">A general job classification that describes staff that performs tasks requiring an intermediate level of manual skills which can be mastered in a few weeks through limited training to operate machines. This includes bus drivers and vehicle operators. </t>
  </si>
  <si>
    <t>Optimum Number of Seats</t>
  </si>
  <si>
    <t>Originating Location of Instruction/Service</t>
  </si>
  <si>
    <t>The type of location from which the instruction or service originates.</t>
  </si>
  <si>
    <t>Originating Location of Instruction/Service Description</t>
  </si>
  <si>
    <t>A description of the location at which instruction or service originates (e.g., room number, building site, campus designation, or address).</t>
  </si>
  <si>
    <t>Other Debt Type</t>
  </si>
  <si>
    <t>Other types of borrowing instruments.</t>
  </si>
  <si>
    <t>Other equipment</t>
  </si>
  <si>
    <t>Equipment that is installed for special safety reasons, such as fume hoods in the science rooms.</t>
  </si>
  <si>
    <t>Other Site Systems and Equipment</t>
  </si>
  <si>
    <t>Description of additional site systems and equipment necessary for site development.</t>
  </si>
  <si>
    <t>Overall Diagnosis/Interpretation of Hearing</t>
  </si>
  <si>
    <t>An appraisal of an individual's hearing, including consideration of both test results and other factors.</t>
  </si>
  <si>
    <t>Overall Diagnosis/Interpretation of Speech and Language</t>
  </si>
  <si>
    <t>An appraisal of an individual's speech and language, including consideration of both test results and other factors.</t>
  </si>
  <si>
    <t>Overall Diagnosis/Interpretation of Vision</t>
  </si>
  <si>
    <t>An appraisal of an individual's vision, including consideration of both test results and other factors.</t>
  </si>
  <si>
    <t>Overall Health Status</t>
  </si>
  <si>
    <t>The state of a child''s physical, mental, and social well-being and not merely the absence of disease or infirmity.</t>
  </si>
  <si>
    <t>Overtime Identifier</t>
  </si>
  <si>
    <t>The amount of time at which an individual begins to earn overtime pay rather than base pay.</t>
  </si>
  <si>
    <t>Ownership Entity Type</t>
  </si>
  <si>
    <t>The public or private entity that holds legal title to the building and/or site.</t>
  </si>
  <si>
    <t xml:space="preserve">Authorizing Entity Type
</t>
  </si>
  <si>
    <t>Paraprofessionals Job Classification</t>
  </si>
  <si>
    <t>A general job classification that describes staff that staff work alongside and assists professional individuals.</t>
  </si>
  <si>
    <t>Parent Legal Guardian Indicator</t>
  </si>
  <si>
    <t>An indication as to whether the individual has parental or legal guardianship responsibility for the student</t>
  </si>
  <si>
    <t>Part-day Instructional Time</t>
  </si>
  <si>
    <t>The number of minutes that students were given instruction during the part-day being reported (e.g., student early dismissal, student late arrival day, emergency day).</t>
  </si>
  <si>
    <t>Participant Role</t>
  </si>
  <si>
    <t>The individual''s role in the co-curricular or extra-curricular activity in which the individual is involved (e.g., first chair, trumpet, coach''s assistant, etc.).</t>
  </si>
  <si>
    <t>Participation Status</t>
  </si>
  <si>
    <t>An indication as to whether an individual is participating in an educational course or program or is involved in a staff development activity.</t>
  </si>
  <si>
    <t>Partitions</t>
  </si>
  <si>
    <t>Something that divides or separates, as a wall dividing one room or cubicle from another.</t>
  </si>
  <si>
    <t>Pay Grade</t>
  </si>
  <si>
    <t>Identification of the class of an individual's position grouped by salary range.</t>
  </si>
  <si>
    <t>Pay Range</t>
  </si>
  <si>
    <t>The pay rates assigned to a class or group of positions which define the appropriate compensation options.</t>
  </si>
  <si>
    <t>Pay Step</t>
  </si>
  <si>
    <t>An identification of the class of an individual's position within a grade, which is grouped by a salary range.</t>
  </si>
  <si>
    <t>Payment Required per Pay Period</t>
  </si>
  <si>
    <t>The monetary amount that must be paid each pay period in order for an individual to be covered by or participate in an employee benefit program.</t>
  </si>
  <si>
    <t>Payment Source(s)</t>
  </si>
  <si>
    <t>The individual or organization responsible for paying the expenses for the student's education.</t>
  </si>
  <si>
    <t>Payroll Calculation Cycle</t>
  </si>
  <si>
    <t>The time element that governs the amount calculated in payroll to an employee.</t>
  </si>
  <si>
    <t>Payroll Deduction Type</t>
  </si>
  <si>
    <t>The type of deduction to be withheld from the employee's paycheck.</t>
  </si>
  <si>
    <t>Payroll Tax Treatment Status</t>
  </si>
  <si>
    <t>An indication of whether a payroll deduction is made prior to or after taxes have been withheld, according to rules of the taxing authorities.</t>
  </si>
  <si>
    <t>Percent of Total Time</t>
  </si>
  <si>
    <t>A derived number expressing the time spent fulfilling an assignment as a percentage of the total work time possible for an individual.</t>
  </si>
  <si>
    <t>Percent Voters Against Bond Question</t>
  </si>
  <si>
    <t>The percent of voters who voted against the most current bond referendum question(s).</t>
  </si>
  <si>
    <t>Percent Voters for Bond Question</t>
  </si>
  <si>
    <t>The percent of voters who voted in favor of the most current bond referendum question(s).</t>
  </si>
  <si>
    <t>Percentage of Time by Medium of Instruction</t>
  </si>
  <si>
    <t>The percentage of time that the medium of instruction is utilized by the teacher to instruct and by which the student receives instructional communication from his or her teacher(s).</t>
  </si>
  <si>
    <t>Percentage Ranking</t>
  </si>
  <si>
    <t>Performance Benchmark</t>
  </si>
  <si>
    <t>A description of the performance levels that are used to track progress and performance.</t>
  </si>
  <si>
    <t>Performance Rating</t>
  </si>
  <si>
    <t>Indicator of performance status in relation to benchmarks (e.g., score, grade).</t>
  </si>
  <si>
    <t>Period Use in Attendance Calculations</t>
  </si>
  <si>
    <t>An indicator of whether the bell period should be included in attendance calculations.</t>
  </si>
  <si>
    <t>Perpetrator ID</t>
  </si>
  <si>
    <t>Identifies the perpetrator of the incident, when a student or staff member, by use of a pre-existing school or district unique identifier.</t>
  </si>
  <si>
    <t>Person Employed in Multiple Jobs</t>
  </si>
  <si>
    <t>The number of jobs held by a person.</t>
  </si>
  <si>
    <t>Person Relationship to Learner Qualifier Type</t>
  </si>
  <si>
    <t>A qualifier used with the element Person Relationship to Learner Type to further define the nature of the person''s relationship to a learner.</t>
  </si>
  <si>
    <t>Physician Diagnosing Injury</t>
  </si>
  <si>
    <t>The medical specialist who identifies or determines the nature and cause of the injury or disease suffered by an individual, through an evaluation of the patient's history, a medical examination, or a review of laboratory results.</t>
  </si>
  <si>
    <t>Pick Up Rights Status</t>
  </si>
  <si>
    <t>An indicator as to whether or not the contact has pickup rights.</t>
  </si>
  <si>
    <t>Placement Parental Consent Date</t>
  </si>
  <si>
    <t xml:space="preserve">Date the parent(s) consented to the proposed placement. </t>
  </si>
  <si>
    <t>Planned Assessment Participation</t>
  </si>
  <si>
    <t>The student''s planned level of participation in statewide assessments.</t>
  </si>
  <si>
    <t>Points/Mark Assistance</t>
  </si>
  <si>
    <t>An indication of the points/mark were earned with assistance.</t>
  </si>
  <si>
    <t>Points/Mark Value</t>
  </si>
  <si>
    <t xml:space="preserve">The number of points received. The results can be expressed as a number, percentile, range, level, etc. </t>
  </si>
  <si>
    <t>Points/Mark Value Description</t>
  </si>
  <si>
    <t xml:space="preserve">The description of the number of points/mark received. Points could be based on the entire assignment or are a certain part of the assignment (i.e., penmanship). </t>
  </si>
  <si>
    <t>Position Assessment Date</t>
  </si>
  <si>
    <t>The month, day, and year on which an assessment was administered for skills that are required for the position.</t>
  </si>
  <si>
    <t>Position Assessment Results</t>
  </si>
  <si>
    <t>An indication of the results of the assessment for skills that are required for the position.</t>
  </si>
  <si>
    <t>Position or Classification Number</t>
  </si>
  <si>
    <t>An indication of the level or category of an individual's position as assigned by the employer.</t>
  </si>
  <si>
    <t>Position Skills Assessed</t>
  </si>
  <si>
    <t>An indication of the type of an assessment administered to an individual for skills that are required for the position (e.g. keyboarding, spelling, grammar, editing, data entry, and driving).</t>
  </si>
  <si>
    <t>Post-school Recognition</t>
  </si>
  <si>
    <t>The description of honors and recognitions awarded to a former student when he or she pursued an academic or occupational goal.</t>
  </si>
  <si>
    <t>Post-school Training or Education Subject Matter</t>
  </si>
  <si>
    <t>The nature of the training or education that a student is planning on, interested in, or will be actively pursuing after graduating from or leaving his or her current school of enrollment.</t>
  </si>
  <si>
    <t>Postsecondary Subject Matter Area</t>
  </si>
  <si>
    <t>The descriptive name of an academic or vocational discipline studied by an individual in an educational program or staff development activity. (Note: Refer to the NCES Classification of Instructional Programs).</t>
  </si>
  <si>
    <t>Preparation Description</t>
  </si>
  <si>
    <t>A description of the kind of formal training or coursework (e.g., courses, seminars, institutes) recommended for an individual''s development.</t>
  </si>
  <si>
    <t>Preparation Duration</t>
  </si>
  <si>
    <t>The approximate length of time in days, weeks, months, or years that the recommended training requires.</t>
  </si>
  <si>
    <t>Preparation Funding</t>
  </si>
  <si>
    <t>The source of funds used to pay for recommended training (e.g., an individual, an employer, or some other organization).</t>
  </si>
  <si>
    <t>Preparation Location</t>
  </si>
  <si>
    <t>The location where the recommended training takes place (e.g. within an organization, at an outside firm, or at an education institution).</t>
  </si>
  <si>
    <t>Previous Children Serviced</t>
  </si>
  <si>
    <t>An indication of the children an employee served prior to current employment.</t>
  </si>
  <si>
    <t>Previous Service Locations</t>
  </si>
  <si>
    <t>Locations in which an employee provided services prior to current employment.</t>
  </si>
  <si>
    <t>Previous Service Role</t>
  </si>
  <si>
    <t>An indication of the general role an individual performed in previous employment.</t>
  </si>
  <si>
    <t>Prior Year Status</t>
  </si>
  <si>
    <t>An indication of an individual's professional or personal experience during the year before an application for employment is filed.</t>
  </si>
  <si>
    <t>Process Customers</t>
  </si>
  <si>
    <t>The consumers of the Process Outputs.</t>
  </si>
  <si>
    <t>Process Description</t>
  </si>
  <si>
    <t>A brief statement of the reason the process exists and the results is it expected to accomplish.</t>
  </si>
  <si>
    <t>Process Inputs</t>
  </si>
  <si>
    <t>Those items that are used by the Process Team in carrying out the Process Steps. These may be tangible (e.g. paper, books, raw materials) or intangible (e.g. data, information).</t>
  </si>
  <si>
    <t>Process Measures</t>
  </si>
  <si>
    <t>Metrics that the Process Steward or Owner collects and uses to assess the functional health of the process.</t>
  </si>
  <si>
    <t>Process Name</t>
  </si>
  <si>
    <t>The Process Name is used to identify the process. Each process should have a unique, descriptive, and unambiguous name.</t>
  </si>
  <si>
    <t>Process Outputs</t>
  </si>
  <si>
    <t>Those items that are produced by the Process Team in carrying out the Process Steps and consumed by the Process Customers. These may be tangible (e.g. paper, books, raw materials) or intangible (e.g. data, information).</t>
  </si>
  <si>
    <t>Process Steps</t>
  </si>
  <si>
    <t>The individual tasks that make up the process. Each Process Step is assigned to a particular member of the Process Team.</t>
  </si>
  <si>
    <t>Process Steward or Owner</t>
  </si>
  <si>
    <t>The person who is primarily responsible for carrying out the work of the process.</t>
  </si>
  <si>
    <t>Process Team</t>
  </si>
  <si>
    <t>The individuals who are responsible for carrying out the Process Steps.</t>
  </si>
  <si>
    <t>Program Authorizing Date</t>
  </si>
  <si>
    <t>The month, day, and year on which the program is authorized to be conducted.</t>
  </si>
  <si>
    <t>Program Availability</t>
  </si>
  <si>
    <t>An indication as to when the program is provided to an individual or group of individuals.</t>
  </si>
  <si>
    <t>Program Beginning Date</t>
  </si>
  <si>
    <t>The month, day, and year on which the program or activity begins.</t>
  </si>
  <si>
    <t>Program Beneficiary</t>
  </si>
  <si>
    <t>The audience(s) for which the program is intended.</t>
  </si>
  <si>
    <t>Program Benefit Targeting Type</t>
  </si>
  <si>
    <t>Degree and focus of the activities and services an individual, group of individuals, or organization receives as a result of a program.</t>
  </si>
  <si>
    <t>Program Characterization</t>
  </si>
  <si>
    <t>The description of the program of work, series of courses, individual course, or training program in which an individual is involved.</t>
  </si>
  <si>
    <t>Program Delivery Structure</t>
  </si>
  <si>
    <t>The regularity with which a program is provided.</t>
  </si>
  <si>
    <t>Program Description</t>
  </si>
  <si>
    <t>The description of instructional or non-instructional activities and procedures or services provided to the intended audience.</t>
  </si>
  <si>
    <t>Program Duration</t>
  </si>
  <si>
    <t>The actual (for fixed schedules) or average (for variable schedules) number of weeks per year that a program is provided to an individual or group of individuals.</t>
  </si>
  <si>
    <t>Program Eligibility Date</t>
  </si>
  <si>
    <t>Date student is eligible for beginning the support program(s).</t>
  </si>
  <si>
    <t>Program Eligibility Expiration Date</t>
  </si>
  <si>
    <t>The month, day, and year on which the program expires because of pre-set requirements.</t>
  </si>
  <si>
    <t>Program Eligibility Status</t>
  </si>
  <si>
    <t>An indication as to whether an individual is eligible to participate in a special program or receive support services, regardless of whether he or she is actually enrolled and participating. Eligibility is based upon the specific requirements of a given program.</t>
  </si>
  <si>
    <t>Program Ending Date</t>
  </si>
  <si>
    <t>The month, day, and year on which the program or activity ends.</t>
  </si>
  <si>
    <t>Program Frequency</t>
  </si>
  <si>
    <t>The actual (fixed) or average (variable) number of days per week that a program is provided to an individual or group of individuals.</t>
  </si>
  <si>
    <t>Program Funding Beginning Date</t>
  </si>
  <si>
    <t>The month, day, and year on which the program funding begins.</t>
  </si>
  <si>
    <t>Program Funding Ending Date</t>
  </si>
  <si>
    <t>The month, day, and year on which the funding for a program ends.</t>
  </si>
  <si>
    <t>Program Funding Source</t>
  </si>
  <si>
    <t>Ultimate and intermediate providers of funds for a particular educational or service program or activity or for an individual's participation in the program or activity.</t>
  </si>
  <si>
    <t>Program Funding Source Name</t>
  </si>
  <si>
    <t>The name of the organization providing funds for the program.</t>
  </si>
  <si>
    <t>Program Funds Received</t>
  </si>
  <si>
    <t>The total amount of funds received for a particular education program or activity or for the individual's participation in the education program or activity.</t>
  </si>
  <si>
    <t>Program Goal(s) or Purpose</t>
  </si>
  <si>
    <t>A description of the goals or broad purpose for the program, including expected outcomes.</t>
  </si>
  <si>
    <t>Program Intensity</t>
  </si>
  <si>
    <t>The actual (for fixed schedules) or average (for variable schedules) number of hours or portion of hours per week that a program is provided to an individual or group of individuals.</t>
  </si>
  <si>
    <t>Program Objectives</t>
  </si>
  <si>
    <t>A description of the specific outcomes expected from the program for each intended audience.</t>
  </si>
  <si>
    <t>Program of Study Relevance</t>
  </si>
  <si>
    <t>An indication as to whether the type of work is relevant to a student's current program of study or occupational goal.</t>
  </si>
  <si>
    <t>Program Participation Reason</t>
  </si>
  <si>
    <t>Identified status or reason that a student needs special or supplemental services.</t>
  </si>
  <si>
    <t>Program Placement Date</t>
  </si>
  <si>
    <t xml:space="preserve">Date student began the support program. </t>
  </si>
  <si>
    <t>Program Plan Date</t>
  </si>
  <si>
    <t>Date the most recent program plan was completed and approved by the team responsible for developing it.</t>
  </si>
  <si>
    <t>Program Plan Effective Date</t>
  </si>
  <si>
    <t xml:space="preserve">Date by which the plan must be implemented for the student. </t>
  </si>
  <si>
    <t>Progress Toward IFSP Goals and Objectives</t>
  </si>
  <si>
    <t>Number of IFSP goals for which a child has demonstrated progress.</t>
  </si>
  <si>
    <t>Promotion Testing Status</t>
  </si>
  <si>
    <t>An indication of the status of the student with regard to test requirements for promotion decisions.</t>
  </si>
  <si>
    <t>Provider Authority</t>
  </si>
  <si>
    <t>An indication of the relationship of the health care provider to the patient.</t>
  </si>
  <si>
    <t>Provider Occupation</t>
  </si>
  <si>
    <t>A designation of the occupation of an individual who is responsible for providing a student with health care (e.g., physician, surgeon, nurse, psychiatrist, pharmacist, or midwife).</t>
  </si>
  <si>
    <t>Provider Specialty</t>
  </si>
  <si>
    <t>A designation of the particular professional discipline in which a health care provider's training and experience is focused (e.g., orthopedic surgery, urology, or psychiatry).</t>
  </si>
  <si>
    <t>Public school capture</t>
  </si>
  <si>
    <t>The description of the share of children born within an area who end up starting kindergarten in the district-assigned school five years after birth.</t>
  </si>
  <si>
    <t>Publication Description</t>
  </si>
  <si>
    <t>A description of the title, location/appearance, date, and/or other information related to an individual's publication.</t>
  </si>
  <si>
    <t>Publication Type</t>
  </si>
  <si>
    <t>An indication of the nature of an individual's professional public communication and/or performance.</t>
  </si>
  <si>
    <t>Purchase Date</t>
  </si>
  <si>
    <t>The date the equipment was purchased.</t>
  </si>
  <si>
    <t>Purpose of Assessment Special Accommodation</t>
  </si>
  <si>
    <t>The primary reason the special accommodation for the assessment was offered to a student.</t>
  </si>
  <si>
    <t>Qualified Individual with Disabilities Status</t>
  </si>
  <si>
    <t>The qualified individual is an individual with a disability who, with or without reasonable modifications to rules, policies, or practices, the removal of architectural, communication, or transportation barriers, or the provision of auxiliary aids and services, meets the essential eligibility requirements for the receipt of services or the participation in programs or activities provided by a public entity.</t>
  </si>
  <si>
    <t>Qualitative Assessment IFSP Results</t>
  </si>
  <si>
    <t>Results of the qualitative assessment of a child''s improvement and progress toward IFSP goals and objectives, based on observation, service provider and parent report, etc.</t>
  </si>
  <si>
    <t>Quarterly Employment Record Earnings</t>
  </si>
  <si>
    <t>The quarterly amount paid to individuals found employed.</t>
  </si>
  <si>
    <t>Quarterly Employment Record Reference Quarter End Date</t>
  </si>
  <si>
    <t>The year, month, and day of the last day of the reference quarter.</t>
  </si>
  <si>
    <t>Quarterly Employment Record Reference Quarter Start Date</t>
  </si>
  <si>
    <t>The year, month, and day of the first day of the reference quarter.</t>
  </si>
  <si>
    <t>Race for Federal Reporting</t>
  </si>
  <si>
    <t>The general racial and ethnic group which most clearly reflects the individual''s recognition of his or her community or with which the individual most identifies.</t>
  </si>
  <si>
    <t>Readiness for Assignment of Greater Responsibility</t>
  </si>
  <si>
    <t>The degree to which an individual's capabilities would permit successful performance in an assignment of greater responsibility if and when such a position becomes available.</t>
  </si>
  <si>
    <t>Reason for Closure</t>
  </si>
  <si>
    <t>A description of the reason or reasons for temporary or permanent closure.</t>
  </si>
  <si>
    <t>Reason for Meeting</t>
  </si>
  <si>
    <t>The purpose of the meeting.</t>
  </si>
  <si>
    <t>Reason for Non-entrance in School</t>
  </si>
  <si>
    <t>The explanation as to why an individual of compulsory school attendance age or of school census age: 1) has never entered school; 2) has not completed his or her high school work in an approved manner at the close of the preceding regular school term; or 3) was not, for some other reason, in school membership at the close of the preceding term or did not enter any local elementary or secondary school for the current regular term.</t>
  </si>
  <si>
    <t>Reason for Variation</t>
  </si>
  <si>
    <t>Information that describes and explains aspects of service delivery that varied from recommendations.</t>
  </si>
  <si>
    <t>Reason Not Eligible for Reemployment</t>
  </si>
  <si>
    <t>A description of the rationale for determining that an individual is not eligible for reemployment by the organization.</t>
  </si>
  <si>
    <t>Receiving Location of Instruction/Service Description</t>
  </si>
  <si>
    <t>A description of the location at which an individual receives instruction or service (e.g., room number, building site, campus designation, or address).</t>
  </si>
  <si>
    <t>Reemployment Eligibility</t>
  </si>
  <si>
    <t>The degree of satisfaction with an individual's past performance as it relates to future consideration of his or her possible rehiring in the organization.</t>
  </si>
  <si>
    <t>Reevaluation Date</t>
  </si>
  <si>
    <t>Date students will be reevaluated for continued placement in a support program(s).</t>
  </si>
  <si>
    <t>Referral Cause</t>
  </si>
  <si>
    <t>The specific condition or reason indicating that a referral is necessary or advisable (e.g., emotional problems, retarded reading skill development, difficulty with oral communication).</t>
  </si>
  <si>
    <t>Referral Completion Date</t>
  </si>
  <si>
    <t>The month, day, and year on which an individual is received, evaluated, and examined as a consequence of a referral.</t>
  </si>
  <si>
    <t>Referral Completion Report</t>
  </si>
  <si>
    <t>The description of the referral.</t>
  </si>
  <si>
    <t>Referral Provider Indicator</t>
  </si>
  <si>
    <t>An indication as to whether the health care provider is acting as a referring provider or a receiving provider.</t>
  </si>
  <si>
    <t>Referral Purpose</t>
  </si>
  <si>
    <t>The general reason an individual was referred for examination and assistance.</t>
  </si>
  <si>
    <t>Region Represented</t>
  </si>
  <si>
    <t>The identifier or description that indicates which geographic/jurisdictional area within the governance council’s purview is represented by the council member.</t>
  </si>
  <si>
    <t>Regional Funding Type</t>
  </si>
  <si>
    <t>The type of funding from regional entities that serves public health, education, social services, developmental disabilities, or other.</t>
  </si>
  <si>
    <t>Regular School</t>
  </si>
  <si>
    <t>A school providing instruction and educational services that do not focus primarily on special education, vocational/technical education, or alternative education.</t>
  </si>
  <si>
    <t>Regular School Period</t>
  </si>
  <si>
    <t>Indicator of whether the bell period is part of the regular school day (i.e. is not a before or after school or break period).</t>
  </si>
  <si>
    <t>Regulation Compliance Date</t>
  </si>
  <si>
    <t>The month, day, and year by which the regulation is to be met or implemented.</t>
  </si>
  <si>
    <t>Regulation Description</t>
  </si>
  <si>
    <t>A description of the regulation.</t>
  </si>
  <si>
    <t>Regulation Issue Date</t>
  </si>
  <si>
    <t>The month, day, and year that the statute is issued.</t>
  </si>
  <si>
    <t>Regulation Non-compliance Reason</t>
  </si>
  <si>
    <t>A description of the reason that the regulation requirements were not fulfilled.</t>
  </si>
  <si>
    <t>Regulation Promulgation Requirements</t>
  </si>
  <si>
    <t>An indication of the promulgation actions and the associated requirements for the regulation.</t>
  </si>
  <si>
    <t>Regulation Title</t>
  </si>
  <si>
    <t>The full, legally accepted or popularly accepted name or title of a regulation, including non-regulatory guidance.</t>
  </si>
  <si>
    <t>Related Emergency Needs</t>
  </si>
  <si>
    <t>Specification of possible or actual emergency care an individual may require.</t>
  </si>
  <si>
    <t>Related to Special Education Manifestation Hearing</t>
  </si>
  <si>
    <t>An indication of whether or not any of the disciplinary actions taken against a student were imposed as a consequence of the incident being related to a special education manifestation hearing.</t>
  </si>
  <si>
    <t>Relationship to Staff Member</t>
  </si>
  <si>
    <t>An indication of an employee's relationship with an individual or organization (e.g., a charity to which benefits are designated).</t>
  </si>
  <si>
    <t>Released Time</t>
  </si>
  <si>
    <t>The amount of time a school officially and regularly excuses a full-time student for part of a session. This may be for reasons such as need at home, work on special activity, approved employment, high school students taking college courses, religious instruction, and reduced schedule because of physical or emotional condition or doctor's appointments.</t>
  </si>
  <si>
    <t>Religious Affiliation</t>
  </si>
  <si>
    <t>The religion or religious group (e.g., the specific unified system of religious expression) with which the individual or institution most identifies.</t>
  </si>
  <si>
    <t>Religious Consideration</t>
  </si>
  <si>
    <t>A restriction or other considerations for medical treatment because of the doctrines of an individual's religion.</t>
  </si>
  <si>
    <t>Remarks about Specific Program Participation and Student Support</t>
  </si>
  <si>
    <t>Further information or comments about the student's participation and/or progress in early childhood, student support, and/or special assistance programs. This section may include information from submitted reports used to monitor the student.</t>
  </si>
  <si>
    <t>Report Title</t>
  </si>
  <si>
    <t>The description of the name or contents of the report.</t>
  </si>
  <si>
    <t>Report Type</t>
  </si>
  <si>
    <t>The type of report expected to be completed.</t>
  </si>
  <si>
    <t>Reported to Law Enforcement</t>
  </si>
  <si>
    <t>An indication of whether the school resource officer or any other law enforcement official was notified about the incident, regardless of whether official action is taken.</t>
  </si>
  <si>
    <t>Reporting and Documentation</t>
  </si>
  <si>
    <t>The description of results of a qualitative assessment of a student's performance, progress, or development. Such observations and/or evaluations are often documented in the form of a parent or teacher report, or a student's performance portfolio, and may be used when planning education and care for the student.</t>
  </si>
  <si>
    <t>Reporting Means</t>
  </si>
  <si>
    <t>The means by which routine information about a student's achievement or progress is communicated to the student and his or her parent/guardian for each grading period.</t>
  </si>
  <si>
    <t>Reporting Method</t>
  </si>
  <si>
    <t>The method that the instructor of the class uses to report the performance and achievement of all students. It may be a qualitative method such as individualized teacher comments or a quantitative method such as a letter or numerical grade. In some cases, more than one type of reporting method may be used.</t>
  </si>
  <si>
    <t>Repository Date</t>
  </si>
  <si>
    <t>Date document data was added to the repository</t>
  </si>
  <si>
    <t>Requested Date of Completion</t>
  </si>
  <si>
    <t>The month, day, and year that the school-based personnel initiating the work order request would like to have it completed.</t>
  </si>
  <si>
    <t>Required Application Experience Level</t>
  </si>
  <si>
    <t>An indication of the individual's level of skill or experience using the software application (e.g., expert, intermediate, novice or years of experience).</t>
  </si>
  <si>
    <t>Required Software Application Category</t>
  </si>
  <si>
    <t>An indication of the type of software application that is required for the position in question (e.g., spreadsheet, word processing, database, Internet use, web development, statistical analysis).</t>
  </si>
  <si>
    <t>Required Software Application Title</t>
  </si>
  <si>
    <t>An indication of the title of a software application required for the position in question.</t>
  </si>
  <si>
    <t>Residence after Exiting/Withdrawing from School</t>
  </si>
  <si>
    <t>The residence of the student immediately after exiting/withdrawing from school for an exit reason other than graduation.</t>
  </si>
  <si>
    <t>Residence Block Number</t>
  </si>
  <si>
    <t>A number assigned to a particular block of residences.</t>
  </si>
  <si>
    <t>Resident</t>
  </si>
  <si>
    <t>An indication as to whether or not the student''s legal residence was within the boundaries of the school during the time between the Start Date and End Date, inclusive.</t>
  </si>
  <si>
    <t>Resolution of Complaint</t>
  </si>
  <si>
    <t>Any action taken by the employer to resolve the complaint filed by another individual against the employee about his or her employment.</t>
  </si>
  <si>
    <t>Resource Author</t>
  </si>
  <si>
    <t>The name of the author of the resource.</t>
  </si>
  <si>
    <t>Resource Check Out Date</t>
  </si>
  <si>
    <t>The month, day, and year that the resource was taken out of the classroom.</t>
  </si>
  <si>
    <t>Resource Cost</t>
  </si>
  <si>
    <t>An indication of the cost of the resource.</t>
  </si>
  <si>
    <t>Resource Description</t>
  </si>
  <si>
    <t>The description of the resource.</t>
  </si>
  <si>
    <t>Resource Due Date</t>
  </si>
  <si>
    <t>The month, day, and year that the resource is due to be returned to the classroom.</t>
  </si>
  <si>
    <t>Resource Location</t>
  </si>
  <si>
    <t>A description of the location of a resource issued to student (e.g., location in library or URL, community resource, outside resource supplier).</t>
  </si>
  <si>
    <t>Resource Media</t>
  </si>
  <si>
    <t>The media type through which the resource is delivered.</t>
  </si>
  <si>
    <t>Resource Publisher</t>
  </si>
  <si>
    <t>The name of the organization that publishes the resource material.</t>
  </si>
  <si>
    <t>Resource Status</t>
  </si>
  <si>
    <t>A description of the availability or status of the resource (e.g., "checked out").</t>
  </si>
  <si>
    <t>Resource Title</t>
  </si>
  <si>
    <t>The title of the resource used for instruction (e.g., textbook, Internet source, media, software).</t>
  </si>
  <si>
    <t>Resource Title Checked Out</t>
  </si>
  <si>
    <t>The title of the resource the student took out of the classroom.</t>
  </si>
  <si>
    <t>Response Form Design</t>
  </si>
  <si>
    <t>Information about how the nature of a student's response is captured.</t>
  </si>
  <si>
    <t>Revenue from Community Service Activities Type</t>
  </si>
  <si>
    <t>Revenue from community service activities operated by a school district. For example, revenue received from a skating facility by a school district as a community service would be recorded in account code 1800. Multiple accounts may be established within the 1800 series to differentiate various activities.</t>
  </si>
  <si>
    <t>Roof Construction</t>
  </si>
  <si>
    <t>The uppermost exterior plane of a building structure.</t>
  </si>
  <si>
    <t>Roof Covering</t>
  </si>
  <si>
    <t>The design or structure of roof. The material used as the exposed surface of the roof.</t>
  </si>
  <si>
    <t>Routine Health Care Procedure Required at School</t>
  </si>
  <si>
    <t>A non-emergency health care procedure (e.g., scoliosis test) or medication administered by a qualified school staff member during the hours of school attendance or while he or she is under the guidance and care of school staff members.</t>
  </si>
  <si>
    <t>Rule/Regulation Violated</t>
  </si>
  <si>
    <t>A description of the rule, regulation, or standard that was violated when an incident occurred (e.g., the identification of a relevant law, conduct standard, or acceptable use policy).</t>
  </si>
  <si>
    <t>Safe Harbor Application for AYP</t>
  </si>
  <si>
    <t>An indication of whether the district or school met Adequate Yearly Progress (AYP) because of the state''s implementation of the Safe Harbor Provision.</t>
  </si>
  <si>
    <t>Salary for Overtime</t>
  </si>
  <si>
    <t>The amount paid to an individual in either a temporary or permanent position for services rendered that are additional to those performed in the normal work period for which he or she is compensated under regular or temporary salary or wage rate.</t>
  </si>
  <si>
    <t>Same Physical Location of Instruction</t>
  </si>
  <si>
    <t>An indication as to whether the originating and receiving locations of instruction are in the same physical location.</t>
  </si>
  <si>
    <t>Scale Score 25th Percentile</t>
  </si>
  <si>
    <t>Scale score at the 25th percentile.</t>
  </si>
  <si>
    <t>Scale Score 50th Percentile</t>
  </si>
  <si>
    <t>Scale score at the 50th percentile.</t>
  </si>
  <si>
    <t>Scale Score 75th Percentile</t>
  </si>
  <si>
    <t>Scale score at the 75th percentile.</t>
  </si>
  <si>
    <t>Scheduled Work Days Weekly</t>
  </si>
  <si>
    <t>The specific day(s) of a week that an individual is scheduled to perform for an employer (e.g., Monday, Wednesday, and Friday; Monday to Friday).</t>
  </si>
  <si>
    <t>Scheduled Work Months Annually</t>
  </si>
  <si>
    <t>The specific month(s) of a year that an individual is scheduled to perform for an employer (e.g., September to May; June, and August to December).</t>
  </si>
  <si>
    <t>Scheduled Work Time Daily</t>
  </si>
  <si>
    <t>The specific hours during a day that an individual is scheduled to work for an employer, including a starting and ending work time (e.g., 9:00 A.M. to 6:00 P.M., 1:00 P.M. to 5:00 P.M.).</t>
  </si>
  <si>
    <t>School Attendance Area</t>
  </si>
  <si>
    <t>A description of the geographic area that is encompassed by the enrollment boundaries of the school.</t>
  </si>
  <si>
    <t>School District of Residence Code</t>
  </si>
  <si>
    <t>A unique number or alphanumeric code assigned to the school district of residence.</t>
  </si>
  <si>
    <t>School District Subdivision</t>
  </si>
  <si>
    <t>The number, letter, or name that describes an organizational subdivision of a school district.</t>
  </si>
  <si>
    <t>School Food Services Eligibility Beginning Date</t>
  </si>
  <si>
    <t>The month, day, and year on which the student''s current food services eligibility status went into effect.</t>
  </si>
  <si>
    <t>School Food Services Eligibility Determination Indicator</t>
  </si>
  <si>
    <t>The means by which a student''s eligibility for free or reduced price school food services is determined.</t>
  </si>
  <si>
    <t>School Food Services Eligibility Ending Date</t>
  </si>
  <si>
    <t>The month, day, and year on which the student''s current food services eligibility status will no longer be in effect.</t>
  </si>
  <si>
    <t>School Food Services Participation Basis</t>
  </si>
  <si>
    <t>The basis on which eligibility for participation in a free or reduced price school food service program is established.</t>
  </si>
  <si>
    <t>School Food Services Type</t>
  </si>
  <si>
    <t>The type of school food service program(s) offered to students.</t>
  </si>
  <si>
    <t>School Health Emergency Action</t>
  </si>
  <si>
    <t>An emergency administration of medication, provision of medical procedures, or care for serious injuries (those requiring immediate attention from a health care provider and causing a student to miss more than one-half day of school) a student receives during the hours of school attendance or while he or she is under the guidance and care of school staff members.</t>
  </si>
  <si>
    <t>School Honor or Award</t>
  </si>
  <si>
    <t>A description of educational or professional honors or awards earned by the school.</t>
  </si>
  <si>
    <t>School Threat Violation</t>
  </si>
  <si>
    <t xml:space="preserve">Any threat (verbal, written, or electronic) by a person to bomb or use other substances or devices for the purpose of exploding, burning, causing damage to a school building or school property, or to harm students or staff. </t>
  </si>
  <si>
    <t>School Use Type</t>
  </si>
  <si>
    <t>How a building is used for education, regardless of its intent or original design.</t>
  </si>
  <si>
    <t>School/Local Education Agency Enrollment Status</t>
  </si>
  <si>
    <t>An indication as to whether an individual (e.g., a sibling) is enrolled in the same school or local education agency.</t>
  </si>
  <si>
    <t>Scope of Assignment</t>
  </si>
  <si>
    <t>The range or extent of an individual's current assignment.</t>
  </si>
  <si>
    <t>Score Interpretation Information</t>
  </si>
  <si>
    <t>The type of unusual testing conditions that must be known to properly interpret an individual's test score.</t>
  </si>
  <si>
    <t>Score Range</t>
  </si>
  <si>
    <t>The lowest and highest individual scale scores obtained by a group of students who are in the reference group.</t>
  </si>
  <si>
    <t>Screening Administration Date</t>
  </si>
  <si>
    <t>The month, day, and year on which a child participates in screening activities.</t>
  </si>
  <si>
    <t>Screening Instrument Description/Title</t>
  </si>
  <si>
    <t>The description or title of a screening instrument that has been used to identify or evaluate an individual''s need for an evaluation.</t>
  </si>
  <si>
    <t>Screening Location</t>
  </si>
  <si>
    <t>The place where the child''s screening activities were administered, such as home, hospital, etc.</t>
  </si>
  <si>
    <t>Seating Capacity</t>
  </si>
  <si>
    <t>The number of individuals who can ride on the vehicle at the same time.</t>
  </si>
  <si>
    <t>Secondary Disability Type</t>
  </si>
  <si>
    <t>A secondary disability condition that is identified with an individual, as distinguished from a primary disability.</t>
  </si>
  <si>
    <t>Section Count for Attendance</t>
  </si>
  <si>
    <t>An indicator of whether attendance in this section is collected and used in attendance calculations.</t>
  </si>
  <si>
    <t>Seniority Date</t>
  </si>
  <si>
    <t>The month, day, and year on which an individual's seniority in a position was established.</t>
  </si>
  <si>
    <t>Served Facilities Identification Code</t>
  </si>
  <si>
    <t>A unique number or alphanumeric code assigned to a kitchen by a school, school system, state, or other agency or entity to identify facilities served by a central or production kitchen.</t>
  </si>
  <si>
    <t>Service Alternatives</t>
  </si>
  <si>
    <t>A professional opinion of an evaluator as to whether corrective or rehabilitative services are required for an individual (e.g., speech therapy) because of his or her condition or impairment.</t>
  </si>
  <si>
    <t>Service and Pedestrian Tunnels</t>
  </si>
  <si>
    <t>A description of passageways above- and below-ground that must be completed during site development.</t>
  </si>
  <si>
    <t>Service Category</t>
  </si>
  <si>
    <t>The type of service, typically designated by a state.</t>
  </si>
  <si>
    <t>Service Description</t>
  </si>
  <si>
    <t>The title (or description) which identifies a particular service that a student receives.</t>
  </si>
  <si>
    <t>Service Plan Date</t>
  </si>
  <si>
    <t>The month, day, and year on which the status of the service plan for a child is established or significantly altered.</t>
  </si>
  <si>
    <t>Service Plan Meeting Location</t>
  </si>
  <si>
    <t>The place in which a child''s service plan meeting is held.</t>
  </si>
  <si>
    <t>Service Plan Signature Date</t>
  </si>
  <si>
    <t>The month, day, and year on which the service plan document is signed.</t>
  </si>
  <si>
    <t>Service Population</t>
  </si>
  <si>
    <t>The number of school-age children who reside within a school attendance area and are thus eligible for education and services by a school.</t>
  </si>
  <si>
    <t>Service Role</t>
  </si>
  <si>
    <t>An indication of the general role an individual performs in current employment.</t>
  </si>
  <si>
    <t>Service Setting</t>
  </si>
  <si>
    <t>The setting and circumstance in which a student is served. (e.g., the educational placement of the student).</t>
  </si>
  <si>
    <t>Service work Job Classification</t>
  </si>
  <si>
    <t>A general job classification that describes staff that performs tasks regardless of level of difficulty which relates to both protective and nonprotective supportive services.</t>
  </si>
  <si>
    <t>Services Covered by Insurance</t>
  </si>
  <si>
    <t>The title (or description) that identifies a service that a family''s insurance covers.</t>
  </si>
  <si>
    <t>Services Not Covered</t>
  </si>
  <si>
    <t>The title (or description) that identifies a service that a family''s insurance does not cover.</t>
  </si>
  <si>
    <t>Services Partially Covered</t>
  </si>
  <si>
    <t>The title, or description, that identifies a service that a family''s insurance only partially covers.</t>
  </si>
  <si>
    <t>Session Name</t>
  </si>
  <si>
    <t>The name of the session during the school year in which coursework was completed (e.g., Fall Semester).</t>
  </si>
  <si>
    <t>Severance Pay</t>
  </si>
  <si>
    <t>The amount of money, based on last salary, length of service and age, which an employee may be paid when separated involuntarily from an agency, such as during a reduction-in-force. In most cases, an employee is ineligible for severance pay if the separation results from misconduct or if he or she is eligible to retire on an immediate annuity.</t>
  </si>
  <si>
    <t>Site Electrical Utilities</t>
  </si>
  <si>
    <t>The exterior site related eletrical systems and components.</t>
  </si>
  <si>
    <t>Site Improvements</t>
  </si>
  <si>
    <t>Designed and constructed modifications to a site.</t>
  </si>
  <si>
    <t>Site Preparation</t>
  </si>
  <si>
    <t>Activities required to physically prepare a site for construction.</t>
  </si>
  <si>
    <t>Software Application License Number</t>
  </si>
  <si>
    <t>The number assigned to a piece of software that serves as proof of purchase and evidence of the legal right to use application.</t>
  </si>
  <si>
    <t>Software Application Type</t>
  </si>
  <si>
    <t>A computer program used to accomplish specific tasks not related to the computer itself.</t>
  </si>
  <si>
    <t>Software Application Version and Release Number</t>
  </si>
  <si>
    <t>A major edition of a computer program. The version number changes when a software developer makes major alterations to the software (e.g., significant new features are added). The version number is a whole number following the name of the software, in contrast to the release number, which is the decimal number after the version number. For example, when Software 2.0 undergoes minor changes, it could be re-released as Software 2.1 (i.e., it has been given a new release number in the decimal spot). When it later undergoes significant revamping, the new version would be Software 3.0.</t>
  </si>
  <si>
    <t>Source of Complaint</t>
  </si>
  <si>
    <t>The origin of any statement or official expression submitted by another individual against the employee about his or her employment.</t>
  </si>
  <si>
    <t>Special Accommodation Requirements</t>
  </si>
  <si>
    <t>Specific requirements needed to accommodate a student's physical needs, which may include special equipment installed in a vehicle or a special arrangement for transportation.</t>
  </si>
  <si>
    <t>Special Adaptation Requirements</t>
  </si>
  <si>
    <t>The description of special adaptation due to health or religious reasons that an individual needs to perform his or her duties.</t>
  </si>
  <si>
    <t>Special Assistance Program Name</t>
  </si>
  <si>
    <t>The name of the services that result specifically from the receipt of federal, state, and local funds or other assistance by the school, the school district, the student, or his or her family, as designated by a grant, act, or public program. Such assistance (e.g., Title 1 funds) is used explicitly for purposes specified by the appropriator. The allocation of funds is usually dependent upon the status or condition of the student and/or his or her family. Eligibility requirements may be based upon such diverse factors as income level, educational achievement, veteran''s status, obsolescent occupation, and/or disabilities of individuals within an identifiable population or carefully drawn geographic or political subdivision.</t>
  </si>
  <si>
    <t>Special Construction</t>
  </si>
  <si>
    <t>Building or component construction that is based on a non-standard design or the result of special conditions--such as excess noise, or seismic conditions.</t>
  </si>
  <si>
    <t>Special Contact Group Empathies</t>
  </si>
  <si>
    <t>Notation of an individual's interest and ability to work with special contact groups, based on factors such as bilingualism, racial or ethnic background, or religion.</t>
  </si>
  <si>
    <t>Special Diet Considerations</t>
  </si>
  <si>
    <t>Any regimen of special or limited food and drink intake chosen voluntarily for medical, religious, or personal reasons, or prescribed for health reasons.</t>
  </si>
  <si>
    <t>Calculated ratio of time the student is in a special ed setting. Values range from 0.00 to 1.00. If the student is in a special ed setting 25% of the time, the value is .25; if 100% of the time, the value is 1.00.</t>
  </si>
  <si>
    <t>Special Education School</t>
  </si>
  <si>
    <t>A school that adapts the curriculum, materials, or instruction for students identified as needing special education. This may include instruction for students with any of the following: autism, deaf-blindness, hearing impairment, mental retardation, multiple disabilities, orthopedic impairment, serious emotional disturbance, specific learning disability, speech or language impairment, traumatic brain injury, visual impairment, and other health impairments.</t>
  </si>
  <si>
    <t>Special Education Services Program Type</t>
  </si>
  <si>
    <t>The types of service, specially designed and at no cost to the parent/guardian, that adapts the curriculum, materials, or instruction for students identified as needing special education because of a disabling condition. This may include specially designed instruction for students with any of the following: autism, deaf-blindness, developmental delay (to age 9), hearing impairment, mental retardation, multiple disabilities, orthopedic impairment, serious emotional disturbance, specific learning disability, speech or language impairment, traumatic brain injury, visual impairment, and other health information.</t>
  </si>
  <si>
    <t>Special Terms</t>
  </si>
  <si>
    <t>A description of any special benefits of an individual's coverage (e.g., double indemnity benefits).</t>
  </si>
  <si>
    <t>Staff Advisor for Credential Renewal</t>
  </si>
  <si>
    <t>The individual in charge of advising the individual on the requirements for renewal of credentials.</t>
  </si>
  <si>
    <t>Staff Program Name</t>
  </si>
  <si>
    <t>The name of the program of work, series of courses, individual course, or training program in which an individual is involved.</t>
  </si>
  <si>
    <t>Stair Construction</t>
  </si>
  <si>
    <t>The design or structure of stairs.</t>
  </si>
  <si>
    <t>Stair Finishes</t>
  </si>
  <si>
    <t>The type of covering, structural or not, of stairs.</t>
  </si>
  <si>
    <t>Staircases</t>
  </si>
  <si>
    <t>Construction designed to bridge a large vertical distance by dividing it into smaller vertical distances, called steps.</t>
  </si>
  <si>
    <t>Standardization Group</t>
  </si>
  <si>
    <t>The group for which the scores of an assessment have been standardized for use in interpreting the results.</t>
  </si>
  <si>
    <t>Standardization Year</t>
  </si>
  <si>
    <t>The year when the assessment was given to a sample of students for the purpose of establishing a standard of performance for that group of students.</t>
  </si>
  <si>
    <t>Start Date</t>
  </si>
  <si>
    <t>The starting date on which information in an instance, school year, or reporting period is applicable.</t>
  </si>
  <si>
    <t>Start Day</t>
  </si>
  <si>
    <t>Number of the first school day to which an instance, school year, or reporting period applies.</t>
  </si>
  <si>
    <t>State FIPS (Federal Information Processing Standards) Code</t>
  </si>
  <si>
    <t>The Federal Information Processing Standards (FIPS) numeric code for the state.</t>
  </si>
  <si>
    <t>State Funding Type</t>
  </si>
  <si>
    <t>The type of funding state agencies such as public health, education, social services, developmental disabilities, or other.</t>
  </si>
  <si>
    <t>State Higher Education Course Requirement</t>
  </si>
  <si>
    <t>Code indicating that the course meets the state university admissions requirements for a particular subject area.</t>
  </si>
  <si>
    <t>State Transportation Aid Qualification</t>
  </si>
  <si>
    <t>The qualification status of a student entitling the local education agency to receive state transportation aid.</t>
  </si>
  <si>
    <t>State-assigned Code for Organization</t>
  </si>
  <si>
    <t>A unique number or alphanumeric code assigned by the state for the institution.</t>
  </si>
  <si>
    <t>State-assigned County Code</t>
  </si>
  <si>
    <t>A unique number of alphanumeric code assigned for the county by the state.</t>
  </si>
  <si>
    <t>Status of Work Order Request</t>
  </si>
  <si>
    <t>The status of the work order request.</t>
  </si>
  <si>
    <t>Statute Title</t>
  </si>
  <si>
    <t>The full, legally accepted or popularly accepted name or title of a statute. (e.g., Individuals with Disabilities Act, Elementary and Secondary Education Act, School-to-Work Opportunities Act).</t>
  </si>
  <si>
    <t>Student Ability Grouped Status</t>
  </si>
  <si>
    <t>An indication that the student is ability grouped for instruction in mathematics or English-reading-language arts.</t>
  </si>
  <si>
    <t>Student assignment</t>
  </si>
  <si>
    <t>The designation of children to an age appropriate public school.</t>
  </si>
  <si>
    <t>Student Full-time Status</t>
  </si>
  <si>
    <t>The status given to a student in relation to the course load that he or she is carrying.</t>
  </si>
  <si>
    <t>Student Growth</t>
  </si>
  <si>
    <t>The difference between scores across two or more assessments that is used to indicate the student''s progress over time in achieving the content measured by the examination.</t>
  </si>
  <si>
    <t>Student Level of Tuition Status</t>
  </si>
  <si>
    <t>Information indicating the extent of tuition payment required of a student.</t>
  </si>
  <si>
    <t>Student mobility</t>
  </si>
  <si>
    <t>The exit of students from a school prior to completing the last grade of the school in which they are enrolled.</t>
  </si>
  <si>
    <t>Student Progress</t>
  </si>
  <si>
    <t>Progress for a student on given learning standards or objectives. This can be represented in a percentage, narrative or any measure.</t>
  </si>
  <si>
    <t>Student Transportation Services</t>
  </si>
  <si>
    <t>Information about whether or not a student is transported to and/or from school or receives services, aid, or payment in lieu of transportation.</t>
  </si>
  <si>
    <t>Substance Abuse Description</t>
  </si>
  <si>
    <t>A description of an instance during which an individual is known to have used licit or illicit drugs (e.g., heroin, amphetamines, barbiturates, prescription drugs, or alcohol) in an amount, frequency, and/or pattern of use that interfered with his or her psychological, physiological, social, and/or academic functioning.</t>
  </si>
  <si>
    <t>Substitute Status</t>
  </si>
  <si>
    <t>An indication of an individual's willingness to perform services for an employer on an as-needed basis.</t>
  </si>
  <si>
    <t>Suicide Violation</t>
  </si>
  <si>
    <t xml:space="preserve">Act or instance of taking one''s own life voluntarily and intentionally. </t>
  </si>
  <si>
    <t>Supplemental Pay Type</t>
  </si>
  <si>
    <t>An indication of the type of additional monetary compensation to an individual for his or her performance, position, additional duties or responsibilities, professional development or qualification, or extended time of work.</t>
  </si>
  <si>
    <t>Surplus Date</t>
  </si>
  <si>
    <t>The date the equipment was put into surplus.</t>
  </si>
  <si>
    <t>Tax Revenue Type</t>
  </si>
  <si>
    <t>The tax revenue designated for repaying school construction bonds.</t>
  </si>
  <si>
    <t>Teacher Involvement in Assessment Development</t>
  </si>
  <si>
    <t>The way in which teachers were involved in the development and/or scoring of the assessment.</t>
  </si>
  <si>
    <t>Teaching Assignment</t>
  </si>
  <si>
    <t>The teaching field taught by an individual.</t>
  </si>
  <si>
    <t>Teaching Field or Area Authorized</t>
  </si>
  <si>
    <t>An indication of a teaching field within which an individual is authorized to teach by an active teaching credential. In a departmentalized organization, a teaching field is a major subdivision of the educational program such as language arts, mathematics, music, distributive education, or physical education. In a non-departmentalized situation or in a self-contained classroom, a general teaching level such as elementary or secondary may be the most accurate designation of a teaching field.</t>
  </si>
  <si>
    <t>Technical Job Classification</t>
  </si>
  <si>
    <t xml:space="preserve">A general job classification that describes staff that performs tasks requiring a combination of basic scientific knowledge and manual skills which can be obtained through approximately two years of postsecondary education such as that which is offered in community/junior colleges and technical institutes, or through equivalent special study and/or on-the-job training. </t>
  </si>
  <si>
    <t>Technology Equipment</t>
  </si>
  <si>
    <t>The type of technology equipment.</t>
  </si>
  <si>
    <t>Technology Equipment Networking</t>
  </si>
  <si>
    <t>The networks to which the technology equipment is connected.</t>
  </si>
  <si>
    <t>Technology Equipment Use Purpose</t>
  </si>
  <si>
    <t>An indication whether a piece of technology equipment is for one specific use purpose.</t>
  </si>
  <si>
    <t>Technology Skills Assessed</t>
  </si>
  <si>
    <t>An indication that the individual was assessed against the standards-based performance profiles of technology user skills as defined by the state.</t>
  </si>
  <si>
    <t>Telephone Status</t>
  </si>
  <si>
    <t>A description of preferred communication type or special circumstances which affect communication to an individual, organization, or institution via telephone (e.g., no telephone connection, TTY used, no one available to answer the telephone during certain hours).</t>
  </si>
  <si>
    <t>Tenure Date</t>
  </si>
  <si>
    <t>The month, day, and year on which an individual obtained tenure.</t>
  </si>
  <si>
    <t>Tertiary Disability Type</t>
  </si>
  <si>
    <t>A tertiary disability condition that is identified with an individual, as distinguished from a primary disability.</t>
  </si>
  <si>
    <t>Test Score Status</t>
  </si>
  <si>
    <t>The validity and use of the test score.</t>
  </si>
  <si>
    <t>Theft Violation</t>
  </si>
  <si>
    <t>The unlawful taking of property belonging to another person or entity (e.g., school) without threat, violence or bodily harm. Electronic theft of data should be coded here. Do not include dealing in stolen goods in this category.</t>
  </si>
  <si>
    <t>Threat/Intimidation Violation</t>
  </si>
  <si>
    <t>Physical, verbal, written, or electronic action which immediately creates fear of harm, without displaying a weapon and without subjecting the victim to actual physical attack.</t>
  </si>
  <si>
    <t>Time Expended</t>
  </si>
  <si>
    <t>The amount of time relevant to measuring the unit of work in which the individual is engaged. Units of work may be measured in hours, days, weeks, months, or sessions. A painter employed by the hour might be measured by the number of squares (e.g., 10 feet by 10 feet) painted per hour, while a pscyhometrist's efforts would be measured by the number of students assessed per week or per session.</t>
  </si>
  <si>
    <t>Time Inside a Regular Classroom</t>
  </si>
  <si>
    <t>Time Outside a Regular Classroom</t>
  </si>
  <si>
    <t>TORC - The percentage of time a student spends outside a regular classroom. To calculate the percentage of time outside the regular classroom, divide the number of hours the student spends inside the regular classroom by the total number of hours in the school day (including lunch, recess and study periods).</t>
  </si>
  <si>
    <t>Time Period</t>
  </si>
  <si>
    <t>A specific fiscal or calendar year.</t>
  </si>
  <si>
    <t>Time Period Classification</t>
  </si>
  <si>
    <t>An indication of the manner in which yearly time periods are accounted for.</t>
  </si>
  <si>
    <t>Timetable Day Name</t>
  </si>
  <si>
    <t>The name of the timetable day.</t>
  </si>
  <si>
    <t>Timetable Period Identifier</t>
  </si>
  <si>
    <t>The unique identifier for the timetable period for this school calendar.</t>
  </si>
  <si>
    <t>Timetable Period Name</t>
  </si>
  <si>
    <t>The name of the timetable period.</t>
  </si>
  <si>
    <t>Title I District Status</t>
  </si>
  <si>
    <t>An indication that a district is designated under State and Federal regulations as being a Title I district.</t>
  </si>
  <si>
    <t>Title III LEP Instructors Needed in Next 5 Years</t>
  </si>
  <si>
    <t>The estimated number of additional certified/licensed teachers that will be needed for Title III language instruction educational programs in the next 5 years.</t>
  </si>
  <si>
    <t>Title III/LEP Instructor Credential Type</t>
  </si>
  <si>
    <t>An indication of the category of credential a LEP instructor holds.</t>
  </si>
  <si>
    <t>Tobacco Violation</t>
  </si>
  <si>
    <t xml:space="preserve">Possession, use, distribution, or sale of tobacco products. </t>
  </si>
  <si>
    <t>Total Capital Expenditure</t>
  </si>
  <si>
    <t>The total expenditures related to the acquisition and disposition of property.</t>
  </si>
  <si>
    <t>Total Caseload</t>
  </si>
  <si>
    <t>The total number of children, or children and families, for whom an employee provides services.</t>
  </si>
  <si>
    <t>Total Cost of Education to Student</t>
  </si>
  <si>
    <t>The total amount of expenditures required of a student to receive instructional services from an educational institution.</t>
  </si>
  <si>
    <t>Total Days in Grading Period</t>
  </si>
  <si>
    <t>The total number of days in a given grading period. Also included are days on which the education institution facility is closed and the student body as a whole is engaged in planned activities off-campus under the guidance and direction of staff members.</t>
  </si>
  <si>
    <t>Total Distance Transported</t>
  </si>
  <si>
    <t>The total round-trip distance the student travels between his or her transfer point or bus stop and school (including the subsequent return trip).</t>
  </si>
  <si>
    <t>Total Number of Years of Prior Experience</t>
  </si>
  <si>
    <t>The cumulative total number of years (e.g., 3 years, 2.5 years) an individual has previously held employment.</t>
  </si>
  <si>
    <t>Track Identifier</t>
  </si>
  <si>
    <t>The name or description of the track in a year-round school.</t>
  </si>
  <si>
    <t>Track In Date</t>
  </si>
  <si>
    <t>The first month, day, and year of the track that instruction is provided to the individual in a year-round school.</t>
  </si>
  <si>
    <t>Track Out Date</t>
  </si>
  <si>
    <t>The last month, day, and year of the track that the individual receives instruction in a year-round school.</t>
  </si>
  <si>
    <t>Track System</t>
  </si>
  <si>
    <t>An indication of the type of schedule of instruction and vacation periods that are in a year-round school.</t>
  </si>
  <si>
    <t>Transcript Course</t>
  </si>
  <si>
    <t>Course is included in student’s transcript.</t>
  </si>
  <si>
    <t>Transition Meeting Date</t>
  </si>
  <si>
    <t>The month, day, and year on which a transition meeting is held.</t>
  </si>
  <si>
    <t>Transition Meeting Location</t>
  </si>
  <si>
    <t>The place where a transition meeting is held.</t>
  </si>
  <si>
    <t>Transition Meeting Participants</t>
  </si>
  <si>
    <t>The position titles of individuals who attend the transition meeting.</t>
  </si>
  <si>
    <t>Transition Plan Signature</t>
  </si>
  <si>
    <t>The position titles of individuals who sign a written transition plan.</t>
  </si>
  <si>
    <t>Transition Plan Signature Date</t>
  </si>
  <si>
    <t>The month, day, and year on which a written transition plan is signed.</t>
  </si>
  <si>
    <t>Transition Service Description</t>
  </si>
  <si>
    <t>The title (or description) that identifies a particular transition service a child will receive, as listed on the transition plan.</t>
  </si>
  <si>
    <t>Transportation at Public Expense Eligibility</t>
  </si>
  <si>
    <t>The eligibility of a student for transportation between home and school at local public expense because of distance, disability, or other reasons.</t>
  </si>
  <si>
    <t>Travel Beginning Date</t>
  </si>
  <si>
    <t>The month, day, and year on which an individual embarked on a trip.</t>
  </si>
  <si>
    <t>Travel Ending Date</t>
  </si>
  <si>
    <t>The month, day, and year on which an individual returned from a trip.</t>
  </si>
  <si>
    <t>Travel Location</t>
  </si>
  <si>
    <t>The city, state and/or country of the destination of a trip taken by an individual.</t>
  </si>
  <si>
    <t>Travel Purpose</t>
  </si>
  <si>
    <t>The purpose of a trip taken by an individual.</t>
  </si>
  <si>
    <t>Tribal or Clan Name</t>
  </si>
  <si>
    <t>A name borne in common by members of a tribe or clan (e.g., the Matai name in Samoa).</t>
  </si>
  <si>
    <t>Tuberculosis Test Procedure</t>
  </si>
  <si>
    <t>An instance in which a controlled amount of tuberculin is applied to an individual to determine the presence or absence of a tuberculosis infection. Examples of specific procedures include the Mantoux test, the patch test, the tine test, and the Von Pirquet test.</t>
  </si>
  <si>
    <t>Tuition Payment Amount</t>
  </si>
  <si>
    <t>Payments, charged on a per-term or annual basis, required of a student for instructional services in a program of study.</t>
  </si>
  <si>
    <t>Type of Vending Item</t>
  </si>
  <si>
    <t>The type of food or beverage offered in a vending machine.</t>
  </si>
  <si>
    <t>Uncorrected Score/Results</t>
  </si>
  <si>
    <t>A qualitative or quantitative description or indicator of an individual's health status, condition, performance, or assessed ability without the assistance of corrective equipment. This is recorded after a medical examination is performed.</t>
  </si>
  <si>
    <t>Uniform Resource Identifier</t>
  </si>
  <si>
    <t>A Uniform Resource Identifier (URI) consists of a string of characters used to identify or name a resource on the Internet. Such identification enables interaction with representations of the resource over a network (typically the World Wide Web) using specific protocols. URIs are defined in schemes specifying a specific syntax and associated protocols.</t>
  </si>
  <si>
    <t>Unique Course Code</t>
  </si>
  <si>
    <t>A unique number that identifies the classroom, the subjects taught, and the instructors that are assigned.</t>
  </si>
  <si>
    <t>Unique Position Number</t>
  </si>
  <si>
    <t>A unique number that is used for identifying a position within an organization.</t>
  </si>
  <si>
    <t>Unit Duration</t>
  </si>
  <si>
    <t>An estimate of the duration of time for the lesson unit.</t>
  </si>
  <si>
    <t>Unit Name</t>
  </si>
  <si>
    <t>The name of the lesson unit.</t>
  </si>
  <si>
    <t>Unit of Basis for Measurement</t>
  </si>
  <si>
    <t>The cycle of time elements or other basis based on which an amount is calculated.</t>
  </si>
  <si>
    <t>Unit of Work</t>
  </si>
  <si>
    <t>The number of objects serviced or recipients served by an individual's efforts. Examples of units of work, which form the basis for establishing the measure of an individual's efforts, include students, groups of students, square feet (for cleaners or painters), drops or outlets (for electricians).</t>
  </si>
  <si>
    <t>Unlisted Phone Number Status</t>
  </si>
  <si>
    <t>An indication that the telephone number is unlisted.</t>
  </si>
  <si>
    <t>Unsafe School Choice Offered Status</t>
  </si>
  <si>
    <t>An indication of whether the student was offered the opportunity to transfer to another school after they were a victim of violence in accordance with Title IX, Part E, Subpart 2, Section 9532.</t>
  </si>
  <si>
    <t>Unsafe School Choice Status</t>
  </si>
  <si>
    <t>An indication of whether the student transferred to another school after they were a victim of violence in accordance with Title IX, Part E, Subpart 2, Section 9532.</t>
  </si>
  <si>
    <t>Use of Manipulatives</t>
  </si>
  <si>
    <t>A description of the manipulates that are utilized during the assessment (e.g., math tiles, protractors, calculators).</t>
  </si>
  <si>
    <t>Use of Reference Materials</t>
  </si>
  <si>
    <t>A description of the reference materials that are utilized during the assessment (e.g., reference sheets, dictionaries, word lists).</t>
  </si>
  <si>
    <t>Vandalism Violation</t>
  </si>
  <si>
    <t xml:space="preserve">Willful destruction or defacement of school or personal property. </t>
  </si>
  <si>
    <t>Vehicle Contractor</t>
  </si>
  <si>
    <t>The name of the contractor for the vehicle.</t>
  </si>
  <si>
    <t>Vehicle Driver's License Expiration Date</t>
  </si>
  <si>
    <t>The month, day, and year on which the individual's vehicle driver's license expires.</t>
  </si>
  <si>
    <t>Vehicle Driver's License Type</t>
  </si>
  <si>
    <t>An indication of the type of operator license an individual is required to have in order to operate that type of vehicle/machinery.</t>
  </si>
  <si>
    <t>Vehicle Equipment List</t>
  </si>
  <si>
    <t>The list and description of any special equipment that is on this vehicle.</t>
  </si>
  <si>
    <t>Vehicle Identification Number</t>
  </si>
  <si>
    <t>The unique Vehicle Identification Number (VIN) of the vehicle. The National Highway Traffic Safety Administration requires that all road vehicles must contain a 17 character VIN.</t>
  </si>
  <si>
    <t>Vehicle Inspection Date</t>
  </si>
  <si>
    <t>The month, day, and year on which vehicle was last inspected.</t>
  </si>
  <si>
    <t>Vehicle Manufacture Year</t>
  </si>
  <si>
    <t>The year the vehicle was manufactured.</t>
  </si>
  <si>
    <t>Vehicle Number</t>
  </si>
  <si>
    <t>A unique number or alphanumeric code assigned to the vehicle.</t>
  </si>
  <si>
    <t>Vending Machine Identification Code</t>
  </si>
  <si>
    <t>A unique number or alphanumeric code assigned to a vending machine by a school, school system, state, or other agency or entity.</t>
  </si>
  <si>
    <t>Vesting Percentage</t>
  </si>
  <si>
    <t>The current percentage of a benefit plan to which a plan participant has earned a vested interest.</t>
  </si>
  <si>
    <t>Victim ID</t>
  </si>
  <si>
    <t>Identifies the victim of the incident, when a student or staff member, by use of a pre-existing school or district unique identifier.</t>
  </si>
  <si>
    <t>Virtual District</t>
  </si>
  <si>
    <t>An administrative unit which exists primarily to operate virtual schools or to contract for virtual educational services.</t>
  </si>
  <si>
    <t>Vocational education</t>
  </si>
  <si>
    <t>A program of instruction offering a sequence of courses that are directly related to the preparation of individuals for paid or unpaid employment in current or emerging occupations requiring other than a baccalaureate or advanced degree.</t>
  </si>
  <si>
    <t>Vocational/Technical School</t>
  </si>
  <si>
    <t>A school that focuses primarily on providing formal preparation for semi-skilled, skilled, technical or professional occupations for high school-aged students who have opted to develop or expand their employment opportunities.</t>
  </si>
  <si>
    <t>Voting Status</t>
  </si>
  <si>
    <t>An indication as to whether an individual is registered to vote in public elections.</t>
  </si>
  <si>
    <t>Waiver Beginning Date</t>
  </si>
  <si>
    <t>The beginning month, day, and year on which the waiver becomes effective.</t>
  </si>
  <si>
    <t>Waiver Description</t>
  </si>
  <si>
    <t>A description of the reason that the waiver was requested.</t>
  </si>
  <si>
    <t>Waiver Ending Date</t>
  </si>
  <si>
    <t>The last month, day, and year on which the waiver is no longer effective.</t>
  </si>
  <si>
    <t>Waiver Name</t>
  </si>
  <si>
    <t>The name or title of a waiver that either temporarily or permanently exempts the education institution from full compliance with a regulation.</t>
  </si>
  <si>
    <t>Waiver Request Date</t>
  </si>
  <si>
    <t>The month, day, and year that the waiver was requested.</t>
  </si>
  <si>
    <t>Waiver Requirements</t>
  </si>
  <si>
    <t>A description of any requirements of the waiver.</t>
  </si>
  <si>
    <t>WAN Bandwidth to the Building</t>
  </si>
  <si>
    <t>The speed of the wide area network, the interconnected system of computers and networks that surpasses local area networks in scope.</t>
  </si>
  <si>
    <t>Ward of the State</t>
  </si>
  <si>
    <t>An individual who is legally the responsibility of the state.</t>
  </si>
  <si>
    <t>Withdrawal Date</t>
  </si>
  <si>
    <t>The month, day, and year that an individual ceased participating in an educational experience without completing the course, educational program, or staff development activity.</t>
  </si>
  <si>
    <t>Witness ID</t>
  </si>
  <si>
    <t>Identifies the witness of the incident by use of a pre-existing unique identifier assigned to a student or staff member by a school or district.</t>
  </si>
  <si>
    <t>Witness to Injury</t>
  </si>
  <si>
    <t>The individual or group of individuals that can give a firsthand account of the injury suffered by an individual.</t>
  </si>
  <si>
    <t>Work Description</t>
  </si>
  <si>
    <t>A description of the work or occupation in which an individual is currently engaged.</t>
  </si>
  <si>
    <t>Work Experience Paid</t>
  </si>
  <si>
    <t>An indication of whether the individual received a salary for work completed.</t>
  </si>
  <si>
    <t>Work Experience Required</t>
  </si>
  <si>
    <t>An indication of whether the individual's work experience is required for the completion of a program of study or occupational goal.</t>
  </si>
  <si>
    <t>Work Order Date of Completion</t>
  </si>
  <si>
    <t>The month, day, and year that the work order was completed.</t>
  </si>
  <si>
    <t>Work Order Date Scheduled</t>
  </si>
  <si>
    <t>The month, day, and year that work is scheduled to take place (not necessarily the date requested).</t>
  </si>
  <si>
    <t>Work Order Priority</t>
  </si>
  <si>
    <t>A determination of the urgency of a work order due to the immediate or ongoing impact on the health or safety of students and staff.</t>
  </si>
  <si>
    <t>Work Order Time Scheduled</t>
  </si>
  <si>
    <t>The time that work is scheduled to take place.</t>
  </si>
  <si>
    <t>Worker's Compensation Claim Filed</t>
  </si>
  <si>
    <t>An indication as to whether a claim was filed in a system of no-fault insurance that pays benefits to employees for accidental injuries or diseases related to the employee's work.</t>
  </si>
  <si>
    <t>Worker's Compensation Claim Filing Date</t>
  </si>
  <si>
    <t>The month, day, and year on which an individual filed an insurance claim for his or her injury.</t>
  </si>
  <si>
    <t>Workforce Program Participation After Exit</t>
  </si>
  <si>
    <t>The type of workforce and employment development program that an individual is participating in after exiting an education program.</t>
  </si>
  <si>
    <t>Years of Participation</t>
  </si>
  <si>
    <t>The number of years that an individual belonged to an organization or association or served as an elected public official.</t>
  </si>
  <si>
    <t>Years of Prior Education Experience</t>
  </si>
  <si>
    <t>The total number of years that an individual has previously held an education position (including positions as a teacher and administrator).</t>
  </si>
  <si>
    <t>Years of Prior Related Experience</t>
  </si>
  <si>
    <t>The total number of years of employment in a non-education area related to the field in which an individual is currently employed (e.g. 10 years of employment as an automotive mechanic for an individual teaching automotive in a vocational education program).</t>
  </si>
  <si>
    <t>Years of Virtual Teaching Experience</t>
  </si>
  <si>
    <t>The total number of years that an individual has previously held a teaching position in a virtual school or class in one or more education institutions.</t>
  </si>
  <si>
    <t>Zone Number</t>
  </si>
  <si>
    <t>The number assigned to a geographical area for purposes of census enumeration. For a public school census, this number is generally assigned by the local education agency (LEA).</t>
  </si>
  <si>
    <t>PESC</t>
  </si>
  <si>
    <t>AcademicAwardEarnedPriorToAdmission</t>
  </si>
  <si>
    <t>Other achievements and accomplishments submitted by the applicant.</t>
  </si>
  <si>
    <t>VARCHAR</t>
  </si>
  <si>
    <t>AcademicAwardLevel</t>
  </si>
  <si>
    <t>The level of the degree, certificate, or award granted for the successful completion of requirements of an academic program. Secondary Awards: B17 Did not complete secondary school B18 Standard High School Diploma which may or may not include an exit test B19 Advanced or honors diploma B20 Vocational diploma B21 Special Education Diploma normally for students with a disability B22 Certificate of completion or attendance B23 Special certificate of completion or attendance B24 General Education Development (GED) Diploma B25 Other high school equivalency diploma B26 International diploma or certificate such as International Baccalaureate B27 Standard High School Diploma with only 3 year curriculum B28 Met all graduation requirements except for required exit test Postsecondary Awards: 1.1 Certificate of completion 1.2 Certificate of proficiency 2.0 Certificate 2.1 Postsecondary Certificate or Diploma (less than one year) 2.2 Postsecondary Certificate or Diploma (one year or more, but less than four years) 2.3 Associate Degree (e.g., Associate in Arts, Associate in Science 2.4 Baccalaureate Degree 2.5 Baccalaureate (Honors) Degree 2.6 Postsecondary Certificate or Diploma (one year or more, but less than two years) 2.7 Postsecondary Certificate or Diploma (two years or more, but less than four years) 3.1 First Professional Degree 3.2 Post-Professional Degree 4.1 Graduate Certificate 4.2 Master?s Degree 4.3 Intermediate Graduate Degree 4.4 Doctoral Degree 4.5 Post-Doctoral Award Awards Used in Canada: FrenchBaccalaureate CEGEP (Collège d?enseignement general et professionnel.</t>
  </si>
  <si>
    <t>AcademicCompletionIndicator</t>
  </si>
  <si>
    <t>An indication that the degree-seeking student completed all of the requirements for his or her academic program. Not used for Non-Degree programs.</t>
  </si>
  <si>
    <t>AcademicProgramCampus</t>
  </si>
  <si>
    <t>The preferred campus specified by the applicant for this particular program.</t>
  </si>
  <si>
    <t>AcademicProgramDegreeLevelCode</t>
  </si>
  <si>
    <t>A code to indicate the specific ranking of academic award for person.</t>
  </si>
  <si>
    <t>AcademicProgramName</t>
  </si>
  <si>
    <t>The specific name of the academic program for which the person is applying.</t>
  </si>
  <si>
    <t>AcademicProgramPriority</t>
  </si>
  <si>
    <t>The priority ranking for this program with relation to other programs requested in the application for admission (First, second, etc.).</t>
  </si>
  <si>
    <t>INTEGER</t>
  </si>
  <si>
    <t>AcademicProgramType</t>
  </si>
  <si>
    <t>The specific category of the academic program for which the person is applying.</t>
  </si>
  <si>
    <t>AcademicTrainingLevelCode</t>
  </si>
  <si>
    <t>This is the level of training approved for this Academic Training for international students on a J Visitors visa.</t>
  </si>
  <si>
    <t>AcademicTrainingStatusCode</t>
  </si>
  <si>
    <t>The code used by SEVIS to identify the current status of the Academic Training.</t>
  </si>
  <si>
    <t>AccreditingBodyCode</t>
  </si>
  <si>
    <t>This is the acronym for the regional or other accrediting body that has given accreditation to the school sending the high school transcript.</t>
  </si>
  <si>
    <t>AccreditingBodyName</t>
  </si>
  <si>
    <t>The name of the accrediting body.</t>
  </si>
  <si>
    <t>AchievementAwardYear</t>
  </si>
  <si>
    <t>The year in which the award was earned.</t>
  </si>
  <si>
    <t xml:space="preserve">CCYY </t>
  </si>
  <si>
    <t>AchievementAwardYearMonth</t>
  </si>
  <si>
    <t>The month and year in which the award was earned.</t>
  </si>
  <si>
    <t xml:space="preserve">CCYY-MM </t>
  </si>
  <si>
    <t>AchievementCategoryCode</t>
  </si>
  <si>
    <t>The category of the area in which achievement was earned.</t>
  </si>
  <si>
    <t>AchievementTitle</t>
  </si>
  <si>
    <t>The name of the achievement or award.</t>
  </si>
  <si>
    <t>ActivityScopeCode</t>
  </si>
  <si>
    <t>The scope of the activity in which the applicant participated.</t>
  </si>
  <si>
    <t>ActivitySponsorOrganizationName</t>
  </si>
  <si>
    <t>The sponsoring organization of the activity.</t>
  </si>
  <si>
    <t>AddressUpdateDate</t>
  </si>
  <si>
    <t>Date the student’s address became effective.</t>
  </si>
  <si>
    <t xml:space="preserve">ccyy-mm-dd </t>
  </si>
  <si>
    <t>AddressValidIndicator</t>
  </si>
  <si>
    <t>Flag to inidicate that the student’s address is valid.</t>
  </si>
  <si>
    <t>AgencyCode</t>
  </si>
  <si>
    <t xml:space="preserve"> A code that describes the type of agency that assigned the student’s identification number.</t>
  </si>
  <si>
    <t>AlienRegistrationNumber</t>
  </si>
  <si>
    <t>Alien Registration Number.</t>
  </si>
  <si>
    <t>AllowedAnswerText</t>
  </si>
  <si>
    <t>An answer that the applicant was provided and allowed to select.</t>
  </si>
  <si>
    <t>AnswerSelectedCode</t>
  </si>
  <si>
    <t>An indication that the student did or did not select this answer.</t>
  </si>
  <si>
    <t>AnswerText</t>
  </si>
  <si>
    <t>This would indicate the actual text of the question that the applicant was asked.</t>
  </si>
  <si>
    <t>ApplicationFeeAmount</t>
  </si>
  <si>
    <t>Amount of the application fee being paid or waived for the applicant.</t>
  </si>
  <si>
    <t>DECIMAL</t>
  </si>
  <si>
    <t>ApplicationPriority</t>
  </si>
  <si>
    <t>The priority to be given to processing this particular application for this campus, term and program.</t>
  </si>
  <si>
    <t>ApplicationProcessingGroupCode</t>
  </si>
  <si>
    <t>Type of matriculation that the applicant is seeking which determines the process by which the application is handled.</t>
  </si>
  <si>
    <t>ApplicationStatement</t>
  </si>
  <si>
    <t>A statement submitted by the applicant.</t>
  </si>
  <si>
    <t>ApplicationWithdrawalIndicator</t>
  </si>
  <si>
    <t>An indication that the student is requesting the application is to be withdrawn.</t>
  </si>
  <si>
    <t>AppliedCode</t>
  </si>
  <si>
    <t>An indication that the applicant has applied for asylee or refugee status.</t>
  </si>
  <si>
    <t>AppliedDate</t>
  </si>
  <si>
    <t>The date on which the applicant stated that the application was submitted to apply for this status.</t>
  </si>
  <si>
    <t>ATP</t>
  </si>
  <si>
    <t>The unique identifier for the Admissions Testing Program assigned by the College Board for each data exchange partner.</t>
  </si>
  <si>
    <t>AttendedCollegeCode</t>
  </si>
  <si>
    <t>An indication of which family members attended college.</t>
  </si>
  <si>
    <t>AttentionLine</t>
  </si>
  <si>
    <t>The individual or office name at the postal address where inquiries should be directed.</t>
  </si>
  <si>
    <t>BeginDate</t>
  </si>
  <si>
    <t>The date the Academic Training is or was scheduled to begin.</t>
  </si>
  <si>
    <t>CampusName</t>
  </si>
  <si>
    <t>The campus that the applicant indicates is the preferred campus for this application.</t>
  </si>
  <si>
    <t>CanadianEthnicityCode</t>
  </si>
  <si>
    <t>This is the ethnicity code as determined by Canadian schools.</t>
  </si>
  <si>
    <t>CardExpirationDate</t>
  </si>
  <si>
    <t>The month and year when the credit or debit card is scheduled to expire.</t>
  </si>
  <si>
    <t>CardIssuerCode</t>
  </si>
  <si>
    <t>The bank or agency that issued the credit or debit card.</t>
  </si>
  <si>
    <t>CardNumber</t>
  </si>
  <si>
    <t>The number of the credit or debit card.</t>
  </si>
  <si>
    <t>CardNumberLast4</t>
  </si>
  <si>
    <t>The last four digits of the credit or debit card number.</t>
  </si>
  <si>
    <t>CCD</t>
  </si>
  <si>
    <t>The unique identifier assigned by National Center for Education Statistics as the Common Core of Data for each data exchange partner.</t>
  </si>
  <si>
    <t>CEEBACT</t>
  </si>
  <si>
    <t>The unique identifier assigned by the College Entrance Examining Board and ACT for each K-12 data exchange partner.</t>
  </si>
  <si>
    <t>CertificateOfEligibilityExpirationDate</t>
  </si>
  <si>
    <t>The date this Certificate of Eligibility Form (I20 form in the US) expires.</t>
  </si>
  <si>
    <t>CertificateOfEligibilityID</t>
  </si>
  <si>
    <t>The number that is assigned by the Immigration Service that identifies the international applicant.</t>
  </si>
  <si>
    <t>CertificateOfEligibilityIssueDate</t>
  </si>
  <si>
    <t>The date this Certificate of Eligibility (I20 form in the US) form was issued.</t>
  </si>
  <si>
    <t>CertificateOfEligibilityProgramName</t>
  </si>
  <si>
    <t>The name used by SEVIS in the US to identify the educational program for which the applicant is applying or has been approved.</t>
  </si>
  <si>
    <t>CertificateOfEligibilitySchoolCode</t>
  </si>
  <si>
    <t>The code assigned by SEVIS in the US to the school issuing the Certificate of Eligibility (I20 form in the US).</t>
  </si>
  <si>
    <t>CertificateOfEligibilitySchoolName</t>
  </si>
  <si>
    <t>The name of the school issuing the Certificate of Eligibility (I20 form in the US) form.</t>
  </si>
  <si>
    <t>CitizenshipCountryCode</t>
  </si>
  <si>
    <t>Code for the country of citizenship of the family member of the applicant.</t>
  </si>
  <si>
    <t>CitizenshipStatusCode</t>
  </si>
  <si>
    <t>Citizenship status of the family member of the applicant.</t>
  </si>
  <si>
    <t>ConditionsMetCode</t>
  </si>
  <si>
    <t>Indicates whether and how conditions for certification have been attained.</t>
  </si>
  <si>
    <t>ConditionsMetDate</t>
  </si>
  <si>
    <t>Date of attribute.</t>
  </si>
  <si>
    <t>ContactName</t>
  </si>
  <si>
    <t>This is the name of the contact at the referee organization.</t>
  </si>
  <si>
    <t>ContactPreferenceCode</t>
  </si>
  <si>
    <t>The preferred method by which the applicant would like to receive further communication from the postsecondary institution to which the applicant is applying.</t>
  </si>
  <si>
    <t>ContactTitle</t>
  </si>
  <si>
    <t>The position title of the contact.</t>
  </si>
  <si>
    <t>CourseAcademicSupplementalGrade</t>
  </si>
  <si>
    <t>The academic grade reported for this component or supplemental course.</t>
  </si>
  <si>
    <t>CourseAcademicSupplementalGradeScaleCode</t>
  </si>
  <si>
    <t>CourseAcademicSupplementalGradeStatusCode</t>
  </si>
  <si>
    <t>Special enrollment or completion status of this course.</t>
  </si>
  <si>
    <t>CourseApplicability</t>
  </si>
  <si>
    <t>The academic program to which this academic course applies toward graduation.</t>
  </si>
  <si>
    <t>CourseCreditBasis</t>
  </si>
  <si>
    <t>CourseCreditLevel</t>
  </si>
  <si>
    <t xml:space="preserve"> The level of credit associated with the credit hours earned for the course.</t>
  </si>
  <si>
    <t>CourseLevel</t>
  </si>
  <si>
    <t>The level of work which is reflected in the credits associated with the academic course being described or the level of the typical student taking the academic course.</t>
  </si>
  <si>
    <t>CPTStatusCode</t>
  </si>
  <si>
    <t>The code used by SEVIS to identify the current status of the Curricular Practical Training.</t>
  </si>
  <si>
    <t>CPTTrainingLevelCode</t>
  </si>
  <si>
    <t>This is the level of training approved for this CPT.</t>
  </si>
  <si>
    <t>CreditUnit</t>
  </si>
  <si>
    <t>The type of credit (unit, semester, or quarter) associated with the credit hours earned for the course.</t>
  </si>
  <si>
    <t>CurrentlyInUSCode</t>
  </si>
  <si>
    <t>An indication that the applicant is currently located in the United States, or not.</t>
  </si>
  <si>
    <t>DecisionRank</t>
  </si>
  <si>
    <t>The ranking of importance that this factor had in applying to this school.</t>
  </si>
  <si>
    <t>DecisionToApplyCode</t>
  </si>
  <si>
    <t>Factors affecting the applicant?s decision to apply to this school.</t>
  </si>
  <si>
    <t>Delinquencies</t>
  </si>
  <si>
    <t>The academic standing of the student at the end of this session. ExclusionAcademic – Student is not eligible to continue or return to the school for academic reasons. Students, in some cases, may petition to return on probation. ExclusionDiscipline – Student is not eligible to continue or return to the school for disciplinary reasons. Students, in some cases, may petition to return on probation. GoodStanding – Student was in good standing Other ProbationDiscipline – Student was on disciplinary probation ProbationGPA – Student was on academic probation because of low GPA ProbationHours – Student was on academic probation because of a deficiency in credit hours earned SuspensionDiscipline – Student was on disciplinary suspension SuspensionGPA – Student was on academic suspension because of low GPA SuspensionHours – Student was on academic suspension because of a a deficiency in credit hours earned Unknown.</t>
  </si>
  <si>
    <t>DependencyStatusCode</t>
  </si>
  <si>
    <t>A code indicating if the applicant is a dependent or independent person concerning financial status.</t>
  </si>
  <si>
    <t>DesignateCode</t>
  </si>
  <si>
    <t>An indication that this person has been designated with special authority by the applicant.</t>
  </si>
  <si>
    <t>DocumentExpirationDate</t>
  </si>
  <si>
    <t>The date that the asylee or refugee status is no longer valid.</t>
  </si>
  <si>
    <t>DriversLicenseNumber</t>
  </si>
  <si>
    <t>The number assigned by the issuing state or province to the claimant to operate a motor vehicle.</t>
  </si>
  <si>
    <t>EarlyIndicatorCode</t>
  </si>
  <si>
    <t>If this is an early application for admission, this can indicate the type of early action to be taken on the application.</t>
  </si>
  <si>
    <t>EducationLevel</t>
  </si>
  <si>
    <t>The highest level of education already attained by the family member of the applicant.</t>
  </si>
  <si>
    <t>EmployerName</t>
  </si>
  <si>
    <t>The name of the claimant?s employer.</t>
  </si>
  <si>
    <t>EmploymentBeginDate</t>
  </si>
  <si>
    <t>The date that the claimant began employment.</t>
  </si>
  <si>
    <t>The date that the claimant ended employment.</t>
  </si>
  <si>
    <t>The location of the employment.</t>
  </si>
  <si>
    <t>EmploymentWeeklyHours</t>
  </si>
  <si>
    <t>The average or typical number of hours per week that the person worked.</t>
  </si>
  <si>
    <t>EndDate</t>
  </si>
  <si>
    <t>The date the AcademicTraining is or was scheduled to end.</t>
  </si>
  <si>
    <t>EndingYearMonth</t>
  </si>
  <si>
    <t>The ending date when funding from this source is anticipated.</t>
  </si>
  <si>
    <t xml:space="preserve">ccyy-mm </t>
  </si>
  <si>
    <t>ExchangeVisitorPositionCode</t>
  </si>
  <si>
    <t>The code assigned to the position held (or being applied for) by the international exchange visitor applicant.</t>
  </si>
  <si>
    <t>FamilyIncomeAmount</t>
  </si>
  <si>
    <t>Amount of income for the most recent year available for the applicant?s family.</t>
  </si>
  <si>
    <t>FeeWaiverBasisCode</t>
  </si>
  <si>
    <t>The source of the waiver used to satisfy the application fee assessment.</t>
  </si>
  <si>
    <t>FinancialDependencyDate</t>
  </si>
  <si>
    <t>The date on which the applicant became either financially dependent or financially independent.</t>
  </si>
  <si>
    <t>FirstEntryIntoHostCountryDate</t>
  </si>
  <si>
    <t>The date the applicant first entered or plans to enter into the host country.</t>
  </si>
  <si>
    <t>FirstIssueDate</t>
  </si>
  <si>
    <t>The date the claimant was first issued a driver?s license in the state.</t>
  </si>
  <si>
    <t>FullTimeFlag</t>
  </si>
  <si>
    <t>A flag to indicate if the claimant is or was a full-time or part-time employee.</t>
  </si>
  <si>
    <t>FundingAmount</t>
  </si>
  <si>
    <t>The amount of funding being provided in the currency of the host country where the school is located.</t>
  </si>
  <si>
    <t>FundingSourceCode</t>
  </si>
  <si>
    <t>This is the coded type of the source of the funds for the International Applicant.</t>
  </si>
  <si>
    <t>FundingSourceCountry</t>
  </si>
  <si>
    <t>The Country where the funds are located.</t>
  </si>
  <si>
    <t>FundingSourceName</t>
  </si>
  <si>
    <t>This is the name of the funding source.</t>
  </si>
  <si>
    <t>GPARangeMaximum</t>
  </si>
  <si>
    <t>The highest possible grade point average that can be earned by the student.</t>
  </si>
  <si>
    <t>GPARangeMinimum</t>
  </si>
  <si>
    <t>The lowest possible grade point average that can be earned by the student.</t>
  </si>
  <si>
    <t>GradeLevel</t>
  </si>
  <si>
    <t>The grade level of the applicant when the participation in the activity occurred.</t>
  </si>
  <si>
    <t>GraduationDate</t>
  </si>
  <si>
    <t>The student’s anticipated date of graduation or termination. Required when AttendanceStatusC ode is equal to ApprovedLeaveOfA bsence, FullTime, HalfTime, or LessThanHalfTime.</t>
  </si>
  <si>
    <t>HealthCondition</t>
  </si>
  <si>
    <t>Information about the health of the applicant.</t>
  </si>
  <si>
    <t>HomesteadExemptionClaimedCode</t>
  </si>
  <si>
    <t>An indication that the claimant has been granted a homestead exemption by the state for the owned property.</t>
  </si>
  <si>
    <t>HonorsLevel</t>
  </si>
  <si>
    <t>A code value representing 1st highest honor, 2nd highest and 3rd highest.</t>
  </si>
  <si>
    <t>HousingInformationCode</t>
  </si>
  <si>
    <t>Additional info being requested about student housing.</t>
  </si>
  <si>
    <t>I94AdmissionNumber</t>
  </si>
  <si>
    <t>The number on the I94 form issued when the non-citizen entered the US.</t>
  </si>
  <si>
    <t>I94DateOfEntry</t>
  </si>
  <si>
    <t>The date when the non-citizen entered the US.</t>
  </si>
  <si>
    <t>I94ExpirationDate</t>
  </si>
  <si>
    <t>The date on which the entry permit expires and the non-citizen is no longer in the US in a legal status. Duration of status is another condition and the non-citizen remains in a legal status as long as the conditions of the entry remain valid.</t>
  </si>
  <si>
    <t>I94PortOfEntryCode</t>
  </si>
  <si>
    <t>The port where the non-citizen entered the US.</t>
  </si>
  <si>
    <t>ImmigrationI20RequestIndicator</t>
  </si>
  <si>
    <t>An indicator as to whether or not the applicant has already requested a US Immigration Form I-20.</t>
  </si>
  <si>
    <t>ImmunizationCode</t>
  </si>
  <si>
    <t>Medical immunization or vaccine code from the Current Procedural Terminology (CPT) 2002 of the American Medical Association.</t>
  </si>
  <si>
    <t>ImmunizationStatusCode</t>
  </si>
  <si>
    <t>Information about the number of the innoculation or the type of exemption.</t>
  </si>
  <si>
    <t>IncomeTaxState</t>
  </si>
  <si>
    <t>The state to which income taxes were paid.</t>
  </si>
  <si>
    <t>IncomeTaxYear</t>
  </si>
  <si>
    <t>The year that the claimant paid state income taxes.</t>
  </si>
  <si>
    <t>InstantMessageAddress</t>
  </si>
  <si>
    <t>The address to which the applicant may be sent an Instant Message (IM).</t>
  </si>
  <si>
    <t>InstantMessageProviderName</t>
  </si>
  <si>
    <t>The name of the provider of the IM messaging service by which the applicant may be sent an Instant Message (IM).</t>
  </si>
  <si>
    <t>InstructionUsage</t>
  </si>
  <si>
    <t>The use of the language in the context of instruction. Examination - Language of examination Instruction - Language of instruction WrittenExam - Language in which examination is written.</t>
  </si>
  <si>
    <t>InterestedInCode</t>
  </si>
  <si>
    <t>Other programs or activities in which the student is interested and about which the applicant would like additional information.</t>
  </si>
  <si>
    <t>IssueDate</t>
  </si>
  <si>
    <t>The date of issue of the asylee or refugee document that gave the applicant the asylee or refugee status.</t>
  </si>
  <si>
    <t>IssuingCountryCode</t>
  </si>
  <si>
    <t>The SEVIS code for the country that issued the applicant?s passport.</t>
  </si>
  <si>
    <t>JobDescription</t>
  </si>
  <si>
    <t>A description of the work performed.</t>
  </si>
  <si>
    <t>LanguageProficiency</t>
  </si>
  <si>
    <t>The proficiency level of the applicant in this language.</t>
  </si>
  <si>
    <t>LanguageUsage</t>
  </si>
  <si>
    <t>Indication of person's use of the language.</t>
  </si>
  <si>
    <t>LastIssueDate</t>
  </si>
  <si>
    <t>The date the claimant was most recently issued a driver?s license in the state.</t>
  </si>
  <si>
    <t>LastResidence</t>
  </si>
  <si>
    <t>Information about the last place of residence of the person claiming residence, immediately prior to the current claimed place of residence.</t>
  </si>
  <si>
    <t>LeadershipCharacteristicCode</t>
  </si>
  <si>
    <t>The characteristic of the leadership position held by the applicant.</t>
  </si>
  <si>
    <t>LeadershipPosition</t>
  </si>
  <si>
    <t>A description of any leadership positions held by the applicant.</t>
  </si>
  <si>
    <t>LegacyAlumniCode</t>
  </si>
  <si>
    <t>An indication that a close family member previously attended the school to which the applicant is applying.</t>
  </si>
  <si>
    <t>LegacyGraduateCode</t>
  </si>
  <si>
    <t>An indication that a close family member previously graduated from the school to which the applicant is applying.</t>
  </si>
  <si>
    <t>LegalStatusCode</t>
  </si>
  <si>
    <t>A status code to determine legal status in Canada.</t>
  </si>
  <si>
    <t>MaritalStatusChangeCode</t>
  </si>
  <si>
    <t>Information related to the change in marital status of the family member of the applicant.</t>
  </si>
  <si>
    <t>MaritalStatusCode</t>
  </si>
  <si>
    <t>A code identifying marital status of this family member.</t>
  </si>
  <si>
    <t>MaximumFamilyIncomeAmount</t>
  </si>
  <si>
    <t>The maximum of the range of income for the most recent year available for the applicant?s family.</t>
  </si>
  <si>
    <t>MemberOfIndianTribe</t>
  </si>
  <si>
    <t>Information about an Indian tribe to which the claimant belongs which might qualify the claimant for resident status.</t>
  </si>
  <si>
    <t>MilitaryDutyBeginDate</t>
  </si>
  <si>
    <t>The date the claimant began serving in the branch of the military on active duty.</t>
  </si>
  <si>
    <t>MilitaryDutyBranch</t>
  </si>
  <si>
    <t>The branch of the military in which the claimant is serving on active duty.</t>
  </si>
  <si>
    <t>MilitaryDutyEndDate</t>
  </si>
  <si>
    <t>The date the claimant ceased serving on active duty in this branch of the military.</t>
  </si>
  <si>
    <t>MilitaryDutyLocation</t>
  </si>
  <si>
    <t>The location where the claimant is serving on active duty.</t>
  </si>
  <si>
    <t>MilitaryRelationshipStatusCode</t>
  </si>
  <si>
    <t>This is a code to indicate the relationship of the applicant with the military (specific branch of the Military).</t>
  </si>
  <si>
    <t>MinimumFamilyIncomeAmount</t>
  </si>
  <si>
    <t>The minimum of the range of income for the most recent year available for the applicant?s family.</t>
  </si>
  <si>
    <t>NameCode</t>
  </si>
  <si>
    <t>A code that indicates the type of name that is being described.</t>
  </si>
  <si>
    <t>NameOnCard</t>
  </si>
  <si>
    <t>The name as shown on the credit or debit card.</t>
  </si>
  <si>
    <t>NonImmigrantVisaAppliedFor</t>
  </si>
  <si>
    <t>The specific visa for which the applicant has applied.</t>
  </si>
  <si>
    <t>NonImmigrantVisaIssueDate</t>
  </si>
  <si>
    <t>The date the applicant?s current visa was issued.</t>
  </si>
  <si>
    <t>NonImmigrantVisaNumber</t>
  </si>
  <si>
    <t>The number assigned by the issuing post for this visa for this international applicant once the application is approved.</t>
  </si>
  <si>
    <t>NonImmigrantVisaType</t>
  </si>
  <si>
    <t>The type of visa currently held by the international applicant.</t>
  </si>
  <si>
    <t>NSNID</t>
  </si>
  <si>
    <t>Canadian National Student Number.</t>
  </si>
  <si>
    <t>Occupation</t>
  </si>
  <si>
    <t>The name of the occupation of the family member.</t>
  </si>
  <si>
    <t>OkToContact</t>
  </si>
  <si>
    <t>An indication that the person has given permission to be contacted for the reference.</t>
  </si>
  <si>
    <t>OPTStatusCode</t>
  </si>
  <si>
    <t>The code used by SEVIS to identify the current status of the Optional Practical Training.</t>
  </si>
  <si>
    <t>OPTTrainingLevelCode</t>
  </si>
  <si>
    <t>This is the level of training approved for this OPT.</t>
  </si>
  <si>
    <t>OtherCollegeLocation</t>
  </si>
  <si>
    <t>Information about the location of the college to which the applicant has applied, or intends to apply.</t>
  </si>
  <si>
    <t>OtherCollegeName</t>
  </si>
  <si>
    <t>The name of the other college to which the applicant has applied, or intends to apply.</t>
  </si>
  <si>
    <t>OtherCollegeState</t>
  </si>
  <si>
    <t>The state or province in which the other college to which the student has applied, or intends to apply, is located.</t>
  </si>
  <si>
    <t>OwnerName</t>
  </si>
  <si>
    <t>The name of the owner (or lessee) of the vehicle that was registered.</t>
  </si>
  <si>
    <t>ParentsMaritalStatusCode</t>
  </si>
  <si>
    <t>Information about the marital status of the applicant?s family.</t>
  </si>
  <si>
    <t>PassportInformationAvailableCode</t>
  </si>
  <si>
    <t>Information provided if the detailed information about the applicant?s passport is not available.</t>
  </si>
  <si>
    <t>PassportNumber</t>
  </si>
  <si>
    <t>The number assigned by the issuing country.</t>
  </si>
  <si>
    <t>PaymentMethodCode</t>
  </si>
  <si>
    <t>The method of payment or waiver being used to satisfy the assessment of the application fee.</t>
  </si>
  <si>
    <t>PlannedEnrollmentStatus</t>
  </si>
  <si>
    <t>The anticipated enrollment level of the applicant.</t>
  </si>
  <si>
    <t>PlanToApplyForCode</t>
  </si>
  <si>
    <t>Specific programs or aid for which the applicant is applying.</t>
  </si>
  <si>
    <t>Title of this employment position.</t>
  </si>
  <si>
    <t>PostsecondarySchoolCategory</t>
  </si>
  <si>
    <t>The type of postsecondary school and the control for the school.</t>
  </si>
  <si>
    <t>PrivacyRestrictionDate</t>
  </si>
  <si>
    <t>The date upon which the requested restriction to the allowable release of FERPA directory information takes effect after the applicant has become a student.</t>
  </si>
  <si>
    <t>PrivacyRestrictionLevel</t>
  </si>
  <si>
    <t>The type of restriction placed on the release of information. 00 No restrictions have been placed on the release of information 01 Student has requested that no directory information be released without prior consent 02 Student has requested nonrelease of specific information items 03 Student has requested nonrelease of information in specific formats (book, electronic, etc.) 04 Student has requested nonrelease of information to specific people, entities 99 Other (to be specified in the NoteMessage).</t>
  </si>
  <si>
    <t>ProgramLocalCode</t>
  </si>
  <si>
    <t>Code indicating a the specific program (with options, if any) that the student selects from a list of available programs.</t>
  </si>
  <si>
    <t>ProgramSecondarySchoolCode</t>
  </si>
  <si>
    <t>Code indicating a discipline or field of study pursued by a secondary school student.</t>
  </si>
  <si>
    <t>PropertyCounty</t>
  </si>
  <si>
    <t>The county in which the real property owned by the claimant is located.</t>
  </si>
  <si>
    <t>PropertyPurchaseDate</t>
  </si>
  <si>
    <t>The date that the claimant purchased real property in the state.</t>
  </si>
  <si>
    <t>PropertyState</t>
  </si>
  <si>
    <t>The state in which the real property owned by the claimant is located.</t>
  </si>
  <si>
    <t>PSIS</t>
  </si>
  <si>
    <t>The unique identifier assigned by the Statistics Canada Postsecondary Student Information System for each data postsecondary exchange partner.</t>
  </si>
  <si>
    <t>PSS</t>
  </si>
  <si>
    <t>The unique identifier assigned by National Center for Education Statistics for private secondary schools in the US.</t>
  </si>
  <si>
    <t>PublicAssistanceCity</t>
  </si>
  <si>
    <t>The city in which the claimant receives public financial assistance.</t>
  </si>
  <si>
    <t>PublicAssistanceCounty</t>
  </si>
  <si>
    <t>The county in which the claimant receives public financial assistance.</t>
  </si>
  <si>
    <t>PublicAssistanceDistrict</t>
  </si>
  <si>
    <t>The district in which the claimant receives public financial assistance.</t>
  </si>
  <si>
    <t>PublicAssistanceState</t>
  </si>
  <si>
    <t>The state or province in which the claimant receives public financial assistance.</t>
  </si>
  <si>
    <t>QuestionAreaCode</t>
  </si>
  <si>
    <t>This would identify the subject area of the question.</t>
  </si>
  <si>
    <t>QuestionFormatCode</t>
  </si>
  <si>
    <t>This would indicate the format of the question asked.</t>
  </si>
  <si>
    <t>QuestionID</t>
  </si>
  <si>
    <t>An identifier that distinguishes this question from all other questions that might be asked.</t>
  </si>
  <si>
    <t>QuestionRequiredCode</t>
  </si>
  <si>
    <t>This would indicate whether or not this was a question that the applicant was required to answer.</t>
  </si>
  <si>
    <t>QuestionText</t>
  </si>
  <si>
    <t>QuestionTitle</t>
  </si>
  <si>
    <t>A short title of the specific question asked of the applicant.</t>
  </si>
  <si>
    <t>RAPCode</t>
  </si>
  <si>
    <t>Attribute demonstrated or earned.</t>
  </si>
  <si>
    <t>RAPName</t>
  </si>
  <si>
    <t>Literal name of attribute.</t>
  </si>
  <si>
    <t>RAPSubName</t>
  </si>
  <si>
    <t>Literal name of subsection of attribute.</t>
  </si>
  <si>
    <t>RefereePositionInOrganization</t>
  </si>
  <si>
    <t>The position in the organization of the person who is expected to provide a reference for the applicant.</t>
  </si>
  <si>
    <t>ReligiousAffiliationCode</t>
  </si>
  <si>
    <t>This is the primary religious affiliation declared by the applicant.</t>
  </si>
  <si>
    <t>ResidencyEstablishedDate</t>
  </si>
  <si>
    <t>The date on which the applicant or other claimant became a resident of the state, province, or county.</t>
  </si>
  <si>
    <t>ResidencyStatusCode</t>
  </si>
  <si>
    <t>The declaration made by the claimant as to his or her permanent residency.</t>
  </si>
  <si>
    <t>SchoolAppliedEmployedCode</t>
  </si>
  <si>
    <t>An indication of current or previous employment at the school to which the applicant is applying, by the applicant or a family member.</t>
  </si>
  <si>
    <t>SchoolBeganYear</t>
  </si>
  <si>
    <t>The year the family member began attending the school to which the applicant is applying.</t>
  </si>
  <si>
    <t xml:space="preserve">ccyy </t>
  </si>
  <si>
    <t>SchoolEndedYear</t>
  </si>
  <si>
    <t>The year the family member stopped attending the school to which the applicant is applying.</t>
  </si>
  <si>
    <t>SchoolName</t>
  </si>
  <si>
    <t>The name of the school the family member attended.</t>
  </si>
  <si>
    <t>SchoolOverrideCode</t>
  </si>
  <si>
    <t>Information about why the student took courses at this school.</t>
  </si>
  <si>
    <t>ScoreInvalidatedIndicator</t>
  </si>
  <si>
    <t>Indicates if the score has been invalidated. If true, score previously reported for this test and test date is not valid.</t>
  </si>
  <si>
    <t>ScoreRevisedIndicator</t>
  </si>
  <si>
    <t>Indicates if the score report has been revised. If true, score may differ from score previously reported for this test and test date.</t>
  </si>
  <si>
    <t>ScoreSelfreportedIndicator</t>
  </si>
  <si>
    <t>Indicates if the score has been self- reported by the student.</t>
  </si>
  <si>
    <t>SecondarySchoolCategoryCode</t>
  </si>
  <si>
    <t>The type of secondary school and the type of control for the school.</t>
  </si>
  <si>
    <t>SelectiveServiceIndicator</t>
  </si>
  <si>
    <t>This is used to indicate if the applicant is required to register in the US for the draft. If so, use True.</t>
  </si>
  <si>
    <t>SelectiveServiceNumber</t>
  </si>
  <si>
    <t>This is the Selective Service Number issued by the US government.</t>
  </si>
  <si>
    <t>SponsorCode</t>
  </si>
  <si>
    <t>The type of sponsor being described.</t>
  </si>
  <si>
    <t>SponsorName</t>
  </si>
  <si>
    <t>The sponsoring organization that made the award.</t>
  </si>
  <si>
    <t>StartingYearMonth</t>
  </si>
  <si>
    <t>The starting date when funding from this source is anticipated.</t>
  </si>
  <si>
    <t>StateIdentificationNumber</t>
  </si>
  <si>
    <t>The number assigned by the issuing state or province to the claimant for identification purposes.</t>
  </si>
  <si>
    <t>StateProvinceEmployedCode</t>
  </si>
  <si>
    <t>An indication of current or previous employment by the applicant or a family member in the state or province ,where the school to which the applicant is applying, is located,.</t>
  </si>
  <si>
    <t>StudentReleaseCode</t>
  </si>
  <si>
    <t>Type of certification made by the applicant about the application being submitted and permission given by the student to obtain or release information about the applicant.</t>
  </si>
  <si>
    <t>SupplementalGradeCode</t>
  </si>
  <si>
    <t>The type of component grade that is being included for an education course.</t>
  </si>
  <si>
    <t>TextMessageAddress</t>
  </si>
  <si>
    <t>The address to which a text message may be sent to the applicant.</t>
  </si>
  <si>
    <t>TreatyCode</t>
  </si>
  <si>
    <t>The applicant?s declaration of determination of treaty status.</t>
  </si>
  <si>
    <t>VehicleRegistrationNumber</t>
  </si>
  <si>
    <t>The vehicle registration number assigned to the claimant for the vehicle registered.</t>
  </si>
  <si>
    <t>VisaControlNumber</t>
  </si>
  <si>
    <t>The number assigned by the issuing post for this visa application during the processing for this international applicant.</t>
  </si>
  <si>
    <t>VisaExpirationDate</t>
  </si>
  <si>
    <t>The date the applicant?s current visa will expire.</t>
  </si>
  <si>
    <t>VisaIssuingPostCode</t>
  </si>
  <si>
    <t>The SEVIS code for the country that issued the international applicant?s visa.</t>
  </si>
  <si>
    <t>VisaReasonForUSBornCode</t>
  </si>
  <si>
    <t>The reason that the international applicant holds a visa from another country if the applicant was born in the US.</t>
  </si>
  <si>
    <t>VoterRegistrationDistrict</t>
  </si>
  <si>
    <t>The district (or precinct, or ward, etc.) in which the claimant is registered to vote.</t>
  </si>
  <si>
    <t>VoterRegistrationNumber</t>
  </si>
  <si>
    <t>The voter registration number assigned to the claimant.</t>
  </si>
  <si>
    <t>WeeklyHours</t>
  </si>
  <si>
    <t>The average number of hours that the applicant spent in this activity per week.</t>
  </si>
  <si>
    <t>YearlyWeeks</t>
  </si>
  <si>
    <t>The average number of weeks that the applicant spent in this activity per year.</t>
  </si>
  <si>
    <t>Years</t>
  </si>
  <si>
    <t>The number of years that the applicant spent in this activity.</t>
  </si>
  <si>
    <t>SIF</t>
  </si>
  <si>
    <t>assessmentAssetType/assetGradeLevelList/assetGradeLevel</t>
  </si>
  <si>
    <t xml:space="preserve">Year group or Grade Level (US). </t>
  </si>
  <si>
    <t>gYearGroupType</t>
  </si>
  <si>
    <t>assessmentAssetType/assetSubjectList/assetSubject</t>
  </si>
  <si>
    <t>gSubjectAreaType</t>
  </si>
  <si>
    <t>assessmentFormType/formIdentifierList/formIdentifier</t>
  </si>
  <si>
    <t>gLocalIdType</t>
  </si>
  <si>
    <t>assessmentFormType/gradeLevelList/gradeLevel</t>
  </si>
  <si>
    <t>Year group or Grade Level (US).</t>
  </si>
  <si>
    <t>assessmentFormType/level</t>
  </si>
  <si>
    <t>Indicates the level of the form.</t>
  </si>
  <si>
    <t>xs:token</t>
  </si>
  <si>
    <t>assessmentItemAssociationType/associationType</t>
  </si>
  <si>
    <t>Indicates the type of the association. For example: enemy - Indicates that the two items are enemies and should not appear on the same test together; derivative - Indicates that the first item was derived from the associated item (such as language translation).</t>
  </si>
  <si>
    <t>assessmentItemType/assessmentItemPlatformList/assessmentItemPlatform</t>
  </si>
  <si>
    <t>The specific delivery platform that this item will support.</t>
  </si>
  <si>
    <t>assessmentItemType/itemFeedbackHint</t>
  </si>
  <si>
    <t>A hint is provided to the test taker during testing, either on request or upon an incorrect response as determined by the test design.</t>
  </si>
  <si>
    <t>xs:string</t>
  </si>
  <si>
    <t>assessmentItemType/itemPublishDate</t>
  </si>
  <si>
    <t>The date that this version of the item was published (published means made available for use). If the ItemVersion is provided, then this date should also be provided.</t>
  </si>
  <si>
    <t>xs:date</t>
  </si>
  <si>
    <t>assessmentItemType/itemVersion</t>
  </si>
  <si>
    <t>This will identify the version of the item that this object represents. New versions of the item will generate new RefIds and therefore new instances of the object. The format of the version number is defined by the assessment provider.</t>
  </si>
  <si>
    <t xml:space="preserve">assessmentRegistrationType/assessmentGradeLevel </t>
  </si>
  <si>
    <t>The grade or level at which the student is to be tested. This element should be omitted unless the student is being tested out-of-level.</t>
  </si>
  <si>
    <t>assessmentRegistrationType/assessmentPlatform</t>
  </si>
  <si>
    <t>Indicates if the registration is for a specific assessment delivery platform. Should be updated post-test with the actual platform used.</t>
  </si>
  <si>
    <t>assessmentRegistrationType/assessmentStudentSnapshot/age</t>
  </si>
  <si>
    <t>The age (in years) of the student on the date of the registration.</t>
  </si>
  <si>
    <t>xs:unsignedShort</t>
  </si>
  <si>
    <t>assessmentRegistrationType/assessmentStudentSnapshot/ell</t>
  </si>
  <si>
    <t>gYesNoUnknownType</t>
  </si>
  <si>
    <t>assessmentRegistrationType/assessmentStudentSnapshot/projectedGraduationYear</t>
  </si>
  <si>
    <t>Currently projected graduation year.</t>
  </si>
  <si>
    <t>gPartialDateType</t>
  </si>
  <si>
    <t xml:space="preserve">assessmentRegistrationType/studentSpecialEventList/studentSpecialEvent/@eventType </t>
  </si>
  <si>
    <t>A code indicating the type of special event. Code values are determined by the assessment program..</t>
  </si>
  <si>
    <t>assessmentResponseSetType/itemList/item/commentList/comment/commentCode</t>
  </si>
  <si>
    <t>For each comment provided, this will identify the specific code for the comment. These codes will be program specific (no standardized values).</t>
  </si>
  <si>
    <t>assessmentResponseSetType/itemList/item/commentList/comment/commentDescription</t>
  </si>
  <si>
    <t>Allows for the description of the comment code to be provided by the scoring system.</t>
  </si>
  <si>
    <t>assessmentResponseSetType/itemList/item/feedbackItemList/feedbackItem/feedbackCode</t>
  </si>
  <si>
    <t>If there is a coding system associated with the feedback concerning the score, then this will identify that code. The format and content of the code is determined by the assessment program.</t>
  </si>
  <si>
    <t>assessmentResponseSetType/itemList/item/feedbackItemList/feedbackItem/feedbackSource</t>
  </si>
  <si>
    <t>This indicates the source for this feedback. May indicate if this is teacher, scorer, or system generated feedback. Values for this attribute would be determined by the assessment program.</t>
  </si>
  <si>
    <t>assessmentResponseSetType/itemList/item/itemScoreCode</t>
  </si>
  <si>
    <t>This is the score code the student received for the specific item. Generally only applies to open ended items. Values are program specific, but example values might be 'BL = blank', 'OT = off topic', 'FL = foreign language'.</t>
  </si>
  <si>
    <t>assessmentResponseSetType/itemList/item/numberOfAttempts</t>
  </si>
  <si>
    <t>The number of times a student changes their answer or attempts a response. For online tests, this would represent each time an item was changed after the original (complete) response was provided and the student navigated away from the item. For paper-bas</t>
  </si>
  <si>
    <t>assessmentResponseSetType/itemList/item/responseLocation</t>
  </si>
  <si>
    <t>An optional element that contains a URL pointing to the location of the response or additional response.</t>
  </si>
  <si>
    <t>xs:anyURI</t>
  </si>
  <si>
    <t>assessmentResponseSetType/itemList/item/traitScoreList/traitScore/traitScoreCode</t>
  </si>
  <si>
    <t>If there is a code associated with the trait score, then this will allow for identifying the code.</t>
  </si>
  <si>
    <t>assessmentResponseSetType/itemList/item/traitScoreList/traitScore/traitScoreType</t>
  </si>
  <si>
    <t>If trait scores are provided, then this identifies the specific trait score that is provided. This value will be program specific (i.e. no standardized list of values available).</t>
  </si>
  <si>
    <t>assessmentResponseSetType/itemList/item/traitScoreList/traitScore/traitScoreValue</t>
  </si>
  <si>
    <t>This will be the numeric trait score value.</t>
  </si>
  <si>
    <t>xs:decimal</t>
  </si>
  <si>
    <t>assessmentRubricType/rubricPublishDate</t>
  </si>
  <si>
    <t>Identifies the date that this version of the Rubric was published (published means made available for use). If a RubricVersion is provided, then this element should also be provided.</t>
  </si>
  <si>
    <t>assessmentRubricType/rubricVersion</t>
  </si>
  <si>
    <t>Identifies the version of the Rubric that this object represents. Note that new versions of the Rubric must generate new RefIds and therefore a new Rubric object. The format of the numbering system is determined by the assessment provider.</t>
  </si>
  <si>
    <t>assessmentRubricType/scoreList/score/scoreCode</t>
  </si>
  <si>
    <t>assessmentRubricType/scoreList/score/scoreCodeDefinition</t>
  </si>
  <si>
    <t xml:space="preserve">This provides the definition of the score code or value. For example, if the score code is OT, then this can provide the definition of 'Off Topic'. </t>
  </si>
  <si>
    <t>assessmentRubricType/scoreList/score/scoreCommentList/scoreComment/comment</t>
  </si>
  <si>
    <t xml:space="preserve">A description of the comment code. This can be used to provide additional feedback to the student for the score they received. </t>
  </si>
  <si>
    <t>assessmentRubricType/scoreList/score/scoreCommentList/scoreComment/commentCode</t>
  </si>
  <si>
    <t>This is the comment code that is likely entered or selected by the scorer and is provided in data files or reports.</t>
  </si>
  <si>
    <t>assessmentScoreSetType/feedbackItemList/feedbackItem/feedbackSource</t>
  </si>
  <si>
    <t>assessmentScoreSetType/scoreList/score/numberOfResponses</t>
  </si>
  <si>
    <t>This is the number of responses that are included with the StudentScoreSet. Responses are those items that were attempted (partially or fully answered) by the student and not necessarily the number of items in the sub test (which can be determined from th</t>
  </si>
  <si>
    <t>assessmentScoreSetType/scoreList/score/passFailIndicator</t>
  </si>
  <si>
    <t>If the score value also determines a pass/fail level, then this indicator will specify the value.</t>
  </si>
  <si>
    <t>assessmentScoreTableType/scoreTablePublishDate</t>
  </si>
  <si>
    <t>The date that this version of the score table was published (published means made available for use). If a ScoreTableVersion is provided, then this element should also be provided.</t>
  </si>
  <si>
    <t>xs:dateTime</t>
  </si>
  <si>
    <t>assessmentScoreTableType/scoreTableVersion</t>
  </si>
  <si>
    <t>The version of the score table that this object represents. Note that new versions of score tables must generate new RefIds and therefore a new score table object. The format of the numbering system is determined by the assessment provider.</t>
  </si>
  <si>
    <t>assessmentScoreTableType/scoreValueList/scoreValue/feedbackList/feedback/description</t>
  </si>
  <si>
    <t>A brief additional information concerning the derived score can be provided here.</t>
  </si>
  <si>
    <t>assessmentScoreTableType/scoreValueList/scoreValue/feedbackList/feedback/source</t>
  </si>
  <si>
    <t>Indicates the source of this feedback. Values will be determined by the assessment program.</t>
  </si>
  <si>
    <t>assessmentScoreTableType/scoreValueList/scoreValue/passFailIndicator</t>
  </si>
  <si>
    <t>If Pass/Fail indicators are used, then this will indicate if this derived score value represents a Passing or Failing level.</t>
  </si>
  <si>
    <t>assessmentSectionType/itemSelectionAlgorithm</t>
  </si>
  <si>
    <t>If this section is a Random or an Adaptive section, then this will specify the location of the Algorithm.</t>
  </si>
  <si>
    <t>assessmentSectionType/itemSelectionAlgorithmName</t>
  </si>
  <si>
    <t>If the section is a Random or an Adaptive section, then this will identify the name of the algorithm used to select items.</t>
  </si>
  <si>
    <t>assessmentSectionType/sectionItemList/sectionItem/itemSequence</t>
  </si>
  <si>
    <t>If the section is a sequential section, then this will specify the sequence that this item will appear within the section. Should start at 1 and increment by 1.</t>
  </si>
  <si>
    <t>assessmentSessionType/sessionName</t>
  </si>
  <si>
    <t>Name of the Administration Session.</t>
  </si>
  <si>
    <t>xs:normalizedString</t>
  </si>
  <si>
    <t>assessmentSubTestType/numberOfItems</t>
  </si>
  <si>
    <t>This element records the number of items included on the assessment. This number may be different than the possible score.</t>
  </si>
  <si>
    <t>xs:int</t>
  </si>
  <si>
    <t>assessmentSubTestType/subTestGradeLevelList/subTestGradeLevel</t>
  </si>
  <si>
    <t>courseType/courseFrequency</t>
  </si>
  <si>
    <t>An indication of how often the course is offered, e.g., term, 1 year, 2 years, 3 years.</t>
  </si>
  <si>
    <t>disciplineIncidentType/incidentActionList/incidentAction/arrest</t>
  </si>
  <si>
    <t>Identifies whether there were any arrests.</t>
  </si>
  <si>
    <t>disciplineIncidentType/incidentLocationId</t>
  </si>
  <si>
    <t>The locally-defined identifier or description of the location where the incident occurred.</t>
  </si>
  <si>
    <t>disciplineIncidentType/offenderList/offender/actionList/action/alternativeEducation</t>
  </si>
  <si>
    <t>Identifies whether or not the offender was assigned to an Alternative Education facility.</t>
  </si>
  <si>
    <t>disciplineIncidentType/offenderList/offender/actionList/action/arrest</t>
  </si>
  <si>
    <t>Identifies whether or not the offender was arrested.</t>
  </si>
  <si>
    <t>disciplineIncidentType/offenderList/offender/manifestationDetermination/meetingDate</t>
  </si>
  <si>
    <t>Date of the manifestation determination meeting, if applicable.</t>
  </si>
  <si>
    <t>disciplineIncidentType/offenderList/offender/manifestationDetermination/meetingHeld</t>
  </si>
  <si>
    <t>Was a manifestation determination meeting held for this student regarding this offense?</t>
  </si>
  <si>
    <t>disciplineIncidentType/offenderList/offender/manifestationDetermination/meetingOutcome</t>
  </si>
  <si>
    <t>Text description of the outcome of the meeting: for example, hearing completed, pending, or refused by student's parents.</t>
  </si>
  <si>
    <t>disciplineIncidentType/reportingAgency/agencyName</t>
  </si>
  <si>
    <t>gAddressType/subregion</t>
  </si>
  <si>
    <t>A second-order subdivision of the country, e.g. county, shire.</t>
  </si>
  <si>
    <t>gBaseNameType/familyNameFirst</t>
  </si>
  <si>
    <t>gBaseNameType/fullName</t>
  </si>
  <si>
    <t>gBaseNameType/preferredFamilyName</t>
  </si>
  <si>
    <t>gBaseNameType/preferredFamilyNameFirst</t>
  </si>
  <si>
    <t>gBaseNameType/preferredGivenName</t>
  </si>
  <si>
    <t>gBaseNameType/sortName</t>
  </si>
  <si>
    <t>The name to be used for sorting in lists of names</t>
  </si>
  <si>
    <t xml:space="preserve">gBellPeriodType/regularSchoolPeriod </t>
  </si>
  <si>
    <t xml:space="preserve">gBellPeriodType/timetablePeriodIdentifier </t>
  </si>
  <si>
    <t>gContactPersonAssociationType/contactSequenceSource</t>
  </si>
  <si>
    <t xml:space="preserve">The source used to determine the contact sequence or priority, e.g., court order, transportation system, etc. </t>
  </si>
  <si>
    <t>gContactPersonType/employerType</t>
  </si>
  <si>
    <t>gLaxCodedElementType</t>
  </si>
  <si>
    <t>gContactPersonType/positionTitle</t>
  </si>
  <si>
    <t>gContactPersonType/publishIndicator</t>
  </si>
  <si>
    <t>Indicates if the contact information can be published in directories and other lists</t>
  </si>
  <si>
    <t>gContactPersonType/role</t>
  </si>
  <si>
    <t>gCourseType/yearOffered</t>
  </si>
  <si>
    <t>xs:gYear</t>
  </si>
  <si>
    <t>gDemographicsType/countryArrivalDate</t>
  </si>
  <si>
    <t>gDemographicsType/countryOfCitizenshipList/countryOfCitizenship</t>
  </si>
  <si>
    <t>gCountryType</t>
  </si>
  <si>
    <t>gDemographicsType/countryOfResidency</t>
  </si>
  <si>
    <t>gDemographicsType/dwellingArrangement</t>
  </si>
  <si>
    <t>Setting/environment in which the person resides.</t>
  </si>
  <si>
    <t>gDwellingArrangementType</t>
  </si>
  <si>
    <t>gDemographicsType/languageProficiency</t>
  </si>
  <si>
    <t>The persons proficiency in the primary language of education in the school. In the existing SIF locales, the language is English.</t>
  </si>
  <si>
    <t>gLanguageProficiencyType</t>
  </si>
  <si>
    <t>gDemographicsType/maritalStatus</t>
  </si>
  <si>
    <t>The persons marital status.</t>
  </si>
  <si>
    <t>gMaritalStatusType</t>
  </si>
  <si>
    <t>gDemographicsType/subregionOfBirth</t>
  </si>
  <si>
    <t>gEducationGroupingType/localId</t>
  </si>
  <si>
    <t>The locally assigned identifier associated with an entity. This is in contrast to the external identifier.</t>
  </si>
  <si>
    <t>gEventCollectionType/duration</t>
  </si>
  <si>
    <t>This element can be used when startDate and/or endDate are not present. The duration of the event using the form of xs:duration.</t>
  </si>
  <si>
    <t>xs:duration</t>
  </si>
  <si>
    <t>gEventCollectionType/endDate</t>
  </si>
  <si>
    <t>The last calendar date, whether or not instruction was provided. EndDate must be the last chronological instance of SchoolCalendarItem for the school's calendar.</t>
  </si>
  <si>
    <t>gEventCollectionType/startDate</t>
  </si>
  <si>
    <t>The first calendar date, whether or not instruction was provided. If both SchoolCalendar and SchoolCalendar Item objects are supported, StartDate must be the date of the first chronological instance of SchoolCalendar Item for the school's calendar.</t>
  </si>
  <si>
    <t>gIntervalEventType/duration</t>
  </si>
  <si>
    <t xml:space="preserve">The length of the term in days, months, etc. </t>
  </si>
  <si>
    <t>gIntervalEventType/endDate</t>
  </si>
  <si>
    <t>gIntervalEventType/startDate</t>
  </si>
  <si>
    <t>gLanguageDescriptionType/dialect</t>
  </si>
  <si>
    <t>gLearningStandardDocumentType/authorList/author</t>
  </si>
  <si>
    <t>gLearningStandardDocumentType/copyrightDate</t>
  </si>
  <si>
    <t>gLearningStandardDocumentType/localAdoptionDate</t>
  </si>
  <si>
    <t>gLearningStandardDocumentType/localArchiveDate</t>
  </si>
  <si>
    <t>gLearningStandardDocumentType/organizationContactPoint</t>
  </si>
  <si>
    <t xml:space="preserve">gLearningStandardDocumentType/organizationList/organization </t>
  </si>
  <si>
    <t xml:space="preserve">Name of organization represented by the document, i.e., "National Council of Teachers of Mathematics (NCTM)," "ACARA"," NSW DET". </t>
  </si>
  <si>
    <t>gLearningStandardDocumentType/source</t>
  </si>
  <si>
    <t>gLearningStandardsOrganizationType</t>
  </si>
  <si>
    <t>gLearningStandardItemType/alternativeIdCodeList</t>
  </si>
  <si>
    <t>gLearningStandardItemType/description</t>
  </si>
  <si>
    <t>gLearningStandardItemType/organizationList/organization</t>
  </si>
  <si>
    <t>Name of the organization</t>
  </si>
  <si>
    <t>gLearningStandardItemType/standardHierarchyLevelDescription</t>
  </si>
  <si>
    <t>gLearningStandardItemType/standardHierarchyLevelNumber</t>
  </si>
  <si>
    <t>gLearningStandardItemType/subjectAreaList/subjectArea</t>
  </si>
  <si>
    <t>gLEAType/electoralDistrict</t>
  </si>
  <si>
    <t>The electoral district.</t>
  </si>
  <si>
    <t>gElectoralDistrictType</t>
  </si>
  <si>
    <t>gMedicalAlertMessageType/@severity</t>
  </si>
  <si>
    <t>The level of severity of this medical alert.</t>
  </si>
  <si>
    <t>gMedicalAlertMessageSeverityType</t>
  </si>
  <si>
    <t>gNameOfRecordType/@nameRole</t>
  </si>
  <si>
    <t>Code that specifies what type of name this is. The type has a different codeset for different Locales, which is not represented at the global tier by a fixed codeset.</t>
  </si>
  <si>
    <t>gNameRoleType</t>
  </si>
  <si>
    <t>gOrganizationOrganizationAssociationType/childOrganizationRole</t>
  </si>
  <si>
    <t xml:space="preserve">The role of the child organization with respect to this association. </t>
  </si>
  <si>
    <t>gOrganizationOrganizationAssociationType/endDate</t>
  </si>
  <si>
    <t>gOrganizationOrganizationAssociationType/parentOrganizationRole</t>
  </si>
  <si>
    <t xml:space="preserve">The role of the parent organization with respect to this association. </t>
  </si>
  <si>
    <t>gOrganizationOrganizationAssociationType/startDate</t>
  </si>
  <si>
    <t xml:space="preserve">gOrganizationSubtypeType/entryDate </t>
  </si>
  <si>
    <t>gOrganizationSubtypeType/exitDate</t>
  </si>
  <si>
    <t xml:space="preserve">gOrganizationUserType/associatedRole </t>
  </si>
  <si>
    <t>gRoleTypeType</t>
  </si>
  <si>
    <t xml:space="preserve">gOrganizationUserType/associationType </t>
  </si>
  <si>
    <t xml:space="preserve">gOrganizationUserType/endDate </t>
  </si>
  <si>
    <t xml:space="preserve">gOrganizationUserType/startDate </t>
  </si>
  <si>
    <t xml:space="preserve">gOtherNameType/@nameRole </t>
  </si>
  <si>
    <t>gPartyAddressRelationType/addressType</t>
  </si>
  <si>
    <t>Code that defines the location of the address. Note: A subset of specific valid values for each instance in a data object may be listed in that object.</t>
  </si>
  <si>
    <t>gPartyOrganizationAssociationType/associationType</t>
  </si>
  <si>
    <t xml:space="preserve">The type of association. For example if the party is a person who is a member of the organizatinon then this field would contain the type of membership. </t>
  </si>
  <si>
    <t>gPersonGroupAssociationType/associationType</t>
  </si>
  <si>
    <t>The type of association. For example, if a person is a member of the group then this field would contain the type of membership the person has.</t>
  </si>
  <si>
    <t>gPersonGroupAssociationType/endDate</t>
  </si>
  <si>
    <t>End date of the association.</t>
  </si>
  <si>
    <t>gPersonGroupAssociationType/startDate</t>
  </si>
  <si>
    <t>Start date of the association.</t>
  </si>
  <si>
    <t>gPersonOrganizationAssociationType/associationType</t>
  </si>
  <si>
    <t>gPersonRoleAssociationType/entryDate</t>
  </si>
  <si>
    <t>gPersonRoleAssociationType/exitDate</t>
  </si>
  <si>
    <t>gPersonType/externalId</t>
  </si>
  <si>
    <t>An external (to the local system) agency identifier for the person. The identifier for this entity as assigned by a government authority (typically state or province in a federal system, national in a centralized system).</t>
  </si>
  <si>
    <t>gExternalIdType</t>
  </si>
  <si>
    <t>gPersonType/localId</t>
  </si>
  <si>
    <t>A local agency identifier for the person.</t>
  </si>
  <si>
    <t>gPhoneNumberType/listedStatus</t>
  </si>
  <si>
    <t>Indicates whether or not the phone number is available to the public.</t>
  </si>
  <si>
    <t>gListedStatusType</t>
  </si>
  <si>
    <t>gRelatedLearningStandardItemList/relatedLearningStandardItem</t>
  </si>
  <si>
    <t>gRelatedLearningStandardItemType</t>
  </si>
  <si>
    <t xml:space="preserve">gRelatedLearningStandardItemType/relationshipType </t>
  </si>
  <si>
    <t>gLearningStandardsItemRelationshipType</t>
  </si>
  <si>
    <t>groupType/groupCategory</t>
  </si>
  <si>
    <t>The type of group. For example cohort, learning group, analysis group, etc.</t>
  </si>
  <si>
    <t>gSchoolCalendarType/graduationDate</t>
  </si>
  <si>
    <t>Date of graduation ceremony.</t>
  </si>
  <si>
    <t>gSchoolType/boardingSchoolStatus</t>
  </si>
  <si>
    <t>gSchoolType/electoralDistrict</t>
  </si>
  <si>
    <t>gSchoolType/genderOfEntry</t>
  </si>
  <si>
    <t>The gender for single-gender schools.</t>
  </si>
  <si>
    <t>gGenderOfEntryType</t>
  </si>
  <si>
    <t>gSchoolType/schoolSector</t>
  </si>
  <si>
    <t>gSchoolSectorType</t>
  </si>
  <si>
    <t>gSectionType/longName</t>
  </si>
  <si>
    <t>gStaffPersonAssignmentType/jobFunction</t>
  </si>
  <si>
    <t>gStaffPersonAssignmentType/teachingAssignment</t>
  </si>
  <si>
    <t>In SIF2.6: TeachingAssignment</t>
  </si>
  <si>
    <t>gStreetType/apartmentNumberPrefix</t>
  </si>
  <si>
    <t>gStreetType/apartmentNumberSuffix</t>
  </si>
  <si>
    <t>gStreetType/apartmentType</t>
  </si>
  <si>
    <t>gStreetType/complex</t>
  </si>
  <si>
    <t>gStreetType/line2</t>
  </si>
  <si>
    <t>gStreetType/line3</t>
  </si>
  <si>
    <t>gStreetType/streetName</t>
  </si>
  <si>
    <t>gStreetType/streetNumber</t>
  </si>
  <si>
    <t>gStreetType/streetPrefix</t>
  </si>
  <si>
    <t>gStreetType/streetSuffix</t>
  </si>
  <si>
    <t>gStreetType/streetType</t>
  </si>
  <si>
    <t>gStudentSchoolEnrollmentType/acceptableUsePolicy</t>
  </si>
  <si>
    <t>gStudentSchoolEnrollmentType/exitStatus</t>
  </si>
  <si>
    <t>Code indicating the closure status for this enrollment.</t>
  </si>
  <si>
    <t>gExitStatusType</t>
  </si>
  <si>
    <t>gStudentSchoolEnrollmentType/membershipType</t>
  </si>
  <si>
    <t>gStudentSchoolEnrollmentType/promotionStatus</t>
  </si>
  <si>
    <t>This value should be set if this enrollment instance is closed for an end-of-year closeout or a mid-year promotion or demotion. A value other than N/A should be specified when the enrollment instance represents an end-of-year closeout or mid-year promotion/demotion.</t>
  </si>
  <si>
    <t>gPromotionStatusType</t>
  </si>
  <si>
    <t>gStudentSchoolEnrollmentType/recordClosureReason</t>
  </si>
  <si>
    <t>gRecordClosureReasonType</t>
  </si>
  <si>
    <t>gStudentSchoolEnrollmentType/residencyStatus</t>
  </si>
  <si>
    <t>Location of an individuals legal residence relative to (within or outside) the boundaries of the school for this enrollment.</t>
  </si>
  <si>
    <t>gResidencyStatusType</t>
  </si>
  <si>
    <t>gStudentType/alertMessageList/alertMessage</t>
  </si>
  <si>
    <t xml:space="preserve">An alert message associatied with the student. </t>
  </si>
  <si>
    <t>gAlertMessageType</t>
  </si>
  <si>
    <t>gStudentType/medicalAlertMessageList/medicalAlertMessage</t>
  </si>
  <si>
    <t xml:space="preserve">A medical alert message associatied with the student. </t>
  </si>
  <si>
    <t>gMedicalAlertMessageType</t>
  </si>
  <si>
    <t>gStudentType/projectedGraduationYear</t>
  </si>
  <si>
    <t>gTermType/track</t>
  </si>
  <si>
    <t>learningGoalCEDSType/learningGoalType</t>
  </si>
  <si>
    <t>learningResourceType/agreementDate</t>
  </si>
  <si>
    <t>A date that defines the date of agreement.</t>
  </si>
  <si>
    <t>learningResourceType/approvalList/approval/approvalDate</t>
  </si>
  <si>
    <t>Date resource was approved.</t>
  </si>
  <si>
    <t>learningResourceType/approvalList/approval/organization</t>
  </si>
  <si>
    <t>Name of agency that approved use of resource.</t>
  </si>
  <si>
    <t>learningResourceType/componentList/component/associatedObjectList/associatedObject</t>
  </si>
  <si>
    <t>gGenericRefIdPointerType</t>
  </si>
  <si>
    <t>learningResourceType/componentList/component/description</t>
  </si>
  <si>
    <t>Description of ResourceComponent, i.e. "Discover how changing the scale of a map can either increase or decrease the level of detail you see."</t>
  </si>
  <si>
    <t>learningResourceType/componentList/component/reference</t>
  </si>
  <si>
    <t>Description of where ResourceComponent is located within resource or in general, i.e. "Section 4, pages 32-38," or URL string, or whatever locator is appropriate for media.</t>
  </si>
  <si>
    <t>learningResourceType/componentList/component/resourceName</t>
  </si>
  <si>
    <t>Name of learning resource component within the resource, i.e. "Chapter 1, Section 4.</t>
  </si>
  <si>
    <t>learningResourceType/componentList/component/strategyList/strategy</t>
  </si>
  <si>
    <t>Teaching/learning strategy used in the learning resource. One per element.</t>
  </si>
  <si>
    <t>learningResourceType/evaluationList/evaluation/date</t>
  </si>
  <si>
    <t>Date evaluation was performed</t>
  </si>
  <si>
    <t>learningResourceType/evaluationList/evaluation/description</t>
  </si>
  <si>
    <t>Description of evaluation of resource.</t>
  </si>
  <si>
    <t>learningResourceType/evaluationList/evaluation/evaluatorName</t>
  </si>
  <si>
    <t>Name of individual who submitted evaluation.</t>
  </si>
  <si>
    <t>learningResourceType/location/locationReference</t>
  </si>
  <si>
    <t>Reference to the resource, i.e. location in library or URL, community resource, outside resource supplier.</t>
  </si>
  <si>
    <t>learningResourceType/status</t>
  </si>
  <si>
    <t>Describes availability status of resource, e.g. "checked out."</t>
  </si>
  <si>
    <t>schoolCalendarItemType/administratorAttendance/attendanceValue</t>
  </si>
  <si>
    <t>Amount of the school day in which the administrator should be in attendance (format is x.x; an administrator who should be in attendance a full day would be represented as 1.0).</t>
  </si>
  <si>
    <t>schoolCalendarItemType/administratorAttendance/countsTowardAttendance</t>
  </si>
  <si>
    <t>Designates whether this date should be counted toward administrator attendance.</t>
  </si>
  <si>
    <t>schoolCalendarItemType/dateNumber</t>
  </si>
  <si>
    <t>Order in which the calendar date falls within the school calendar.</t>
  </si>
  <si>
    <t>schoolCalendarItemType/dateTypeCode</t>
  </si>
  <si>
    <t>Code indicating the type of school day.</t>
  </si>
  <si>
    <t>gCodedElementType</t>
  </si>
  <si>
    <t>schoolCalendarItemType/studentAttendance/attendanceValue</t>
  </si>
  <si>
    <t>Amount of the school day in which the student should be in attendance (Format is x.x; a student who should be in attendance a full day would be represented as 1.0). If CountsTowardAttendance equals Yes then StudentAttendanceValue must be greater than zero.</t>
  </si>
  <si>
    <t>schoolCalendarItemType/studentAttendance/countsTowardAttendance</t>
  </si>
  <si>
    <t>Designates whether this date should be counted toward student attendance.</t>
  </si>
  <si>
    <t>schoolCalendarItemType/teacherAttendance/attendanceValue</t>
  </si>
  <si>
    <t>Amount of the school day in which the teacher should be in attendance (format is x.x; a teacher who should be in attendance a full day would be represented as 1.0).</t>
  </si>
  <si>
    <t>schoolCalendarItemType/teacherAttendance/countsTowardAttendance</t>
  </si>
  <si>
    <t>Designates whether this date should be counted toward teacher attendance.</t>
  </si>
  <si>
    <t>seaType/ccssoContact</t>
  </si>
  <si>
    <t>Chief State School Officer contact information.</t>
  </si>
  <si>
    <t>seaType/ncesId</t>
  </si>
  <si>
    <t>The NCES-assigned identifier for this SEA.</t>
  </si>
  <si>
    <t>sreType/assessmentList/assessment/schoolWhenTestTaken/schoolContactEmail</t>
  </si>
  <si>
    <t>Contact information for the school.</t>
  </si>
  <si>
    <t>gEmailType</t>
  </si>
  <si>
    <t>sreType/disciplineIncidents/disciplineIncident/actionList/action/reportingSchool/schoolContactEmail</t>
  </si>
  <si>
    <t>Contact information (related to the incident) for the school.</t>
  </si>
  <si>
    <t>sreType/graduationRequirementList/graduationRequirement/programOfFocus</t>
  </si>
  <si>
    <t>A course-of-study option the student has chosen to complete.</t>
  </si>
  <si>
    <t>sreType/indicators/healthTestList/healthTest/healthTestDate</t>
  </si>
  <si>
    <t>The year, month and day the person received the medical or health-related test.</t>
  </si>
  <si>
    <t>sreType/indicators/healthTestList/healthTest/healthTestType</t>
  </si>
  <si>
    <t>An indication of the type of medical or health-related test that a person received.</t>
  </si>
  <si>
    <t>sreType/indicators/healthTestList/healthTest/result</t>
  </si>
  <si>
    <t>The result of the medical or health-related test that a person received.</t>
  </si>
  <si>
    <t>sreType/programs/activityList/activity/activityDescription</t>
  </si>
  <si>
    <t>A description of the events and procedures that take place under the purview of the organized activity.</t>
  </si>
  <si>
    <t>sreType/programs/activityList/activity/activityType</t>
  </si>
  <si>
    <t>A clasification title that describes the activity at a high level.</t>
  </si>
  <si>
    <t>sreType/programs/activityList/activity/timeInvolved</t>
  </si>
  <si>
    <t>The number of hours, days, weeks, months, years, events, or seasons the student participated in the events and procedures that take place under the purview of the activity.</t>
  </si>
  <si>
    <t>sreType/specialEducation/eligibilityDate</t>
  </si>
  <si>
    <t>The date when a student is identified by a school or school district as being eligible for special education services.</t>
  </si>
  <si>
    <t>sreType/specialEducation/iepCompletionDate</t>
  </si>
  <si>
    <t>The date that the student, school, and school district fulfills the listed activities described within the IEP.</t>
  </si>
  <si>
    <t>sreType/specialEducation/placementDescription</t>
  </si>
  <si>
    <t>sreType/specialEducation/placementType</t>
  </si>
  <si>
    <t>sreType/specialEducation/serviceList/service/fundingSourceCode</t>
  </si>
  <si>
    <t>The organization that is supplying the money to provide the service to the student.</t>
  </si>
  <si>
    <t>sreType/specialEducation/serviceList/service/fundingSourceCodeDescription</t>
  </si>
  <si>
    <t>A representation or characterization of the organizaiton that is supplying the money to provide the service to the student and why it is being provided.</t>
  </si>
  <si>
    <t>sreType/transcriptTermList/transcriptTerm/courseList/course/gpaUnweightedMark</t>
  </si>
  <si>
    <t>The numeric unweighted GPA value of the final mark.</t>
  </si>
  <si>
    <t>sreType/transcriptTermList/transcriptTerm/courseList/course/gpaWeightedMark</t>
  </si>
  <si>
    <t>The numeric locally weighted GPA value of the final mark.</t>
  </si>
  <si>
    <t>sreType/transcriptTermList/transcriptTerm/courseList/course/progressGPA</t>
  </si>
  <si>
    <t>The numeric GPA value of the progress mark.</t>
  </si>
  <si>
    <t>Accessibility Feature Application Type</t>
  </si>
  <si>
    <t>An indication of how this accessibility feature can be applied.</t>
  </si>
  <si>
    <t>Added new element.</t>
  </si>
  <si>
    <t>002167</t>
  </si>
  <si>
    <t>AccessibilityFeatureApplicationType</t>
  </si>
  <si>
    <t>Accessibility Feature Category</t>
  </si>
  <si>
    <t>The category of features implemented to enhance accessibility.</t>
  </si>
  <si>
    <t>002168</t>
  </si>
  <si>
    <t>AccessibilityFeatureCategory</t>
  </si>
  <si>
    <t>Accessibility Feature Delivery Method</t>
  </si>
  <si>
    <t>The distinct methods or formats through which accessibility features, such as resources or tools, are provided to a person based on their preferences, requirements, or needs.</t>
  </si>
  <si>
    <t>002169</t>
  </si>
  <si>
    <t>AccessibilityFeatureDeliveryMethod</t>
  </si>
  <si>
    <t>Accessibility Feature Embedded Indicator</t>
  </si>
  <si>
    <t>An indication whether this accessibility feature is embedded.</t>
  </si>
  <si>
    <t>002170</t>
  </si>
  <si>
    <t>AccessibilityFeatureEmbeddedIndicator</t>
  </si>
  <si>
    <t>Accessibility Feature Language Type</t>
  </si>
  <si>
    <t>The language the accessibility feature will be delivered in.</t>
  </si>
  <si>
    <t>002171</t>
  </si>
  <si>
    <t xml:space="preserve"> AccessibilityFeatureLanguageType</t>
  </si>
  <si>
    <t>Accessibility Feature Pauses the Clock Indicator</t>
  </si>
  <si>
    <t>An indication of whether the accessibility feature stops the predetermined amount of time for the assessment or instruction activity.</t>
  </si>
  <si>
    <t>002172</t>
  </si>
  <si>
    <t>AccessibilityFeaturePausesTheClockIndicator</t>
  </si>
  <si>
    <t>Accessibility Feature Relationship Type</t>
  </si>
  <si>
    <t>The type of relationship between two accessibility features.</t>
  </si>
  <si>
    <t>002173</t>
  </si>
  <si>
    <t>AccessibilityFeatureRelationshipType</t>
  </si>
  <si>
    <t xml:space="preserve">Accessible Format Provider Type </t>
  </si>
  <si>
    <t xml:space="preserve">The source from which accessible formats are acquired. </t>
  </si>
  <si>
    <t>002128</t>
  </si>
  <si>
    <t>AccessibleFormatProviderType</t>
  </si>
  <si>
    <t>Adaptive and Specialized Equipment or Furniture Description</t>
  </si>
  <si>
    <t>The description of the furniture or equipment used to address physical or sensory needs.</t>
  </si>
  <si>
    <t>002142</t>
  </si>
  <si>
    <t>AdaptiveAndSpecializedEquipmentOrFurnitureDescription</t>
  </si>
  <si>
    <t>Adaptive Calculator Type</t>
  </si>
  <si>
    <t>The specific type of adaptive calculator used.</t>
  </si>
  <si>
    <t>002143</t>
  </si>
  <si>
    <t>AdaptiveCalculatorType</t>
  </si>
  <si>
    <t>Agency Invitation for Transition Planning Indicator</t>
  </si>
  <si>
    <t>An indication that, if appropriate, a representative of any participating agency that is likely to be responsible for providing or paying for transition services, including, if appropriate, pre-employment transition services, was invited to the Individualized Education Program team meeting with the prior consent of the parent or student who has reached the age of majority.</t>
  </si>
  <si>
    <t>This element should be used for reporting IDEA Part B Indicator 13: Secondary Transition  (Authority:  20 U.S.C. 1416(a)(3)(B))</t>
  </si>
  <si>
    <t>002124</t>
  </si>
  <si>
    <t>AgencyInvitationforTransitionPlanningIndicator</t>
  </si>
  <si>
    <t>Alternate Response Option Type</t>
  </si>
  <si>
    <t>The type of alternative method for inputting a response.</t>
  </si>
  <si>
    <t>002144</t>
  </si>
  <si>
    <t>AlternateResponseOptionType</t>
  </si>
  <si>
    <t xml:space="preserve">Anticipated Date of Transition </t>
  </si>
  <si>
    <t>The anticipated date services will end under IDEA Part C and begin under Part B 619 or another early learning program or service.</t>
  </si>
  <si>
    <t>002125</t>
  </si>
  <si>
    <t>AnticipatedDateofTransition</t>
  </si>
  <si>
    <t>Assessment Component Type</t>
  </si>
  <si>
    <t>The various components of text that make up the whole of an assessment.</t>
  </si>
  <si>
    <t>002174</t>
  </si>
  <si>
    <t>AssessmentComponentType</t>
  </si>
  <si>
    <t>Assessment Extended Time Duration</t>
  </si>
  <si>
    <t>Additional time, recorded in minutes, to complete an assessment beyond the standard duration.</t>
  </si>
  <si>
    <t>002155</t>
  </si>
  <si>
    <t>AssessmentExtendedTimeDuration</t>
  </si>
  <si>
    <t>Assessment Extended Time Type</t>
  </si>
  <si>
    <t>The type of additional time provided to complete an assessment beyond the standard duration.</t>
  </si>
  <si>
    <t>002156</t>
  </si>
  <si>
    <t>AssessmentExtendedTimeType</t>
  </si>
  <si>
    <t xml:space="preserve">Behavior Impedes Learning Indicator </t>
  </si>
  <si>
    <t>An indication that a student's behavior impedes the student's learning or the learning of other students.</t>
  </si>
  <si>
    <t>002122</t>
  </si>
  <si>
    <t>BehaviorImpedesLearningIndicator</t>
  </si>
  <si>
    <t>Braille Access Type</t>
  </si>
  <si>
    <t>The way braille is accessed.</t>
  </si>
  <si>
    <t>002146</t>
  </si>
  <si>
    <t>BrailleAccessType</t>
  </si>
  <si>
    <t>Braille Application Type</t>
  </si>
  <si>
    <t>The way braille is applied.</t>
  </si>
  <si>
    <t>002147</t>
  </si>
  <si>
    <t>BrailleApplicationType</t>
  </si>
  <si>
    <t>Braille Code Type</t>
  </si>
  <si>
    <t>The type of braille code.</t>
  </si>
  <si>
    <t>002148</t>
  </si>
  <si>
    <t>BrailleCodeType</t>
  </si>
  <si>
    <t>Braille Version Type</t>
  </si>
  <si>
    <t>A tactile system used by people with visual impairments, employing patterns of raised dots to represent letters, numbers, and symbols that can be read by touch.</t>
  </si>
  <si>
    <t>002149</t>
  </si>
  <si>
    <t>BrailleVersionType</t>
  </si>
  <si>
    <t>Break Duration</t>
  </si>
  <si>
    <t>The duration of the pause, recorded in minutes, allowing the individual to temporarily suspend activities.</t>
  </si>
  <si>
    <t>002150</t>
  </si>
  <si>
    <t>BreakDuration</t>
  </si>
  <si>
    <t>Break Location Type</t>
  </si>
  <si>
    <t>The location where the individual is allowed to temporarily suspend activities.</t>
  </si>
  <si>
    <t>002151</t>
  </si>
  <si>
    <t>BreakLocationType</t>
  </si>
  <si>
    <t>Break Type</t>
  </si>
  <si>
    <t>The type of designated pause allowing the individual to temporarily suspend activities.</t>
  </si>
  <si>
    <t>002152</t>
  </si>
  <si>
    <t>BreakType</t>
  </si>
  <si>
    <t>Calculator Type</t>
  </si>
  <si>
    <t>The specific type of calculator used.</t>
  </si>
  <si>
    <t>002153</t>
  </si>
  <si>
    <t>CalculatorType</t>
  </si>
  <si>
    <t>Degree of Visual Impairment</t>
  </si>
  <si>
    <t>The degree to which a person is visually impaired.</t>
  </si>
  <si>
    <t>002131</t>
  </si>
  <si>
    <t>DegreeOfVisualImpairment</t>
  </si>
  <si>
    <t>Display Format Adjustment Type</t>
  </si>
  <si>
    <t>The type of adjustment to the format of the content.</t>
  </si>
  <si>
    <t>002154</t>
  </si>
  <si>
    <t>DisplayFormatAdjustmentType</t>
  </si>
  <si>
    <t>Early Learning Outcome Measurement Date</t>
  </si>
  <si>
    <t>The date on which the assessment is conducted to determine the outcome.</t>
  </si>
  <si>
    <t>002126</t>
  </si>
  <si>
    <t>EarlyLearningOutcomeMeasurementDate</t>
  </si>
  <si>
    <t>Eligibility Determination Date</t>
  </si>
  <si>
    <t>Upon completion of the administration of assessments and other evaluation measures, the date that a group of qualified professionals and the parent of the child determine whether the child is a child with a disability.</t>
  </si>
  <si>
    <t>002120</t>
  </si>
  <si>
    <t>EligibilityDeterminationDate</t>
  </si>
  <si>
    <t>Enrollment Status Date</t>
  </si>
  <si>
    <t>The date for which the enrollment status applies.</t>
  </si>
  <si>
    <t>This date links directly to the Enrollment Status element.</t>
  </si>
  <si>
    <t>002129</t>
  </si>
  <si>
    <t>EnrollmentStatusDate</t>
  </si>
  <si>
    <t>Functional Behavioral Assessment Date</t>
  </si>
  <si>
    <t>The year, month and day on which the functional behavioral assessment was conducted.</t>
  </si>
  <si>
    <t>002127</t>
  </si>
  <si>
    <t>FunctionalBehavioralAssessmentDate</t>
  </si>
  <si>
    <t>Group Size Range Maximum</t>
  </si>
  <si>
    <t>The maximum number of individuals included in the group size.</t>
  </si>
  <si>
    <t>002159</t>
  </si>
  <si>
    <t>GroupSizeRangeMaximum</t>
  </si>
  <si>
    <t>Group Size Range Minimum</t>
  </si>
  <si>
    <t>The minimum number of individuals included in the group size.</t>
  </si>
  <si>
    <t>002158</t>
  </si>
  <si>
    <t>GroupSizeRangeMinimum</t>
  </si>
  <si>
    <t>Group Size Type</t>
  </si>
  <si>
    <t>The type of adjustment to the number of individuals in the setting.</t>
  </si>
  <si>
    <t>002157</t>
  </si>
  <si>
    <t>GroupSizeType</t>
  </si>
  <si>
    <t xml:space="preserve">IDEA Part C to Part B Transition Delay Reason </t>
  </si>
  <si>
    <t>The reason for delay in timeliness of the IEP by the child’s third birthday for all children referred by Part C as potentially eligible for Part B.</t>
  </si>
  <si>
    <t>This element is used to capture information for Indicator 12 of the SPP/APR Part B reporting, the percent of children referred by Part C prior to age 3, who are found eligible for Part B, and who have an IEP developed and implemented by their third birthdays. (20 U.S.C. 1416(a)(3)(B)).</t>
  </si>
  <si>
    <t>002117</t>
  </si>
  <si>
    <t>IDEAPartCtoPartBTransitionDelayReason</t>
  </si>
  <si>
    <t>Indicator 11 Child Find Timeliness Reason</t>
  </si>
  <si>
    <t xml:space="preserve">The reason a student’s initial evaluation was or was not timely. </t>
  </si>
  <si>
    <t>This element is used to capture information for Indicator 11 of the SPP/APR Part B reporting, the percent of children who were evaluated within 60 days of receiving parental consent for initial evaluation or, if the State establishes a timeframe within which the evaluation must be conducted, within that timeframe. (20 U.S.C. 1416(a)(3)(B))</t>
  </si>
  <si>
    <t>002116</t>
  </si>
  <si>
    <t>Indicator11ChildFindTimelinessReason</t>
  </si>
  <si>
    <t>Indirect Cost Rate</t>
  </si>
  <si>
    <t>A numeric value that is the rate for a given indirect cost rate type (e.g., limited) established with the cognizant agency for indirect costs or awarding agency.</t>
  </si>
  <si>
    <t>002137</t>
  </si>
  <si>
    <t>IndirectCostRate</t>
  </si>
  <si>
    <t>Indirect Cost Rate Agreement Approved By</t>
  </si>
  <si>
    <t>The name of the Federal Agency that approved the Indirect Cost Rate Agreement.</t>
  </si>
  <si>
    <t>002136</t>
  </si>
  <si>
    <t>IndirectCostRateAgreementApprovedBy</t>
  </si>
  <si>
    <t>Indirect Cost Rate Agreement End Date</t>
  </si>
  <si>
    <t>The year, month and day on which the federally approved Indirect Cost Rate Agreement ends.</t>
  </si>
  <si>
    <t>002135</t>
  </si>
  <si>
    <t xml:space="preserve"> IndirectCostRateAgreementEndDate</t>
  </si>
  <si>
    <t>Indirect Cost Rate Agreement Indicator</t>
  </si>
  <si>
    <t>Indicates the organization has a federally approved Indirect Cost Rate Agreement.</t>
  </si>
  <si>
    <t>002133</t>
  </si>
  <si>
    <t>IndirectCostRateAgreementIndicator</t>
  </si>
  <si>
    <t>Indirect Cost Rate Agreement Start Date</t>
  </si>
  <si>
    <t>The year, month and day on which the federally approved Indirect Cost Rate Agreement begins.</t>
  </si>
  <si>
    <t>002134</t>
  </si>
  <si>
    <t>IndirectCostRateAgreementStartDate</t>
  </si>
  <si>
    <t>Indirect Cost Rate Deviation Reason Type</t>
  </si>
  <si>
    <t>An explanation by the legal entity for deviations from negotiated indirect (F&amp;A) cost rates for Federal awards.</t>
  </si>
  <si>
    <t>002139</t>
  </si>
  <si>
    <t>IndirectCostRateDeviationReasonType</t>
  </si>
  <si>
    <t>Indirect Cost Rate Stage Code</t>
  </si>
  <si>
    <t>A code denoting the stage of an indirect cost rate.</t>
  </si>
  <si>
    <t>002138</t>
  </si>
  <si>
    <t>IndirectCostRateStageCode</t>
  </si>
  <si>
    <t xml:space="preserve">Locale </t>
  </si>
  <si>
    <t xml:space="preserve">A general geographic classification that describes the type of area where a school is located. </t>
  </si>
  <si>
    <t xml:space="preserve">Option Set </t>
  </si>
  <si>
    <t>The NCES locale framework is composed of four basic types (City, Suburban, Town, and Rural) that each contains three subtypes. It relies on standard urban and rural definitions developed by the U.S. Census Bureau, and each type of locale is either urban or rural in its entirety. The subtypes are differentiated by size (in the case of City and Suburban assignments) and proximity (in the case of Town and Rural assignments). The NCES locales can be fully collapsed into a basic urban–rural dichotomy, or expanded into a more detailed collection of 12 distinct categories.</t>
  </si>
  <si>
    <t>002130</t>
  </si>
  <si>
    <t>Locale</t>
  </si>
  <si>
    <t>Medical Support Type</t>
  </si>
  <si>
    <t>The type of support for a person with a medical condition.</t>
  </si>
  <si>
    <t>002160</t>
  </si>
  <si>
    <t>MedicalSupportType</t>
  </si>
  <si>
    <t>Metric Type</t>
  </si>
  <si>
    <t>The measurement scale or level of measurement for a variable.</t>
  </si>
  <si>
    <t xml:space="preserve">This is a general metric type allowing for a variety of metric type tagging of data. The primary use case is for EDFacts file specifications 199 and 205. This file specifications contain indicator types and the EMAPS Accountability Metadata Survey asks for the type of metric being used.  </t>
  </si>
  <si>
    <t>002141</t>
  </si>
  <si>
    <t>MetricType</t>
  </si>
  <si>
    <t>Perkins Nontraditional Type</t>
  </si>
  <si>
    <t>The type of nontraditional gender for this field.</t>
  </si>
  <si>
    <t>The Carl D. Perkins Career and Technical Education Act, as amended by the Strengthening Career and Technical Education for the 21st Century Act (Perkins V) identifies nine student subgroups as “special populations” for whom the State agency that administers Perkins V (State eligible agency) and local recipients have particular responsibilities for serving in their career and technical education (CTE) programs. “Individuals preparing for nontraditional fields” are one of these special populations (section 3(48) of Perkins V). Section 3(33) of Perkins V defines the term “nontraditional fields” to mean “occupations or fields of work, such as careers in computer science, technology, and other current and emerging high skill occupations, for which individuals from one gender comprise less than 25 percent of the individuals employed in each such occupation or field of work.”</t>
  </si>
  <si>
    <t>002115</t>
  </si>
  <si>
    <t>PerkinsNontraditionalType</t>
  </si>
  <si>
    <t>Procedural Safeguards Notice Indicator</t>
  </si>
  <si>
    <t>An indication the parent/guardian has received a copy of the procedural safeguards.</t>
  </si>
  <si>
    <t>This is a requirement under Part B of IDEA Section 300.504</t>
  </si>
  <si>
    <t>002121</t>
  </si>
  <si>
    <t>ProceduralSafeguardsNoticeIndicator</t>
  </si>
  <si>
    <t>Read Aloud Type</t>
  </si>
  <si>
    <t>The method in which the text is read aloud to the person.</t>
  </si>
  <si>
    <t>002161</t>
  </si>
  <si>
    <t>ReadAloudType</t>
  </si>
  <si>
    <t>Reference Sheet Type</t>
  </si>
  <si>
    <t>The type of structured document specifically designed for providing reference materials.</t>
  </si>
  <si>
    <t>002162</t>
  </si>
  <si>
    <t>ReferenceSheetType</t>
  </si>
  <si>
    <t>Retention Exemption Reason</t>
  </si>
  <si>
    <t>The reason why a student was exempted from retention in a grade level.</t>
  </si>
  <si>
    <t>If your organization has retention exemption reason(s) that differs from the options supplied here, submit those through the CEDS Open Source Community to be added to this list.</t>
  </si>
  <si>
    <t>002119</t>
  </si>
  <si>
    <t>RetentionExemptionReason</t>
  </si>
  <si>
    <t xml:space="preserve">School Quality or Student Success Indicator Type </t>
  </si>
  <si>
    <t>The reason why a school was identified for support and improvement based on school and student subgroup performance for each of the indicators the State uses for ESEA Title I accountability.</t>
  </si>
  <si>
    <t>002140</t>
  </si>
  <si>
    <t>SchoolQualityOrStudentSuccessIndicatorType</t>
  </si>
  <si>
    <t>Setting Type</t>
  </si>
  <si>
    <t>The type of adjustment in the environment based on individual needs.</t>
  </si>
  <si>
    <t>002163</t>
  </si>
  <si>
    <t>SettingType</t>
  </si>
  <si>
    <t>Signed Administration Delivery Method</t>
  </si>
  <si>
    <t>The method in which the signed administration will be delivered.</t>
  </si>
  <si>
    <t>002164</t>
  </si>
  <si>
    <t>SignedAdministrationDeliveryMethod</t>
  </si>
  <si>
    <t>Signed Administration Type</t>
  </si>
  <si>
    <t>The type of sign language in which content is presented.</t>
  </si>
  <si>
    <t>002145</t>
  </si>
  <si>
    <t>SignedAdministrationType</t>
  </si>
  <si>
    <t>Student Invitation for Transition Planning Indicator</t>
  </si>
  <si>
    <t>An indication that the student was invited to the Individualized Education Program meeting where transition services are to be discussed.</t>
  </si>
  <si>
    <t>002123</t>
  </si>
  <si>
    <t>StudentInvitationforTransitionPlanningIndicator</t>
  </si>
  <si>
    <t>Tactile Medium Type</t>
  </si>
  <si>
    <t>The tactile or textured medium used to convey visual information through touch.</t>
  </si>
  <si>
    <t>002165</t>
  </si>
  <si>
    <t>TactileMediumType</t>
  </si>
  <si>
    <t>Translation Presentation Type</t>
  </si>
  <si>
    <t xml:space="preserve">The presentation type for the translated language. </t>
  </si>
  <si>
    <t>002166</t>
  </si>
  <si>
    <t>TranslationPresentationType</t>
  </si>
  <si>
    <t>Visual Impairment Type</t>
  </si>
  <si>
    <t>The disease or condition that caused the visual impairment.</t>
  </si>
  <si>
    <t>002132</t>
  </si>
  <si>
    <t>VisualImpairmentType</t>
  </si>
  <si>
    <t>Years of Program Participation</t>
  </si>
  <si>
    <t xml:space="preserve">The total number of years a student participated in a program. </t>
  </si>
  <si>
    <t>Numerical</t>
  </si>
  <si>
    <t>002118</t>
  </si>
  <si>
    <t>YearsofProgramParticipation</t>
  </si>
  <si>
    <t xml:space="preserve">Accommodation - Accommodation
Administrative - Administrative consideration
Designated - Designated feature
Universal - Universal feature
</t>
  </si>
  <si>
    <t>Assessments -&gt; Assessment Participant Session -&gt; Accessibility
K12 -&gt; K12 Student -&gt; Individualized Program -&gt; Accessibility</t>
  </si>
  <si>
    <t xml:space="preserve">Presentation - Presentation
Response - Response
Setting - Setting
Timing - Timing
</t>
  </si>
  <si>
    <t xml:space="preserve">HandHeld - Hand-held
OnScreen - On screen
Printed - Printed
</t>
  </si>
  <si>
    <t xml:space="preserve">Embedded - Embedded
NotEmbedded - Not embedded
</t>
  </si>
  <si>
    <t xml:space="preserve">No - No
Yes - Yes
</t>
  </si>
  <si>
    <t xml:space="preserve">Complementary - Complementary
Dependent - Dependent
Enhancing - Enhancing
Interdependent - Interdependent
Supporting - Supporting
</t>
  </si>
  <si>
    <t xml:space="preserve">K12School - K12 School
LEA - Local Education Agency
NonProfit - Non-Profit Organization
StateOrFederallyFundedService - State or Federally Funded Service Organization
</t>
  </si>
  <si>
    <t xml:space="preserve">Braille - Braille
LargeKey - Large key
Talking - Talking
</t>
  </si>
  <si>
    <t xml:space="preserve">AdaptedKeyboard - Adapted keyboard
AdaptedMouse - Adapted mouse
FilterKeys - Filter keys
HeadWand - Head wand
LargeKeyboard - Large keyboard
MouseKeys - Mouse keys
StickyKeys - Sticky keys
Switches - Switches
TouchScreen - Touch screen
</t>
  </si>
  <si>
    <t xml:space="preserve">All - All assessment components
ItemBodyText - Assessment item body text
ItemPossibleResponse - Assessment item possible response options
ItemStem - Assessment item stem
ItemStimulus - Assessment item stimulus
TestDirections - Test directions
</t>
  </si>
  <si>
    <t xml:space="preserve">DoubleTime - Double time
TimeAndAHalf - Time and a half
TimeAndOneQuarter - Time and one quarter
</t>
  </si>
  <si>
    <t xml:space="preserve">BrailleNotetaker - Braille notetaker
BrailleWriter - Braille writer
RefreshableBraille - Refreshable Braille
</t>
  </si>
  <si>
    <t xml:space="preserve">Print - Print
Read - Read
Write - Write
</t>
  </si>
  <si>
    <t xml:space="preserve">EBAE - English Braille American Edition (EBAE)
Nemeth - Nemeth
UEB - Unified English Braille (UEB)
</t>
  </si>
  <si>
    <t xml:space="preserve">InChair - In chair
InTestingEnvironment - In testing environment
OutsideTestingEnvironment - Outside testing environment
</t>
  </si>
  <si>
    <t xml:space="preserve">Medical - Medical break
Scheduled - Scheduled break
Unscheduled - Unscheduled break
</t>
  </si>
  <si>
    <t xml:space="preserve">FiveFunction - Five-function (add, subtract, multiply, divide, square root)
FourFunction - Four-function (add, subtract, multiply, divide)
Graphing - Graphing
Scientific - Scientific
</t>
  </si>
  <si>
    <t xml:space="preserve">LegallyBlind - Legally Blind
SevereVisualImpairment - Severe Visual Impairment
TotallyBlind - Totally Blind
</t>
  </si>
  <si>
    <t xml:space="preserve">Simplified - Simplified
Stacked - Stacked
Streamlined - Streamlined
</t>
  </si>
  <si>
    <t xml:space="preserve">Individual - Individual
SmallGroup - Small Group
</t>
  </si>
  <si>
    <t xml:space="preserve">1013 - Late notification from Part C to Part B
1001 - No permission to test
1011 - Not eligible
1004 - Parent/guardian deferred to later school year
1002 - Parent/guardian did not respond
1003 - Parent/guardian did not show up
1000 - Parent/guardian refused services
1010 - Referred to Part C after 33 months
1006 - Service discontinued
1005 - Student died
1008 - Student enrolled in a University based program
1007 - Student moved out of state
1009 - Student unknown to district
1012 - Timeline began in previous district
9999 - Other
</t>
  </si>
  <si>
    <t>Early Learning -&gt; Early Learning Child -&gt; Individualized Program -&gt; Individualized Transition Plan
K12 -&gt; K12 Student -&gt; Individualized Program</t>
  </si>
  <si>
    <t xml:space="preserve">1003 - Accepted out-of-state evaluation
1011 - Evaluation completed in expected  time
1008 - External reports not available
9999 - Other Not Timely
1000 - Parent/guardian repeatedly failed to produce student for evaluation
1009 - Parent/guardian withdrew or refused consent to evaluate
1007 - Personnel required to be present for the evaluation completion were not available
1006 - Professionals needed to complete the evaluation were not available
1004 - Ruled in a prior school year
1002 - Specific Learning Disability written mutual agreement
1010 - Student died
1001 - Student moved during process
1005 - Timeline began in a previous district
</t>
  </si>
  <si>
    <t>Early Learning -&gt; Early Learning Organization -&gt; Finance
Early Learning -&gt; Early Learning Program -&gt; Finance
K12 -&gt; K12 School -&gt; Finance
K12 -&gt; LEA -&gt; Finance
K12 -&gt; Program -&gt; Finance
K12 -&gt; SEA -&gt; Finance
Postsecondary -&gt; PS Institution -&gt; Finance</t>
  </si>
  <si>
    <t xml:space="preserve">NotStateLGtribe - Not State, local government or Indian tribe
34CFR - Restricted Rate Complies with 34 CFR 76.564 (c)(2)
ICAgreement - Restricted Rate in IC Agreement
MTDCrecovery - Training Rate Program with MTDC recovery
TrainingRateProgram - Training Rate Program with negotiated Indirect Cost
</t>
  </si>
  <si>
    <t xml:space="preserve">Estimated - Estimated
Final - Final
Provisional - Provisional
Other - Other
</t>
  </si>
  <si>
    <t xml:space="preserve">CityLarge - City – Large
CityMidsize - City – Midsize
CitySmall - City – Small
RuralRemote - Rural - Remote
RuralDistant - Rural – Distant
RuralFringe - Rural – Fringe
SuburbanLarge - Suburban – Large
SuburbanMidsize - Suburban – Midsize
SuburbanSmall - Suburban – Small
TownDistant - Town – Distant
TownFringe - Town – Fringe
TownRemote - Town – Remote
</t>
  </si>
  <si>
    <t>Early Learning -&gt; Early Learning Organization -&gt; Contact -&gt; Address
K12 -&gt; K12 School -&gt; Address
Postsecondary -&gt; Organization -&gt; Address
Postsecondary -&gt; PS Institution -&gt; Address
Postsecondary -&gt; PS Student -&gt; Contact -&gt; Address</t>
  </si>
  <si>
    <t xml:space="preserve">Drink - Drink
Food - Food
MedicalDevice - Medical device
MedicalEquipment - Medical equipment
Medication - Medication
MobileDeviceApplication - Mobile device/application
ServiceAnimal - Service animal
</t>
  </si>
  <si>
    <t xml:space="preserve">IntervalIndex - Interval data – Index
IntervalPercentageScale - Interval data – Percentage scale
NominalMetNotMet - Nominal data – Met/not met
OrdinalPerformanceLevel - Ordinal data – Performance levels
Other - Other
</t>
  </si>
  <si>
    <t xml:space="preserve">Female - Female
Male - Male
</t>
  </si>
  <si>
    <t>Adult Education -&gt; Course Section -&gt; Course
Career and Technical -&gt; Course
Career and Technical -&gt; Course Section -&gt; Course
Career and Technical -&gt; CTE Student -&gt; Program Participation
Career and Technical -&gt; Program
K12 -&gt; Course Section -&gt; Course
K12 -&gt; K12 Course
K12 -&gt; K12 Student -&gt; Program
Postsecondary -&gt; Course Section -&gt; Course
Postsecondary -&gt; PS Institution -&gt; Program
Postsecondary -&gt; PS Student -&gt; Institution Enrollment -&gt; Program</t>
  </si>
  <si>
    <t xml:space="preserve">HumanReader - Human reader
Recorded - Recorded
TextToSpeech - Text-to-speech
</t>
  </si>
  <si>
    <t xml:space="preserve">100sTable - 100s Table
ComputationTable - Computation Table
GraphicOrganizer - Graphic Organizer
MultiplicationTable - Multiplication Table
PeriodicTable - Periodic Table
</t>
  </si>
  <si>
    <t xml:space="preserve">1004 - Alternative assessment
1003 - Assessed IEP or Section 504
1000 - English Learner Less Than 2 Years
1001 - English Learner Less than 3 Years
1005 - Intensive intervention with retention 2 years
1002 - Not assessed IEP
1007 - Parent Request
1006 - Student Portfolio
9999 - Other
</t>
  </si>
  <si>
    <t xml:space="preserve">Acoustics - Acoustics
AlternateLocation - Alternate location
Climate - Climate
Lighting - Lighting
Seating - Seating
SeparateSetting - Separate setting
</t>
  </si>
  <si>
    <t xml:space="preserve">AvatarRecordedVideo - Avatar recorded video
HumanInPerson - Human in-person
HumanRecordedVideo - Human recorded video
HumanVirtual - Human virtual
</t>
  </si>
  <si>
    <t xml:space="preserve">AmericanSignLanguage - American Sign Language
CuedSpeech - Cued speech
SignedExactEnglish - Signed Exact English
</t>
  </si>
  <si>
    <t xml:space="preserve">Paper - Paper
Thermoform - Thermoform
</t>
  </si>
  <si>
    <t xml:space="preserve">DualLanguageTranslation - Dual language translation
TranslatedVersionOnly - Translated version only
</t>
  </si>
  <si>
    <t xml:space="preserve">Cataract - Cataract
DiabeticRetinopathy - Diabetic Retinopathy
Glaucoma - Glaucoma
MacularDegeneration - Macular Degeneration
Other - Other
</t>
  </si>
  <si>
    <t>K12 -&gt; K12 Student -&gt; English Learner
K12 -&gt; K12 Student -&gt; Program</t>
  </si>
  <si>
    <t>Accessibility Feature Other Description</t>
  </si>
  <si>
    <t>Changed name and definition to Accessibility Feature; increased description size.</t>
  </si>
  <si>
    <t>Accessibility Feature Type</t>
  </si>
  <si>
    <t>Changed element name, defintion, added new DES location, new options, deprecated existing options.</t>
  </si>
  <si>
    <t>Deprecated in favor of using/expanding the Accessibility Feature Type list.</t>
  </si>
  <si>
    <t>Add option to existing option set.</t>
  </si>
  <si>
    <t xml:space="preserve">Added new DES location. </t>
  </si>
  <si>
    <t>The human readable list of one or more of the specific accessibility features available. If no accessibility features are provided, then this list will not be present.</t>
  </si>
  <si>
    <t xml:space="preserve">Changed element name and defintion. </t>
  </si>
  <si>
    <t>AssessmentFormAccessibilityFeatureList</t>
  </si>
  <si>
    <t xml:space="preserve">Changed format length to extend number of characters. </t>
  </si>
  <si>
    <t>Change options to existing option set.</t>
  </si>
  <si>
    <t>Deprecate element.</t>
  </si>
  <si>
    <t xml:space="preserve">Changed element defintion. </t>
  </si>
  <si>
    <t>Add new option to existing option set.</t>
  </si>
  <si>
    <t xml:space="preserve">Add new options to existing option set. </t>
  </si>
  <si>
    <t xml:space="preserve">Changed element defintion, option set, and added new DES location. </t>
  </si>
  <si>
    <t>Changed element definition and option set.</t>
  </si>
  <si>
    <t>Changed element defintion, usage note, and option set.</t>
  </si>
  <si>
    <t>Changed element defintion and usage note.</t>
  </si>
  <si>
    <t>Add new options to existing option set.</t>
  </si>
  <si>
    <t xml:space="preserve">Changed element name, defintion, and technical name. </t>
  </si>
  <si>
    <t>Changed option set definitions to match description.</t>
  </si>
  <si>
    <t>Added new DES locations.</t>
  </si>
  <si>
    <t>Deprecated option.</t>
  </si>
  <si>
    <t>Assessments -&gt; Assessment Participant Session
Assessments -&gt; Assessment Participant Session -&gt; Accessibility
Assessments -&gt; Assessment Registration
K12 -&gt; K12 Student -&gt; Individualized Program -&gt; Accessibility
K12 -&gt; K12 Student -&gt; Individualized Program -&gt; Assessment</t>
  </si>
  <si>
    <t>Assessments -&gt; Assessment Participant Session
Assessments -&gt; Assessment Participant Session -&gt; Accessibility
K12 -&gt; K12 Student -&gt; Individualized Program -&gt; Accessibility
K12 -&gt; K12 Student -&gt; Individualized Program -&gt; Assessment</t>
  </si>
  <si>
    <t>Adult Education -&gt; AE Student -&gt; Program Participation
Workforce -&gt; Workforce Program Participant -&gt; Program Participation</t>
  </si>
  <si>
    <t>Adult Education -&gt; AE Student -&gt; Program Participation
Adult Education -&gt; Course Section
Adult Education -&gt; Program
Career and Technical -&gt; Course Section
Career and Technical -&gt; CTE Student -&gt; Program Participation
Career and Technical -&gt; Program
Credentials -&gt; Credential Definition
K12 -&gt; Course Section
K12 -&gt; K12 Course
Learning Resources -&gt; Learning Resource
Postsecondary -&gt; PS Student -&gt; Program Participation
Workforce -&gt; Workforce Program Participant -&gt; Program Participation</t>
  </si>
  <si>
    <t>Adult Education -&gt; AE Student -&gt; Academic Record -&gt; Academic Award
Adult Education -&gt; Course Section -&gt; Course
Career and Technical -&gt; Course Section -&gt; Course
Career and Technical -&gt; CTE Student -&gt; Academic Record -&gt; Academic Award
Career and Technical -&gt; CTE Student -&gt; Program Participation
Credentials -&gt; Credential Definition
K12 -&gt; K12 Course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
Workforce -&gt; Workforce Program Participant -&gt; Program Participation</t>
  </si>
  <si>
    <t>Adult Education -&gt; Course Section -&gt; Course
Career and Technical -&gt; Course
Career and Technical -&gt; Course Section -&gt; Course
K12 -&gt; Course Section -&gt; Course
K12 -&gt; K12 Course
K12 -&gt; K12 Student -&gt; Academic Record
Workforce -&gt; Workforce Program Participant -&gt; Academic Record</t>
  </si>
  <si>
    <t>Career and Technical -&gt; CTE Staff -&gt; Credential or License
Credentials -&gt; Credential Definition
Early Learning -&gt; Early Learning Staff -&gt; Credential or License
K12 -&gt; K12 Staff -&gt; Credential or License</t>
  </si>
  <si>
    <t>K12 -&gt; K12 Student -&gt; Employment
Postsecondary -&gt; PS Student -&gt; Employment</t>
  </si>
  <si>
    <t>Early Learning -&gt; Early Learning Child -&gt; Enrollment
Early Learning -&gt; Early Learning Child -&gt; Program
K12 -&gt; K12 Student -&gt; Program
Workforce -&gt; Workforce Program Participant</t>
  </si>
  <si>
    <t>Early Learning -&gt; Early Learning Child -&gt; Services
K12 -&gt; K12 School -&gt; Session
K12 -&gt; K12 Student -&gt; Program
K12 -&gt; LEA -&gt; Programs and Services
K12 -&gt; Program -&gt; Implementation</t>
  </si>
  <si>
    <t>K12 -&gt; K12 Student -&gt; Digital Access -&gt; Digital Access Survey
Workforce -&gt; Workforce Program Participant -&gt; Digital Access</t>
  </si>
  <si>
    <t>K12 -&gt; K12 School -&gt; Session
K12 -&gt; LEA -&gt; Programs and Services</t>
  </si>
  <si>
    <t>Adult Education -&gt; AE Student -&gt; Status
Early Learning -&gt; Early Learning Family -&gt; Family/Household Information
K12 -&gt; K12 Student -&gt; Status
Workforce -&gt; Workforce Program Participant -&gt; Status</t>
  </si>
  <si>
    <t>Adult Education -&gt; AE Student -&gt; Status
Career and Technical -&gt; CTE Student -&gt; Program Participation
Postsecondary -&gt; PS Student -&gt; CTE
Workforce -&gt; Workforce Program Participant -&gt; Program Participation</t>
  </si>
  <si>
    <t>Adult Education -&gt; AE Student -&gt; Program Participation
Career and Technical -&gt; CTE Student -&gt; Program Participation
Early Learning -&gt; Early Learning Child -&gt; Program
K12 -&gt; K12 Student -&gt; Program
Postsecondary -&gt; PS Student -&gt; Program Participation
Workforce -&gt; Workforce Program Participant -&gt; Program Participation</t>
  </si>
  <si>
    <t>K12 -&gt; K12 Student -&gt; Disability
K12 -&gt; K12 Student -&gt; Economically Disadvantaged
K12 -&gt; K12 Student -&gt; English Learner
K12 -&gt; K12 Student -&gt; Homeless
K12 -&gt; K12 Student -&gt; Immigrant
Learning Resources -&gt; Learning Resource
Postsecondary -&gt; PS Student -&gt; Economically Disadvantaged
Postsecondary -&gt; PS Student -&gt; Homeless</t>
  </si>
  <si>
    <t xml:space="preserve">NOTTSI - Not targeted support and improvement
TSI - Targeted support and improvement
</t>
  </si>
  <si>
    <t>K12 -&gt; K12 Student -&gt; Individualized Program -&gt; Accessibility</t>
  </si>
  <si>
    <t>A unique number or alphanumeric code assigned to the Assessment Form Section using the system specified by Identification System for Assessment Form Section.</t>
  </si>
  <si>
    <t xml:space="preserve">The correlation between correct answers on this item and total correct answers on the test during a previous administration. </t>
  </si>
  <si>
    <t xml:space="preserve"> A specific response to an assessment item by the person being assessed.</t>
  </si>
  <si>
    <t xml:space="preserve">Classification of the Competency Definition using Bloom's Taxonomy Domains. </t>
  </si>
  <si>
    <t>The recommended approach is to use the entity Learning Standard Item Association instead of this data element. Learning Standard Item Association also supports associating other entities, such as Learning Resources, to learning standard items.</t>
  </si>
  <si>
    <t xml:space="preserve">CEDS "Identifier" elements reflect the intent of the XSD:Token format, i.e. a string in which carriage return, line feed, and tab characters have been removed as well as any internal sequences of two or more spaces and any leading or trailing spaces. </t>
  </si>
  <si>
    <t>Early Learning -&gt; EL Organization -&gt; Policies</t>
  </si>
  <si>
    <t>The Lumina Foundation's Degree Qualifications Profile offers reference points for what students should know and be able to do upon completion of associate, bachelor's and master's degrees - in any field of study. The DQP Categories of Learning provide a profile of what degrees mean within which specific proficiencies may be defined.</t>
  </si>
  <si>
    <t>In coordination with the state's definition based on Section 8101(20) of the ESEA, as amended by the ESSA, the term 'English learner', when used with respect to an individual, means an individual:</t>
  </si>
  <si>
    <t>(A) who is aged 3 through 21;</t>
  </si>
  <si>
    <t>(B) who is enrolled or preparing to enroll in an elementary school or a secondary school;</t>
  </si>
  <si>
    <t xml:space="preserve">(C) </t>
  </si>
  <si>
    <t>(i) who was not born in the United States or whose native languages are languages other than English;</t>
  </si>
  <si>
    <t xml:space="preserve">(ii) </t>
  </si>
  <si>
    <t>(I) who is a Native American or Alaska Native, or a native resident of the outlying areas; and</t>
  </si>
  <si>
    <t>(II) who comes from an environment where a language other than English has had a significant impact on the individual's level of English language proficiency; or</t>
  </si>
  <si>
    <t>(iii) who is migratory, whose native language is a language other than English, and who come from an environment where a language other than English is dominant; and</t>
  </si>
  <si>
    <t xml:space="preserve">(D) whose difficulties in speaking, reading, writing, or understanding the English language may be sufficient to deny the individual </t>
  </si>
  <si>
    <t>(i) the ability to meet the challenging State academic standards;</t>
  </si>
  <si>
    <t>(ii) the ability to successfully achieve in classrooms where the language of instruction is English; or</t>
  </si>
  <si>
    <t>(iii) the opportunity to participate fully in society.</t>
  </si>
  <si>
    <t>The purpose of this element is to track the circumstances related to an exit from membership. There are multiple use cases related to this element, some for longitudinal purposes, some for funding, some for live transactional systems. The descriptions and definitions are intended to meet those needs. Four often misunderstood options are explained below:&lt;BR/&gt;</t>
  </si>
  <si>
    <t>1.  09999 - Other. Other is intended to indicate that CEDS has not yet defined a circumstance in which this exit occurred.&lt;BR/&gt;</t>
  </si>
  <si>
    <t>2.  03505 - Exited. Unlike "09999 - Other", the "Exited" option is intended to be used for administrative purposes such as a mid-year grade level change. &lt;BR/&gt;</t>
  </si>
  <si>
    <t>3.  01931 - Not enrolled, unknown status. This is to be used as a placeholder while additional exit information is collected or to track students who are known to have Discontinued Schooling (dropped out) separate from students whose whereabouts are unknown.&lt;BR/&gt;</t>
  </si>
  <si>
    <t>4.  03502 - Not enrolled, eligible to return. Different than the 01931 code, the status of this student is not unknown; however, the institution is required to exit the student from membership for an extended period. It is expected the student will reenroll in the same institution following this extended period.</t>
  </si>
  <si>
    <t>A statement of why—</t>
  </si>
  <si>
    <t>(A) The child cannot participate in the regular assessment; and</t>
  </si>
  <si>
    <t>(B) The particular alternate assessment selected is appropriate for the child.</t>
  </si>
  <si>
    <t>An indication of the occurrence of physical injury to the perpetrator(s) (participants) involved in the incident and, if so, the level of injury sustained.</t>
  </si>
  <si>
    <t>An indication whether a student’s behavior (offense) was a manifestation of, or related to, a disability condition.</t>
  </si>
  <si>
    <t>An indication that the school resource officer or any other law enforcement official was notified about the incident, regardless of whether official action is taken.</t>
  </si>
  <si>
    <t>Information on the type of individual who witnessed the incident and can give a firsthand account of an incident that was seen, heard, or experienced.</t>
  </si>
  <si>
    <t>Correspondence - Correspondence</t>
  </si>
  <si>
    <t>K12 -&gt; LEA -&gt; Compliance</t>
  </si>
  <si>
    <t>The unit of time of the Maximum Time Allowed value.</t>
  </si>
  <si>
    <t>The title for work assigned to the learner, which can comprise of learning resources, activities, and assessments.</t>
  </si>
  <si>
    <t>The classification of education agencies within the geographic boundaries of a state according to the level of administrative and operational control.</t>
  </si>
  <si>
    <t>Postsecondary -&gt; PS Institution -&gt; Institution Characteristics</t>
  </si>
  <si>
    <t>The elements "Neglected or Delinquent Academic Achievement Indicator" and "Neglected or Delinquent Academic Outcome Indicator" are different, although similarly worded.&lt;BR/&gt;</t>
  </si>
  <si>
    <t>EDFacts guidance: The Neglected or Delinquent Academic Achievement indicator should only be used for Subpart 1; the Neglected or Delinquent Academic Outcome Indicator should be used for Subpart 2.</t>
  </si>
  <si>
    <t xml:space="preserve">Total number of persons in immediate family. Family means for the purposes of the regulations in this part all persons: (i) Living in the same household who are: (A) Supported by the income of the parent(s) or guardian(s) of the child enrolling or participating in the program; or (B) Related to the child by blood, marriage, or adoption; or </t>
  </si>
  <si>
    <t>(ii) Related to the child enrolling or participating in the program as parents or siblings, by blood, marriage, or adoption.</t>
  </si>
  <si>
    <t>Career and Technical -&gt; CTE Student -&gt; Program Participation</t>
  </si>
  <si>
    <t>The types of actions being implemented in Title I schools as a result of the school being in an improvement status of restructuring - year 2 (implementation year).</t>
  </si>
  <si>
    <t>Postsecondary -&gt; PS Student -&gt; Academic Record
Postsecondary -&gt; PS Student -&gt; Term Enrollment
Workforce -&gt; Workforce Program Participant -&gt; Academic Record</t>
  </si>
  <si>
    <t>K12 -&gt; K12 Student -&gt; Individualized Program -&gt; Accessibility
Learning Resources -&gt; Learning Resource</t>
  </si>
  <si>
    <t>Adult Education -&gt; AE Staff -&gt; Military
Adult Education -&gt; AE Student -&gt; Military
Early Learning -&gt; Early Learning Staff -&gt; Military
Early Learning -&gt; Parent/Guardian -&gt; Military
K12 -&gt; K12 Staff -&gt; Military
K12 -&gt; K12 Student -&gt; Military
K12 -&gt; Parent/Guardian -&gt; Military
Postsecondary -&gt; Parent/Guardian -&gt; Military
Postsecondary -&gt; PS Staff -&gt; Military
Postsecondary -&gt; PS Student -&gt; Military
Workforce -&gt; Workforce Program Participant -&gt; Military</t>
  </si>
  <si>
    <t>Adult Education -&gt; AE Staff -&gt; Contact -&gt; Address
Adult Education -&gt; AE Student -&gt; Contact -&gt; Address
Career and Technical -&gt; CTE Staff -&gt; Contact -&gt; Address
Career and Technical -&gt; CTE Student -&gt; Contact -&gt; Address
Early Learning -&gt; Early Learning Child -&gt; Contact -&gt; Address
Early Learning -&gt; Early Learning Organization -&gt; Address
Early Learning -&gt; Early Learning Organization -&gt; Contact -&gt; Address
Early Learning -&gt; Early Learning Program -&gt; Address
Early Learning -&gt; Early Learning Staff -&gt; Contact -&gt; Address
Early Learning -&gt; Early Learning Staff -&gt; Professional Development -&gt; Instructor
Early Learning -&gt; Early Learning Staff -&gt; Professional Development Activity -&gt; Session - Location
Early Learning -&gt; Parent/Guardian -&gt; Contact -&gt; Address
Facilities -&gt; Facility -&gt; Address
K12 -&gt; K12 School -&gt; Address
K12 -&gt; K12 Staff -&gt; Contact -&gt; Address
K12 -&gt; K12 Staff -&gt; Professional Development -&gt; Instructor
K12 -&gt; K12 Staff -&gt; Professional Development Activity -&gt; Session - Location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-&gt; Address
Work</t>
  </si>
  <si>
    <t>Adult Education -&gt; AE Staff -&gt; Contact -&gt; Address
Adult Education -&gt; AE Student -&gt; Contact -&gt; Address
Career and Technical -&gt; CTE Staff -&gt; Contact -&gt; Address
Career and Technical -&gt; CTE Student -&gt; Contact -&gt; Address
Early Learning -&gt; Early Learning Child -&gt; Contact -&gt; Address
Early Learning -&gt; Early Learning Organization -&gt; Address
Early Learning -&gt; Early Learning Organization -&gt; Contact -&gt; Address
Early Learning -&gt; Early Learning Program -&gt; Address
Early Learning -&gt; Early Learning Staff -&gt; Contact -&gt; Address
Early Learning -&gt; Parent/Guardian -&gt; Contact -&gt; Address
Facilities -&gt; Facility -&gt; Address
K12 -&gt; K12 School -&gt; Address
K12 -&gt; K12 Staff -&gt; Contact -&gt; Address
K12 -&gt; K12 Student -&gt; Contact -&gt; Address
K12 -&gt; LEA -&gt; Address
K12 -&gt; Organization -&gt; Address
K12 -&gt; Organization -&gt; Contact -&gt; Address
K12 -&gt; Parent/Guardian -&gt; Contact -&gt; Address
K12 -&gt; Program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-&gt; Address
Workforce -&gt; Workforce Program Participant -&gt; Contact -&gt; Address</t>
  </si>
  <si>
    <t>Early Learning -&gt; Early Learning Organization -&gt; Address
Early Learning -&gt; Early Learning Organization -&gt; Contact -&gt; Address
Early Learning -&gt; Early Learning Program -&gt; Address
Facilities -&gt; Facility -&gt; Address
K12 -&gt; K12 School -&gt; Address
K12 -&gt; LEA -&gt; Address
K12 -&gt; Organization -&gt; Address
K12 -&gt; Organization -&gt; Contact -&gt; Address
K12 -&gt; Program -&gt; Address
K12 -&gt; SEA -&gt; Address
Postsecondary -&gt; Organization -&gt; Address
Postsecondary -&gt; Organization -&gt; Contact -&gt; Address
Postsecondary -&gt; PS Institution -&gt; Address
Workforce -&gt; Workforce Program -&gt; Address</t>
  </si>
  <si>
    <t>Assessments -&gt; Assessment
Assessments -&gt; Assessment Administration
Assessments -&gt; Assessment Registration
Credentials -&gt; Credential Award
K12 -&gt; K12 Course -&gt; End of Course Requirement</t>
  </si>
  <si>
    <t>Career and Technical -&gt; CTE Student -&gt; Status
Early Learning -&gt; Early Learning Child -&gt; Status
K12 -&gt; K12 Student -&gt; Status
Postsecondary -&gt; PS Student -&gt; Status
Workforce -&gt; Workforce Program Participant -&gt; Status</t>
  </si>
  <si>
    <t>Early Learning -&gt; Early Learning Organization -&gt; Board
K12 -&gt; Organization -&gt; Board
Postsecondary -&gt; Organization -&gt; Board</t>
  </si>
  <si>
    <t>Career and Technical -&gt; CTE Student -&gt; Academic Record
K12 -&gt; K12 Student -&gt; Academic Record
Workforce -&gt; Workforce Program Participant -&gt; Academic Record</t>
  </si>
  <si>
    <t>Career and Technical -&gt; CTE Student -&gt; Career Education Plan
Early Learning -&gt; Early Learning Child -&gt; Individualized Program
Early Learning -&gt; Early Learning Staff -&gt; Professional Development
K12 -&gt; K12 Staff -&gt; Professional Development
K12 -&gt; K12 Student -&gt; Academic Record
K12 -&gt; K12 Student -&gt; Individualized Program
Postsecondary -&gt; PS Staff -&gt; Professional Development
Workforce -&gt; Workforce Program Participant -&gt; Academic Record</t>
  </si>
  <si>
    <t>Adult Education -&gt; AE Student -&gt; Academic Record -&gt; Academic Award
Adult Education -&gt; Course Section -&gt; Course
Career and Technical -&gt; Course Section -&gt; Course
Career and Technical -&gt; CTE Student -&gt; Academic Record -&gt; Academic Award
Career and Technical -&gt; CTE Student -&gt; Program Participation
Credentials -&gt; Credential Definition
K12 -&gt; K12 Course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</si>
  <si>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Early Learning -&gt; Early Learning Organization -&gt; Job
K12 -&gt; K12 School -&gt; Job
K12 -&gt; LEA -&gt; Job
K12 -&gt; Organization -&gt; Job
K12 -&gt; SEA -&gt; Job
Postsecondary -&gt; Organization -&gt; Job</t>
  </si>
  <si>
    <t>K12 -&gt; K12 Student -&gt; Enrollment
Postsecondary -&gt; PS Student -&gt; Demographic
Workforce -&gt; Workforce Program Participant -&gt; Demographic</t>
  </si>
  <si>
    <t>Adult Education -&gt; Course Section -&gt; Course
Career and Technical -&gt; Course Section -&gt; Course
Early Learning -&gt; Early Learning Class/Group
K12 -&gt; K12 Course
Postsecondary -&gt; Course Section -&gt; Course</t>
  </si>
  <si>
    <t>Adult Education -&gt; Course Section -&gt; Course
Career and Technical -&gt; Course
Career and Technical -&gt; Course Section -&gt; Course
Early Learning -&gt; Early Learning Class/Group
K12 -&gt; Course Section -&gt; Course
K12 -&gt; K12 Course
K12 -&gt; K12 Student -&gt; Academic Record
K12 -&gt; K12 Student -&gt; Graduation Plan -&gt; Course
Workforce -&gt; Workforce Program Participant -&gt; Academic Record</t>
  </si>
  <si>
    <t>K12 -&gt; Course Section
K12 -&gt; K12 Course</t>
  </si>
  <si>
    <t>Adult Education -&gt; Course Section -&gt; Course
Career and Technical -&gt; Course
Career and Technical -&gt; Course Section -&gt; Course
K12 -&gt; Course Section -&gt; Course
K12 -&gt; K12 Course
K12 -&gt; K12 Student -&gt; Academic Record
K12 -&gt; K12 Student -&gt; Graduation Plan -&gt; Course
Workforce -&gt; Workforce Program Participant -&gt; Academic Record</t>
  </si>
  <si>
    <t>Adult Education -&gt; Course Section
Career and Technical -&gt; Course Section
K12 -&gt; K12 Student -&gt; Academic Record
Postsecondary -&gt; Course Section
Workforce -&gt; Workforce Program Participant -&gt; Academic Record</t>
  </si>
  <si>
    <t>Adult Education -&gt; Course Section -&gt; Course
Career and Technical -&gt; Course
Career and Technical -&gt; Course Section -&gt; Course
K12 -&gt; Course Section -&gt; Course
K12 -&gt; K12 Student -&gt; Academic Record
Workforce -&gt; Workforce Program Participant -&gt; Academic Record</t>
  </si>
  <si>
    <t>K12 -&gt; K12 Student -&gt; Academic Record
Postsecondary -&gt; PS Student -&gt; Academic Record
Workforce -&gt; Workforce Program Participant -&gt; Academic Record</t>
  </si>
  <si>
    <t>Adult Education -&gt; AE Staff -&gt; Education
Career and Technical -&gt; CTE Student -&gt; Academic Record
Early Learning -&gt; Early Learning Staff -&gt; Education
K12 -&gt; K12 Staff -&gt; Education
Postsecondary -&gt; PS Staff -&gt; Credential or License
Workforce -&gt; Workforce Program Participant -&gt; Academic Record</t>
  </si>
  <si>
    <t>Adult Education -&gt; AE Student -&gt; Status
Workforce -&gt; Workforce Program Participant -&gt; Status</t>
  </si>
  <si>
    <t>Early Learning -&gt; Early Learning Child -&gt; Enrollment
K12 -&gt; K12 Student -&gt; Enrollment</t>
  </si>
  <si>
    <t>Adult Education -&gt; AE Staff -&gt; Employment
Career and Technical -&gt; CTE Staff -&gt; Employment
Early Learning -&gt; Early Learning Staff -&gt; Employment
K12 -&gt; K12 Staff -&gt; Employment
Postsecondary -&gt; PS Staff -&gt; Employment
Workforce -&gt; Workforce Program Participant -&gt; Employment</t>
  </si>
  <si>
    <t>Early Learning -&gt; Early Learning Staff -&gt; Employment
K12 -&gt; K12 Staff -&gt; Employment
Workforce -&gt; Workforce Program Participant -&gt; Employment</t>
  </si>
  <si>
    <t xml:space="preserve">74001 - Initial Enrollment for the School Year
74000 - Matriculation from another school in the same local education agency
01838 - Original entry into a United States school
01840 - Original entry into a United States school from a foreign country with an interruption in schooling
01839 - Original entry into a United States school from a foreign country with no interruption in schooling
09999 - Other
01836 - Re-entry after a voluntary withdrawal
01837 - Re-entry after an involuntary withdrawal
01835 - Re-entry from the same school with no interruption of schooling
01832 - Transfer from a charter school
74002 - Transfer from a private school in the state
01825 - Transfer from a private, non-religiously-affiliated school in a different LEA in the same state
01826 - Transfer from a private, non-religiously-affiliated school in a different state
01824 - Transfer from a private, non-religiously-affiliated school in the same local education agency
01828 - Transfer from a private, religiously-affiliated school in a different LEA in the same state
01829 - Transfer from a private, religiously-affiliated school in a different state
01827 - Transfer from a private, religiously-affiliated school in the same local education agency
01822 - Transfer from a public school in a different local education agency in the same state
01823 - Transfer from a public school in a different state
01821 - Transfer from a public school in the same local education agency
74003 - Transfer from a school outside of state
01830 - Transfer from a school outside of the country
01831 - Transfer from an institution
01833 - Transfer from home schooling
</t>
  </si>
  <si>
    <t>Adult Education -&gt; Adult Education Staff -&gt; Employment
Career and Technical -&gt; CTE Staff -&gt; Employment
Early Learning -&gt; Early Learning Organization -&gt; Finance
Early Learning -&gt; Early Learning Program -&gt; Finance
Early Learning -&gt; Early Learning Staff -&gt; Employment
K12 -&gt; K12 School -&gt; Finance
K12 -&gt; K12 Staff -&gt; Employment
K12 -&gt; LEA -&gt; Finance
K12 -&gt; Program -&gt; Finance
K12 -&gt; SEA -&gt; Finance
Postsecondary -&gt; PS Institution -&gt; Finance
Postsecondary -&gt; PS Staff -&gt; Employment</t>
  </si>
  <si>
    <t>K12 -&gt; Course Section -&gt; Enrollment
K12 -&gt; K12 Student -&gt; Academic Record
K12 -&gt; K12 Student -&gt; Graduation Plan -&gt; Course
Workforce -&gt; Workforce Program Participant -&gt; Academic Record</t>
  </si>
  <si>
    <t>K12 -&gt; K12 School -&gt; Compliance
K12 -&gt; LEA -&gt; Accountability
K12 -&gt; LEA -&gt; Compliance</t>
  </si>
  <si>
    <t>Adult Education -&gt; AE Staff -&gt; Credential
Adult Education -&gt; AE Staff -&gt; Education
Adult Education -&gt; AE Student -&gt; Academic Record
Early Learning -&gt; Early Learning Staff -&gt; Education
Early Learning -&gt; Parent/Guardian -&gt; Education
K12 -&gt; K12 Staff -&gt; Credential or License
K12 -&gt; K12 Staff -&gt; Education
K12 -&gt; Parent/Guardian -&gt; Education
Postsecondary -&gt; PS Staff -&gt; Education
Workforce -&gt; Workforce Program Participant -&gt; Academic Record</t>
  </si>
  <si>
    <t>Adult Education -&gt; AE Staff -&gt; Employment
Early Learning -&gt; Early Learning Staff -&gt; Employment
K12 -&gt; K12 Staff -&gt; Employment
Postsecondary -&gt; PS Staff -&gt; Employment
Workforce -&gt; Workforce Program Participant -&gt; Employment</t>
  </si>
  <si>
    <t>Early Learning -&gt; Early Learning Staff -&gt; Employment
Workforce -&gt; Workforce Program Participant -&gt; Employment</t>
  </si>
  <si>
    <t>K12 -&gt; Course Section
K12 -&gt; K12 School -&gt; Session
K12 -&gt; Program -&gt; Implementation</t>
  </si>
  <si>
    <t xml:space="preserve">
Dominant - Dominant language
Home - Home language
Native - Native language
OtherLanguageProficiency - Other language proficiency
Other - Other
Spoken - Spoken Correspondence
Written - Written Correspondence
</t>
  </si>
  <si>
    <t>Early Learning -&gt; Early Learning Child -&gt; Demographic
K12 -&gt; K12 Student -&gt; Demographic
Postsecondary -&gt; PS Student -&gt; Status
Workforce -&gt; Workforce Program Participant -&gt; Demographic</t>
  </si>
  <si>
    <t>Credentials -&gt; Credential Award -&gt; Credential Issuer
Credentials -&gt; Credential Definition Agent
Credentials -&gt; Credential Offered
Early Learning -&gt; Early Learning Child -&gt; Enrollment
Early Learning -&gt; Early Learning Child -&gt; Program
Early Learning -&gt; Early Learning Organization -&gt; Identification
Early Learning -&gt; Early Learning Program
Facilities -&gt; Facility -&gt; Identification
K12 -&gt; K12 School -&gt; Directory -&gt; Charter School Authorizer
K12 -&gt; K12 School -&gt; Directory -&gt; Charter School Management Organization
K12 -&gt; K12 Student -&gt; Enrollment
K12 -&gt; K12 Student -&gt; Individualized Program -&gt; Services -&gt; Service Provider
K12 -&gt; LEA -&gt; Programs and Services
K12 -&gt; Organization -&gt; Identification
K12 -&gt; Program
Postsecondary -&gt; Organization -&gt; Identification
Workforce -&gt; Workforce Program -&gt; Identification</t>
  </si>
  <si>
    <t>Credentials -&gt; Credential Award -&gt; Credential Issuer
Credentials -&gt; Credential Definition Agent
Credentials -&gt; Credential Offered
Early Learning -&gt; Early Learning Organization -&gt; Identification
Early Learning -&gt; Early Learning Program
Facilities -&gt; Facility -&gt; Identification
K12 -&gt; K12 School -&gt; Directory -&gt; Charter School Authorizer
K12 -&gt; K12 School -&gt; Directory -&gt; Charter School Management Organization
K12 -&gt; K12 Student -&gt; Individualized Program -&gt; Services -&gt; Service Provider
K12 -&gt; LEA -&gt; Programs and Services
K12 -&gt; Organization -&gt; Identification
K12 -&gt; Program
Postsecondary -&gt; Organization -&gt; Identification
Workforce -&gt; Workforce Program -&gt; Identification</t>
  </si>
  <si>
    <t>Early Learning -&gt; Early Learning Organization -&gt; Organization Characteristics
K12 -&gt; K12 School -&gt; Organization Characteristics
K12 -&gt; LEA -&gt; Organization Characteristics
K12 -&gt; Organization -&gt; Organization Characteristics
K12 -&gt; SEA -&gt; Organization Characteristics
Postsecondary -&gt; Organization -&gt; Organization Characteristics</t>
  </si>
  <si>
    <t>Early Learning -&gt; Early Learning Organization -&gt; Identification
Early Learning -&gt; Early Learning Program
Early Learning -&gt; Early Learning Staff -&gt; Employment
Facilities -&gt; Facility -&gt; Identification
K12 -&gt; LEA -&gt; Identification
K12 -&gt; Organization -&gt; Identification
K12 -&gt; Program
K12 -&gt; SEA -&gt; Identification
Postsecondary -&gt; Organization -&gt; Identification
Workforce -&gt; Workforce Program -&gt; Identification</t>
  </si>
  <si>
    <t>Early Learning -&gt; Early Learning Organization -&gt; Identification
Facilities -&gt; Facility -&gt; Identification
K12 -&gt; K12 School -&gt; Identification
K12 -&gt; LEA -&gt; Identification
K12 -&gt; Organization -&gt; Identification
K12 -&gt; SEA -&gt; Identification
Postsecondary -&gt; Organization -&gt; Identification
Workforce -&gt; Workforce Program -&gt; Identification</t>
  </si>
  <si>
    <t>Early Learning -&gt; Early Learning Organization -&gt; Contact
Early Learning -&gt; Early Learning Staff -&gt; Assignment
Early Learning -&gt; Early Learning Staff -&gt; Professional Development -&gt; Instructor
K12 -&gt; K12 Staff -&gt; Employment
K12 -&gt; K12 Staff -&gt; Professional Development -&gt; Instructor
K12 -&gt; Organization -&gt; Contact
K12 -&gt; SEA -&gt; Contact
Postsecondary -&gt; Organization -&gt; Contact
Postsecondary -&gt; PS Staff -&gt; Employment
Workforce -&gt; Workforce Program Participant -&gt; Employment</t>
  </si>
  <si>
    <t>K12 -&gt; K12 Student -&gt; Academic Record
Workforce -&gt; Workforce Program Participant -&gt; Academic Record</t>
  </si>
  <si>
    <t>Early Learning -&gt; Early Learning Child -&gt; Enrollment
Early Learning -&gt; Early Learning Child -&gt; Program
K12 -&gt; Course Section -&gt; Enrollment
K12 -&gt; K12 Student -&gt; Enrollment</t>
  </si>
  <si>
    <t>Adult Education -&gt; AE Student -&gt; Status
K12 -&gt; K12 Student -&gt; Demographic</t>
  </si>
  <si>
    <t>Early Learning -&gt; EL Organization -&gt; Organization Information
K12 -&gt; Organization -&gt; Organization Information
Postsecondary -&gt; Organization -&gt; Organization Information</t>
  </si>
  <si>
    <t>Career and Technical -&gt; Course
Early Learning -&gt; Early Learning Class/Group
K12 -&gt; K12 Course
K12 -&gt; K12 Student -&gt; Graduation Plan -&gt; Course
Learning Resources -&gt; Learning Resource</t>
  </si>
  <si>
    <t>Career and Technical -&gt; Course
Early Learning -&gt; Early Learning Class/Group
K12 -&gt; K12 Course
K12 -&gt; K12 Student -&gt; Graduation Plan -&gt; Course
K12 -&gt; K12 Student -&gt; Graduation Plan -&gt; Subject Area
K12 -&gt; K12 Student -&gt; Individualized Program -&gt; Accessibility
Learning Resources -&gt; Learning Resource</t>
  </si>
  <si>
    <t>K12 -&gt; Course Section -&gt; Course
K12 -&gt; K12 Course</t>
  </si>
  <si>
    <t>Career and Technical -&gt; CTE Staff -&gt; Employment
Career and Technical -&gt; CTE Student -&gt; Demographic
Early Learning -&gt; Early Learning Staff -&gt; Employment
Early Learning -&gt; Parent/Guardian -&gt; Demographic
K12 -&gt; K12 Staff -&gt; Employment
K12 -&gt; K12 Student -&gt; Demographic
K12 -&gt; Parent/Guardian -&gt; Demographic
Postsecondary -&gt; Parent/Guardian -&gt; Demographic
Postsecondary -&gt; PS Staff -&gt; Employment
Postsecondary -&gt; PS Student -&gt; Demographic
Workforce -&gt; Workforce Program Participant -&gt; Demographic
Workforce -&gt; Workforce Program Participant -&gt; Employment</t>
  </si>
  <si>
    <t>Early Learning -&gt; Early Learning Child -&gt; Individualized Program
Early Learning -&gt; Early Learning Organization -&gt; Site Level Characteristics
K12 -&gt; K12 School -&gt; Institution Characteristics
K12 -&gt; K12 Student -&gt; Individualized Program
K12 -&gt; K12 Student -&gt; Individualized Program -&gt; Services
Postsecondary -&gt; PS Institution -&gt; Program
Postsecondary -&gt; PS Student -&gt; Program Participation
Workforce -&gt; Workforce Program Participant -&gt; Program Participation</t>
  </si>
  <si>
    <t>Individualized Program-&gt;Accessibility</t>
  </si>
  <si>
    <t>Digital Access</t>
  </si>
  <si>
    <t>Accessibility</t>
  </si>
  <si>
    <t>The description of the accessibility feature when Accessibility Feature Type is set to Other.</t>
  </si>
  <si>
    <t>AccessibilityFeatureOtherDescription</t>
  </si>
  <si>
    <t>The type of design elements or functionalities integrated into products, services, or environments to ensure equitable access for all individuals, aiming to eliminate barriers and facilitate ease of use.</t>
  </si>
  <si>
    <t>AccessibilityFeatureType</t>
  </si>
  <si>
    <t>Assessment Form Accommodation List</t>
  </si>
  <si>
    <t>Alphanumeric-100 characters maximum</t>
  </si>
  <si>
    <t>Alphanumeric-200 characters maximum</t>
  </si>
  <si>
    <t>Indicates whether or not the person is a designated emergency contact for the related person.</t>
  </si>
  <si>
    <t>Alphanumeric - 1000 characters maximum</t>
  </si>
  <si>
    <t>The primary type of internet service used in the individual’s primary place of residence.</t>
  </si>
  <si>
    <t>When asking for this information on a parent or student survey, the question could be phrased like this: "What is the primary type of internet service used in the individual’s primary place of residence?"</t>
  </si>
  <si>
    <t>A three-letter language identifier representing widely known individual languages and language groups (families), including languages or dialects in active use for communication, as well as historical or ancient languages that are important for research, culture, or tradition.</t>
  </si>
  <si>
    <t xml:space="preserve">A three-letter language identifier covering all individual languages, including living languages or dialects (those with current speakers actively using the language as a primary form of communication), extinct languages (no longer in active use), ancient languages (historical languages no longer in active use), and languages constructed or artificial languages (e.g., Esperanto). </t>
  </si>
  <si>
    <t>The CEDS ISO 639-3 Language Code option set comes from the ISO 639-3 standard, the Latin-1 download and includes all individual languages covered by the ISO 639-2 Language Code, serving as a supplemental code for specific languages not fully represented within ISO 639-2. Discontinued codes from the ISO standard are not included in the CEDS list.</t>
  </si>
  <si>
    <t xml:space="preserve">A three-letter language identifier representing language groups (families), living and extinct (including all language groups covered by the ISO 639-2 Language Code), serving as a supplemental code for specific language families not fully represented within ISO 639-2. </t>
  </si>
  <si>
    <t>The CEDS ISO 639-5 Language Family option set comes from the ISO 639-5 standard, which groups languages into families by genealogical or functional similarity.</t>
  </si>
  <si>
    <t>Lives With Indicator</t>
  </si>
  <si>
    <t>Indicates whether or not the person lives with the related person.</t>
  </si>
  <si>
    <t>LivesWithIndicator</t>
  </si>
  <si>
    <t xml:space="preserve">06009 - Ambulatory care center
01535 - Child care
00752 - Community facility
00127 - Early intervention classroom/center
02192 - Home
00754 - Hospital
00066 - Local education agency
09999 - Other
06013 - Other health care provider location
06008 - Outpatient hospital
06010 - Primary care health provider office
06011 - Public health facility
06012 - Social service agency
06020 - Virtual
</t>
  </si>
  <si>
    <t xml:space="preserve">05978 - 504 plan
75019 - Behavior Intervention Plan (BIP)
89600 - College and Career Ready Learning Plan
02349 - English learner
05980 - GIEP - Individualized education program for gifted student
02196 - Individualized education program (IEP)
02198 - Individualized family service plan (IFSP)
02197 - Individualized learning program (ILP)
05982 - Individualized transition plan
05981 - Literacy plan
09999 - Other
05979 - Student intervention/support plan
</t>
  </si>
  <si>
    <t xml:space="preserve">AdministrativeSupportStaff - Administrative Support Staff
Administrators - Administrators
AllOtherSupportStaff - All Other Support Staff 
BehavioralSpecialists - Behavioral Specialists
ELAssistantTeachers - Early Learning Assistant Teachers
ELTeachers - Early Learning Teachers
ElementarySchoolCounselors - Elementary School Counselors
ElementaryTeachers - Elementary Teachers
FamilyServiceWorkers - Family Service Workers
HealthSpecialists - Health Specialists
HomeVisitors - Home Visitors
InstructionalCoordinators - Instructional Coordinators
KindergartenTeachers - Kindergarten Teachers
LeaAdministrativeSupportStaff - LEA Administrative Support Staff
LeaAdministrators - LEA Administrators
LibraryMediaSpecialists - Librarians/Media Specialists
LibraryMediaSupportStaff - Library/Media Support Staff
MentalHealthSpecialists - Mental Health Specialists
NutritionSpecialists - Nutrition Specialists
Paraprofessionals - Paraprofessionals
PartCEarlyInterventionists - Part C Early Interventionists
PartCServiceCoordinators - Part C Service Coordinators
PrekindergartenTeachers - Pre-kindergarten Teachers
SchoolAdministrativeSupportStaff - School Administrative Support Staff
SchoolAdministrators - School Administrators
SchoolCounselors - School Counselors
SchoolPsychologist - School Psychologist
SecondarySchoolCounselors - Secondary School Counselors
SecondaryTeachers - Secondary Teachers
SocialWorkers - Social Workers
SpecialEducationTeachers - Special Education Teachers
SpecialNeedsSpecialists - Special Needs Specialists
StudentSupportServicesStaff - Student Support Services Staff
UngradedTeachers - Ungraded Teachers
</t>
  </si>
  <si>
    <t xml:space="preserve">AEStaff - AE Staff
AEStudent - AE Student
ChiefStateSchoolOfficer - Chief State School Officer
CTEStaff - CTE Staff
CTEStudent - CTE Student
ELChild - EL Child
ELStaff - EL Staff
K12Staff - K12 Staff
K12Student - K12 Student
ParentGuardian - Parent/Guardian
PSApplicant - PS Applicant
PSStaff - PS Staff
PSStudent - PS Student
SchoolBoardMember - School Board Member
WorkforceProgramParticipant - Workforce Program Participant
</t>
  </si>
  <si>
    <t>TIRC - The percentage of time a student spends inside a regular classroom. To calculate the percentage of time inside the regular classroom, divide the number of hours the student spends inside the regular classroom by the total number of hours in the school day (including lunch, recess and study periods). Time spent outside the regular classroom receiving services unrelated to the youth''s disability (e.g., time receiving LEP services) should be considered time inside the regular classroom.</t>
  </si>
  <si>
    <t>Educational time spent in age-appropriate community-based settings that include individuals with and without disabilities, such as college campuses or vocational sites, should be counted as time spent inside the regular classroom.</t>
  </si>
  <si>
    <t>Non-numeric score code value. Examples might be:</t>
  </si>
  <si>
    <t xml:space="preserve"> 'BL' = blank</t>
  </si>
  <si>
    <t xml:space="preserve"> 'OT' = off-topic</t>
  </si>
  <si>
    <t xml:space="preserve"> The values for this field are determined by the assessment program.</t>
  </si>
  <si>
    <t>School sector of school, e.g. Public/Private.</t>
  </si>
  <si>
    <t xml:space="preserve"> CEDS Equivalent: Charter School Indicator 000039, Charter School Type 000710.</t>
  </si>
  <si>
    <t>The reason why this enrollment was closed. For example: SchoolExit.</t>
  </si>
  <si>
    <t xml:space="preserve"> TimeDependentDataChange.</t>
  </si>
  <si>
    <t xml:space="preserve"> EndOfYear.</t>
  </si>
  <si>
    <t xml:space="preserve">Accountability Interventions
CHR(32)CHR(32)CHR(32)00396 - Improvement planning
CHR(32)CHR(32)CHR(32)00398 - Professional development
CHR(32)CHR(32)CHR(32)00401 - Provide additional assistance to schools (e.g., Title I)
CHR(32)CHR(32)CHR(32)00402 - Provide additional financial resources to low performing units
CHR(32)CHR(32)CHR(32)00397 - Strategic planning
CHR(32)CHR(32)CHR(32)09999 - Other
</t>
  </si>
  <si>
    <t xml:space="preserve">Accountability Report Producing Organization Type
CHR(32)CHR(32)CHR(32)00797 - Federal government
CHR(32)CHR(32)CHR(32)00860 - State agency
CHR(32)CHR(32)CHR(32)00214 - Regional or intermediate educational agency
CHR(32)CHR(32)CHR(32)00862 - Local (e.g., school board, city council, municipal board)
CHR(32)CHR(32)CHR(32)00675 - School
CHR(32)CHR(32)CHR(32)00864 - Private/Religious
</t>
  </si>
  <si>
    <t xml:space="preserve">Accountability Rewards
CHR(32)CHR(32)CHR(32)02362 - Non-monetary awards to staff
CHR(32)CHR(32)CHR(32)00404 - Monetary awards
CHR(32)CHR(32)CHR(32)00405 - Exemption from regulations
CHR(32)CHR(32)CHR(32)00406 - Accreditation
CHR(32)CHR(32)CHR(32)00407 - Direct monetary awards to staff members
CHR(32)CHR(32)CHR(32)00408 - Staff salary increases
CHR(32)CHR(32)CHR(32)09999 - Other
</t>
  </si>
  <si>
    <t xml:space="preserve">Accountability Sanctions
CHR(32)CHR(32)CHR(32)00897 - Warning
CHR(32)CHR(32)CHR(32)00898 - Probation or watch lists
CHR(32)CHR(32)CHR(32)00899 - Monetary penalties to units
CHR(32)CHR(32)CHR(32)00900 - Management change
CHR(32)CHR(32)CHR(32)00901 - Accreditation change
CHR(32)CHR(32)CHR(32)00903 - Dissolving the educational unit
CHR(32)CHR(32)CHR(32)00904 - Staff dismissal
CHR(32)CHR(32)CHR(32)00905 - Staff monetary penalties
CHR(32)CHR(32)CHR(32)00908 - Loss of charter
CHR(32)CHR(32)CHR(32)09999 - Other
</t>
  </si>
  <si>
    <t xml:space="preserve">Activity Type
CHR(32)CHR(32)CHR(32)00750 - Co-curricular activity
CHR(32)CHR(32)CHR(32)00751 - Extra-curricular Activity
</t>
  </si>
  <si>
    <t xml:space="preserve">Activity Leadership
CHR(32)CHR(32)CHR(32)00666 - Student manager
CHR(32)CHR(32)CHR(32)00671 - Officer
CHR(32)CHR(32)CHR(32)00670 - President
CHR(32)CHR(32)CHR(32)08689 - Vice president
CHR(32)CHR(32)CHR(32)08690 - Treasurer 
CHR(32)CHR(32)CHR(32)08691 - Captain 
CHR(32)CHR(32)CHR(32)04845 - Secretary
CHR(32)CHR(32)CHR(32)09999 - Other
</t>
  </si>
  <si>
    <t xml:space="preserve">Activity Level
CHR(32)CHR(32)CHR(32)08681 - Varsity
CHR(32)CHR(32)CHR(32)08682 - Junior Varsity
CHR(32)CHR(32)CHR(32)08683 - Freshman
CHR(32)CHR(32)CHR(32)08684 - Sophomore
CHR(32)CHR(32)CHR(32)08685 - Junior
CHR(32)CHR(32)CHR(32)08686 - Senior
CHR(32)CHR(32)CHR(32)08687 - Intramural 
CHR(32)CHR(32)CHR(32)08688 - Honors
CHR(32)CHR(32)CHR(32)09999 - Other
</t>
  </si>
  <si>
    <t xml:space="preserve">Activity Time
CHR(32)CHR(32)CHR(32)00736 - Before school hours
CHR(32)CHR(32)CHR(32)00934 - After school hours
CHR(32)CHR(32)CHR(32)00935 - During school hours
</t>
  </si>
  <si>
    <t xml:space="preserve">Activity List
CHR(32)CHR(32)CHR(32)00628 - Archery
CHR(32)CHR(32)CHR(32)00629 - Badminton
CHR(32)CHR(32)CHR(32)00630 - Baseball
CHR(32)CHR(32)CHR(32)00631 - Basketball
CHR(32)CHR(32)CHR(32)00633 - Bowling
CHR(32)CHR(32)CHR(32)00634 - Boxing
CHR(32)CHR(32)CHR(32)00667 - Cheerleading
CHR(32)CHR(32)CHR(32)00635 - Crew
CHR(32)CHR(32)CHR(32)00636 - Cross country
CHR(32)CHR(32)CHR(32)00637 - Diving
CHR(32)CHR(32)CHR(32)00639 - Fencing
CHR(32)CHR(32)CHR(32)00638 - Field hockey
CHR(32)CHR(32)CHR(32)08667 - Flag football
CHR(32)CHR(32)CHR(32)00640 - Football
CHR(32)CHR(32)CHR(32)00641 - Golf
CHR(32)CHR(32)CHR(32)00642 - Gymnastics
CHR(32)CHR(32)CHR(32)00644 - Ice hockey
CHR(32)CHR(32)CHR(32)08668 - Judo
CHR(32)CHR(32)CHR(32)00645 - Lacrosse
CHR(32)CHR(32)CHR(32)00646 - Martial arts
CHR(32)CHR(32)CHR(32)00647 - Polo
CHR(32)CHR(32)CHR(32)08669 - Power lifting
CHR(32)CHR(32)CHR(32)00648 - Racquetball
CHR(32)CHR(32)CHR(32)00664 - Rodeo
CHR(32)CHR(32)CHR(32)00649 - Rugby
CHR(32)CHR(32)CHR(32)00650 - Sailing
CHR(32)CHR(32)CHR(32)08670 - School spirit/Pep club
CHR(32)CHR(32)CHR(32)00665 - Scuba diving
CHR(32)CHR(32)CHR(32)00651 - Skiing
CHR(32)CHR(32)CHR(32)00652 - Soccer
CHR(32)CHR(32)CHR(32)00653 - Softball
CHR(32)CHR(32)CHR(32)00655 - Squash
CHR(32)CHR(32)CHR(32)00656 - Swimming
CHR(32)CHR(32)CHR(32)00657 - Synchronized swimming
CHR(32)CHR(32)CHR(32)00658 - Team handball
CHR(32)CHR(32)CHR(32)00659 - Tennis
CHR(32)CHR(32)CHR(32)00660 - Track and field
CHR(32)CHR(32)CHR(32)00661 - Volleyball
CHR(32)CHR(32)CHR(32)00662 - Water polo
CHR(32)CHR(32)CHR(32)00663 - Wrestling
CHR(32)CHR(32)CHR(32)00668 - Other sport
CHR(32)CHR(32)CHR(32)00677 - Band
CHR(32)CHR(32)CHR(32)00680 - Chorus
CHR(32)CHR(32)CHR(32)00679 - Jazz ensemble
CHR(32)CHR(32)CHR(32)00674 - Music - instrumental
CHR(32)CHR(32)CHR(32)00676 - Music - theory and composition
CHR(32)CHR(32)CHR(32)00673 - Music - vocal
CHR(32)CHR(32)CHR(32)00678 - Orchestra
CHR(32)CHR(32)CHR(32)00681 - Other music
CHR(32)CHR(32)CHR(32)00684 - Dance
CHR(32)CHR(32)CHR(32)00685 - Dance team
CHR(32)CHR(32)CHR(32)00696 - Drama club
CHR(32)CHR(32)CHR(32)00688 - Drill team
CHR(32)CHR(32)CHR(32)00682 - Theater/drama
CHR(32)CHR(32)CHR(32)00734 - Thespian Society
CHR(32)CHR(32)CHR(32)00689 - Other performing arts
CHR(32)CHR(32)CHR(32)00721 - 4 H
CHR(32)CHR(32)CHR(32)00729 - Academic team/knowledge bowl
CHR(32)CHR(32)CHR(32)00683 - Art and graphic design
CHR(32)CHR(32)CHR(32)00700 - Art club
CHR(32)CHR(32)CHR(32)08671 - Astronomy club
CHR(32)CHR(32)CHR(32)00718 - Boy Scouts
CHR(32)CHR(32)CHR(32)00691 - Broadcasting
CHR(32)CHR(32)CHR(32)00713 - Business Professionals of America
CHR(32)CHR(32)CHR(32)00722 - Chess club
CHR(32)CHR(32)CHR(32)00701 - Computer club
CHR(32)CHR(32)CHR(32)00707 - Distributive Education Clubs of America (DECA)
CHR(32)CHR(32)CHR(32)08672 - Environmental club
CHR(32)CHR(32)CHR(32)00705 - Family, Career and Community Leaders of America
CHR(32)CHR(32)CHR(32)00694 - Family consumer science
CHR(32)CHR(32)CHR(32)00724 - Fraternity
CHR(32)CHR(32)CHR(32)00702 - Future Business Leaders of America - Phi Beta Lambda (FBLA - PBL)
CHR(32)CHR(32)CHR(32)00703 - Future Teachers of America
CHR(32)CHR(32)CHR(32)00719 - Girl Scouts
CHR(32)CHR(32)CHR(32)00706 - Health Occupations Students of America
CHR(32)CHR(32)CHR(32)01986 - Honor society
CHR(32)CHR(32)CHR(32)00690 - Journalism
CHR(32)CHR(32)CHR(32)00717 - Key Club
CHR(32)CHR(32)CHR(32)00697 - Language club
CHR(32)CHR(32)CHR(32)00693 - Literary magazine
CHR(32)CHR(32)CHR(32)00726 - National Forensic League
CHR(32)CHR(32)CHR(32)00704 - National Future Farmers of America (FFA)
CHR(32)CHR(32)CHR(32)08673 - Newspaper
CHR(32)CHR(32)CHR(32)08674 - Model United Nations
CHR(32)CHR(32)CHR(32)00714 - Peer counseling
CHR(32)CHR(32)CHR(32)08675 - Religious/Faith
CHR(32)CHR(32)CHR(32)08676 - Red Cross
CHR(32)CHR(32)CHR(32)00699 - Science club
CHR(32)CHR(32)CHR(32)08677 - Service club
CHR(32)CHR(32)CHR(32)00723 - Sorority
CHR(32)CHR(32)CHR(32)00695 - Speech/debate
CHR(32)CHR(32)CHR(32)08678 - Stock market club
CHR(32)CHR(32)CHR(32)00716 - Students Against Destructive Decisions (SADD)
CHR(32)CHR(32)CHR(32)08679 - Student Council/Government
CHR(32)CHR(32)CHR(32)00708 - Technology Student Association (TSA)
CHR(32)CHR(32)CHR(32)00715 - Tutoring
CHR(32)CHR(32)CHR(32)00712 - Vocational Industrial Clubs of America
CHR(32)CHR(32)CHR(32)00692 - Year book
CHR(32)CHR(32)CHR(32)08680 - Young Democrats/Republicans/Other political
CHR(32)CHR(32)CHR(32)09999 - Other
</t>
  </si>
  <si>
    <t xml:space="preserve">Other Compensation Type
CHR(32)CHR(32)CHR(32)01467 - Supplement pay/compensation
CHR(32)CHR(32)CHR(32)01468 - Fringe benefit
CHR(32)CHR(32)CHR(32)01469 - In-kind compensation
CHR(32)CHR(32)CHR(32)09999 - Other
</t>
  </si>
  <si>
    <t xml:space="preserve">Admission Status
CHR(32)CHR(32)CHR(32)01814 - Regular student
CHR(32)CHR(32)CHR(32)01815 - Probationary student (academic)
CHR(32)CHR(32)CHR(32)01816 - Probationary student (attendance)
CHR(32)CHR(32)CHR(32)01817 - Probationary student (behavioral)
CHR(32)CHR(32)CHR(32)01818 - Probationary student (other)
CHR(32)CHR(32)CHR(32)01819 - Exchange student
CHR(32)CHR(32)CHR(32)01820 - Guest student
CHR(32)CHR(32)CHR(32)09999 - Other
</t>
  </si>
  <si>
    <t xml:space="preserve">Affiliated Institution Type
CHR(32)CHR(32)CHR(32)00099 - Postsecondary institution
CHR(32)CHR(32)CHR(32)00209 - Career/technical/vocational institution
CHR(32)CHR(32)CHR(32)00211 - Public elementary/secondary school
CHR(32)CHR(32)CHR(32)00212 - Private elementary/secondary school
CHR(32)CHR(32)CHR(32)00066 - Local education agency 
CHR(32)CHR(32)CHR(32)00622 - Local/community government
CHR(32)CHR(32)CHR(32)00214 - Regional or intermediate educational agency
CHR(32)CHR(32)CHR(32)00617 - State government
CHR(32)CHR(32)CHR(32)00997 - Business
CHR(32)CHR(32)CHR(32)00749 - Foundations and other charitable organizations
CHR(32)CHR(32)CHR(32)00772 - Unions
CHR(32)CHR(32)CHR(32)00731 - Parent/teacher organizations
CHR(32)CHR(32)CHR(32)00797 - Federal government
CHR(32)CHR(32)CHR(32)00218 - Religious organization
CHR(32)CHR(32)CHR(32)00219 - Fraternal organization
CHR(32)CHR(32)CHR(32)01275 - Non-profit organization
CHR(32)CHR(32)CHR(32)09999 - Other
</t>
  </si>
  <si>
    <t xml:space="preserve">Alcohol Violation
CHR(32)CHR(32)CHR(32)04619 - Sale of alcohol
CHR(32)CHR(32)CHR(32)04620 - Distribution of alcohol
CHR(32)CHR(32)CHR(32)04621 - Drinking alcohol
CHR(32)CHR(32)CHR(32)04622 - Possession of alcohol
CHR(32)CHR(32)CHR(32)04623 - Suspicion of alcohol use
CHR(32)CHR(32)CHR(32)09999 - Other
</t>
  </si>
  <si>
    <t xml:space="preserve">Grade Level
CHR(32)CHR(32)CHR(32)00787 - Infant/toddler
CHR(32)CHR(32)CHR(32)00788 - Preschool
CHR(32)CHR(32)CHR(32)00789 - Prekindergarten
CHR(32)CHR(32)CHR(32)03494 - Transitional Kindergarten
CHR(32)CHR(32)CHR(32)00805 - Kindergarten
CHR(32)CHR(32)CHR(32)00790 - First grade
CHR(32)CHR(32)CHR(32)00791 - Second grade
CHR(32)CHR(32)CHR(32)00792 - Third grade
CHR(32)CHR(32)CHR(32)00793 - Fourth grade
CHR(32)CHR(32)CHR(32)00794 - Fifth grade
CHR(32)CHR(32)CHR(32)00795 - Sixth grade
CHR(32)CHR(32)CHR(32)00796 - Seventh grade
CHR(32)CHR(32)CHR(32)00798 - Eighth grade
CHR(32)CHR(32)CHR(32)00799 - Ninth grade
CHR(32)CHR(32)CHR(32)00800 - Tenth grade
CHR(32)CHR(32)CHR(32)00801 - Eleventh Grade
CHR(32)CHR(32)CHR(32)00802 - Twelfth grade
CHR(32)CHR(32)CHR(32)00803 - Grade 13
CHR(32)CHR(32)CHR(32)02359 - Postsecondary
CHR(32)CHR(32)CHR(32)00804 - Ungraded
CHR(32)CHR(32)CHR(32)09999 - Other
</t>
  </si>
  <si>
    <t xml:space="preserve">Active/Inactive
CHR(32)CHR(32)CHR(32)00122 - Active
CHR(32)CHR(32)CHR(32)00133 - Inactive
</t>
  </si>
  <si>
    <t xml:space="preserve">Assessment Development
CHR(32)CHR(32)CHR(32)00423 - Off-the-shelf
CHR(32)CHR(32)CHR(32)00425 - Built from commercial item banks
CHR(32)CHR(32)CHR(32)00427 - Custom developed
CHR(32)CHR(32)CHR(32)00424 - Customized off-the-shelf
CHR(32)CHR(32)CHR(32)00428 - District developed
CHR(32)CHR(32)CHR(32)00429 - State developed
</t>
  </si>
  <si>
    <t xml:space="preserve">Assessment for Promotion/Graduation Status
CHR(32)CHR(32)CHR(32)00232 - No
CHR(32)CHR(32)CHR(32)13380 - Yes, for Both Promotion and Graduation
CHR(32)CHR(32)CHR(32)13381 - Yes, for Graduation Only
CHR(32)CHR(32)CHR(32)13382 - Yes, for Promotion Only
</t>
  </si>
  <si>
    <t xml:space="preserve">Assessment Groups
CHR(32)CHR(32)CHR(32)00480 - All students
CHR(32)CHR(32)CHR(32)00481 - Sample
CHR(32)CHR(32)CHR(32)00482 - Voluntary
CHR(32)CHR(32)CHR(32)03472 - Sub-population
CHR(32)CHR(32)CHR(32)09999 - Other
</t>
  </si>
  <si>
    <t xml:space="preserve">Performance Level Code
CHR(32)CHR(32)CHR(32)13550 - Level 0
CHR(32)CHR(32)CHR(32)13551 - Level 1
CHR(32)CHR(32)CHR(32)13552 - Level 2
CHR(32)CHR(32)CHR(32)13553 - Level 3
CHR(32)CHR(32)CHR(32)13554 - Level 4
CHR(32)CHR(32)CHR(32)13555 - Level 5
CHR(32)CHR(32)CHR(32)13556 - Level 6
</t>
  </si>
  <si>
    <t xml:space="preserve">Assessment Reference Type
CHR(32)CHR(32)CHR(32)00487 - Norm-referenced
CHR(32)CHR(32)CHR(32)00488 - Criterion-referenced
CHR(32)CHR(32)CHR(32)00489 - Achievement-level reference or benchmarked
</t>
  </si>
  <si>
    <t xml:space="preserve">Education Level
CHR(32)CHR(32)CHR(32)73080 - Birth to Three
CHR(32)CHR(32)CHR(32)01043 - No school completed
CHR(32)CHR(32)CHR(32)00788 - Preschool
CHR(32)CHR(32)CHR(32)00805 - Kindergarten
CHR(32)CHR(32)CHR(32)00790 - First grade
CHR(32)CHR(32)CHR(32)00791 - Second grade
CHR(32)CHR(32)CHR(32)00792 - Third grade
CHR(32)CHR(32)CHR(32)00793 - Fourth grade
CHR(32)CHR(32)CHR(32)00794 - Fifth grade
CHR(32)CHR(32)CHR(32)00795 - Sixth grade
CHR(32)CHR(32)CHR(32)00796 - Seventh grade
CHR(32)CHR(32)CHR(32)00798 - Eighth grade
CHR(32)CHR(32)CHR(32)00799 - Ninth grade
CHR(32)CHR(32)CHR(32)00800 - Tenth grade
CHR(32)CHR(32)CHR(32)00801 - Eleventh Grade
CHR(32)CHR(32)CHR(32)01809 - 12th grade, no diploma
CHR(32)CHR(32)CHR(32)01044 - High school diploma
CHR(32)CHR(32)CHR(32)02408 - High school completers (e.g., certificate of attendance)
CHR(32)CHR(32)CHR(32)02409 - High school equivalency (e.g., GED)
CHR(32)CHR(32)CHR(32)00819 - Career and Technical Education certificate
CHR(32)CHR(32)CHR(32)01049 - Some college but no degree
CHR(32)CHR(32)CHR(32)01047 - Formal award, certificate or diploma (less than one year)
CHR(32)CHR(32)CHR(32)01048 - Formal award, certificate or diploma (more than or equal to one year)
CHR(32)CHR(32)CHR(32)01050 - Associate's degree (two years or more)
CHR(32)CHR(32)CHR(32)73063 - Adult education certification, endorsement, or degree
CHR(32)CHR(32)CHR(32)01051 - Bachelor's (Baccalaureate) degree 
CHR(32)CHR(32)CHR(32)01054 - Master's degree (e.g., M.A., M.S., M. Eng., M.Ed., M.S.W., M.B.A., M.L.S.)
CHR(32)CHR(32)CHR(32)01055 - Specialist's degree (e.g., Ed.S.)
CHR(32)CHR(32)CHR(32)73081 - Post-master''s certificate
CHR(32)CHR(32)CHR(32)01052 - Graduate certificate
CHR(32)CHR(32)CHR(32)01057 - Doctoral (Doctor's) degree 
CHR(32)CHR(32)CHR(32)01053 - First-professional degree 
CHR(32)CHR(32)CHR(32)01056 - Post-professional degree
CHR(32)CHR(32)CHR(32)73082 - Doctor''s degree-research/scholarship
CHR(32)CHR(32)CHR(32)73083 - Doctor''s degree-professional practice
CHR(32)CHR(32)CHR(32)73084 - Doctor''s degree-other
</t>
  </si>
  <si>
    <t xml:space="preserve">Assessment Reporting Level
CHR(32)CHR(32)CHR(32)00514 - Individual scores
CHR(32)CHR(32)CHR(32)00515 - More detailed profiles of individual performance
CHR(32)CHR(32)CHR(32)02390 - Teacher/classroom level scores
CHR(32)CHR(32)CHR(32)02391 - School level scores
CHR(32)CHR(32)CHR(32)00517 - District-level scores
CHR(32)CHR(32)CHR(32)00519 - Program scores
CHR(32)CHR(32)CHR(32)03481 - State-level scores
CHR(32)CHR(32)CHR(32)00520 - Data disaggregated by category
CHR(32)CHR(32)CHR(32)03482 - Data disaggregated by population sub-group
CHR(32)CHR(32)CHR(32)09999 - Other
</t>
  </si>
  <si>
    <t xml:space="preserve">Assessment Requirement Authority
CHR(32)CHR(32)CHR(32)00065 - Teacher/staff member
CHR(32)CHR(32)CHR(32)00675 - School
CHR(32)CHR(32)CHR(32)00066 - Local education agency 
CHR(32)CHR(32)CHR(32)00890 - Intermediate Education Unit
CHR(32)CHR(32)CHR(32)00868 - State Education Agency
CHR(32)CHR(32)CHR(32)00847 - State Legislature
CHR(32)CHR(32)CHR(32)03460 - State department of health
CHR(32)CHR(32)CHR(32)00070 - US Department of Education
CHR(32)CHR(32)CHR(32)00086 - Speech education director
CHR(32)CHR(32)CHR(32)00072 - Admission, review, and dismissal (ARD) committee
CHR(32)CHR(32)CHR(32)00654 - College/University
CHR(32)CHR(32)CHR(32)00074 - Award-granting organization
CHR(32)CHR(32)CHR(32)09999 - Other
</t>
  </si>
  <si>
    <t xml:space="preserve">List of Languages and Codes
CHR(32)CHR(32)CHR(32)03823 - abk
CHR(32)CHR(32)CHR(32)03824 - ace
CHR(32)CHR(32)CHR(32)03825 - ach
CHR(32)CHR(32)CHR(32)03826 - ada
CHR(32)CHR(32)CHR(32)03827 - ady
CHR(32)CHR(32)CHR(32)03828 - aar
CHR(32)CHR(32)CHR(32)03829 - afh
CHR(32)CHR(32)CHR(32)03830 - afr
CHR(32)CHR(32)CHR(32)03831 - afa
CHR(32)CHR(32)CHR(32)03832 - ain
CHR(32)CHR(32)CHR(32)03833 - aka
CHR(32)CHR(32)CHR(32)03834 - akk
CHR(32)CHR(32)CHR(32)03835 - alb/sqi
CHR(32)CHR(32)CHR(32)03836 - gsw
CHR(32)CHR(32)CHR(32)03837 - ale
CHR(32)CHR(32)CHR(32)03838 - alg
CHR(32)CHR(32)CHR(32)03839 - tut
CHR(32)CHR(32)CHR(32)03840 - amh
CHR(32)CHR(32)CHR(32)03841 - anp
CHR(32)CHR(32)CHR(32)03842 - apa
CHR(32)CHR(32)CHR(32)03843 - ara
CHR(32)CHR(32)CHR(32)03844 - arg
CHR(32)CHR(32)CHR(32)03845 - arc
CHR(32)CHR(32)CHR(32)03846 - arp
CHR(32)CHR(32)CHR(32)03847 - arn
CHR(32)CHR(32)CHR(32)03848 - arw
CHR(32)CHR(32)CHR(32)03849 - arm/hye
CHR(32)CHR(32)CHR(32)03850 - rup
CHR(32)CHR(32)CHR(32)03851 - art
CHR(32)CHR(32)CHR(32)03852 - asm
CHR(32)CHR(32)CHR(32)03853 - ast
CHR(32)CHR(32)CHR(32)03854 - ath
CHR(32)CHR(32)CHR(32)03855 - aus
CHR(32)CHR(32)CHR(32)03856 - map
CHR(32)CHR(32)CHR(32)03857 - ava
CHR(32)CHR(32)CHR(32)03858 - ave
CHR(32)CHR(32)CHR(32)03859 - awa
CHR(32)CHR(32)CHR(32)03860 - aym
CHR(32)CHR(32)CHR(32)03861 - aze
CHR(32)CHR(32)CHR(32)03862 - ban
CHR(32)CHR(32)CHR(32)03863 - bat
CHR(32)CHR(32)CHR(32)03864 - bal
CHR(32)CHR(32)CHR(32)03865 - bam
CHR(32)CHR(32)CHR(32)03866 - bai
CHR(32)CHR(32)CHR(32)03867 - bad
CHR(32)CHR(32)CHR(32)03868 - bnt
CHR(32)CHR(32)CHR(32)03869 - bas
CHR(32)CHR(32)CHR(32)03870 - bak
CHR(32)CHR(32)CHR(32)03871 - baq/eus
CHR(32)CHR(32)CHR(32)03872 - btk
CHR(32)CHR(32)CHR(32)03873 - bej
CHR(32)CHR(32)CHR(32)03874 - bel
CHR(32)CHR(32)CHR(32)03875 - bem
CHR(32)CHR(32)CHR(32)03876 - ben
CHR(32)CHR(32)CHR(32)03877 - ber
CHR(32)CHR(32)CHR(32)03878 - bho
CHR(32)CHR(32)CHR(32)03879 - bih
CHR(32)CHR(32)CHR(32)03880 - bik
CHR(32)CHR(32)CHR(32)03881 - byn
CHR(32)CHR(32)CHR(32)03882 - bin
CHR(32)CHR(32)CHR(32)03883 - bis
CHR(32)CHR(32)CHR(32)03884 - nob
CHR(32)CHR(32)CHR(32)03885 - bos
CHR(32)CHR(32)CHR(32)03886 - bra
CHR(32)CHR(32)CHR(32)03887 - bre
CHR(32)CHR(32)CHR(32)03888 - bug
CHR(32)CHR(32)CHR(32)03889 - bul
CHR(32)CHR(32)CHR(32)03890 - bua
CHR(32)CHR(32)CHR(32)03891 - bur/mya
CHR(32)CHR(32)CHR(32)03892 - cad
CHR(32)CHR(32)CHR(32)03893 - car
CHR(32)CHR(32)CHR(32)03894 - spa
CHR(32)CHR(32)CHR(32)03895 - cat
CHR(32)CHR(32)CHR(32)03896 - cau
CHR(32)CHR(32)CHR(32)03897 - ceb
CHR(32)CHR(32)CHR(32)03898 - cel
CHR(32)CHR(32)CHR(32)03899 - cai
CHR(32)CHR(32)CHR(32)03900 - khm
CHR(32)CHR(32)CHR(32)03901 - chg
CHR(32)CHR(32)CHR(32)03902 - cmc
CHR(32)CHR(32)CHR(32)03903 - cha
CHR(32)CHR(32)CHR(32)03904 - che
CHR(32)CHR(32)CHR(32)03905 - chr
CHR(32)CHR(32)CHR(32)03906 - nya
CHR(32)CHR(32)CHR(32)03907 - chy
CHR(32)CHR(32)CHR(32)03908 - chb
CHR(32)CHR(32)CHR(32)03909 - chi/zho
CHR(32)CHR(32)CHR(32)03910 - chn
CHR(32)CHR(32)CHR(32)03911 - chp
CHR(32)CHR(32)CHR(32)03912 - cho
CHR(32)CHR(32)CHR(32)03913 - zha
CHR(32)CHR(32)CHR(32)03914 - chu
CHR(32)CHR(32)CHR(32)03915 - chk
CHR(32)CHR(32)CHR(32)03916 - chv
CHR(32)CHR(32)CHR(32)03917 - nwc
CHR(32)CHR(32)CHR(32)03918 - rar
CHR(32)CHR(32)CHR(32)03919 - cop
CHR(32)CHR(32)CHR(32)03920 - cor
CHR(32)CHR(32)CHR(32)03921 - cos
CHR(32)CHR(32)CHR(32)03922 - cre
CHR(32)CHR(32)CHR(32)03923 - mus
CHR(32)CHR(32)CHR(32)03924 - crp
CHR(32)CHR(32)CHR(32)03925 - cpe
CHR(32)CHR(32)CHR(32)03926 - cpf
CHR(32)CHR(32)CHR(32)03927 - cpp
CHR(32)CHR(32)CHR(32)03928 - crh
CHR(32)CHR(32)CHR(32)03929 - scr/hrv
CHR(32)CHR(32)CHR(32)03930 - cus
CHR(32)CHR(32)CHR(32)03931 - cze/ces
CHR(32)CHR(32)CHR(32)03932 - dak
CHR(32)CHR(32)CHR(32)03933 - dan
CHR(32)CHR(32)CHR(32)03934 - dar
CHR(32)CHR(32)CHR(32)03935 - day
CHR(32)CHR(32)CHR(32)03936 - del
CHR(32)CHR(32)CHR(32)03937 - div
CHR(32)CHR(32)CHR(32)03938 - zza
CHR(32)CHR(32)CHR(32)03939 - din
CHR(32)CHR(32)CHR(32)03940 - doi
CHR(32)CHR(32)CHR(32)03941 - dgr
CHR(32)CHR(32)CHR(32)03942 - dra
CHR(32)CHR(32)CHR(32)03943 - dua
CHR(32)CHR(32)CHR(32)03944 - dut/nld
CHR(32)CHR(32)CHR(32)03945 - dum
CHR(32)CHR(32)CHR(32)03946 - dyu
CHR(32)CHR(32)CHR(32)03947 - dzo
CHR(32)CHR(32)CHR(32)03948 - frs
CHR(32)CHR(32)CHR(32)03949 - efi
CHR(32)CHR(32)CHR(32)03950 - egy
CHR(32)CHR(32)CHR(32)03951 - eka
CHR(32)CHR(32)CHR(32)03952 - elx
CHR(32)CHR(32)CHR(32)03953 - eng
CHR(32)CHR(32)CHR(32)03954 - enm
CHR(32)CHR(32)CHR(32)03955 - ang
CHR(32)CHR(32)CHR(32)03956 - myv
CHR(32)CHR(32)CHR(32)03957 - epo
CHR(32)CHR(32)CHR(32)03958 - est
CHR(32)CHR(32)CHR(32)03959 - ewe
CHR(32)CHR(32)CHR(32)03960 - ewo
CHR(32)CHR(32)CHR(32)03961 - fan
CHR(32)CHR(32)CHR(32)03962 - fat
CHR(32)CHR(32)CHR(32)03963 - fao
CHR(32)CHR(32)CHR(32)03964 - fij
CHR(32)CHR(32)CHR(32)03965 - fil
CHR(32)CHR(32)CHR(32)03966 - fin
CHR(32)CHR(32)CHR(32)03967 - fiu
CHR(32)CHR(32)CHR(32)03968 - fon
CHR(32)CHR(32)CHR(32)03969 - fre/fra
CHR(32)CHR(32)CHR(32)03970 - frm
CHR(32)CHR(32)CHR(32)03971 - fro
CHR(32)CHR(32)CHR(32)03972 - fry
CHR(32)CHR(32)CHR(32)03973 - fur
CHR(32)CHR(32)CHR(32)03974 - ful
CHR(32)CHR(32)CHR(32)03975 - gaa
CHR(32)CHR(32)CHR(32)03976 - gla
CHR(32)CHR(32)CHR(32)03977 - glg
CHR(32)CHR(32)CHR(32)03978 - lug
CHR(32)CHR(32)CHR(32)03979 - gay
CHR(32)CHR(32)CHR(32)03980 - gba
CHR(32)CHR(32)CHR(32)03981 - gez
CHR(32)CHR(32)CHR(32)03982 - gwo/kat
CHR(32)CHR(32)CHR(32)03983 - ger/deu
CHR(32)CHR(32)CHR(32)03984 - nds
CHR(32)CHR(32)CHR(32)03985 - gmh
CHR(32)CHR(32)CHR(32)03986 - goh
CHR(32)CHR(32)CHR(32)03987 - gem
CHR(32)CHR(32)CHR(32)03988 - kik
CHR(32)CHR(32)CHR(32)03989 - gil
CHR(32)CHR(32)CHR(32)03990 - gon
CHR(32)CHR(32)CHR(32)03991 - gor
CHR(32)CHR(32)CHR(32)03992 - got
CHR(32)CHR(32)CHR(32)03993 - grb
CHR(32)CHR(32)CHR(32)03994 - grc
CHR(32)CHR(32)CHR(32)03995 - gre/ell
CHR(32)CHR(32)CHR(32)03996 - kal
CHR(32)CHR(32)CHR(32)03997 - grn
CHR(32)CHR(32)CHR(32)03998 - guj
CHR(32)CHR(32)CHR(32)03999 - gwi
CHR(32)CHR(32)CHR(32)04000 - hai
CHR(32)CHR(32)CHR(32)04001 - hat
CHR(32)CHR(32)CHR(32)04002 - hau
CHR(32)CHR(32)CHR(32)04003 - haw
CHR(32)CHR(32)CHR(32)04004 - heb
CHR(32)CHR(32)CHR(32)04005 - her
CHR(32)CHR(32)CHR(32)04006 - hil
CHR(32)CHR(32)CHR(32)04007 - him
CHR(32)CHR(32)CHR(32)04008 - hin
CHR(32)CHR(32)CHR(32)04009 - hmo
CHR(32)CHR(32)CHR(32)04010 - hit
CHR(32)CHR(32)CHR(32)04011 - hmn
CHR(32)CHR(32)CHR(32)04012 - hun
CHR(32)CHR(32)CHR(32)04013 - hup
CHR(32)CHR(32)CHR(32)04014 - iba
CHR(32)CHR(32)CHR(32)04015 - ice/isl
CHR(32)CHR(32)CHR(32)04016 - ido
CHR(32)CHR(32)CHR(32)04017 - ibo
CHR(32)CHR(32)CHR(32)04018 - ijo
CHR(32)CHR(32)CHR(32)04019 - ilo
CHR(32)CHR(32)CHR(32)04020 - smn
CHR(32)CHR(32)CHR(32)04021 - inc
CHR(32)CHR(32)CHR(32)04022 - ine
CHR(32)CHR(32)CHR(32)04023 - ind
CHR(32)CHR(32)CHR(32)04024 - inh
CHR(32)CHR(32)CHR(32)04025 - ina
CHR(32)CHR(32)CHR(32)04026 - ile
CHR(32)CHR(32)CHR(32)04027 - iku
CHR(32)CHR(32)CHR(32)04028 - ipk
CHR(32)CHR(32)CHR(32)04029 - ira
CHR(32)CHR(32)CHR(32)04030 - gle
CHR(32)CHR(32)CHR(32)04031 - mga
CHR(32)CHR(32)CHR(32)04032 - sga
CHR(32)CHR(32)CHR(32)04033 - iro
CHR(32)CHR(32)CHR(32)04034 - ita
CHR(32)CHR(32)CHR(32)04035 - jpn
CHR(32)CHR(32)CHR(32)04036 - jav
CHR(32)CHR(32)CHR(32)04037 - kac
CHR(32)CHR(32)CHR(32)04038 - jrb
CHR(32)CHR(32)CHR(32)04039 - jpr
CHR(32)CHR(32)CHR(32)04040 - kbd
CHR(32)CHR(32)CHR(32)04041 - kab
CHR(32)CHR(32)CHR(32)04042 - xal
CHR(32)CHR(32)CHR(32)04043 - kam
CHR(32)CHR(32)CHR(32)04044 - kan
CHR(32)CHR(32)CHR(32)04045 - kau
CHR(32)CHR(32)CHR(32)04046 - kaa
CHR(32)CHR(32)CHR(32)04047 - krc
CHR(32)CHR(32)CHR(32)04048 - krl
CHR(32)CHR(32)CHR(32)04049 - kar
CHR(32)CHR(32)CHR(32)04050 - kas
CHR(32)CHR(32)CHR(32)04051 - csb
CHR(32)CHR(32)CHR(32)04052 - kaw
CHR(32)CHR(32)CHR(32)04053 - kaz
CHR(32)CHR(32)CHR(32)04054 - kha
CHR(32)CHR(32)CHR(32)04055 - khi
CHR(32)CHR(32)CHR(32)04056 - kho
CHR(32)CHR(32)CHR(32)04057 - kmb
CHR(32)CHR(32)CHR(32)04058 - kin
CHR(32)CHR(32)CHR(32)04059 - kir
CHR(32)CHR(32)CHR(32)04060 - tlh
CHR(32)CHR(32)CHR(32)04061 - kom
CHR(32)CHR(32)CHR(32)04062 - kon
CHR(32)CHR(32)CHR(32)04063 - kok
CHR(32)CHR(32)CHR(32)04064 - kor
CHR(32)CHR(32)CHR(32)04065 - kos
CHR(32)CHR(32)CHR(32)04066 - kpe
CHR(32)CHR(32)CHR(32)04067 - kro
CHR(32)CHR(32)CHR(32)04068 - kua
CHR(32)CHR(32)CHR(32)04069 - kum
CHR(32)CHR(32)CHR(32)04070 - kur
CHR(32)CHR(32)CHR(32)04071 - kru
CHR(32)CHR(32)CHR(32)04072 - kut
CHR(32)CHR(32)CHR(32)04073 - lad
CHR(32)CHR(32)CHR(32)04074 - lah
CHR(32)CHR(32)CHR(32)04075 - lam
CHR(32)CHR(32)CHR(32)04076 - lao
CHR(32)CHR(32)CHR(32)04077 - lat
CHR(32)CHR(32)CHR(32)04078 - lav
CHR(32)CHR(32)CHR(32)04079 - ltz
CHR(32)CHR(32)CHR(32)04080 - lez
CHR(32)CHR(32)CHR(32)04081 - lim
CHR(32)CHR(32)CHR(32)04082 - lin
CHR(32)CHR(32)CHR(32)04083 - lit
CHR(32)CHR(32)CHR(32)04084 - jbo
CHR(32)CHR(32)CHR(32)04085 - dsb
CHR(32)CHR(32)CHR(32)04086 - loz
CHR(32)CHR(32)CHR(32)04087 - lub
CHR(32)CHR(32)CHR(32)04088 - lua
CHR(32)CHR(32)CHR(32)04089 - lui
CHR(32)CHR(32)CHR(32)04090 - smj
CHR(32)CHR(32)CHR(32)04091 - lun
CHR(32)CHR(32)CHR(32)04092 - luo
CHR(32)CHR(32)CHR(32)04093 - lus
CHR(32)CHR(32)CHR(32)04094 - mac/mkd
CHR(32)CHR(32)CHR(32)04095 - mad
CHR(32)CHR(32)CHR(32)04096 - mag
CHR(32)CHR(32)CHR(32)04097 - mai
CHR(32)CHR(32)CHR(32)04098 - mak
CHR(32)CHR(32)CHR(32)04099 - mlg
CHR(32)CHR(32)CHR(32)04100 - may/msa
CHR(32)CHR(32)CHR(32)04101 - mal
CHR(32)CHR(32)CHR(32)04103 - mlt
CHR(32)CHR(32)CHR(32)04104 - mnc
CHR(32)CHR(32)CHR(32)04105 - mdr
CHR(32)CHR(32)CHR(32)04106 - man
CHR(32)CHR(32)CHR(32)04107 - mni
CHR(32)CHR(32)CHR(32)04108 - mno
CHR(32)CHR(32)CHR(32)04109 - glv
CHR(32)CHR(32)CHR(32)04110 - mao/mri
CHR(32)CHR(32)CHR(32)04111 - mar
CHR(32)CHR(32)CHR(32)04112 - chm
CHR(32)CHR(32)CHR(32)04113 - mah
CHR(32)CHR(32)CHR(32)04114 - mwr
CHR(32)CHR(32)CHR(32)04115 - mas
CHR(32)CHR(32)CHR(32)04116 - myn
CHR(32)CHR(32)CHR(32)04117 - men
CHR(32)CHR(32)CHR(32)04118 - mic
CHR(32)CHR(32)CHR(32)04119 - min
CHR(32)CHR(32)CHR(32)04120 - mwl
CHR(32)CHR(32)CHR(32)04121 - mis
CHR(32)CHR(32)CHR(32)04122 - moh
CHR(32)CHR(32)CHR(32)04123 - mdf
CHR(32)CHR(32)CHR(32)04124 - mol
CHR(32)CHR(32)CHR(32)04125 - mkh
CHR(32)CHR(32)CHR(32)04126 - lol
CHR(32)CHR(32)CHR(32)04127 - mon
CHR(32)CHR(32)CHR(32)04128 - mos
CHR(32)CHR(32)CHR(32)04129 - mul
CHR(32)CHR(32)CHR(32)04130 - mun
CHR(32)CHR(32)CHR(32)04131 - nqo
CHR(32)CHR(32)CHR(32)04132 - nah
CHR(32)CHR(32)CHR(32)04133 - nau
CHR(32)CHR(32)CHR(32)04134 - nav
CHR(32)CHR(32)CHR(32)04135 - nde
CHR(32)CHR(32)CHR(32)04136 - nbl
CHR(32)CHR(32)CHR(32)04137 - ndo
CHR(32)CHR(32)CHR(32)04138 - nap
CHR(32)CHR(32)CHR(32)04139 - new
CHR(32)CHR(32)CHR(32)04140 - nep
CHR(32)CHR(32)CHR(32)04141 - nia
CHR(32)CHR(32)CHR(32)04142 - nic
CHR(32)CHR(32)CHR(32)04143 - ssa
CHR(32)CHR(32)CHR(32)04144 - niu
CHR(32)CHR(32)CHR(32)04145 - zxx
CHR(32)CHR(32)CHR(32)04146 - nog
CHR(32)CHR(32)CHR(32)04147 - non
CHR(32)CHR(32)CHR(32)04148 - nai
CHR(32)CHR(32)CHR(32)04149 - frr
CHR(32)CHR(32)CHR(32)04150 - sme
CHR(32)CHR(32)CHR(32)04151 - nso
CHR(32)CHR(32)CHR(32)04152 - nor
CHR(32)CHR(32)CHR(32)04153 - nno
CHR(32)CHR(32)CHR(32)04154 - nub
CHR(32)CHR(32)CHR(32)04155 - nym
CHR(32)CHR(32)CHR(32)04156 - nyn
CHR(32)CHR(32)CHR(32)04157 - nyo
CHR(32)CHR(32)CHR(32)04158 - nzi
CHR(32)CHR(32)CHR(32)04159 - oci
CHR(32)CHR(32)CHR(32)04160 - oji
CHR(32)CHR(32)CHR(32)04161 - ori
CHR(32)CHR(32)CHR(32)04162 - orm
CHR(32)CHR(32)CHR(32)04163 - osa
CHR(32)CHR(32)CHR(32)04164 - oss
CHR(32)CHR(32)CHR(32)04165 - oto
CHR(32)CHR(32)CHR(32)04166 - pal
CHR(32)CHR(32)CHR(32)04167 - pau
CHR(32)CHR(32)CHR(32)04168 - pli
CHR(32)CHR(32)CHR(32)04169 - pam
CHR(32)CHR(32)CHR(32)04170 - pag
CHR(32)CHR(32)CHR(32)04171 - pan
CHR(32)CHR(32)CHR(32)04172 - pap
CHR(32)CHR(32)CHR(32)04173 - paa
CHR(32)CHR(32)CHR(32)04174 - per/fas
CHR(32)CHR(32)CHR(32)04175 - peo
CHR(32)CHR(32)CHR(32)04176 - phi
CHR(32)CHR(32)CHR(32)04177 - phn
CHR(32)CHR(32)CHR(32)04178 - pon
CHR(32)CHR(32)CHR(32)04179 - pol
CHR(32)CHR(32)CHR(32)04180 - por
CHR(32)CHR(32)CHR(32)04181 - pra
CHR(32)CHR(32)CHR(32)04182 - pro
CHR(32)CHR(32)CHR(32)04183 - pus
CHR(32)CHR(32)CHR(32)04184 - que
CHR(32)CHR(32)CHR(32)04185 - roh
CHR(32)CHR(32)CHR(32)04186 - raj
CHR(32)CHR(32)CHR(32)04187 - rap
CHR(32)CHR(32)CHR(32)04188 - qaa-qtz
CHR(32)CHR(32)CHR(32)04189 - roa
CHR(32)CHR(32)CHR(32)04190 - rum/ron
CHR(32)CHR(32)CHR(32)04191 - rom
CHR(32)CHR(32)CHR(32)04192 - run
CHR(32)CHR(32)CHR(32)04193 - rus
CHR(32)CHR(32)CHR(32)04194 - sal
CHR(32)CHR(32)CHR(32)04195 - sam
CHR(32)CHR(32)CHR(32)04196 - smi
CHR(32)CHR(32)CHR(32)04197 - smo
CHR(32)CHR(32)CHR(32)04198 - sad
CHR(32)CHR(32)CHR(32)04199 - sag
CHR(32)CHR(32)CHR(32)04200 - san
CHR(32)CHR(32)CHR(32)04201 - sat
CHR(32)CHR(32)CHR(32)04202 - srd
CHR(32)CHR(32)CHR(32)04203 - sas
CHR(32)CHR(32)CHR(32)04204 - sco
CHR(32)CHR(32)CHR(32)04205 - sel
CHR(32)CHR(32)CHR(32)04206 - sem
CHR(32)CHR(32)CHR(32)04207 - scc/srp
CHR(32)CHR(32)CHR(32)04208 - srr
CHR(32)CHR(32)CHR(32)04209 - shn
CHR(32)CHR(32)CHR(32)04210 - sna
CHR(32)CHR(32)CHR(32)04211 - iii
CHR(32)CHR(32)CHR(32)04212 - scn
CHR(32)CHR(32)CHR(32)04213 - sid
CHR(32)CHR(32)CHR(32)04214 - sgn
CHR(32)CHR(32)CHR(32)04215 - bla
CHR(32)CHR(32)CHR(32)04216 - snd
CHR(32)CHR(32)CHR(32)04217 - sin
CHR(32)CHR(32)CHR(32)04218 - sit
CHR(32)CHR(32)CHR(32)04219 - sio
CHR(32)CHR(32)CHR(32)04220 - sms
CHR(32)CHR(32)CHR(32)04221 - den
CHR(32)CHR(32)CHR(32)04222 - sla
CHR(32)CHR(32)CHR(32)04223 - slo/slk
CHR(32)CHR(32)CHR(32)04224 - slv
CHR(32)CHR(32)CHR(32)04225 - sog
CHR(32)CHR(32)CHR(32)04226 - som
CHR(32)CHR(32)CHR(32)04227 - son
CHR(32)CHR(32)CHR(32)04228 - snk
CHR(32)CHR(32)CHR(32)04229 - wen
CHR(32)CHR(32)CHR(32)04230 - sot
CHR(32)CHR(32)CHR(32)04231 - sai
CHR(32)CHR(32)CHR(32)04232 - alt
CHR(32)CHR(32)CHR(32)04233 - sma
CHR(32)CHR(32)CHR(32)04234 - srn
CHR(32)CHR(32)CHR(32)04235 - suk
CHR(32)CHR(32)CHR(32)04236 - sux
CHR(32)CHR(32)CHR(32)04237 - sun
CHR(32)CHR(32)CHR(32)04238 - sus
CHR(32)CHR(32)CHR(32)04239 - swa
CHR(32)CHR(32)CHR(32)04240 - ssw
CHR(32)CHR(32)CHR(32)04241 - swe
CHR(32)CHR(32)CHR(32)04242 - syr
CHR(32)CHR(32)CHR(32)04243 - tgl
CHR(32)CHR(32)CHR(32)04244 - tah
CHR(32)CHR(32)CHR(32)04245 - tai
CHR(32)CHR(32)CHR(32)04246 - tgk
CHR(32)CHR(32)CHR(32)04247 - tmh
CHR(32)CHR(32)CHR(32)04248 - tam
CHR(32)CHR(32)CHR(32)04249 - tat
CHR(32)CHR(32)CHR(32)04250 - tel
CHR(32)CHR(32)CHR(32)04251 - ter
CHR(32)CHR(32)CHR(32)04252 - tet
CHR(32)CHR(32)CHR(32)04253 - tha
CHR(32)CHR(32)CHR(32)04254 - tib/bod
CHR(32)CHR(32)CHR(32)04255 - tig
CHR(32)CHR(32)CHR(32)04256 - tir
CHR(32)CHR(32)CHR(32)04257 - tem
CHR(32)CHR(32)CHR(32)04258 - tiv
CHR(32)CHR(32)CHR(32)04259 - tli
CHR(32)CHR(32)CHR(32)04260 - tpi
CHR(32)CHR(32)CHR(32)04261 - tkl
CHR(32)CHR(32)CHR(32)04262 - tog
CHR(32)CHR(32)CHR(32)04263 - ton
CHR(32)CHR(32)CHR(32)04264 - tsi
CHR(32)CHR(32)CHR(32)04265 - tso
CHR(32)CHR(32)CHR(32)04266 - tsn
CHR(32)CHR(32)CHR(32)04267 - tum
CHR(32)CHR(32)CHR(32)04268 - tup
CHR(32)CHR(32)CHR(32)04269 - tur
CHR(32)CHR(32)CHR(32)04270 - ota
CHR(32)CHR(32)CHR(32)04271 - tuk
CHR(32)CHR(32)CHR(32)04272 - tvl
CHR(32)CHR(32)CHR(32)04273 - tyv
CHR(32)CHR(32)CHR(32)04274 - twi
CHR(32)CHR(32)CHR(32)04275 - udm
CHR(32)CHR(32)CHR(32)04276 - uga
CHR(32)CHR(32)CHR(32)04277 - uig
CHR(32)CHR(32)CHR(32)04278 - ukr
CHR(32)CHR(32)CHR(32)04279 - umb
CHR(32)CHR(32)CHR(32)04280 - und
CHR(32)CHR(32)CHR(32)04281 - hsb
CHR(32)CHR(32)CHR(32)04282 - urd
CHR(32)CHR(32)CHR(32)04283 - uzb
CHR(32)CHR(32)CHR(32)04284 - vai
CHR(32)CHR(32)CHR(32)04285 - ven
CHR(32)CHR(32)CHR(32)04286 - vie
CHR(32)CHR(32)CHR(32)04287 - vol
CHR(32)CHR(32)CHR(32)04288 - vot
CHR(32)CHR(32)CHR(32)04289 - wak
CHR(32)CHR(32)CHR(32)04290 - wal
CHR(32)CHR(32)CHR(32)04291 - wln
CHR(32)CHR(32)CHR(32)04292 - war
CHR(32)CHR(32)CHR(32)04293 - was
CHR(32)CHR(32)CHR(32)04294 - wel/cym
CHR(32)CHR(32)CHR(32)04295 - wol
CHR(32)CHR(32)CHR(32)04296 - xho
CHR(32)CHR(32)CHR(32)04297 - sah
CHR(32)CHR(32)CHR(32)04298 - yao
CHR(32)CHR(32)CHR(32)04299 - yap
CHR(32)CHR(32)CHR(32)04300 - yid
CHR(32)CHR(32)CHR(32)04301 - yor
CHR(32)CHR(32)CHR(32)04302 - ypk
CHR(32)CHR(32)CHR(32)04303 - znd
CHR(32)CHR(32)CHR(32)04304 - zap
CHR(32)CHR(32)CHR(32)04305 - zen
CHR(32)CHR(32)CHR(32)04306 - zul
CHR(32)CHR(32)CHR(32)04307 - zun
CHR(32)CHR(32)CHR(32)09999 - Other
</t>
  </si>
  <si>
    <t xml:space="preserve">At Risk of Developmental Delay
CHR(32)CHR(32)CHR(32)05993 - Established conditions
CHR(32)CHR(32)CHR(32)05994 - Environment factors
CHR(32)CHR(32)CHR(32)05995 - No established condition
CHR(32)CHR(32)CHR(32)05996 - No established condition, needs follow-up
</t>
  </si>
  <si>
    <t xml:space="preserve">Attendance Policy Violation
CHR(32)CHR(32)CHR(32)04627 - Forging absence excuse
CHR(32)CHR(32)CHR(32)04628 - Skipping class 
CHR(32)CHR(32)CHR(32)04629 - Tardiness
CHR(32)CHR(32)CHR(32)04630 - Truancy
CHR(32)CHR(32)CHR(32)09999 - Other
</t>
  </si>
  <si>
    <t xml:space="preserve">School Level
CHR(32)CHR(32)CHR(32)00787 - Infant/toddler
CHR(32)CHR(32)CHR(32)01981 - Preschool/early childhood
CHR(32)CHR(32)CHR(32)02397 - Primary
CHR(32)CHR(32)CHR(32)01304 - Elementary
CHR(32)CHR(32)CHR(32)02399 - Intermediate
CHR(32)CHR(32)CHR(32)02400 - Middle
CHR(32)CHR(32)CHR(32)02602 - Junior high school
CHR(32)CHR(32)CHR(32)02402 - High school
CHR(32)CHR(32)CHR(32)02403 - Secondary
CHR(32)CHR(32)CHR(32)01302 - All levels
CHR(32)CHR(32)CHR(32)00013 - Adult education
CHR(32)CHR(32)CHR(32)73066 - Joint secondary and postsecondary
</t>
  </si>
  <si>
    <t xml:space="preserve">Background Check Type
CHR(32)CHR(32)CHR(32)01420 - Criminal records
CHR(32)CHR(32)CHR(32)01421 - Previous employment records
CHR(32)CHR(32)CHR(32)01422 - Personal references
CHR(32)CHR(32)CHR(32)01423 - Credentials
CHR(32)CHR(32)CHR(32)09999 - Other
</t>
  </si>
  <si>
    <t xml:space="preserve">Bank Account Type
CHR(32)CHR(32)CHR(32)01589 - Checking
CHR(32)CHR(32)CHR(32)01590 - Savings
CHR(32)CHR(32)CHR(32)01591 - Money market
CHR(32)CHR(32)CHR(32)09999 - Other
</t>
  </si>
  <si>
    <t xml:space="preserve">Base Indicators
CHR(32)CHR(32)CHR(32)00393 - Demographics
CHR(32)CHR(32)CHR(32)00394 - Outcome
CHR(32)CHR(32)CHR(32)00395 - Process
CHR(32)CHR(32)CHR(32)09999 - Other
</t>
  </si>
  <si>
    <t xml:space="preserve">Benefit Contribution Type
CHR(32)CHR(32)CHR(32)01559 - Monetary
CHR(32)CHR(32)CHR(32)01560 - In-kind
CHR(32)CHR(32)CHR(32)09999 - Other
</t>
  </si>
  <si>
    <t xml:space="preserve">Benefit Contributor Type
CHR(32)CHR(32)CHR(32)01552 - Employer
CHR(32)CHR(32)CHR(32)00860 - State agency
CHR(32)CHR(32)CHR(32)01560 - In-kind
CHR(32)CHR(32)CHR(32)00066 - Local education agency 
CHR(32)CHR(32)CHR(32)00214 - Regional or intermediate educational agency
CHR(32)CHR(32)CHR(32)01555 - Community organization, business, or group
CHR(32)CHR(32)CHR(32)01556 - Other organization, business, or group
CHR(32)CHR(32)CHR(32)01557 - Individual employee
CHR(32)CHR(32)CHR(32)01558 - Individual other than employee
CHR(32)CHR(32)CHR(32)09999 - Other
</t>
  </si>
  <si>
    <t xml:space="preserve">Bilingual Education Program
CHR(32)CHR(32)CHR(32)04924 - Curriculum content in native language
CHR(32)CHR(32)CHR(32)04925 - Developmental bilingual education
CHR(32)CHR(32)CHR(32)04926 - Native language support
CHR(32)CHR(32)CHR(32)04927 - Two way bilingual education
CHR(32)CHR(32)CHR(32)09999 - Other
</t>
  </si>
  <si>
    <t xml:space="preserve">Boarding Status
CHR(32)CHR(32)CHR(32)01861 - Seven (7) days per week
CHR(32)CHR(32)CHR(32)01862 - Five (5) days per week
CHR(32)CHR(32)CHR(32)01863 - Intermittent
CHR(32)CHR(32)CHR(32)01864 - Not boarding
CHR(32)CHR(32)CHR(32)09999 - Other
</t>
  </si>
  <si>
    <t xml:space="preserve">Yes/No/Unknown
CHR(32)CHR(32)CHR(32)00002 - Yes
CHR(32)CHR(32)CHR(32)00232 - No
CHR(32)CHR(32)CHR(32)09997 - Unknown
</t>
  </si>
  <si>
    <t xml:space="preserve">Bus Route Type
CHR(32)CHR(32)CHR(32)08695 - Inbound
CHR(32)CHR(32)CHR(32)08696 - Outbound 
</t>
  </si>
  <si>
    <t xml:space="preserve">Calendar Type
CHR(32)CHR(32)CHR(32)00823 - Planned school calendar
CHR(32)CHR(32)CHR(32)00824 - Actual or revised school calendar
CHR(32)CHR(32)CHR(32)00826 - Tentative schedule
CHR(32)CHR(32)CHR(32)09999 - Other
</t>
  </si>
  <si>
    <t xml:space="preserve">Capital Improvement Project Type
CHR(32)CHR(32)CHR(32)02904 - Site acquisition
CHR(32)CHR(32)CHR(32)02905 - Environmental clean-up of site
CHR(32)CHR(32)CHR(32)02906 - Planning
CHR(32)CHR(32)CHR(32)02907 - Design
CHR(32)CHR(32)CHR(32)02908 - New construction
CHR(32)CHR(32)CHR(32)02909 - Demolition
CHR(32)CHR(32)CHR(32)02910 - Remodeling of interior space
CHR(32)CHR(32)CHR(32)02911 - Full modernization
CHR(32)CHR(32)CHR(32)02912 - Partial modernization
CHR(32)CHR(32)CHR(32)02914 - Component or systems replacement
CHR(32)CHR(32)CHR(32)02915 - Exterior modernization
CHR(32)CHR(32)CHR(32)02916 - Site improvements
CHR(32)CHR(32)CHR(32)02992 - Landscaping improvement or development
CHR(32)CHR(32)CHR(32)13643 - Renovation
CHR(32)CHR(32)CHR(32)13644 - Environmental building clean-up
CHR(32)CHR(32)CHR(32)13645 - Building and site assessment
CHR(32)CHR(32)CHR(32)13646 - Portable classroom installation
CHR(32)CHR(32)CHR(32)13647 - Accessibility improvements
CHR(32)CHR(32)CHR(32)13648 - Addition
CHR(32)CHR(32)CHR(32)13649 - Building replacement
CHR(32)CHR(32)CHR(32)13650 - Instructional upgrades
CHR(32)CHR(32)CHR(32)13651 - Systemic renovation
CHR(32)CHR(32)CHR(32)09999 - Other
</t>
  </si>
  <si>
    <t xml:space="preserve">Capital Project Delivery Method
CHR(32)CHR(32)CHR(32)02917 - Design-bid-build
CHR(32)CHR(32)CHR(32)02918 - Construction management
CHR(32)CHR(32)CHR(32)02919 - Construction management at risk
CHR(32)CHR(32)CHR(32)02920 - General contractor method
CHR(32)CHR(32)CHR(32)02921 - Design build
CHR(32)CHR(32)CHR(32)02922 - Fast track
CHR(32)CHR(32)CHR(32)02923 - Job order contracting
CHR(32)CHR(32)CHR(32)09999 - Other
</t>
  </si>
  <si>
    <t xml:space="preserve">Capital Project Work Type
CHR(32)CHR(32)CHR(32)02924 - Demographic research
CHR(32)CHR(32)CHR(32)02993 - Planning phase
CHR(32)CHR(32)CHR(32)02994 - Site acquisition phase
CHR(32)CHR(32)CHR(32)02925 - Architect/engineer selection
CHR(32)CHR(32)CHR(32)02926 - Feasibility review phase
CHR(32)CHR(32)CHR(32)02927 - Schematic design phase
CHR(32)CHR(32)CHR(32)02928 - Design development phase
CHR(32)CHR(32)CHR(32)02929 - Construction documents
CHR(32)CHR(32)CHR(32)02930 - Construction procurement
CHR(32)CHR(32)CHR(32)02931 - Demolition/site development phase
CHR(32)CHR(32)CHR(32)02932 - Construction phase
CHR(32)CHR(32)CHR(32)02933 - Beneficial occupancy
CHR(32)CHR(32)CHR(32)02934 - Close-out phase
CHR(32)CHR(32)CHR(32)02935 - Post-occupancy evaluation
CHR(32)CHR(32)CHR(32)13640 - Environmental clean-up
CHR(32)CHR(32)CHR(32)13641 - Environmental testing
CHR(32)CHR(32)CHR(32)13642 - Public review phase
CHR(32)CHR(32)CHR(32)09999 - Other
</t>
  </si>
  <si>
    <t xml:space="preserve">Care/Service Day Status
CHR(32)CHR(32)CHR(32)09999 - Other
</t>
  </si>
  <si>
    <t xml:space="preserve">Career Development Needs
CHR(32)CHR(32)CHR(32)01622 - No preparation or additional experience required
CHR(32)CHR(32)CHR(32)01623 - Job specialization required
CHR(32)CHR(32)CHR(32)01624 - Task assignment required
CHR(32)CHR(32)CHR(32)01625 - Job rotation required
CHR(32)CHR(32)CHR(32)01626 - Formal preparation/credentials required
CHR(32)CHR(32)CHR(32)09999 - Other
</t>
  </si>
  <si>
    <t xml:space="preserve">Occupational Groups and Codes
CHR(32)CHR(32)CHR(32)04309 - Top Executives
CHR(32)CHR(32)CHR(32)04310 - Advertising, Marketing, Promotions, Public Relations, and Sales Managers
CHR(32)CHR(32)CHR(32)04311 - Operations Specialties Managers
CHR(32)CHR(32)CHR(32)04312 - Other Management Occupations
CHR(32)CHR(32)CHR(32)04313 - Business Operations Specialists
CHR(32)CHR(32)CHR(32)04314 - Financial Specialists
CHR(32)CHR(32)CHR(32)04315 - Computer Specialists
CHR(32)CHR(32)CHR(32)04316 - Mathematical Science Occupations
CHR(32)CHR(32)CHR(32)04317 - Architects, Surveyors, and Cartographers
CHR(32)CHR(32)CHR(32)04318 - Engineers
CHR(32)CHR(32)CHR(32)04319 - Drafters, Engineering, and Mapping Technicians
CHR(32)CHR(32)CHR(32)04320 - Life Scientists
CHR(32)CHR(32)CHR(32)04321 - Physical Scientists
CHR(32)CHR(32)CHR(32)04322 - Social Scientists and Related Workers
CHR(32)CHR(32)CHR(32)04323 - Life, Physical, and Social Science Technicians
CHR(32)CHR(32)CHR(32)04324 - Counselors, Social Workers, and Other Community and Social Service Specialists
CHR(32)CHR(32)CHR(32)04325 - Religious Workers
CHR(32)CHR(32)CHR(32)04326 - Lawyers, Judges, and Related Workers
CHR(32)CHR(32)CHR(32)04327 - Legal Support Workers
CHR(32)CHR(32)CHR(32)04328 - Postsecondary Teachers
CHR(32)CHR(32)CHR(32)04329 - Primary, Secondary, and Special Education School Teachers
CHR(32)CHR(32)CHR(32)04330 - Other Teachers and Instructors
CHR(32)CHR(32)CHR(32)04331 - Librarians, Curators, and Archivists
CHR(32)CHR(32)CHR(32)04332 - Other Education, Training, and Library Occupations
CHR(32)CHR(32)CHR(32)04333 - Art and Design Workers
CHR(32)CHR(32)CHR(32)04334 - Entertainers and Performers, Sports and Related Workers
CHR(32)CHR(32)CHR(32)04335 - Media and Communication Workers
CHR(32)CHR(32)CHR(32)04336 - Media and Communication Equipment Workers
CHR(32)CHR(32)CHR(32)04337 - Health Diagnosing and Treating Practitioners
CHR(32)CHR(32)CHR(32)04338 - Health Technologists and Technicians
CHR(32)CHR(32)CHR(32)04339 - Other Healthcare Practitioners and Technical Occupations
CHR(32)CHR(32)CHR(32)04340 - Nursing, Psychiatric, and Home Health Aides
CHR(32)CHR(32)CHR(32)04341 - Occupational and Physical Therapist Assistants and Aides
CHR(32)CHR(32)CHR(32)04342 - Other Healthcare Support Occupations
CHR(32)CHR(32)CHR(32)04343 - First-Line Supervisors/Managers, Protective Service Workers
CHR(32)CHR(32)CHR(32)04344 - Fire Fighting and Prevention Workers
CHR(32)CHR(32)CHR(32)04345 - Law Enforcement Workers
CHR(32)CHR(32)CHR(32)04346 - Other Protective Service Workers
CHR(32)CHR(32)CHR(32)04347 - Supervisors, Food Preparation and Serving Workers
CHR(32)CHR(32)CHR(32)04348 - Cooks and Food Preparation Workers
CHR(32)CHR(32)CHR(32)04349 - Food and Beverage Serving Workers
CHR(32)CHR(32)CHR(32)04350 - Other Food Preparation and Serving Related Workers
CHR(32)CHR(32)CHR(32)04351 - Supervisors, Building and Grounds Cleaning and Maintenance Workers
CHR(32)CHR(32)CHR(32)04352 - Building Cleaning and Pest Control Workers
CHR(32)CHR(32)CHR(32)04353 - Grounds Maintenance Workers
CHR(32)CHR(32)CHR(32)04354 - Supervisors, Personal Care and Service Workers
CHR(32)CHR(32)CHR(32)04355 - Animal Care and Service Workers
CHR(32)CHR(32)CHR(32)04356 - Entertainment Attendants and Related Workers
CHR(32)CHR(32)CHR(32)04357 - Funeral Service Workers
CHR(32)CHR(32)CHR(32)04358 - Personal Appearance Workers
CHR(32)CHR(32)CHR(32)04359 - Transportation, Tourism, and Lodging Attendants
CHR(32)CHR(32)CHR(32)04360 - Other Personal Care and Service Workers
CHR(32)CHR(32)CHR(32)04361 - Supervisors, Sales Workers
CHR(32)CHR(32)CHR(32)04362 - Retail Sales Workers
CHR(32)CHR(32)CHR(32)04363 - Sales Representatives, Services
CHR(32)CHR(32)CHR(32)04364 - Sales Representatives, Wholesale and Manufacturing
CHR(32)CHR(32)CHR(32)04365 - Other Sales and Related Workers
CHR(32)CHR(32)CHR(32)04366 - Supervisors, Office and Administrative Support Workers
CHR(32)CHR(32)CHR(32)04367 - Communications Equipment Operators
CHR(32)CHR(32)CHR(32)04368 - Financial Clerks
CHR(32)CHR(32)CHR(32)04369 - Information and Record Clerks
CHR(32)CHR(32)CHR(32)04370 - Material Recording, Scheduling, Dispatching, and Distributing Workers
CHR(32)CHR(32)CHR(32)04371 - Secretaries and Administrative Assistants
CHR(32)CHR(32)CHR(32)04372 - Other Office and Administrative Support Workers
CHR(32)CHR(32)CHR(32)04373 - Supervisors, Farming, Fishing, and Forestry Workers
CHR(32)CHR(32)CHR(32)04374 - Agricultural Workers
CHR(32)CHR(32)CHR(32)04375 - Fishing and Hunting Workers
CHR(32)CHR(32)CHR(32)04376 - Forest, Conservation, and Logging Workers
CHR(32)CHR(32)CHR(32)04377 - Supervisors, Construction and Extraction Workers
CHR(32)CHR(32)CHR(32)04378 - Construction Trades Workers
CHR(32)CHR(32)CHR(32)04379 - Helpers, Construction Trades
CHR(32)CHR(32)CHR(32)04380 - Other Construction and Related Workers
CHR(32)CHR(32)CHR(32)04381 - Extraction Workers
CHR(32)CHR(32)CHR(32)04382 - Supervisors of Installation, Maintenance, and Repair Workers
CHR(32)CHR(32)CHR(32)04383 - Electrical and Electronic Equipment Mechanics, Installers, and Repairers
CHR(32)CHR(32)CHR(32)04384 - Vehicle and Mobile Equipment Mechanics, Installers, and Repairers
CHR(32)CHR(32)CHR(32)04385 - Other Installation, Maintenance, and Repair Occupations
CHR(32)CHR(32)CHR(32)04386 - Supervisors, Production Workers
CHR(32)CHR(32)CHR(32)04387 - Assemblers and Fabricators
CHR(32)CHR(32)CHR(32)04388 - Food Processing Workers
CHR(32)CHR(32)CHR(32)04389 - Metal Workers and Plastic Workers
CHR(32)CHR(32)CHR(32)04390 - Printing Workers
CHR(32)CHR(32)CHR(32)04391 - Textile, Apparel, and Furnishings Workers
CHR(32)CHR(32)CHR(32)04392 - Woodworkers
CHR(32)CHR(32)CHR(32)04393 - Plant and System Operators
CHR(32)CHR(32)CHR(32)04394 - Other Production Occupations
CHR(32)CHR(32)CHR(32)04395 - Supervisors, Transportation and Material Moving Workers
CHR(32)CHR(32)CHR(32)04396 - Air Transportation Workers
CHR(32)CHR(32)CHR(32)04397 - Motor Vehicle Operators
CHR(32)CHR(32)CHR(32)04398 - Rail Transportation Workers
CHR(32)CHR(32)CHR(32)04399 - Water Transportation Workers
CHR(32)CHR(32)CHR(32)04400 - Other Transportation Workers
CHR(32)CHR(32)CHR(32)04401 - Material Moving Workers
CHR(32)CHR(32)CHR(32)04402 - Military Officer Special and Tactical Operations Leaders/Managers
CHR(32)CHR(32)CHR(32)04403 - First-Line Enlisted Military Supervisor/Managers
CHR(32)CHR(32)CHR(32)04404 - Military Enlisted Tactical Operations and Air/Weapons Specialists and Crew Members
CHR(32)CHR(32)CHR(32)09999 - Other
</t>
  </si>
  <si>
    <t xml:space="preserve">CTE Representation Status
CHR(32)CHR(32)CHR(32)14554 - Members of an underrepresented gender group
CHR(32)CHR(32)CHR(32)14555 - Not members of an underrepresented gender group
</t>
  </si>
  <si>
    <t xml:space="preserve">Catalog of Federal Domestic Assistance (CFDA) Number
CHR(32)CHR(32)CHR(32)06088 - 93.995
CHR(32)CHR(32)CHR(32)06089 - 94.006
CHR(32)CHR(32)CHR(32)06090 - 23.002
CHR(32)CHR(32)CHR(32)06091 - 10.558
CHR(32)CHR(32)CHR(32)06092 - 93.645
CHR(32)CHR(32)CHR(32)06093 - 84.304
CHR(32)CHR(32)CHR(32)06094 - 10.225
CHR(32)CHR(32)CHR(32)06095 - 93.104
CHR(32)CHR(32)CHR(32)06096 - 93.229
CHR(32)CHR(32)CHR(32)06097 - 84.196
CHR(32)CHR(32)CHR(32)06098 - 93.557
CHR(32)CHR(32)CHR(32)06099 - 84.258
CHR(32)CHR(32)CHR(32)06100 - 84.214
CHR(32)CHR(32)CHR(32)06101 - 84.213
CHR(32)CHR(32)CHR(32)06102 - 27.005
CHR(32)CHR(32)CHR(32)06103 - 27.006
CHR(32)CHR(32)CHR(32)06104 - 93.658
CHR(32)CHR(32)CHR(32)06105 - 16.544
CHR(32)CHR(32)CHR(32)06106 - 93.600
CHR(32)CHR(32)CHR(32)06107 - 84.169
CHR(32)CHR(32)CHR(32)06108 - 15.043
CHR(32)CHR(32)CHR(32)06109 - 15.144
CHR(32)CHR(32)CHR(32)06110 - 84.060
CHR(32)CHR(32)CHR(32)06111 - 16.540
CHR(32)CHR(32)CHR(32)06112 - 16.726
CHR(32)CHR(32)CHR(32)06113 - 94.004
CHR(32)CHR(32)CHR(32)06114 - 84.165
CHR(32)CHR(32)CHR(32)06115 - 93.778
CHR(32)CHR(32)CHR(32)06116 - 84.011
CHR(32)CHR(32)CHR(32)06117 - 10.555
CHR(32)CHR(32)CHR(32)06118 - 84.357
CHR(32)CHR(32)CHR(32)06119 - 84.126
CHR(32)CHR(32)CHR(32)06120 - 84.186
CHR(32)CHR(32)CHR(32)06121 - 10.553
CHR(32)CHR(32)CHR(32)06122 - 84.325
CHR(32)CHR(32)CHR(32)06123 - 84.173
CHR(32)CHR(32)CHR(32)06124 - 84.027
CHR(32)CHR(32)CHR(32)06125 - 10.556
CHR(32)CHR(32)CHR(32)06126 - 10.557
CHR(32)CHR(32)CHR(32)06127 - 93.767
CHR(32)CHR(32)CHR(32)06128 - 10.559
CHR(32)CHR(32)CHR(32)06129 - 84.243
CHR(32)CHR(32)CHR(32)06130 - 84.010
CHR(32)CHR(32)CHR(32)06131 - 84.013
CHR(32)CHR(32)CHR(32)06132 - 16.731
CHR(32)CHR(32)CHR(32)06133 - 84.287
CHR(32)CHR(32)CHR(32)06134 - 84.047
CHR(32)CHR(32)CHR(32)06135 - 84.048
CHR(32)CHR(32)CHR(32)06136 - 84.101
CHR(32)CHR(32)CHR(32)06137 - 84.083
CHR(32)CHR(32)CHR(32)06138 - 84.002
CHR(32)CHR(32)CHR(32)06139 - 84.004
CHR(32)CHR(32)CHR(32)06140 - 84.007
CHR(32)CHR(32)CHR(32)06141 - 84.015
CHR(32)CHR(32)CHR(32)06142 - 84.016
CHR(32)CHR(32)CHR(32)06143 - 84.017
CHR(32)CHR(32)CHR(32)06144 - 84.018
CHR(32)CHR(32)CHR(32)06145 - 84.019
CHR(32)CHR(32)CHR(32)06146 - 84.021
CHR(32)CHR(32)CHR(32)06147 - 84.022
CHR(32)CHR(32)CHR(32)06148 - 84.031
CHR(32)CHR(32)CHR(32)06149 - 84.032
CHR(32)CHR(32)CHR(32)06150 - 84.033
CHR(32)CHR(32)CHR(32)06151 - 84.037
CHR(32)CHR(32)CHR(32)06152 - 84.038
CHR(32)CHR(32)CHR(32)06153 - 84.040
CHR(32)CHR(32)CHR(32)06154 - 84.041
CHR(32)CHR(32)CHR(32)06155 - 84.042
CHR(32)CHR(32)CHR(32)06156 - 84.044
CHR(32)CHR(32)CHR(32)06157 - 84.051
CHR(32)CHR(32)CHR(32)06158 - 84.063
CHR(32)CHR(32)CHR(32)06159 - 84.066
CHR(32)CHR(32)CHR(32)06160 - 84.069
CHR(32)CHR(32)CHR(32)06161 - 84.103
CHR(32)CHR(32)CHR(32)06162 - 84.116
CHR(32)CHR(32)CHR(32)06163 - 84.120
CHR(32)CHR(32)CHR(32)06164 - 84.128
CHR(32)CHR(32)CHR(32)06165 - 84.129
CHR(32)CHR(32)CHR(32)06166 - 84.132
CHR(32)CHR(32)CHR(32)06167 - 84.133
CHR(32)CHR(32)CHR(32)06168 - 84.141
CHR(32)CHR(32)CHR(32)06169 - 84.144
CHR(32)CHR(32)CHR(32)06170 - 84.145
CHR(32)CHR(32)CHR(32)06171 - 84.149
CHR(32)CHR(32)CHR(32)06172 - 84.153
CHR(32)CHR(32)CHR(32)06173 - 84.160
CHR(32)CHR(32)CHR(32)06174 - 84.161
CHR(32)CHR(32)CHR(32)06175 - 84.170
CHR(32)CHR(32)CHR(32)06176 - 84.177
CHR(32)CHR(32)CHR(32)06177 - 84.181
CHR(32)CHR(32)CHR(32)06178 - 84.184
CHR(32)CHR(32)CHR(32)06179 - 84.185
CHR(32)CHR(32)CHR(32)06180 - 84.187
CHR(32)CHR(32)CHR(32)06181 - 84.191
CHR(32)CHR(32)CHR(32)06182 - 84.200
CHR(32)CHR(32)CHR(32)06183 - 84.203
CHR(32)CHR(32)CHR(32)06184 - 84.206
CHR(32)CHR(32)CHR(32)06185 - 84.215
CHR(32)CHR(32)CHR(32)06186 - 84.217
CHR(32)CHR(32)CHR(32)06187 - 84.220
CHR(32)CHR(32)CHR(32)06188 - 84.224
CHR(32)CHR(32)CHR(32)06189 - 84.229
CHR(32)CHR(32)CHR(32)06190 - 84.234
CHR(32)CHR(32)CHR(32)06191 - 84.235
CHR(32)CHR(32)CHR(32)06192 - 84.240
CHR(32)CHR(32)CHR(32)06193 - 84.245
CHR(32)CHR(32)CHR(32)06194 - 84.246
CHR(32)CHR(32)CHR(32)06195 - 84.250
CHR(32)CHR(32)CHR(32)06196 - 84.255
CHR(32)CHR(32)CHR(32)06197 - 84.256
CHR(32)CHR(32)CHR(32)06198 - 84.257
CHR(32)CHR(32)CHR(32)06199 - 84.259
CHR(32)CHR(32)CHR(32)06200 - 84.263
CHR(32)CHR(32)CHR(32)06201 - 84.264
CHR(32)CHR(32)CHR(32)06202 - 84.265
CHR(32)CHR(32)CHR(32)06203 - 84.268
CHR(32)CHR(32)CHR(32)06204 - 84.269
CHR(32)CHR(32)CHR(32)06205 - 84.274
CHR(32)CHR(32)CHR(32)06206 - 84.275
CHR(32)CHR(32)CHR(32)06207 - 84.282
CHR(32)CHR(32)CHR(32)06208 - 84.283
CHR(32)CHR(32)CHR(32)06209 - 84.286
CHR(32)CHR(32)CHR(32)06210 - 84.293
CHR(32)CHR(32)CHR(32)06211 - 84.295
CHR(32)CHR(32)CHR(32)06212 - 84.298
CHR(32)CHR(32)CHR(32)06213 - 84.305
CHR(32)CHR(32)CHR(32)06214 - 84.310
CHR(32)CHR(32)CHR(32)06215 - 84.315
CHR(32)CHR(32)CHR(32)06216 - 84.318
CHR(32)CHR(32)CHR(32)06217 - 84.323
CHR(32)CHR(32)CHR(32)06218 - 84.324
CHR(32)CHR(32)CHR(32)06219 - 84.326
CHR(32)CHR(32)CHR(32)06220 - 84.327
CHR(32)CHR(32)CHR(32)06221 - 84.328
CHR(32)CHR(32)CHR(32)06222 - 84.329
CHR(32)CHR(32)CHR(32)06223 - 84.330
CHR(32)CHR(32)CHR(32)06224 - 84.331
CHR(32)CHR(32)CHR(32)06225 - 84.332
CHR(32)CHR(32)CHR(32)06226 - 84.333
CHR(32)CHR(32)CHR(32)06227 - 84.334
CHR(32)CHR(32)CHR(32)06228 - 84.335
CHR(32)CHR(32)CHR(32)06229 - 84.336
CHR(32)CHR(32)CHR(32)06230 - 84.337
CHR(32)CHR(32)CHR(32)06231 - 84.341
CHR(32)CHR(32)CHR(32)06232 - 84.343
CHR(32)CHR(32)CHR(32)06233 - 84.344
CHR(32)CHR(32)CHR(32)06234 - 84.345
CHR(32)CHR(32)CHR(32)06235 - 84.346
CHR(32)CHR(32)CHR(32)06236 - 84.349
CHR(32)CHR(32)CHR(32)06237 - 84.350
CHR(32)CHR(32)CHR(32)06238 - 84.351
CHR(32)CHR(32)CHR(32)06239 - 84.353
CHR(32)CHR(32)CHR(32)06240 - 84.354
CHR(32)CHR(32)CHR(32)06241 - 84.356
CHR(32)CHR(32)CHR(32)06242 - 84.358
CHR(32)CHR(32)CHR(32)06243 - 84.359
CHR(32)CHR(32)CHR(32)06244 - 84.360
CHR(32)CHR(32)CHR(32)06245 - 84.361
CHR(32)CHR(32)CHR(32)06246 - 84.362
CHR(32)CHR(32)CHR(32)06247 - 84.363
CHR(32)CHR(32)CHR(32)06248 - 84.364
CHR(32)CHR(32)CHR(32)06249 - 84.365
CHR(32)CHR(32)CHR(32)06250 - 84.366
CHR(32)CHR(32)CHR(32)06251 - 84.367
CHR(32)CHR(32)CHR(32)06252 - 84.369
CHR(32)CHR(32)CHR(32)06253 - 84.370
CHR(32)CHR(32)CHR(32)06254 - 84.371
CHR(32)CHR(32)CHR(32)06255 - 84.372
CHR(32)CHR(32)CHR(32)06256 - 84.373
CHR(32)CHR(32)CHR(32)06257 - 84.374
CHR(32)CHR(32)CHR(32)06258 - 84.375
CHR(32)CHR(32)CHR(32)06259 - 84.376
CHR(32)CHR(32)CHR(32)06260 - 84.938
CHR(32)CHR(32)CHR(32)09999 - Other
</t>
  </si>
  <si>
    <t xml:space="preserve">Developmental Delay
CHR(32)CHR(32)CHR(32)05987 - Cognitive development delay
CHR(32)CHR(32)CHR(32)05988 - Physical development delay
CHR(32)CHR(32)CHR(32)05989 - Communication development delay
CHR(32)CHR(32)CHR(32)05990 - Social or emotional development delay
CHR(32)CHR(32)CHR(32)05991 - Adaptive development delay
CHR(32)CHR(32)CHR(32)05992 - No delay, needs follow-up
CHR(32)CHR(32)CHR(32)09998 - None
CHR(32)CHR(32)CHR(32)09999 - Other
CHR(32)CHR(32)CHR(32)14575 - Carnegie Units
CHR(32)CHR(32)CHR(32)14576 - No delay detected
CHR(32)CHR(32)CHR(32)14577 - Established condition
CHR(32)CHR(32)CHR(32)14578 - At-risk of developing delay
</t>
  </si>
  <si>
    <t xml:space="preserve">Charter School Location Duration
CHR(32)CHR(32)CHR(32)13728 - Permanent
CHR(32)CHR(32)CHR(32)13729 - Temporary
</t>
  </si>
  <si>
    <t xml:space="preserve">Previous Children Serviced
CHR(32)CHR(32)CHR(32)02135 - Infants and Toddlers with Disabilities
CHR(32)CHR(32)CHR(32)06057 - Infants and toddlers without disabilities
CHR(32)CHR(32)CHR(32)06058 - Preschool children with disabilities
CHR(32)CHR(32)CHR(32)06059 - Preschool children without disabilities
CHR(32)CHR(32)CHR(32)06060 - Children in other age groups with disabilities
CHR(32)CHR(32)CHR(32)06061 - Children in other age groups without disabilities
CHR(32)CHR(32)CHR(32)09998 - None
CHR(32)CHR(32)CHR(32)09999 - Other
</t>
  </si>
  <si>
    <t xml:space="preserve">Class Attendance Status
CHR(32)CHR(32)CHR(32)01904 - Early departure
CHR(32)CHR(32)CHR(32)03451 - Absent
CHR(32)CHR(32)CHR(32)01900 - In attendance/present
CHR(32)CHR(32)CHR(32)01903 - Tardy
</t>
  </si>
  <si>
    <t xml:space="preserve">Attendance Status
CHR(32)CHR(32)CHR(32)01900 - In attendance/present
CHR(32)CHR(32)CHR(32)01901 - Excused absence
CHR(32)CHR(32)CHR(32)01902 - Unexcused absence
CHR(32)CHR(32)CHR(32)01903 - Tardy
CHR(32)CHR(32)CHR(32)01904 - Early departure
</t>
  </si>
  <si>
    <t xml:space="preserve">Class Organization
CHR(32)CHR(32)CHR(32)00580 - Departmentalized instruction
CHR(32)CHR(32)CHR(32)00581 - Self-contained class
CHR(32)CHR(32)CHR(32)00582 - Elementary enrichment class
CHR(32)CHR(32)CHR(32)00584 - Team-taught class
CHR(32)CHR(32)CHR(32)00003 - Pull-out class
CHR(32)CHR(32)CHR(32)00472 - Self-contained class (special education)
CHR(32)CHR(32)CHR(32)03170 - Ability group class
</t>
  </si>
  <si>
    <t xml:space="preserve">Class Pace
CHR(32)CHR(32)CHR(32)01860 - Self-paced
CHR(32)CHR(32)CHR(32)03483 - Controlled paced
CHR(32)CHR(32)CHR(32)03484 - Combination of self-paced and control paced
</t>
  </si>
  <si>
    <t xml:space="preserve">Co-educational Status
CHR(32)CHR(32)CHR(32)00016 - Co-educational
CHR(32)CHR(32)CHR(32)00017 - All-female
CHR(32)CHR(32)CHR(32)00018 - All-male
</t>
  </si>
  <si>
    <t xml:space="preserve">Collaborative Assignment
CHR(32)CHR(32)CHR(32)07699 - Collaborative assignment
CHR(32)CHR(32)CHR(32)07700 - Independent assignment
CHR(32)CHR(32)CHR(32)07701 - Both collaborative and independent
</t>
  </si>
  <si>
    <t xml:space="preserve">Community Services Program
CHR(32)CHR(32)CHR(32)04946 - Civic services
CHR(32)CHR(32)CHR(32)04947 - Community recreation
CHR(32)CHR(32)CHR(32)04948 - Coordination of casework
CHR(32)CHR(32)CHR(32)04949 - Custody and child care services
CHR(32)CHR(32)CHR(32)04950 - Public library services
CHR(32)CHR(32)CHR(32)04951 - Welfare activities
CHR(32)CHR(32)CHR(32)04952 - Other community services
CHR(32)CHR(32)CHR(32)09999 - Other
</t>
  </si>
  <si>
    <t xml:space="preserve">Hardware
CHR(32)CHR(32)CHR(32)03177 - Monitor
CHR(32)CHR(32)CHR(32)03231 - Keyboard
CHR(32)CHR(32)CHR(32)03232 - Mouse
CHR(32)CHR(32)CHR(32)03233 - Speakers
CHR(32)CHR(32)CHR(32)03234 - Modem
CHR(32)CHR(32)CHR(32)03235 - Wireless router
CHR(32)CHR(32)CHR(32)03236 - External storage drive
CHR(32)CHR(32)CHR(32)03237 - PDA port
</t>
  </si>
  <si>
    <t xml:space="preserve">Computer Operating System
CHR(32)CHR(32)CHR(32)03216 - Linux/variants
CHR(32)CHR(32)CHR(32)03430 - Macintosh System 6
CHR(32)CHR(32)CHR(32)03431 - Macintosh System 7
CHR(32)CHR(32)CHR(32)03217 - Mac OS 8
CHR(32)CHR(32)CHR(32)03432 - Mac OS 9
CHR(32)CHR(32)CHR(32)03433 - Mac OS X
CHR(32)CHR(32)CHR(32)03427 - Mac OS X v10.2 Jaguar
CHR(32)CHR(32)CHR(32)03428 - Mac OS X v10.3 Panther
CHR(32)CHR(32)CHR(32)03429 - Mac OS X v10.4 Tiger
CHR(32)CHR(32)CHR(32)03218 - MS-DOS
CHR(32)CHR(32)CHR(32)03219 - IBM OS/2 Warp
CHR(32)CHR(32)CHR(32)03220 - UNIX / variants
CHR(32)CHR(32)CHR(32)03221 - Windows CE
CHR(32)CHR(32)CHR(32)03222 - Windows 3.x
CHR(32)CHR(32)CHR(32)03223 - Windows 95
CHR(32)CHR(32)CHR(32)03224 - Windows 98
CHR(32)CHR(32)CHR(32)03445 - Windows 98 SE
CHR(32)CHR(32)CHR(32)03226 - Windows ME
CHR(32)CHR(32)CHR(32)03227 - Windows NT
CHR(32)CHR(32)CHR(32)03228 - Windows 2000
CHR(32)CHR(32)CHR(32)03225 - Windows Server 2003
CHR(32)CHR(32)CHR(32)03229 - Windows XP
</t>
  </si>
  <si>
    <t xml:space="preserve">Contractual Term
CHR(32)CHR(32)CHR(32)01439 - Short-term
CHR(32)CHR(32)CHR(32)00410 - Annual year
CHR(32)CHR(32)CHR(32)01440 - Continuing
CHR(32)CHR(32)CHR(32)01441 - Renewable
CHR(32)CHR(32)CHR(32)01442 - Multiyear
CHR(32)CHR(32)CHR(32)09999 - Other
</t>
  </si>
  <si>
    <t xml:space="preserve">List of Countries and Codes
CHR(32)CHR(32)CHR(32)03580 - AF
CHR(32)CHR(32)CHR(32)03581 - AX
CHR(32)CHR(32)CHR(32)03582 - AL
CHR(32)CHR(32)CHR(32)03583 - DZ
CHR(32)CHR(32)CHR(32)03402 - AS
CHR(32)CHR(32)CHR(32)03585 - AD
CHR(32)CHR(32)CHR(32)03586 - AO
CHR(32)CHR(32)CHR(32)03587 - AI
CHR(32)CHR(32)CHR(32)03588 - AQ
CHR(32)CHR(32)CHR(32)03589 - AG
CHR(32)CHR(32)CHR(32)03590 - AR
CHR(32)CHR(32)CHR(32)03591 - AM
CHR(32)CHR(32)CHR(32)03592 - AW
CHR(32)CHR(32)CHR(32)03593 - AU
CHR(32)CHR(32)CHR(32)03594 - AT
CHR(32)CHR(32)CHR(32)03595 - AZ
CHR(32)CHR(32)CHR(32)03596 - BS
CHR(32)CHR(32)CHR(32)03597 - BH
CHR(32)CHR(32)CHR(32)03598 - BD
CHR(32)CHR(32)CHR(32)03599 - BB
CHR(32)CHR(32)CHR(32)03600 - BY
CHR(32)CHR(32)CHR(32)03601 - BE
CHR(32)CHR(32)CHR(32)03602 - BZ
CHR(32)CHR(32)CHR(32)03603 - BJ
CHR(32)CHR(32)CHR(32)03604 - BM
CHR(32)CHR(32)CHR(32)03605 - BT
CHR(32)CHR(32)CHR(32)03606 - BO
CHR(32)CHR(32)CHR(32)03607 - BA
CHR(32)CHR(32)CHR(32)03608 - BW
CHR(32)CHR(32)CHR(32)03609 - BV
CHR(32)CHR(32)CHR(32)03610 - BR
CHR(32)CHR(32)CHR(32)03611 - IO
CHR(32)CHR(32)CHR(32)03612 - BN
CHR(32)CHR(32)CHR(32)03613 - BG
CHR(32)CHR(32)CHR(32)03614 - BF
CHR(32)CHR(32)CHR(32)03615 - BI
CHR(32)CHR(32)CHR(32)03616 - KH
CHR(32)CHR(32)CHR(32)03617 - CM
CHR(32)CHR(32)CHR(32)03618 - CA
CHR(32)CHR(32)CHR(32)03619 - CV
CHR(32)CHR(32)CHR(32)03620 - KY
CHR(32)CHR(32)CHR(32)03621 - CF
CHR(32)CHR(32)CHR(32)03622 - TD
CHR(32)CHR(32)CHR(32)03623 - CL
CHR(32)CHR(32)CHR(32)03624 - CN
CHR(32)CHR(32)CHR(32)03625 - CX
CHR(32)CHR(32)CHR(32)03626 - CC
CHR(32)CHR(32)CHR(32)03627 - CO
CHR(32)CHR(32)CHR(32)03628 - KM
CHR(32)CHR(32)CHR(32)03629 - CG
CHR(32)CHR(32)CHR(32)03630 - CD
CHR(32)CHR(32)CHR(32)03631 - CK
CHR(32)CHR(32)CHR(32)03632 - CR
CHR(32)CHR(32)CHR(32)03633 - CI
CHR(32)CHR(32)CHR(32)03634 - HR
CHR(32)CHR(32)CHR(32)03635 - CU
CHR(32)CHR(32)CHR(32)03636 - CY
CHR(32)CHR(32)CHR(32)03637 - CZ
CHR(32)CHR(32)CHR(32)03638 - DK
CHR(32)CHR(32)CHR(32)03639 - DJ
CHR(32)CHR(32)CHR(32)03640 - DM
CHR(32)CHR(32)CHR(32)03641 - DO
CHR(32)CHR(32)CHR(32)03642 - EC
CHR(32)CHR(32)CHR(32)03643 - EG
CHR(32)CHR(32)CHR(32)03644 - SV
CHR(32)CHR(32)CHR(32)03645 - GQ
CHR(32)CHR(32)CHR(32)03646 - ER
CHR(32)CHR(32)CHR(32)03647 - EE
CHR(32)CHR(32)CHR(32)03648 - ET
CHR(32)CHR(32)CHR(32)03649 - FK
CHR(32)CHR(32)CHR(32)03650 - FO
CHR(32)CHR(32)CHR(32)03651 - FJ
CHR(32)CHR(32)CHR(32)03652 - FI
CHR(32)CHR(32)CHR(32)03653 - FR
CHR(32)CHR(32)CHR(32)03654 - GF
CHR(32)CHR(32)CHR(32)03655 - PF
CHR(32)CHR(32)CHR(32)03656 - TF
CHR(32)CHR(32)CHR(32)03657 - GA
CHR(32)CHR(32)CHR(32)03658 - GM
CHR(32)CHR(32)CHR(32)03659 - GE
CHR(32)CHR(32)CHR(32)03660 - DE
CHR(32)CHR(32)CHR(32)03661 - GH
CHR(32)CHR(32)CHR(32)03662 - GI
CHR(32)CHR(32)CHR(32)03663 - GR
CHR(32)CHR(32)CHR(32)03664 - GL
CHR(32)CHR(32)CHR(32)03665 - GD
CHR(32)CHR(32)CHR(32)03666 - GP
CHR(32)CHR(32)CHR(32)03403 - GU
CHR(32)CHR(32)CHR(32)03668 - GT
CHR(32)CHR(32)CHR(32)03669 - GG
CHR(32)CHR(32)CHR(32)03670 - GN
CHR(32)CHR(32)CHR(32)03671 - GW
CHR(32)CHR(32)CHR(32)03672 - GY
CHR(32)CHR(32)CHR(32)03673 - HT
CHR(32)CHR(32)CHR(32)03674 - HM
CHR(32)CHR(32)CHR(32)03675 - VA
CHR(32)CHR(32)CHR(32)03676 - HN
CHR(32)CHR(32)CHR(32)03677 - HK
CHR(32)CHR(32)CHR(32)03678 - HU
CHR(32)CHR(32)CHR(32)03679 - IS
CHR(32)CHR(32)CHR(32)03680 - IN
CHR(32)CHR(32)CHR(32)03681 - ID
CHR(32)CHR(32)CHR(32)03682 - IR
CHR(32)CHR(32)CHR(32)03683 - IQ
CHR(32)CHR(32)CHR(32)03684 - IE
CHR(32)CHR(32)CHR(32)03685 - IM
CHR(32)CHR(32)CHR(32)03686 - IL
CHR(32)CHR(32)CHR(32)03687 - IT
CHR(32)CHR(32)CHR(32)03688 - JM
CHR(32)CHR(32)CHR(32)03689 - JP
CHR(32)CHR(32)CHR(32)03690 - JE
CHR(32)CHR(32)CHR(32)03691 - JO
CHR(32)CHR(32)CHR(32)03692 - KZ
CHR(32)CHR(32)CHR(32)03693 - KE
CHR(32)CHR(32)CHR(32)03694 - KI
CHR(32)CHR(32)CHR(32)03695 - KP
CHR(32)CHR(32)CHR(32)03696 - KR
CHR(32)CHR(32)CHR(32)03697 - KW
CHR(32)CHR(32)CHR(32)03698 - KG
CHR(32)CHR(32)CHR(32)03699 - LA
CHR(32)CHR(32)CHR(32)03700 - LV
CHR(32)CHR(32)CHR(32)03701 - LB
CHR(32)CHR(32)CHR(32)03702 - LS
CHR(32)CHR(32)CHR(32)03703 - LR
CHR(32)CHR(32)CHR(32)03704 - LY
CHR(32)CHR(32)CHR(32)03705 - LI
CHR(32)CHR(32)CHR(32)03706 - LT
CHR(32)CHR(32)CHR(32)03707 - LU
CHR(32)CHR(32)CHR(32)03708 - MO
CHR(32)CHR(32)CHR(32)03709 - MK
CHR(32)CHR(32)CHR(32)03710 - MG
CHR(32)CHR(32)CHR(32)03711 - MW
CHR(32)CHR(32)CHR(32)03712 - MY
CHR(32)CHR(32)CHR(32)03713 - MV
CHR(32)CHR(32)CHR(32)03714 - ML
CHR(32)CHR(32)CHR(32)03715 - MT
CHR(32)CHR(32)CHR(32)03716 - MH
CHR(32)CHR(32)CHR(32)03717 - MQ
CHR(32)CHR(32)CHR(32)03718 - MR
CHR(32)CHR(32)CHR(32)03719 - MU
CHR(32)CHR(32)CHR(32)03720 - YT
CHR(32)CHR(32)CHR(32)03721 - MX
CHR(32)CHR(32)CHR(32)03722 - FM
CHR(32)CHR(32)CHR(32)03723 - MD
CHR(32)CHR(32)CHR(32)03724 - MC
CHR(32)CHR(32)CHR(32)03725 - MN
CHR(32)CHR(32)CHR(32)03726 - ME
CHR(32)CHR(32)CHR(32)03727 - MS
CHR(32)CHR(32)CHR(32)03728 - MA
CHR(32)CHR(32)CHR(32)03729 - MZ
CHR(32)CHR(32)CHR(32)03730 - MM
CHR(32)CHR(32)CHR(32)03731 - NA
CHR(32)CHR(32)CHR(32)03732 - NR
CHR(32)CHR(32)CHR(32)03733 - NP
CHR(32)CHR(32)CHR(32)03734 - NL
CHR(32)CHR(32)CHR(32)03735 - AN
CHR(32)CHR(32)CHR(32)03736 - NC
CHR(32)CHR(32)CHR(32)03737 - NZ
CHR(32)CHR(32)CHR(32)03738 - NI
CHR(32)CHR(32)CHR(32)03739 - NE
CHR(32)CHR(32)CHR(32)03740 - NG
CHR(32)CHR(32)CHR(32)03741 - NU
CHR(32)CHR(32)CHR(32)03742 - NF
CHR(32)CHR(32)CHR(32)03743 - MP
CHR(32)CHR(32)CHR(32)03744 - NO
CHR(32)CHR(32)CHR(32)03745 - OM
CHR(32)CHR(32)CHR(32)03746 - PK
CHR(32)CHR(32)CHR(32)03747 - PW
CHR(32)CHR(32)CHR(32)03748 - PS
CHR(32)CHR(32)CHR(32)03749 - PA
CHR(32)CHR(32)CHR(32)03750 - PG
CHR(32)CHR(32)CHR(32)03751 - PY
CHR(32)CHR(32)CHR(32)03752 - PE
CHR(32)CHR(32)CHR(32)03753 - PH
CHR(32)CHR(32)CHR(32)03754 - PN
CHR(32)CHR(32)CHR(32)03755 - PL
CHR(32)CHR(32)CHR(32)03756 - PT
CHR(32)CHR(32)CHR(32)03405 - PR
CHR(32)CHR(32)CHR(32)03758 - QA
CHR(32)CHR(32)CHR(32)03759 - RE
CHR(32)CHR(32)CHR(32)03760 - RO
CHR(32)CHR(32)CHR(32)03761 - RU
CHR(32)CHR(32)CHR(32)03762 - RW
CHR(32)CHR(32)CHR(32)03763 - SH
CHR(32)CHR(32)CHR(32)03764 - KN
CHR(32)CHR(32)CHR(32)03765 - LC
CHR(32)CHR(32)CHR(32)03766 - PM
CHR(32)CHR(32)CHR(32)03767 - VC
CHR(32)CHR(32)CHR(32)03768 - WS
CHR(32)CHR(32)CHR(32)03769 - SM
CHR(32)CHR(32)CHR(32)03770 - ST
CHR(32)CHR(32)CHR(32)03771 - SA
CHR(32)CHR(32)CHR(32)03772 - SN
CHR(32)CHR(32)CHR(32)03773 - RS
CHR(32)CHR(32)CHR(32)03774 - SC
CHR(32)CHR(32)CHR(32)03775 - SL
CHR(32)CHR(32)CHR(32)03776 - SG
CHR(32)CHR(32)CHR(32)03777 - SK
CHR(32)CHR(32)CHR(32)03778 - SI
CHR(32)CHR(32)CHR(32)03779 - SB
CHR(32)CHR(32)CHR(32)03780 - SO
CHR(32)CHR(32)CHR(32)03781 - ZA
CHR(32)CHR(32)CHR(32)03782 - GS
CHR(32)CHR(32)CHR(32)03783 - ES
CHR(32)CHR(32)CHR(32)03784 - LK
CHR(32)CHR(32)CHR(32)03785 - SD
CHR(32)CHR(32)CHR(32)03786 - SR
CHR(32)CHR(32)CHR(32)03787 - SJ
CHR(32)CHR(32)CHR(32)03788 - SZ
CHR(32)CHR(32)CHR(32)03789 - SE
CHR(32)CHR(32)CHR(32)03790 - CH
CHR(32)CHR(32)CHR(32)03791 - SY
CHR(32)CHR(32)CHR(32)03792 - TW
CHR(32)CHR(32)CHR(32)03793 - TJ
CHR(32)CHR(32)CHR(32)03794 - TZ
CHR(32)CHR(32)CHR(32)03795 - TH
CHR(32)CHR(32)CHR(32)03796 - TL
CHR(32)CHR(32)CHR(32)03797 - TG
CHR(32)CHR(32)CHR(32)03798 - TK
CHR(32)CHR(32)CHR(32)03799 - TO
CHR(32)CHR(32)CHR(32)03800 - TT
CHR(32)CHR(32)CHR(32)03801 - TN
CHR(32)CHR(32)CHR(32)03802 - TR
CHR(32)CHR(32)CHR(32)03803 - TM
CHR(32)CHR(32)CHR(32)03804 - TC
CHR(32)CHR(32)CHR(32)03805 - TV
CHR(32)CHR(32)CHR(32)03806 - UG
CHR(32)CHR(32)CHR(32)03807 - UA
CHR(32)CHR(32)CHR(32)03808 - AE
CHR(32)CHR(32)CHR(32)03809 - GB
CHR(32)CHR(32)CHR(32)03810 - US
CHR(32)CHR(32)CHR(32)03811 - UM
CHR(32)CHR(32)CHR(32)03812 - UY
CHR(32)CHR(32)CHR(32)03813 - UZ
CHR(32)CHR(32)CHR(32)03814 - VU
CHR(32)CHR(32)CHR(32)03815 - VE
CHR(32)CHR(32)CHR(32)03816 - VN
CHR(32)CHR(32)CHR(32)03817 - VI
CHR(32)CHR(32)CHR(32)03818 - WF
CHR(32)CHR(32)CHR(32)03819 - EH
CHR(32)CHR(32)CHR(32)03820 - YE
CHR(32)CHR(32)CHR(32)03821 - ZM
CHR(32)CHR(32)CHR(32)03822 - ZW
</t>
  </si>
  <si>
    <t xml:space="preserve">Coverage Type
CHR(32)CHR(32)CHR(32)14919 - Family Coverage
CHR(32)CHR(32)CHR(32)14920 - High option
CHR(32)CHR(32)CHR(32)14921 - Low option
CHR(32)CHR(32)CHR(32)01571 - Term life insurance
CHR(32)CHR(32)CHR(32)14922 - Whole life insurance
CHR(32)CHR(32)CHR(32)14923 - Dental Insurance
CHR(32)CHR(32)CHR(32)14924 - Health Insurance
CHR(32)CHR(32)CHR(32)14925 - Long term disability
</t>
  </si>
  <si>
    <t xml:space="preserve">Crafts and Trades Job Classification
CHR(32)CHR(32)CHR(32)04851 - Brick mason
CHR(32)CHR(32)CHR(32)04852 - Carpenter
CHR(32)CHR(32)CHR(32)04853 - Cement mason
CHR(32)CHR(32)CHR(32)04854 - Electrician
CHR(32)CHR(32)CHR(32)04855 - HVAC mechanic
CHR(32)CHR(32)CHR(32)04856 - Locksmith
CHR(32)CHR(32)CHR(32)04857 - Maintenance repairers/general utility
CHR(32)CHR(32)CHR(32)04858 - Painter and paperhanger
CHR(32)CHR(32)CHR(32)04859 - Plasterer
CHR(32)CHR(32)CHR(32)04860 - Plumber
CHR(32)CHR(32)CHR(32)04861 - Printer
CHR(32)CHR(32)CHR(32)04862 - Vehicle mechanic
CHR(32)CHR(32)CHR(32)09999 - Other
</t>
  </si>
  <si>
    <t xml:space="preserve">Credential Assessment Content
CHR(32)CHR(32)CHR(32)01285 - Basic mathematics
CHR(32)CHR(32)CHR(32)01286 - Basic reading
CHR(32)CHR(32)CHR(32)00565 - Spelling
CHR(32)CHR(32)CHR(32)01287 - Writing
CHR(32)CHR(32)CHR(32)01288 - Basic language arts
CHR(32)CHR(32)CHR(32)01289 - General knowledge
CHR(32)CHR(32)CHR(32)01290 - Credential subject matter
CHR(32)CHR(32)CHR(32)01291 - Knowledge of teaching/pedagogy
CHR(32)CHR(32)CHR(32)01292 - Technology/computer literacy
CHR(32)CHR(32)CHR(32)01293 - Teaching performance
CHR(32)CHR(32)CHR(32)01294 - Administrator knowledge
CHR(32)CHR(32)CHR(32)01295 - Administrator performance
CHR(32)CHR(32)CHR(32)09999 - Other
</t>
  </si>
  <si>
    <t xml:space="preserve">Credential Assessment Purpose
CHR(32)CHR(32)CHR(32)01276 - Initial credentialing
CHR(32)CHR(32)CHR(32)01277 - Continuation of credential
CHR(32)CHR(32)CHR(32)01278 - Renewal of credential
CHR(32)CHR(32)CHR(32)09999 - Other
</t>
  </si>
  <si>
    <t xml:space="preserve">Credential Renewal Requirement
CHR(32)CHR(32)CHR(32)01260 - Education hours completed
CHR(32)CHR(32)CHR(32)01261 - Degree completed
CHR(32)CHR(32)CHR(32)01262 - Fee payment
CHR(32)CHR(32)CHR(32)01245 - Practical experience
CHR(32)CHR(32)CHR(32)01246 - References
CHR(32)CHR(32)CHR(32)01265 - Background/security verification
CHR(32)CHR(32)CHR(32)01248 - Test/assessment
CHR(32)CHR(32)CHR(32)01249 - Completion of induction program
CHR(32)CHR(32)CHR(32)01250 - Completion of professional development plan
CHR(32)CHR(32)CHR(32)01251 - Professional development/in-service credits
CHR(32)CHR(32)CHR(32)01252 - Portfolio completed successfully
CHR(32)CHR(32)CHR(32)01271 - Advisor/mentor approval
CHR(32)CHR(32)CHR(32)01255 - Tuberculosis screening
CHR(32)CHR(32)CHR(32)01256 - Drug testing
CHR(32)CHR(32)CHR(32)01257 - Chest x-ray
CHR(32)CHR(32)CHR(32)01258 - Oath of allegiance
CHR(32)CHR(32)CHR(32)02307 - Recertification points received
CHR(32)CHR(32)CHR(32)01272 - Time on the job
CHR(32)CHR(32)CHR(32)01259 - Compliance with state tax laws
CHR(32)CHR(32)CHR(32)09998 - None
CHR(32)CHR(32)CHR(32)09999 - Other
</t>
  </si>
  <si>
    <t xml:space="preserve">Day/Evening Session
CHR(32)CHR(32)CHR(32)00838 - Day
CHR(32)CHR(32)CHR(32)00839 - Morning
CHR(32)CHR(32)CHR(32)00840 - Afternoon
CHR(32)CHR(32)CHR(32)00841 - Evening
CHR(32)CHR(32)CHR(32)00842 - Anytime
CHR(32)CHR(32)CHR(32)09999 - Other
</t>
  </si>
  <si>
    <t xml:space="preserve">Day/Evening Status
CHR(32)CHR(32)CHR(32)01856 - Day student
CHR(32)CHR(32)CHR(32)01857 - Morning student
CHR(32)CHR(32)CHR(32)01858 - Afternoon student
CHR(32)CHR(32)CHR(32)01859 - Evening student
CHR(32)CHR(32)CHR(32)01860 - Self-paced
CHR(32)CHR(32)CHR(32)09999 - Other
</t>
  </si>
  <si>
    <t xml:space="preserve">Debt Financing Type
CHR(32)CHR(32)CHR(32)02949 - General obligation bond
CHR(32)CHR(32)CHR(32)02950 - Municipal bond
CHR(32)CHR(32)CHR(32)02951 - Revenue bond
CHR(32)CHR(32)CHR(32)02952 - Certificates of participation
CHR(32)CHR(32)CHR(32)02953 - Tax increment financing
CHR(32)CHR(32)CHR(32)13713 - Advance refunding
CHR(32)CHR(32)CHR(32)13714 - Debt Defeasance
CHR(32)CHR(32)CHR(32)13715 - Installment financing
CHR(32)CHR(32)CHR(32)13716 - Mortgage
CHR(32)CHR(32)CHR(32)09999 - Other
</t>
  </si>
  <si>
    <t xml:space="preserve">EI Service Types
CHR(32)CHR(32)CHR(32)06014 - Assistive technology services and devices
CHR(32)CHR(32)CHR(32)06015 - Audiology services
CHR(32)CHR(32)CHR(32)14932 - Family training, counseling, and home visits
CHR(32)CHR(32)CHR(32)06016 - Health services
CHR(32)CHR(32)CHR(32)00262 - Medical services
CHR(32)CHR(32)CHR(32)00335 - Nursing service
CHR(32)CHR(32)CHR(32)00336 - Nutrition services
CHR(32)CHR(32)CHR(32)00309 - Occupational therapy
CHR(32)CHR(32)CHR(32)00313 - Physical therapy
CHR(32)CHR(32)CHR(32)00331 - Psychological services
CHR(32)CHR(32)CHR(32)00294 - Service coordination (case management services)
CHR(32)CHR(32)CHR(32)14933 - Sign language and cued language services
CHR(32)CHR(32)CHR(32)00337 - Social work services
CHR(32)CHR(32)CHR(32)06018 - Special instruction
CHR(32)CHR(32)CHR(32)00322 - Speech-language therapy
CHR(32)CHR(32)CHR(32)06019 - Transportation and related
CHR(32)CHR(32)CHR(32)00330 - Vision services
CHR(32)CHR(32)CHR(32)09999 - Other
</t>
  </si>
  <si>
    <t xml:space="preserve">Developmental Screening Results
CHR(32)CHR(32)CHR(32)14579 - Further evaluation needed
CHR(32)CHR(32)CHR(32)14580 - No further evaluation needed
</t>
  </si>
  <si>
    <t xml:space="preserve">Assessment Administration Method
CHR(32)CHR(32)CHR(32)00439 - Group
CHR(32)CHR(32)CHR(32)00440 - Individual
CHR(32)CHR(32)CHR(32)00441 - Both group and individual
</t>
  </si>
  <si>
    <t xml:space="preserve">Disability Severity
CHR(32)CHR(32)CHR(32)05997 - No problem
CHR(32)CHR(32)CHR(32)05998 - Mild problem
CHR(32)CHR(32)CHR(32)05999 - Moderate problem
CHR(32)CHR(32)CHR(32)06000 - Severe problem
CHR(32)CHR(32)CHR(32)06001 - Complete problem
CHR(32)CHR(32)CHR(32)06002 - Not specified
CHR(32)CHR(32)CHR(32)06003 - Not applicable
</t>
  </si>
  <si>
    <t xml:space="preserve">Discontinuing Schooling Reason
CHR(32)CHR(32)CHR(32)02154 - Academic difficulty
CHR(32)CHR(32)CHR(32)01933 - Behavioral difficulty
CHR(32)CHR(32)CHR(32)01934 - Dislike of school experience
CHR(32)CHR(32)CHR(32)01935 - Economic reasons
CHR(32)CHR(32)CHR(32)01936 - Employment
CHR(32)CHR(32)CHR(32)01937 - Entered criminal justice system
CHR(32)CHR(32)CHR(32)01938 - Failed required test
CHR(32)CHR(32)CHR(32)01939 - Lack of appropriate curriculum
CHR(32)CHR(32)CHR(32)01940 - Lack of childcare
CHR(32)CHR(32)CHR(32)01941 - Lack of transportation
CHR(32)CHR(32)CHR(32)01942 - Language difficulty
CHR(32)CHR(32)CHR(32)01943 - Marriage
CHR(32)CHR(32)CHR(32)01944 - Military reason
CHR(32)CHR(32)CHR(32)01945 - Needed at home
CHR(32)CHR(32)CHR(32)01946 - Parent/guardian influence
CHR(32)CHR(32)CHR(32)01947 - Poor relationships with fellow students
CHR(32)CHR(32)CHR(32)01948 - Poor student-staff relationships
CHR(32)CHR(32)CHR(32)01949 - Pregnancy
CHR(32)CHR(32)CHR(32)01950 - Religion reason
CHR(32)CHR(32)CHR(32)01951 - Substance abuse
CHR(32)CHR(32)CHR(32)01952 - Failed graduation examination
CHR(32)CHR(32)CHR(32)03416 - Technical difficulty
CHR(32)CHR(32)CHR(32)02233 - Unknown reason
CHR(32)CHR(32)CHR(32)09999 - Other
</t>
  </si>
  <si>
    <t xml:space="preserve">Medical Conditions and Codes
CHR(32)CHR(32)CHR(32)04405 - Intestinal infectious diseases 
CHR(32)CHR(32)CHR(32)04406 - Tuberculosis 
CHR(32)CHR(32)CHR(32)04407 - Certain zoonotic bacterial diseases 
CHR(32)CHR(32)CHR(32)04408 - Other bacterial diseases 
CHR(32)CHR(32)CHR(32)04409 - Infections with a predominantly sexual mode of transmission 
CHR(32)CHR(32)CHR(32)04410 - Other spirochaetal diseases 
CHR(32)CHR(32)CHR(32)04411 - Other diseases caused by chlamydiae 
CHR(32)CHR(32)CHR(32)04412 - Rickettsioses 
CHR(32)CHR(32)CHR(32)04413 - Viral infections of the central nervous system 
CHR(32)CHR(32)CHR(32)04414 - Arthropod-borne viral fevers and viral haemorrhagic fevers 
CHR(32)CHR(32)CHR(32)04415 - Viral infections characterized by skin and mucous membrane lesions 
CHR(32)CHR(32)CHR(32)04416 - Viral hepatitis 
CHR(32)CHR(32)CHR(32)04417 - Human immunodeficiency virus [HIV] disease 
CHR(32)CHR(32)CHR(32)04418 - Other viral diseases 
CHR(32)CHR(32)CHR(32)04419 - Mycoses 
CHR(32)CHR(32)CHR(32)04420 - Protozoal diseases 
CHR(32)CHR(32)CHR(32)04421 - Helminthiases 
CHR(32)CHR(32)CHR(32)04422 - Pediculosis, acariasis and other infestations 
CHR(32)CHR(32)CHR(32)04423 - Sequelae of infectious and parasitic diseases 
CHR(32)CHR(32)CHR(32)04424 - Bacterial, viral and other infectious agents 
CHR(32)CHR(32)CHR(32)04425 - Other infectious diseases
CHR(32)CHR(32)CHR(32)04426 - Malignant neoplasms
CHR(32)CHR(32)CHR(32)04427 - In situ neoplasms 
CHR(32)CHR(32)CHR(32)04428 - Benign neoplasms 
CHR(32)CHR(32)CHR(32)04429 - Neoplasms of uncertain or unknown behaviour  
CHR(32)CHR(32)CHR(32)04430 - Nutritional anaemias 
CHR(32)CHR(32)CHR(32)04431 - Haemolytic anaemias 
CHR(32)CHR(32)CHR(32)04432 - Aplastic and other anaemias 
CHR(32)CHR(32)CHR(32)04433 - Coagulation defects, purpura and other haemorrhagic conditions 
CHR(32)CHR(32)CHR(32)04434 - Other diseases of blood and blood-forming organs 
CHR(32)CHR(32)CHR(32)04435 - Certain disorders involving the immune mechanism
CHR(32)CHR(32)CHR(32)04436 - Disorders of thyroid gland 
CHR(32)CHR(32)CHR(32)04437 - Diabetes mellitus 
CHR(32)CHR(32)CHR(32)04438 - Other disorders of glucose regulation and pancreatic internal secretion 
CHR(32)CHR(32)CHR(32)04439 - Disorders of other endocrine glands 
CHR(32)CHR(32)CHR(32)04440 - Malnutrition 
CHR(32)CHR(32)CHR(32)04441 - Other nutritional deficiencies 
CHR(32)CHR(32)CHR(32)04442 - Obesity and other hyperalimentation 
CHR(32)CHR(32)CHR(32)04443 - Metabolic disorders
CHR(32)CHR(32)CHR(32)04444 - Organic, including symptomatic, mental disorders 
CHR(32)CHR(32)CHR(32)04445 - Mental and behavioural disorders due to psychoactive substance use 
CHR(32)CHR(32)CHR(32)04446 - Schizophrenia, schizotypal and delusional disorders 
CHR(32)CHR(32)CHR(32)04447 - Mood [affective] disorders 
CHR(32)CHR(32)CHR(32)04448 - Neurotic, stress-related and somatoform disorders 
CHR(32)CHR(32)CHR(32)04449 - Behavioural syndromes associated with physiological disturbances and physical factors 
CHR(32)CHR(32)CHR(32)04450 - Disorders of adult personality and behaviour 
CHR(32)CHR(32)CHR(32)04451 - Disorders of psychological development 
CHR(32)CHR(32)CHR(32)04452 - Behavioural and emotional disorders with onset usually occurring in childhood and adolescence 
CHR(32)CHR(32)CHR(32)04453 - Unspecified mental disorder
CHR(32)CHR(32)CHR(32)04454 - Inflammatory diseases of the central nervous system 
CHR(32)CHR(32)CHR(32)04455 - Systemic atrophies primarily affecting the central nervous system 
CHR(32)CHR(32)CHR(32)04456 - Extrapyramidal and movement disorders 
CHR(32)CHR(32)CHR(32)04457 - Other degenerative diseases of the nervous system 
CHR(32)CHR(32)CHR(32)04458 - Demyelinating diseases of the central nervous system 
CHR(32)CHR(32)CHR(32)04459 - Episodic and paroxysmal disorders 
CHR(32)CHR(32)CHR(32)04460 - Nerve, nerve root and plexus disorders 
CHR(32)CHR(32)CHR(32)04461 - Polyneuropathies and other disorders of the peripheral nervous system 
CHR(32)CHR(32)CHR(32)04462 - Diseases of myoneural junction and muscle 
CHR(32)CHR(32)CHR(32)04463 - Cerebral palsy and other paralytic syndromes 
CHR(32)CHR(32)CHR(32)04464 - Other disorders of the nervous system
CHR(32)CHR(32)CHR(32)04465 - Disorders of eyelid, lacrimal system and orbit 
CHR(32)CHR(32)CHR(32)04466 - Disorders of conjunctiva 
CHR(32)CHR(32)CHR(32)04467 - Disorders of sclera, cornea, iris and ciliary body 
CHR(32)CHR(32)CHR(32)04468 - Disorders of lens 
CHR(32)CHR(32)CHR(32)04469 - Disorders of choroid and retina 
CHR(32)CHR(32)CHR(32)04470 - Glaucoma 
CHR(32)CHR(32)CHR(32)04471 - Disorders of vitreous body and globe 
CHR(32)CHR(32)CHR(32)04472 - Disorders of optic nerve and visual pathways 
CHR(32)CHR(32)CHR(32)04473 - Disorders of ocular muscles, binocular movement, accommodation and refraction 
CHR(32)CHR(32)CHR(32)04474 - Visual disturbances and blindness 
CHR(32)CHR(32)CHR(32)04475 - Other disorders of eye and adnexa
CHR(32)CHR(32)CHR(32)04476 - Diseases of external ear 
CHR(32)CHR(32)CHR(32)04477 - Diseases of middle ear and mastoid 
CHR(32)CHR(32)CHR(32)04478 - Diseases of inner ear 
CHR(32)CHR(32)CHR(32)04479 - Other disorders of ear
CHR(32)CHR(32)CHR(32)04480 - Acute rheumatic fever 
CHR(32)CHR(32)CHR(32)04481 - Chronic rheumatic heart diseases 
CHR(32)CHR(32)CHR(32)04482 - Hypertensive diseases 
CHR(32)CHR(32)CHR(32)04483 - Ischaemic heart diseases 
CHR(32)CHR(32)CHR(32)04484 - Pulmonary heart disease and diseases of pulmonary circulation 
CHR(32)CHR(32)CHR(32)04485 - Other forms of heart disease 
CHR(32)CHR(32)CHR(32)04486 - Cerebrovascular diseases 
CHR(32)CHR(32)CHR(32)04487 - Diseases of arteries, arterioles and capillaries 
CHR(32)CHR(32)CHR(32)04488 - Diseases of veins, lymphatic vessels and lymph nodes, not elsewhere classified 
CHR(32)CHR(32)CHR(32)04489 - Other and unspecified disorders of the circulatory system
CHR(32)CHR(32)CHR(32)04490 - Diseases of oral cavity, salivary glands and jaws 
CHR(32)CHR(32)CHR(32)04491 - Diseases of oesophagus, stomach and duodenum 
CHR(32)CHR(32)CHR(32)04492 - Diseases of appendix 
CHR(32)CHR(32)CHR(32)04493 - Hernia 
CHR(32)CHR(32)CHR(32)04494 - Noninfective enteritis and colitis 
CHR(32)CHR(32)CHR(32)04495 - Other diseases of intestines 
CHR(32)CHR(32)CHR(32)04496 - Diseases of peritoneum 
CHR(32)CHR(32)CHR(32)04497 - Diseases of liver 
CHR(32)CHR(32)CHR(32)04498 - Disorders of gallbladder, biliary tract and pancreas 
CHR(32)CHR(32)CHR(32)04499 - Other diseases of the digestive system 
CHR(32)CHR(32)CHR(32)04500 - Infections of the skin and subcutaneous tissue 
CHR(32)CHR(32)CHR(32)04501 - Bullous disorders 
CHR(32)CHR(32)CHR(32)04502 - Dermatitis and eczema 
CHR(32)CHR(32)CHR(32)04503 - Papulosquamous disorders 
CHR(32)CHR(32)CHR(32)04504 - Urticaria and erythema 
CHR(32)CHR(32)CHR(32)04505 - Radiation-related disorders of the skin and subcutaneous tissue 
CHR(32)CHR(32)CHR(32)04506 - Disorders of skin appendages 
CHR(32)CHR(32)CHR(32)04507 - Other disorders of the skin and subcutaneous tissue
CHR(32)CHR(32)CHR(32)04508 - Arthropathies 
CHR(32)CHR(32)CHR(32)04509 - Systemic connective tissue disorders 
CHR(32)CHR(32)CHR(32)04510 - Dorsopathies 
CHR(32)CHR(32)CHR(32)04511 - Soft tissue disorders 
CHR(32)CHR(32)CHR(32)04512 - Osteopathies and chondropathies 
CHR(32)CHR(32)CHR(32)04513 - Other disorders of the musculoskeletal system and connective tissue
CHR(32)CHR(32)CHR(32)04514 - Glomerular diseases 
CHR(32)CHR(32)CHR(32)04515 - Renal tubulo-interstitial diseases 
CHR(32)CHR(32)CHR(32)04516 - Renal failure 
CHR(32)CHR(32)CHR(32)04517 - Urolithiasis 
CHR(32)CHR(32)CHR(32)04518 - Other disorders of kidney and ureter 
CHR(32)CHR(32)CHR(32)04519 - Other diseases of urinary system 
CHR(32)CHR(32)CHR(32)04520 - Diseases of male genital organs 
CHR(32)CHR(32)CHR(32)04521 - Disorders of breast 
CHR(32)CHR(32)CHR(32)04522 - Inflammatory diseases of female pelvic organs 
CHR(32)CHR(32)CHR(32)04523 - Noninflammatory disorders of female genital tract 
CHR(32)CHR(32)CHR(32)04524 - Other disorders of genitourinary tract 
CHR(32)CHR(32)CHR(32)04525 - Pregnancy with abortive outcome 
CHR(32)CHR(32)CHR(32)04526 - Oedema, proteinuria and hypertensive disorders in pregnancy, childbirth and the puerperium 
CHR(32)CHR(32)CHR(32)04527 - Other maternal disorders predominantly related to pregnancy 
CHR(32)CHR(32)CHR(32)04528 - Maternal care related to the fetus and amniotic cavity and possible delivery problems 
CHR(32)CHR(32)CHR(32)04529 - Complications of labour and delivery 
CHR(32)CHR(32)CHR(32)04530 - Delivery 
CHR(32)CHR(32)CHR(32)04531 - Complications predominantly related to the puerperium 
CHR(32)CHR(32)CHR(32)04532 - Other obstetric conditions, not elsewhere classified 
CHR(32)CHR(32)CHR(32)04533 - Fetus and newborn affected by maternal factors and by complications of pregnancy, labour and deliver
CHR(32)CHR(32)CHR(32)04534 - Disorders related to length of gestation and fetal growth 
CHR(32)CHR(32)CHR(32)04535 - Birth trauma 
CHR(32)CHR(32)CHR(32)04536 - Respiratory and cardiovascular disorders specific to the perinatal period 
CHR(32)CHR(32)CHR(32)04537 - Infections specific to the perinatal period 
CHR(32)CHR(32)CHR(32)04538 - Haemorrhagic and haematological disorders of fetus and newborn 
CHR(32)CHR(32)CHR(32)04539 - Transitory endocrine and metabolic disorders specific to fetus and newborn 
CHR(32)CHR(32)CHR(32)04540 - Digestive system disorders of fetus and newborn 
CHR(32)CHR(32)CHR(32)04541 - Conditions involving the integument and temperature regulation of fetus and newborn 
CHR(32)CHR(32)CHR(32)04542 - Other disorders originating in the perinatal period 
CHR(32)CHR(32)CHR(32)04543 - Congenital malformations of the nervous system 
CHR(32)CHR(32)CHR(32)04544 - Congenital malformations of eye, ear, face and neck 
CHR(32)CHR(32)CHR(32)04545 - Congenital malformations of the circulatory system 
CHR(32)CHR(32)CHR(32)04546 - Congenital malformations of the respiratory system 
CHR(32)CHR(32)CHR(32)04547 - Cleft lip and cleft palate 
CHR(32)CHR(32)CHR(32)04548 - Other congenital malformations of the digestive system 
CHR(32)CHR(32)CHR(32)04549 - Congenital malformations of genital organs 
CHR(32)CHR(32)CHR(32)04550 - Congenital malformations of the urinary system 
CHR(32)CHR(32)CHR(32)04551 - Congenital malformations and deformations of the musculoskeletal system 
CHR(32)CHR(32)CHR(32)04552 - Other congenital malformations 
CHR(32)CHR(32)CHR(32)04553 - Chromosomal abnormalities, not elsewhere classified 
CHR(32)CHR(32)CHR(32)04554 - Symptoms and signs involving the circulatory and respiratory systems 
CHR(32)CHR(32)CHR(32)04555 - Symptoms and signs involving the digestive system and abdomen 
CHR(32)CHR(32)CHR(32)04556 - Symptoms and signs involving the skin and subcutaneous tissue 
CHR(32)CHR(32)CHR(32)04557 - Symptoms and signs involving the nervous and musculoskeletal systems 
CHR(32)CHR(32)CHR(32)04558 - Symptoms and signs involving the urinary system 
CHR(32)CHR(32)CHR(32)04559 - Symptoms and signs involving cognition, perception, emotional state and behaviour 
CHR(32)CHR(32)CHR(32)04560 - Symptoms and signs involving speech and voice 
CHR(32)CHR(32)CHR(32)04561 - General symptoms and signs 
CHR(32)CHR(32)CHR(32)04562 - Abnormal findings on examination of blood, without diagnosis 
CHR(32)CHR(32)CHR(32)04563 - Abnormal findings on examination of urine, without diagnosis 
CHR(32)CHR(32)CHR(32)04564 - Abnormal findings on examination of other body fluids, substances and tissues, without diagnosis 
CHR(32)CHR(32)CHR(32)04565 - Abnormal findings on diagnostic imaging and in function studies, without diagnosis 
CHR(32)CHR(32)CHR(32)04566 - Ill-defined and unknown causes of mortality
CHR(32)CHR(32)CHR(32)04567 - Injuries to the head 
CHR(32)CHR(32)CHR(32)04568 - Injuries to the neck 
CHR(32)CHR(32)CHR(32)04569 - Injuries to the thorax 
CHR(32)CHR(32)CHR(32)04570 - Injuries to the abdomen, lower back, lumbar spine and pelvis 
CHR(32)CHR(32)CHR(32)04571 - Injuries to the shoulder and upper arm 
CHR(32)CHR(32)CHR(32)04572 - Injuries to the elbow and forearm 
CHR(32)CHR(32)CHR(32)04573 - Injuries to the wrist and hand 
CHR(32)CHR(32)CHR(32)04574 - Injuries to the hip and thigh 
CHR(32)CHR(32)CHR(32)04575 - Injuries to the knee and lower leg 
CHR(32)CHR(32)CHR(32)04576 - Injuries to the ankle and foot 
CHR(32)CHR(32)CHR(32)04577 - Injuries involving multiple body regions 
CHR(32)CHR(32)CHR(32)04578 - Injuries to unspecified part of trunk, limb or body region 
CHR(32)CHR(32)CHR(32)04579 - Effects of foreign body entering through natural orifice 
CHR(32)CHR(32)CHR(32)04580 - Burns and corrosions 
CHR(32)CHR(32)CHR(32)04581 - Burns and corrosions of external body surface, specified by site 
CHR(32)CHR(32)CHR(32)04582 - Burns and corrosions confined to eye and internal organs 
CHR(32)CHR(32)CHR(32)04583 - Burns and corrosions of multiple and unspecified body regions 
CHR(32)CHR(32)CHR(32)04584 - Frostbite 
CHR(32)CHR(32)CHR(32)04585 - Poisoning by drugs, medicaments and biological substances 
CHR(32)CHR(32)CHR(32)04586 - Toxic effects of substances chiefly nonmedicinal as to source 
CHR(32)CHR(32)CHR(32)04587 - Other and unspecified effects of external causes 
CHR(32)CHR(32)CHR(32)04588 - Certain early complications of trauma 
CHR(32)CHR(32)CHR(32)04589 - Complications of surgical and medical care, not elsewhere classified 
CHR(32)CHR(32)CHR(32)04590 - Sequelae of injuries, of poisoning and of other consequences of external causes
CHR(32)CHR(32)CHR(32)04591 - Accidents
CHR(32)CHR(32)CHR(32)04592 - Intentional self-harm 
CHR(32)CHR(32)CHR(32)04593 - Assault 
CHR(32)CHR(32)CHR(32)04594 - Event of undetermined intent 
CHR(32)CHR(32)CHR(32)04595 - Legal intervention and operations of war 
CHR(32)CHR(32)CHR(32)04596 - Complications of medical and surgical care
CHR(32)CHR(32)CHR(32)04597 - Sequelae of external causes of morbidity and mortality 
CHR(32)CHR(32)CHR(32)04598 - Supplementary factors related to causes of morbidity and mortality classified elsewhere 
CHR(32)CHR(32)CHR(32)04599 - Persons encountering health services for examination and investigation 
CHR(32)CHR(32)CHR(32)04600 - Persons with potential health hazards related to communicable diseases 
CHR(32)CHR(32)CHR(32)04601 - Persons encountering health services in circumstances related to reproduction 
CHR(32)CHR(32)CHR(32)04602 - Persons encountering health services for specific procedures and health care 
CHR(32)CHR(32)CHR(32)04603 - Persons with potential health hazards related to socioeconomic and psychosocial circumstances 
CHR(32)CHR(32)CHR(32)04604 - Persons encountering health services in other circumstances 
CHR(32)CHR(32)CHR(32)04605 - Persons with potential health hazards related to family and personal history and certain conditions 
CHR(32)CHR(32)CHR(32)04606 - Provisional assignment of new diseases of uncertain etiology 
CHR(32)CHR(32)CHR(32)04607 - Bacterial agents resistant to antibiotics
CHR(32)CHR(32)CHR(32)09999 - Other
</t>
  </si>
  <si>
    <t xml:space="preserve">Drugs Excluding Alcohol and Tobacco Violation
CHR(32)CHR(32)CHR(32)04636 - Sale of illegal drug
CHR(32)CHR(32)CHR(32)04637 - Sale of substance represented as an illegal drug
CHR(32)CHR(32)CHR(32)04638 - Distribution of illegal drug
CHR(32)CHR(32)CHR(32)04639 - Distribution of substance represented as an illegal drug
CHR(32)CHR(32)CHR(32)04640 - Use of illegal drug
CHR(32)CHR(32)CHR(32)04641 - Possession of illegal drug
CHR(32)CHR(32)CHR(32)04642 - Possession of drug paraphernalia
CHR(32)CHR(32)CHR(32)04643 - Suspicion of use
CHR(32)CHR(32)CHR(32)13781 - Solicitation of illegal drug
CHR(32)CHR(32)CHR(32)09999 - Other
</t>
  </si>
  <si>
    <t xml:space="preserve">Dwelling Arrangement
CHR(32)CHR(32)CHR(32)01669 - Boarding house
CHR(32)CHR(32)CHR(32)01670 - Cooperative house
CHR(32)CHR(32)CHR(32)01671 - Crisis shelter
CHR(32)CHR(32)CHR(32)01672 - Disaster shelter
CHR(32)CHR(32)CHR(32)01673 - Residential school/dormitory
CHR(32)CHR(32)CHR(32)01674 - Family residence
CHR(32)CHR(32)CHR(32)01675 - Foster home
CHR(32)CHR(32)CHR(32)01676 - Institution
CHR(32)CHR(32)CHR(32)01677 - Prison or juvenile detention center
CHR(32)CHR(32)CHR(32)01678 - Rooming house
CHR(32)CHR(32)CHR(32)01679 - Transient shelter
CHR(32)CHR(32)CHR(32)01680 - No home
CHR(32)CHR(32)CHR(32)01681 - Other dormitory
CHR(32)CHR(32)CHR(32)03425 - Group home/halfway house
CHR(32)CHR(32)CHR(32)09999 - Other
</t>
  </si>
  <si>
    <t xml:space="preserve">Dwelling Ownership
CHR(32)CHR(32)CHR(32)01682 - Owned property
CHR(32)CHR(32)CHR(32)01683 - Public or subsidized housing
CHR(32)CHR(32)CHR(32)01684 - Rental property
CHR(32)CHR(32)CHR(32)09999 - Other
</t>
  </si>
  <si>
    <t xml:space="preserve">Early Childhood Program Components
CHR(32)CHR(32)CHR(32)03492 - Care
CHR(32)CHR(32)CHR(32)01156 - Education
CHR(32)CHR(32)CHR(32)03493 - Services
</t>
  </si>
  <si>
    <t xml:space="preserve">Early Childhood Program Sponsorship
CHR(32)CHR(32)CHR(32)02177 - Public school sponsored program
CHR(32)CHR(32)CHR(32)02178 - Publicly sponsored program
CHR(32)CHR(32)CHR(32)02179 - Non-profit and not-for-profit privately sponsored program
CHR(32)CHR(32)CHR(32)02180 - For-profit program
</t>
  </si>
  <si>
    <t xml:space="preserve">Early Childhood Program Funding Source
CHR(32)CHR(32)CHR(32)02181 - Sponsor generated
CHR(32)CHR(32)CHR(32)02182 - Client/tuition fees
CHR(32)CHR(32)CHR(32)02183 - Both sponsor generated and client tuition/fees
CHR(32)CHR(32)CHR(32)09999 - Other
</t>
  </si>
  <si>
    <t xml:space="preserve">Early Childhood Program Focus
CHR(32)CHR(32)CHR(32)02193 - Designed for children with developmental delay or disability
CHR(32)CHR(32)CHR(32)02194 - Designed for typically developing children
CHR(32)CHR(32)CHR(32)02195 - Designed for children with developmental delay and typically developing children
</t>
  </si>
  <si>
    <t xml:space="preserve">Early Childhood Program Setting
CHR(32)CHR(32)CHR(32)02164 - Child's home
CHR(32)CHR(32)CHR(32)02165 - Home other than the child's
CHR(32)CHR(32)CHR(32)02166 - Public school facility
CHR(32)CHR(32)CHR(32)03496 - Special education classroom in a public school facility
CHR(32)CHR(32)CHR(32)00776 - Private school
CHR(32)CHR(32)CHR(32)03497 - Special education classroom in a private school
CHR(32)CHR(32)CHR(32)02167 - Childcare facility
CHR(32)CHR(32)CHR(32)02184 - Special education classroom in child care facility
CHR(32)CHR(32)CHR(32)02168 - Head Start center (no matter where offered)
CHR(32)CHR(32)CHR(32)02169 - Religion-affiliated institution
CHR(32)CHR(32)CHR(32)02170 - Business/workplace
CHR(32)CHR(32)CHR(32)02172 - University/postsecondary institution
CHR(32)CHR(32)CHR(32)02187 - Hospital facility
CHR(32)CHR(32)CHR(32)02190 - Facility sponsored by a state agency
CHR(32)CHR(32)CHR(32)02174 - Shelter or orphanage
CHR(32)CHR(32)CHR(32)02188 - Other community-based setting
CHR(32)CHR(32)CHR(32)02191 - Other childcare facility
CHR(32)CHR(32)CHR(32)09999 - Other
</t>
  </si>
  <si>
    <t xml:space="preserve">Program Degree Type
CHR(32)CHR(32)CHR(32)06043 - Developmental specialist
CHR(32)CHR(32)CHR(32)06044 - Developmental therapist
CHR(32)CHR(32)CHR(32)06045 - Early intervention generalist
CHR(32)CHR(32)CHR(32)06046 - Early intervention specialist
CHR(32)CHR(32)CHR(32)06047 - Early interventionist
CHR(32)CHR(32)CHR(32)06048 - Early childhood educator
CHR(32)CHR(32)CHR(32)06049 - Early childhood special educator
CHR(32)CHR(32)CHR(32)06051 - Pre-school special needs teacher
CHR(32)CHR(32)CHR(32)06052 - Educational assistant (level I, II, III)
CHR(32)CHR(32)CHR(32)06053 - Early childhood teacher assistant (I, II, III)
CHR(32)CHR(32)CHR(32)06054 - Early childhood associate
CHR(32)CHR(32)CHR(32)06055 - Developmental therapy assistant
CHR(32)CHR(32)CHR(32)06056 - Developmental therapy associate
CHR(32)CHR(32)CHR(32)00059 - Paraprofessionals/teacher aides
CHR(32)CHR(32)CHR(32)09999 - Other
</t>
  </si>
  <si>
    <t xml:space="preserve">Location Type
CHR(32)CHR(32)CHR(32)02192 - Home
CHR(32)CHR(32)CHR(32)00754 - Hospital
CHR(32)CHR(32)CHR(32)06008 - Outpatient hospital
CHR(32)CHR(32)CHR(32)06009 - Ambulatory care center
CHR(32)CHR(32)CHR(32)06010 - Primary care health provider office
CHR(32)CHR(32)CHR(32)01535 - Child care
CHR(32)CHR(32)CHR(32)00127 - Early intervention classroom/center
CHR(32)CHR(32)CHR(32)00066 - Local education agency 
CHR(32)CHR(32)CHR(32)06011 - Public health facility
CHR(32)CHR(32)CHR(32)06012 - Social service agency
CHR(32)CHR(32)CHR(32)06013 - Other health care provider location
CHR(32)CHR(32)CHR(32)00752 - Community facility
CHR(32)CHR(32)CHR(32)09999 - Other
</t>
  </si>
  <si>
    <t xml:space="preserve">Degree/Certificate Type
CHR(32)CHR(32)CHR(32)01045 - High school diploma or the equivalent (e.g., GED or recognized homeschool)
CHR(32)CHR(32)CHR(32)73063 - Adult education certification, endorsement, or degree
CHR(32)CHR(32)CHR(32)00819 - Career and Technical Education certificate
CHR(32)CHR(32)CHR(32)01047 - Formal award, certificate or diploma (less than one year)
CHR(32)CHR(32)CHR(32)01048 - Formal award, certificate or diploma (more than or equal to one year)
CHR(32)CHR(32)CHR(32)01049 - Some college but no degree
CHR(32)CHR(32)CHR(32)01050 - Associate's degree (two years or more)
CHR(32)CHR(32)CHR(32)01051 - Bachelor's (Baccalaureate) degree 
CHR(32)CHR(32)CHR(32)01052 - Graduate certificate
CHR(32)CHR(32)CHR(32)01053 - First-professional degree 
CHR(32)CHR(32)CHR(32)01054 - Master's degree (e.g., M.A., M.S., M. Eng., M.Ed., M.S.W., M.B.A., M.L.S.)
CHR(32)CHR(32)CHR(32)01055 - Specialist's degree (e.g., Ed.S.)
CHR(32)CHR(32)CHR(32)01056 - Post-professional degree
CHR(32)CHR(32)CHR(32)01057 - Doctoral (Doctor's) degree 
CHR(32)CHR(32)CHR(32)09999 - Other
</t>
  </si>
  <si>
    <t xml:space="preserve">Educational Program/Staff Development Activity Anticipated Outcome
CHR(32)CHR(32)CHR(32)01125 - Completion of high school credential
CHR(32)CHR(32)CHR(32)01126 - Obtain training for employment
CHR(32)CHR(32)CHR(32)01127 - Completion of an initial degree program
CHR(32)CHR(32)CHR(32)01128 - Completion of an initial degree program and professional credential requirements
CHR(32)CHR(32)CHR(32)01129 - Seeking an initial professional credential
CHR(32)CHR(32)CHR(32)01130 - Completion of an additional degree program
CHR(32)CHR(32)CHR(32)01131 - Obtaining an advanced-level credential
CHR(32)CHR(32)CHR(32)01132 - Maintaining or renewing a credential
CHR(32)CHR(32)CHR(32)01133 - Meeting staff development requirements
CHR(32)CHR(32)CHR(32)01134 - Qualifying for an advanced level job
CHR(32)CHR(32)CHR(32)01135 - Qualifying for a salary increase
CHR(32)CHR(32)CHR(32)01136 - Personal improvement
CHR(32)CHR(32)CHR(32)09999 - Other
</t>
  </si>
  <si>
    <t xml:space="preserve">Educational Program/Staff Development Activity
CHR(32)CHR(32)CHR(32)00348 - Released time, substitute provided
CHR(32)CHR(32)CHR(32)00350 - Released time from duties, no substitute provided
CHR(32)CHR(32)CHR(32)00352 - Off-the-job
</t>
  </si>
  <si>
    <t xml:space="preserve">Educational Program/Staff Development Activity Compensation
CHR(32)CHR(32)CHR(32)00343 - Time paid
CHR(32)CHR(32)CHR(32)00344 - Stipend only
CHR(32)CHR(32)CHR(32)00345 - Travel/expense reimbursement
CHR(32)CHR(32)CHR(32)00346 - Tuition and/or fees
CHR(32)CHR(32)CHR(32)00347 - No compensation
CHR(32)CHR(32)CHR(32)01469 - In-kind compensation
CHR(32)CHR(32)CHR(32)09999 - Other
</t>
  </si>
  <si>
    <t xml:space="preserve">Educational Program/Staff Development Activity Format
CHR(32)CHR(32)CHR(32)01192 - Computer-based course
CHR(32)CHR(32)CHR(32)01200 - Conference
CHR(32)CHR(32)CHR(32)01201 - Committee
CHR(32)CHR(32)CHR(32)01202 - Collaborative activity
CHR(32)CHR(32)CHR(32)01193 - Correspondence course
CHR(32)CHR(32)CHR(32)00607 - Distance learning
CHR(32)CHR(32)CHR(32)01203 - Instructor provided course
CHR(32)CHR(32)CHR(32)00608 - Virtual/On-line Distance learning
CHR(32)CHR(32)CHR(32)02032 - Internship experience
CHR(32)CHR(32)CHR(32)01204 - Mentoring/coaching
CHR(32)CHR(32)CHR(32)01205 - Networking with professionals in the field
CHR(32)CHR(32)CHR(32)01206 - Professional collaboration
CHR(32)CHR(32)CHR(32)01207 - Professional organization
CHR(32)CHR(32)CHR(32)01208 - Research and/or publication
CHR(32)CHR(32)CHR(32)01209 - Self-instruction
CHR(32)CHR(32)CHR(32)01210 - Training course
CHR(32)CHR(32)CHR(32)09999 - Other
</t>
  </si>
  <si>
    <t xml:space="preserve">Educational Program/Staff Development Activity Participant's Role
CHR(32)CHR(32)CHR(32)01197 - Consumer/learner
CHR(32)CHR(32)CHR(32)01198 - Provider/trainer
CHR(32)CHR(32)CHR(32)01199 - Collaborator/peer
CHR(32)CHR(32)CHR(32)09999 - Other
</t>
  </si>
  <si>
    <t xml:space="preserve">Educational Program/Staff Development Activity Purpose
CHR(32)CHR(32)CHR(32)01122 - Acquisition of new skills or knowledge
CHR(32)CHR(32)CHR(32)01123 - Maintenance or improvement of skills or knowledge
CHR(32)CHR(32)CHR(32)01124 - Remediation of skills or knowledge
</t>
  </si>
  <si>
    <t xml:space="preserve">Educational Program/Staff Development Activity Relevance
CHR(32)CHR(32)CHR(32)01137 - Related to current job
CHR(32)CHR(32)CHR(32)01138 - Related to advancement within the current job
CHR(32)CHR(32)CHR(32)01139 - Related to a different job or higher position
CHR(32)CHR(32)CHR(32)01140 - Not related
CHR(32)CHR(32)CHR(32)02380 - General development
</t>
  </si>
  <si>
    <t xml:space="preserve">Educational Program/Staff Development Early Intervention Activity Participant''s Role
CHR(32)CHR(32)CHR(32)06032 - Consultation
CHR(32)CHR(32)CHR(32)06033 - Training parents and others
CHR(32)CHR(32)CHR(32)06064 - Screening Provider
CHR(32)CHR(32)CHR(32)06035 - Multidisciplinary evaluation
CHR(32)CHR(32)CHR(32)06036 - Direct service delivery to children
CHR(32)CHR(32)CHR(32)06037 - Direct service delivery to children and families
CHR(32)CHR(32)CHR(32)06038 - Service coordination
CHR(32)CHR(32)CHR(32)06039 - Transition coordination
CHR(32)CHR(32)CHR(32)06040 - Multidisciplinary team member
CHR(32)CHR(32)CHR(32)06041 - Interdisciplinary team member
CHR(32)CHR(32)CHR(32)06042 - Transdisciplinary team member
CHR(32)CHR(32)CHR(32)09999 - Other
</t>
  </si>
  <si>
    <t xml:space="preserve">Eligibility Status
CHR(32)CHR(32)CHR(32)01549 - Eligible
CHR(32)CHR(32)CHR(32)01550 - Eligible, but coverage declined
CHR(32)CHR(32)CHR(32)01551 - Not eligible for participation
</t>
  </si>
  <si>
    <t xml:space="preserve">Emergency Factor
CHR(32)CHR(32)CHR(32)01084 - Allergy, aspirin
CHR(32)CHR(32)CHR(32)01085 - Allergy, insect bite
CHR(32)CHR(32)CHR(32)01086 - Allergy, iodine
CHR(32)CHR(32)CHR(32)01087 - Allergy, penicillin
CHR(32)CHR(32)CHR(32)01088 - Allergy, sulfa
CHR(32)CHR(32)CHR(32)01089 - Allergy, multiple
CHR(32)CHR(32)CHR(32)01090 - Asthma
CHR(32)CHR(32)CHR(32)01091 - Contact lenses worn
CHR(32)CHR(32)CHR(32)01092 - Diabetes
CHR(32)CHR(32)CHR(32)01093 - Drug dependency
CHR(32)CHR(32)CHR(32)01094 - Epilepsy
CHR(32)CHR(32)CHR(32)01095 - Hearing impaired
CHR(32)CHR(32)CHR(32)01096 - Heart disease
CHR(32)CHR(32)CHR(32)01097 - Hemophilia
CHR(32)CHR(32)CHR(32)01098 - Rheumatic fever
CHR(32)CHR(32)CHR(32)01099 - Speech impaired
CHR(32)CHR(32)CHR(32)01100 - Vision impaired
CHR(32)CHR(32)CHR(32)09998 - None
CHR(32)CHR(32)CHR(32)09999 - Other
</t>
  </si>
  <si>
    <t xml:space="preserve">Employer Type
CHR(32)CHR(32)CHR(32)01803 - Government
CHR(32)CHR(32)CHR(32)01804 - Military
CHR(32)CHR(32)CHR(32)01805 - Private organization
CHR(32)CHR(32)CHR(32)01806 - Self-employed
CHR(32)CHR(32)CHR(32)01807 - Military/Department of Defense
CHR(32)CHR(32)CHR(32)01808 - Agricultural/fishery seasonal employer
CHR(32)CHR(32)CHR(32)09999 - Other
</t>
  </si>
  <si>
    <t xml:space="preserve">Employment Eligibility Verification
CHR(32)CHR(32)CHR(32)01018 - U.S. passport
CHR(32)CHR(32)CHR(32)01019 - Certificate of U.S. citizenship (INS Form N-560 or N-561)
CHR(32)CHR(32)CHR(32)01020 - Certificate of naturalization (INS Form N-550 or N-570)
CHR(32)CHR(32)CHR(32)01024 - Unexpired employment authorization card (INS Form I-688A)
CHR(32)CHR(32)CHR(32)01022 - Alien registration receipt card with photograph (INS Form I-151 or I-155)
CHR(32)CHR(32)CHR(32)01023 - Unexpired temporary resident card (INS Form I-688)
CHR(32)CHR(32)CHR(32)01025 - Unexpired reentry permit (INS Form I-327)
CHR(32)CHR(32)CHR(32)01026 - Unexpired refugee travel document (INS Form I-571)
CHR(32)CHR(32)CHR(32)01034 - Unexpired employment authorization document issued by the INS 
CHR(32)CHR(32)CHR(32)01028 - U.S. social security card issued by the Social Security Administration (other than a card stating it is not valid for employment)
CHR(32)CHR(32)CHR(32)01029 - Certification of birth abroad issued by the Department of State (Form FS-545 or Form DS-1350)
CHR(32)CHR(32)CHR(32)01030 - Original or certified copy of a birth certificate issued by a state, county, municipal authority or outlying possession of the United States bearing a
CHR(32)CHR(32)CHR(32)01031 - Native American tribal document
CHR(32)CHR(32)CHR(32)01032 - U.S. citizen ID card (INS Form I-197)
CHR(32)CHR(32)CHR(32)01033 - ID card for use of resident citizen in the United States (INS Form I-179)
CHR(32)CHR(32)CHR(32)09999 - Other
</t>
  </si>
  <si>
    <t xml:space="preserve">State Abbreviation
CHR(32)CHR(32)CHR(32)03348 - AL
CHR(32)CHR(32)CHR(32)03349 - AK
CHR(32)CHR(32)CHR(32)03350 - AZ
CHR(32)CHR(32)CHR(32)03351 - AR
CHR(32)CHR(32)CHR(32)03352 - CA
CHR(32)CHR(32)CHR(32)03353 - CO
CHR(32)CHR(32)CHR(32)03354 - CT
CHR(32)CHR(32)CHR(32)03355 - DE
CHR(32)CHR(32)CHR(32)03356 - DC
CHR(32)CHR(32)CHR(32)03357 - FL
CHR(32)CHR(32)CHR(32)03358 - GA
CHR(32)CHR(32)CHR(32)03359 - HI
CHR(32)CHR(32)CHR(32)03360 - ID
CHR(32)CHR(32)CHR(32)03361 - IL
CHR(32)CHR(32)CHR(32)03362 - IN
CHR(32)CHR(32)CHR(32)03363 - IA
CHR(32)CHR(32)CHR(32)03364 - KS
CHR(32)CHR(32)CHR(32)03365 - KY
CHR(32)CHR(32)CHR(32)03366 - LA
CHR(32)CHR(32)CHR(32)03367 - ME
CHR(32)CHR(32)CHR(32)03368 - MD
CHR(32)CHR(32)CHR(32)03369 - MA
CHR(32)CHR(32)CHR(32)03370 - MI
CHR(32)CHR(32)CHR(32)03371 - MN
CHR(32)CHR(32)CHR(32)03372 - MS
CHR(32)CHR(32)CHR(32)03373 - MO
CHR(32)CHR(32)CHR(32)03374 - MT
CHR(32)CHR(32)CHR(32)03375 - NE
CHR(32)CHR(32)CHR(32)03376 - NV
CHR(32)CHR(32)CHR(32)03377 - NH
CHR(32)CHR(32)CHR(32)03378 - NJ
CHR(32)CHR(32)CHR(32)03379 - NM
CHR(32)CHR(32)CHR(32)03380 - NY
CHR(32)CHR(32)CHR(32)03381 - NC
CHR(32)CHR(32)CHR(32)03382 - ND
CHR(32)CHR(32)CHR(32)03383 - OH
CHR(32)CHR(32)CHR(32)03384 - OK
CHR(32)CHR(32)CHR(32)03385 - OR
CHR(32)CHR(32)CHR(32)03386 - PA
CHR(32)CHR(32)CHR(32)03387 - RI
CHR(32)CHR(32)CHR(32)03388 - SC
CHR(32)CHR(32)CHR(32)03389 - SD
CHR(32)CHR(32)CHR(32)03390 - TN
CHR(32)CHR(32)CHR(32)03391 - TX
CHR(32)CHR(32)CHR(32)03392 - UT
CHR(32)CHR(32)CHR(32)03393 - VT
CHR(32)CHR(32)CHR(32)03394 - VA
CHR(32)CHR(32)CHR(32)03395 - WA
CHR(32)CHR(32)CHR(32)03396 - WV
CHR(32)CHR(32)CHR(32)03397 - WI
CHR(32)CHR(32)CHR(32)03398 - WY
CHR(32)CHR(32)CHR(32)03402 - AS
CHR(32)CHR(32)CHR(32)03403 - GU
CHR(32)CHR(32)CHR(32)03404 - MP
CHR(32)CHR(32)CHR(32)03405 - PR
CHR(32)CHR(32)CHR(32)03406 - VI
CHR(32)CHR(32)CHR(32)03722 - FM
CHR(32)CHR(32)CHR(32)03716 - MH
CHR(32)CHR(32)CHR(32)03747 - PW
</t>
  </si>
  <si>
    <t xml:space="preserve">Employment Recognition
CHR(32)CHR(32)CHR(32)02044 - Certification awarded
CHR(32)CHR(32)CHR(32)02045 - Credit or fulfillment of a requirement
CHR(32)CHR(32)CHR(32)02046 - Employment permit
CHR(32)CHR(32)CHR(32)02047 - Honor award
CHR(32)CHR(32)CHR(32)02048 - Letter of commendation
CHR(32)CHR(32)CHR(32)02049 - Licensure awarded
CHR(32)CHR(32)CHR(32)02407 - Job promotion or advancement
CHR(32)CHR(32)CHR(32)09999 - Other
</t>
  </si>
  <si>
    <t xml:space="preserve">English as a Second Language (ESL) Program:
CHR(32)CHR(32)CHR(32)04929 - Content ESL
CHR(32)CHR(32)CHR(32)09999 - Other
</t>
  </si>
  <si>
    <t xml:space="preserve">English Proficiency
CHR(32)CHR(32)CHR(32)01633 - Native English speaker
CHR(32)CHR(32)CHR(32)01634 - Fluent English speaker
CHR(32)CHR(32)CHR(32)02349 - Limited English proficient/English language learner
CHR(32)CHR(32)CHR(32)01635 - Non-English speaking
CHR(32)CHR(32)CHR(32)01636 - Redesignated as fluent English proficient
CHR(32)CHR(32)CHR(32)09997 - Unknown
</t>
  </si>
  <si>
    <t xml:space="preserve">Equipment Mobility
CHR(32)CHR(32)CHR(32)03266 - Built-in equipment
CHR(32)CHR(32)CHR(32)03267 - Movable equipment
</t>
  </si>
  <si>
    <t xml:space="preserve">Equipment Type
CHR(32)CHR(32)CHR(32)03268 - Art
CHR(32)CHR(32)CHR(32)03269 - Performing arts
CHR(32)CHR(32)CHR(32)03270 - Science materials
CHR(32)CHR(32)CHR(32)03271 - Technology materials
CHR(32)CHR(32)CHR(32)03272 - Indoor athletic
CHR(32)CHR(32)CHR(32)03273 - Outdoor athletic
CHR(32)CHR(32)CHR(32)03274 - Food service materials
CHR(32)CHR(32)CHR(32)03275 - Operations/maintenance
CHR(32)CHR(32)CHR(32)09999 - Other
</t>
  </si>
  <si>
    <t xml:space="preserve">Essential Personnel Identifier
CHR(32)CHR(32)CHR(32)01618 - Essential
CHR(32)CHR(32)CHR(32)01619 - Non-essential
</t>
  </si>
  <si>
    <t xml:space="preserve">Established IDEA Condition
CHR(32)CHR(32)CHR(32)09998 - None
CHR(32)CHR(32)CHR(32)09999 - Other
</t>
  </si>
  <si>
    <t xml:space="preserve">Evaluation Periodicity
CHR(32)CHR(32)CHR(32)02321 - Monthly
CHR(32)CHR(32)CHR(32)02322 - Quarterly
CHR(32)CHR(32)CHR(32)02323 - Semi-annually
CHR(32)CHR(32)CHR(32)02324 - Annually
CHR(32)CHR(32)CHR(32)02325 - Post-probationary
CHR(32)CHR(32)CHR(32)02326 - As needed
CHR(32)CHR(32)CHR(32)09999 - Other
</t>
  </si>
  <si>
    <t xml:space="preserve">Evaluation Purpose
CHR(32)CHR(32)CHR(32)02316 - End of probationary period
CHR(32)CHR(32)CHR(32)02317 - Evaluation for advancement
CHR(32)CHR(32)CHR(32)02318 - Evaluation for licensure
CHR(32)CHR(32)CHR(32)02319 - Periodic evaluation
CHR(32)CHR(32)CHR(32)02320 - Problem resolution
CHR(32)CHR(32)CHR(32)09999 - Other
</t>
  </si>
  <si>
    <t xml:space="preserve">Evaluation Recommendations
CHR(32)CHR(32)CHR(32)02327 - Eligible for promotion
CHR(32)CHR(32)CHR(32)02328 - Merit pay
CHR(32)CHR(32)CHR(32)02329 - Regular salary/step increase
CHR(32)CHR(32)CHR(32)02330 - Granted tenure
CHR(32)CHR(32)CHR(32)02342 - Granted license
CHR(32)CHR(32)CHR(32)02331 - Retained in position
CHR(32)CHR(32)CHR(32)02332 - Removed from probationary status
CHR(32)CHR(32)CHR(32)02333 - Placed on probation
CHR(32)CHR(32)CHR(32)02334 - Reassigned for career development needs
CHR(32)CHR(32)CHR(32)02335 - Lateral reassignment
CHR(32)CHR(32)CHR(32)02336 - Demotion
CHR(32)CHR(32)CHR(32)02337 - Dismissal
CHR(32)CHR(32)CHR(32)02338 - Extended probation
CHR(32)CHR(32)CHR(32)02339 - Recommended for additional training
CHR(32)CHR(32)CHR(32)02340 - Put on administrative leave
CHR(32)CHR(32)CHR(32)02341 - Credential revoked
CHR(32)CHR(32)CHR(32)09999 - Other
</t>
  </si>
  <si>
    <t xml:space="preserve">Evaluation Sequence
CHR(32)CHR(32)CHR(32)02101 - Initial evaluation
CHR(32)CHR(32)CHR(32)02102 - Review evaluation
CHR(32)CHR(32)CHR(32)02103 - Screening evaluation
CHR(32)CHR(32)CHR(32)09999 - Other
</t>
  </si>
  <si>
    <t xml:space="preserve">Experience Type
CHR(32)CHR(32)CHR(32)02030 - Cooperative education
CHR(32)CHR(32)CHR(32)02031 - Apprenticeship
CHR(32)CHR(32)CHR(32)00611 - Internship
CHR(32)CHR(32)CHR(32)02033 - Court-ordered activity
CHR(32)CHR(32)CHR(32)02034 - School-mandated activity
CHR(32)CHR(32)CHR(32)02035 - Voluntary school-related activity
CHR(32)CHR(32)CHR(32)02036 - Voluntary community-related service
CHR(32)CHR(32)CHR(32)02037 - Paid employment
CHR(32)CHR(32)CHR(32)09999 - Other
</t>
  </si>
  <si>
    <t xml:space="preserve">Exterior Finish Type
CHR(32)CHR(32)CHR(32)02422 - Brick
CHR(32)CHR(32)CHR(32)02538 - Concrete masonry unit
CHR(32)CHR(32)CHR(32)02539 - Stucco
CHR(32)CHR(32)CHR(32)02540 - Synthetic stucco
CHR(32)CHR(32)CHR(32)02523 - Wood
CHR(32)CHR(32)CHR(32)02430 - Adobe
CHR(32)CHR(32)CHR(32)02542 - Stone
CHR(32)CHR(32)CHR(32)02543 - Prefabricated concrete
CHR(32)CHR(32)CHR(32)02544 - Synthetic stone
CHR(32)CHR(32)CHR(32)09999 - Other
</t>
  </si>
  <si>
    <t xml:space="preserve">Window Frame Material
CHR(32)CHR(32)CHR(32)02523 - Wood
CHR(32)CHR(32)CHR(32)02428 - Aluminum
CHR(32)CHR(32)CHR(32)02525 - Vinyl
CHR(32)CHR(32)CHR(32)02429 - Steel
CHR(32)CHR(32)CHR(32)02527 - Vinyl-clad wood
CHR(32)CHR(32)CHR(32)02528 - Vinyl-clad steel
CHR(32)CHR(32)CHR(32)02529 - Aluminum-clad wood
CHR(32)CHR(32)CHR(32)09999 - Other
</t>
  </si>
  <si>
    <t xml:space="preserve">Window Design Type
CHR(32)CHR(32)CHR(32)02518 - Nonoperable state
CHR(32)CHR(32)CHR(32)02519 - Casement
CHR(32)CHR(32)CHR(32)02520 - Double hung
CHR(32)CHR(32)CHR(32)02521 - Tilt open (awning or hopper)
CHR(32)CHR(32)CHR(32)02522 - Sliding
CHR(32)CHR(32)CHR(32)09999 - Other
CHR(32)CHR(32)CHR(32)13577 - Gas filled
CHR(32)CHR(32)CHR(32)13578 - Switchable glazings
</t>
  </si>
  <si>
    <t xml:space="preserve">Facilities Capital Activity Type
CHR(32)CHR(32)CHR(32)02995 - Site acquisition activity
CHR(32)CHR(32)CHR(32)02996 - Environmental cleanup of site activity
CHR(32)CHR(32)CHR(32)02997 - Planning activity
CHR(32)CHR(32)CHR(32)02998 - Design activity
CHR(32)CHR(32)CHR(32)02946 - Building demolition activity
CHR(32)CHR(32)CHR(32)02947 - Environmental cleanup of building activity
CHR(32)CHR(32)CHR(32)02999 - Construction activity
CHR(32)CHR(32)CHR(32)02982 - Management contracts activity
CHR(32)CHR(32)CHR(32)02948 - Furniture, fixtures, and equipment
CHR(32)CHR(32)CHR(32)14908 - Building purchase
CHR(32)CHR(32)CHR(32)14909 - Infrastructure
CHR(32)CHR(32)CHR(32)09999 - Other
</t>
  </si>
  <si>
    <t xml:space="preserve">Facilities Operations Type
CHR(32)CHR(32)CHR(32)02936 - Utilities
CHR(32)CHR(32)CHR(32)02937 - Custodial personnel services
CHR(32)CHR(32)CHR(32)02938 - Custodial other than personnel services
CHR(32)CHR(32)CHR(32)02939 - Custodial contracts
CHR(32)CHR(32)CHR(32)02940 - Maintenance/repair personnel services
CHR(32)CHR(32)CHR(32)02941 - Maintenance/repair other than personnel services
CHR(32)CHR(32)CHR(32)02942 - Maintenance/repair contracts
CHR(32)CHR(32)CHR(32)02943 - Management personnel services
CHR(32)CHR(32)CHR(32)02944 - Management other than personnel services
CHR(32)CHR(32)CHR(32)02945 - Management contracts
CHR(32)CHR(32)CHR(32)09999 - Other
</t>
  </si>
  <si>
    <t xml:space="preserve">Facility Type
CHR(32)CHR(32)CHR(32)00752 - Community facility
CHR(32)CHR(32)CHR(32)00753 - Home of student
CHR(32)CHR(32)CHR(32)00754 - Hospital
CHR(32)CHR(32)CHR(32)00103 - Administrative office
CHR(32)CHR(32)CHR(32)00756 - Residential facility
CHR(32)CHR(32)CHR(32)00758 - Education facility (PK-12)
CHR(32)CHR(32)CHR(32)00759 - Shared education facility
CHR(32)CHR(32)CHR(32)00760 - Support facility
CHR(32)CHR(32)CHR(32)00761 - Vocational training center
CHR(32)CHR(32)CHR(32)00098 - Correction or detention facility
CHR(32)CHR(32)CHR(32)00100 - Religious facility
CHR(32)CHR(32)CHR(32)00342 - Postsecondary facility
CHR(32)CHR(32)CHR(32)00101 - Business facility
CHR(32)CHR(32)CHR(32)09999 - Other
</t>
  </si>
  <si>
    <t xml:space="preserve">Fair Labor Standards Act Coverage
CHR(32)CHR(32)CHR(32)01443 - Nonexempt
CHR(32)CHR(32)CHR(32)01438 - Exempt
</t>
  </si>
  <si>
    <t xml:space="preserve">Family Income Range
CHR(32)CHR(32)CHR(32)01697 - $0-2,999
CHR(32)CHR(32)CHR(32)01698 - $3,000 to 5,999
CHR(32)CHR(32)CHR(32)01699 - $6,000 to 8,999
CHR(32)CHR(32)CHR(32)01700 - $9,000 to 11,999
CHR(32)CHR(32)CHR(32)01701 - $12,000 to 14,999
CHR(32)CHR(32)CHR(32)01702 - $15,000 to 19,999
CHR(32)CHR(32)CHR(32)01703 - $20,000 to 29,999
CHR(32)CHR(32)CHR(32)01704 - $30,000 to 39,999
CHR(32)CHR(32)CHR(32)01705 - $40,000 to 49,999
CHR(32)CHR(32)CHR(32)01706 - $50,000 to 59,999
CHR(32)CHR(32)CHR(32)01707 - $60,000 to 69,999
CHR(32)CHR(32)CHR(32)01708 - $70,000 to 79,999
CHR(32)CHR(32)CHR(32)01709 - $80,000 to 89,999
CHR(32)CHR(32)CHR(32)01710 - $90,000 to 99,999
CHR(32)CHR(32)CHR(32)01711 - $100,000 or more
</t>
  </si>
  <si>
    <t xml:space="preserve">Family Involvement Activities
CHR(32)CHR(32)CHR(32)06084 - Policy development and review
CHR(32)CHR(32)CHR(32)06085 - Program planning
CHR(32)CHR(32)CHR(32)06086 - Training participation
CHR(32)CHR(32)CHR(32)06087 - Training provision
CHR(32)CHR(32)CHR(32)09999 - Other
</t>
  </si>
  <si>
    <t xml:space="preserve">Monitoring Method
CHR(32)CHR(32)CHR(32)02204 - Counselor report
CHR(32)CHR(32)CHR(32)02205 - Home visitation
CHR(32)CHR(32)CHR(32)02206 - Interview
CHR(32)CHR(32)CHR(32)02207 - Parent/guardian report
CHR(32)CHR(32)CHR(32)02208 - Peer report
CHR(32)CHR(32)CHR(32)02353 - Health care provider report
CHR(32)CHR(32)CHR(32)02151 - Self-report/survey
CHR(32)CHR(32)CHR(32)02209 - School health nurse report
CHR(32)CHR(32)CHR(32)02210 - Social worker report
CHR(32)CHR(32)CHR(32)02211 - Teacher report
CHR(32)CHR(32)CHR(32)09999 - Other
</t>
  </si>
  <si>
    <t xml:space="preserve">Family Public Assistance Status
CHR(32)CHR(32)CHR(32)01717 - Temporary Assistance for Needy Families (TANF)
CHR(32)CHR(32)CHR(32)01718 - Food stamps
CHR(32)CHR(32)CHR(32)01719 - Women, Infants and Children (WIC) programs
CHR(32)CHR(32)CHR(32)07698 - Medicaid
CHR(32)CHR(32)CHR(32)09999 - Other
</t>
  </si>
  <si>
    <t xml:space="preserve">Insurance Type
CHR(32)CHR(32)CHR(32)06029 - Private insurance
CHR(32)CHR(32)CHR(32)06030 - Public insurance
CHR(32)CHR(32)CHR(32)01507 - Employee Retirement Income Security Act (ERISA)
CHR(32)CHR(32)CHR(32)09999 - Other
</t>
  </si>
  <si>
    <t xml:space="preserve">Fee Payment Status
CHR(32)CHR(32)CHR(32)14926 - Fee was paid
CHR(32)CHR(32)CHR(32)14927 - Fee was not paid
CHR(32)CHR(32)CHR(32)14928 - Fee was waived
</t>
  </si>
  <si>
    <t xml:space="preserve">Fee Payment Type
CHR(32)CHR(32)CHR(32)01865 - Student transcripts
CHR(32)CHR(32)CHR(32)01866 - Driver education (behind-the-wheel)
CHR(32)CHR(32)CHR(32)01867 - Towel services
CHR(32)CHR(32)CHR(32)01868 - Gym suits
CHR(32)CHR(32)CHR(32)01869 - Musical instrument rental
CHR(32)CHR(32)CHR(32)01870 - Musical instrument repair
CHR(32)CHR(32)CHR(32)01871 - Athletic events
CHR(32)CHR(32)CHR(32)01484 - Extra-curricular activities
CHR(32)CHR(32)CHR(32)01873 - Boarding expenses
CHR(32)CHR(32)CHR(32)01874 - Books
CHR(32)CHR(32)CHR(32)01875 - Equipment 
CHR(32)CHR(32)CHR(32)01876 - Publications
CHR(32)CHR(32)CHR(32)01877 - Supplies
CHR(32)CHR(32)CHR(32)09999 - Other
</t>
  </si>
  <si>
    <t xml:space="preserve">Finance Options
CHR(32)CHR(32)CHR(32)02954 - Public/private development partnerships
CHR(32)CHR(32)CHR(32)02955 - Energy saving performance contract
CHR(32)CHR(32)CHR(32)02956 - Sale-lease back
CHR(32)CHR(32)CHR(32)09999 - Other
</t>
  </si>
  <si>
    <t xml:space="preserve">Financial Assistance Qualifier
CHR(32)CHR(32)CHR(32)01889 - Need-based assistance
CHR(32)CHR(32)CHR(32)01890 - Non-need based assistance
</t>
  </si>
  <si>
    <t xml:space="preserve">Payment Source(s)
CHR(32)CHR(32)CHR(32)01896 - Resident school or local education agency
CHR(32)CHR(32)CHR(32)01882 - Another school within the local education agency
CHR(32)CHR(32)CHR(32)01883 - Another school or school district within the state but outside the local education agency
CHR(32)CHR(32)CHR(32)01884 - A school or school district outside the state
CHR(32)CHR(32)CHR(32)01885 - A state agency
CHR(32)CHR(32)CHR(32)01886 - A federal agency
CHR(32)CHR(32)CHR(32)01887 - The student or his or her family
CHR(32)CHR(32)CHR(32)01899 - Parent/guardian's employer
CHR(32)CHR(32)CHR(32)01888 - Other financial assistance provider
CHR(32)CHR(32)CHR(32)09999 - Other
</t>
  </si>
  <si>
    <t xml:space="preserve">Financial Assistance Type
CHR(32)CHR(32)CHR(32)01891 - Assistantship
CHR(32)CHR(32)CHR(32)01892 - Grant/scholarship
CHR(32)CHR(32)CHR(32)01893 - Loan
CHR(32)CHR(32)CHR(32)01894 - Work-study
CHR(32)CHR(32)CHR(32)01895 - Other tuition waiver/remittance
CHR(32)CHR(32)CHR(32)09999 - Other
</t>
  </si>
  <si>
    <t xml:space="preserve">Form Type
CHR(32)CHR(32)CHR(32)01592 - Federal W-4 form
CHR(32)CHR(32)CHR(32)01593 - State form
CHR(32)CHR(32)CHR(32)09999 - Other
</t>
  </si>
  <si>
    <t xml:space="preserve">Foundation Type
CHR(32)CHR(32)CHR(32)13582 - Slab on grade
CHR(32)CHR(32)CHR(32)13583 - Specific special foundations
CHR(32)CHR(32)CHR(32)13584 - Specific standard foundations
</t>
  </si>
  <si>
    <t xml:space="preserve">Frequency of Accreditation/Evaluation
CHR(32)CHR(32)CHR(32)01526 - Annual
CHR(32)CHR(32)CHR(32)00411 - Bi-annual
CHR(32)CHR(32)CHR(32)00412 - Semi-annual
CHR(32)CHR(32)CHR(32)00413 - Ad hoc/no fixed schedule
CHR(32)CHR(32)CHR(32)09999 - Other
</t>
  </si>
  <si>
    <t xml:space="preserve">Fringe Benefit Type
CHR(32)CHR(32)CHR(32)01501 - Social Security Old Age Insurance
CHR(32)CHR(32)CHR(32)01502 - Social Security Survivor Insurance
CHR(32)CHR(32)CHR(32)01503 - Social Security Disability Insurance
CHR(32)CHR(32)CHR(32)01504 - Medicare for the Aged and Disabled Hospital Insurance
CHR(32)CHR(32)CHR(32)01505 - Medicare for the Aged and Disabled Supplementary Medical Insurance
CHR(32)CHR(32)CHR(32)01506 - Other Social Security benefits
CHR(32)CHR(32)CHR(32)01507 - Employee Retirement Income Security Act (ERISA)
CHR(32)CHR(32)CHR(32)01508 - Defined benefit plan
CHR(32)CHR(32)CHR(32)01509 - Defined contribution plan
CHR(32)CHR(32)CHR(32)01510 - Other pension plan
CHR(32)CHR(32)CHR(32)01511 - Individual retirement account (IRA)
CHR(32)CHR(32)CHR(32)01512 - Health insurance - health maintenance organization (HMO)
CHR(32)CHR(32)CHR(32)01513 - Health insurance - preferred provider organization (PPO)
CHR(32)CHR(32)CHR(32)01514 - Other health plan
CHR(32)CHR(32)CHR(32)01515 - Dental care plan
CHR(32)CHR(32)CHR(32)02313 - Prescription drug plan
CHR(32)CHR(32)CHR(32)01516 - Vision plan
CHR(32)CHR(32)CHR(32)01517 - Mental health and substance abuse benefits
CHR(32)CHR(32)CHR(32)01518 - Retiree health insurance
CHR(32)CHR(32)CHR(32)01519 - Health promotion program
CHR(32)CHR(32)CHR(32)01520 - Consolidated Omnibus Budget Reconciliation Act (COBRA)
CHR(32)CHR(32)CHR(32)01521 - Worker's compensation
CHR(32)CHR(32)CHR(32)01522 - Non-occupational temporary disability insurance plan
CHR(32)CHR(32)CHR(32)01523 - Short-term disability plan - employment-based private program
CHR(32)CHR(32)CHR(32)02314 - Long-term disability plan - employment-based private program
CHR(32)CHR(32)CHR(32)01606 - Sick leave
CHR(32)CHR(32)CHR(32)01597 - Annual leave
CHR(32)CHR(32)CHR(32)01527 - Leave sharing/leave bank
CHR(32)CHR(32)CHR(32)01599 - Compensatory leave time
CHR(32)CHR(32)CHR(32)01600 - Family and medical leave
CHR(32)CHR(32)CHR(32)01530 - Other leave
CHR(32)CHR(32)CHR(32)01531 - Uniform and laundry fees
CHR(32)CHR(32)CHR(32)01532 - Transportation subsidy
CHR(32)CHR(32)CHR(32)01533 - Parking subsidy
CHR(32)CHR(32)CHR(32)01534 - Recreation subsidies
CHR(32)CHR(32)CHR(32)01535 - Child care
CHR(32)CHR(32)CHR(32)01536 - Car
CHR(32)CHR(32)CHR(32)01537 - Housing allowances
CHR(32)CHR(32)CHR(32)01538 - Tuition for children of staff
CHR(32)CHR(32)CHR(32)01539 - Employee assistance program
CHR(32)CHR(32)CHR(32)01540 - Long-term care insurance
CHR(32)CHR(32)CHR(32)01541 - Group life insurance plan
CHR(32)CHR(32)CHR(32)01542 - Survivor benefits
CHR(32)CHR(32)CHR(32)01543 - Educational assistance benefits
CHR(32)CHR(32)CHR(32)02312 - Legal service plan
CHR(32)CHR(32)CHR(32)01545 - Dependent care
CHR(32)CHR(32)CHR(32)01546 - Stock ownership plan
CHR(32)CHR(32)CHR(32)01573 - Profit sharing plan
CHR(32)CHR(32)CHR(32)01548 - Other direct subsidies
CHR(32)CHR(32)CHR(32)09999 - Other
</t>
  </si>
  <si>
    <t xml:space="preserve">Full-time/Part-time Session
CHR(32)CHR(32)CHR(32)00843 - Full-time
CHR(32)CHR(32)CHR(32)00844 - Part-time
CHR(32)CHR(32)CHR(32)00119 - Both full-time and part-time
</t>
  </si>
  <si>
    <t xml:space="preserve">Governmental Jurisdiction Type
CHR(32)CHR(32)CHR(32)02384 - City Council Ward
CHR(32)CHR(32)CHR(32)02386 - County Commissioner District
CHR(32)CHR(32)CHR(32)02387 - State Board of Education District
CHR(32)CHR(32)CHR(32)02388 - State Legislative District
CHR(32)CHR(32)CHR(32)02385 - Congressional District
</t>
  </si>
  <si>
    <t xml:space="preserve">Promotion Testing Status
CHR(32)CHR(32)CHR(32)13420 - Alternate Assessment
CHR(32)CHR(32)CHR(32)03446 - Not tested
CHR(32)CHR(32)CHR(32)13421 - Tested and Failed
CHR(32)CHR(32)CHR(32)13422 - Tested and Passed
</t>
  </si>
  <si>
    <t xml:space="preserve">Harassment, Nonsexual Violation
CHR(32)CHR(32)CHR(32)04647 - Bullying
CHR(32)CHR(32)CHR(32)04648 - Hazing
CHR(32)CHR(32)CHR(32)09999 - Other
</t>
  </si>
  <si>
    <t xml:space="preserve">Head of Household
CHR(32)CHR(32)CHR(32)01685 - Agency official
CHR(32)CHR(32)CHR(32)01686 - Foster parent(s)
CHR(32)CHR(32)CHR(32)01687 - Institution official
CHR(32)CHR(32)CHR(32)01688 - Non-parental relative
CHR(32)CHR(32)CHR(32)01689 - Non-relative owner of property
CHR(32)CHR(32)CHR(32)00850 - Parent/guardian
CHR(32)CHR(32)CHR(32)01690 - Prison official
CHR(32)CHR(32)CHR(32)01691 - School official
CHR(32)CHR(32)CHR(32)01692 - Spouse
CHR(32)CHR(32)CHR(32)00126 - Student
CHR(32)CHR(32)CHR(32)09999 - Other
</t>
  </si>
  <si>
    <t xml:space="preserve">Home Day Care Status
CHR(32)CHR(32)CHR(32)02175 - Non-sibling children present
CHR(32)CHR(32)CHR(32)02176 - No non-sibling children present
</t>
  </si>
  <si>
    <t xml:space="preserve">Identification Procedure
CHR(32)CHR(32)CHR(32)02147 - Education assessment
CHR(32)CHR(32)CHR(32)02148 - Health assessment/screening
CHR(32)CHR(32)CHR(32)02149 - Parent/guardian referral
CHR(32)CHR(32)CHR(32)02151 - Self-report/survey
CHR(32)CHR(32)CHR(32)02152 - Special education assessment/evaluation
CHR(32)CHR(32)CHR(32)02153 - Teacher referral
CHR(32)CHR(32)CHR(32)05983 - Self-Referral
CHR(32)CHR(32)CHR(32)09999 - Other
</t>
  </si>
  <si>
    <t xml:space="preserve">Progress Toward IFSP Goals and Objectives
CHR(32)CHR(32)CHR(32)06026 - Most
CHR(32)CHR(32)CHR(32)06027 - Some
CHR(32)CHR(32)CHR(32)06028 - All
</t>
  </si>
  <si>
    <t xml:space="preserve">Immunization Status Code
CHR(32)CHR(32)CHR(32)01104 - First inoculation
CHR(32)CHR(32)CHR(32)01105 - Second inoculation
CHR(32)CHR(32)CHR(32)01106 - Third inoculation
CHR(32)CHR(32)CHR(32)01107 - Fourth inoculation
CHR(32)CHR(32)CHR(32)01108 - Fifth inoculation
CHR(32)CHR(32)CHR(32)01109 - Sixth inoculation
CHR(32)CHR(32)CHR(32)01110 - Seventh inoculation
CHR(32)CHR(32)CHR(32)01111 - Eighth inoculation
CHR(32)CHR(32)CHR(32)01112 - Ninth inoculation
CHR(32)CHR(32)CHR(32)01113 - Medical exemption
CHR(32)CHR(32)CHR(32)01114 - Personal exemption
CHR(32)CHR(32)CHR(32)01115 - Religious exemption
CHR(32)CHR(32)CHR(32)02392 - Legal/state exemption
CHR(32)CHR(32)CHR(32)01116 - Already had the disease
</t>
  </si>
  <si>
    <t xml:space="preserve">Required/Not Required
CHR(32)CHR(32)CHR(32)01102 - Required
CHR(32)CHR(32)CHR(32)01103 - Not required
</t>
  </si>
  <si>
    <t xml:space="preserve">Inappropriate use of Medication Violation
CHR(32)CHR(32)CHR(32)04653 - Sale of medication
CHR(32)CHR(32)CHR(32)04654 - Distribution of medication
CHR(32)CHR(32)CHR(32)04655 - Use of medication in violation of school rules
CHR(32)CHR(32)CHR(32)04656 - Possession of medication in violation of school rules
CHR(32)CHR(32)CHR(32)04657 - Suspicion of use of medication in violation of school rules
CHR(32)CHR(32)CHR(32)09999 - Other
</t>
  </si>
  <si>
    <t xml:space="preserve">Initial Credential Issuance Requirements
CHR(32)CHR(32)CHR(32)01243 - Education completion
CHR(32)CHR(32)CHR(32)01262 - Fee payment
CHR(32)CHR(32)CHR(32)01245 - Practical experience
CHR(32)CHR(32)CHR(32)01246 - References
CHR(32)CHR(32)CHR(32)01265 - Background/security verification
CHR(32)CHR(32)CHR(32)01248 - Test/assessment
CHR(32)CHR(32)CHR(32)01249 - Completion of induction program
CHR(32)CHR(32)CHR(32)01250 - Completion of professional development plan
CHR(32)CHR(32)CHR(32)01251 - Professional development/in-service credits
CHR(32)CHR(32)CHR(32)01252 - Portfolio completed successfully
CHR(32)CHR(32)CHR(32)01253 - Advisor approval
CHR(32)CHR(32)CHR(32)01254 - Fingerprinting
CHR(32)CHR(32)CHR(32)01255 - Tuberculosis screening
CHR(32)CHR(32)CHR(32)01256 - Drug testing
CHR(32)CHR(32)CHR(32)01257 - Chest x-ray
CHR(32)CHR(32)CHR(32)01258 - Oath of allegiance
CHR(32)CHR(32)CHR(32)01259 - Compliance with state tax laws
CHR(32)CHR(32)CHR(32)09998 - None
CHR(32)CHR(32)CHR(32)09999 - Other
</t>
  </si>
  <si>
    <t xml:space="preserve">Injury Occurrence Location
CHR(32)CHR(32)CHR(32)01117 - At the workplace
CHR(32)CHR(32)CHR(32)01118 - Not at the workplace but performing job duties
CHR(32)CHR(32)CHR(32)09999 - Other
</t>
  </si>
  <si>
    <t xml:space="preserve">Interior Finish Type
CHR(32)CHR(32)CHR(32)02545 - Painted gypsum board
CHR(32)CHR(32)CHR(32)02546 - Painted plaster
CHR(32)CHR(32)CHR(32)02547 - Painted concrete masonry unit
CHR(32)CHR(32)CHR(32)02548 - Glazed concrete masonry unit
CHR(32)CHR(32)CHR(32)02549 - Glazed brick or tile
CHR(32)CHR(32)CHR(32)02550 - Vinyl wall covering
CHR(32)CHR(32)CHR(32)02551 - Wood flooring
CHR(32)CHR(32)CHR(32)02552 - Synthetic sheet/good composite tile flooring
CHR(32)CHR(32)CHR(32)02553 - Carpet
CHR(32)CHR(32)CHR(32)02554 - Terrazzo flooring
CHR(32)CHR(32)CHR(32)02555 - Vinyl asbestos tile (VAT)
CHR(32)CHR(32)CHR(32)02556 - Quarry tile
CHR(32)CHR(32)CHR(32)02557 - Sealed concrete
CHR(32)CHR(32)CHR(32)02558 - Acoustical tile
CHR(32)CHR(32)CHR(32)02559 - Exposed structure - painted
CHR(32)CHR(32)CHR(32)02560 - Ceramic tile
CHR(32)CHR(32)CHR(32)09999 - Other
</t>
  </si>
  <si>
    <t xml:space="preserve">Interior Floor Finish
CHR(32)CHR(32)CHR(32)02553 - Carpet
CHR(32)CHR(32)CHR(32)02560 - Ceramic tile
CHR(32)CHR(32)CHR(32)02556 - Quarry tile
CHR(32)CHR(32)CHR(32)02557 - Sealed concrete
CHR(32)CHR(32)CHR(32)02552 - Synthetic sheet/good composite tile flooring
CHR(32)CHR(32)CHR(32)02554 - Terrazzo flooring
CHR(32)CHR(32)CHR(32)02555 - Vinyl asbestos tile (VAT)
CHR(32)CHR(32)CHR(32)02551 - Wood flooring
CHR(32)CHR(32)CHR(32)09999 - Other
</t>
  </si>
  <si>
    <t xml:space="preserve">Interior Wall Finish
CHR(32)CHR(32)CHR(32)02559 - Exposed structure - painted
CHR(32)CHR(32)CHR(32)02549 - Glazed brick or tile
CHR(32)CHR(32)CHR(32)02548 - Glazed concrete masonry unit
CHR(32)CHR(32)CHR(32)02547 - Painted concrete masonry unit
CHR(32)CHR(32)CHR(32)02545 - Painted gypsum board
CHR(32)CHR(32)CHR(32)02546 - Painted plaster
CHR(32)CHR(32)CHR(32)02555 - Vinyl asbestos tile (VAT)
CHR(32)CHR(32)CHR(32)02550 - Vinyl wall covering
CHR(32)CHR(32)CHR(32)09999 - Other
</t>
  </si>
  <si>
    <t xml:space="preserve">Internet Bandwidth to the Building
CHR(32)CHR(32)CHR(32)03438 - 128K
CHR(32)CHR(32)CHR(32)03439 - 256K
CHR(32)CHR(32)CHR(32)03440 - 720K
CHR(32)CHR(32)CHR(32)03441 - 1.5Mbps
CHR(32)CHR(32)CHR(32)03435 - 10Mbps
CHR(32)CHR(32)CHR(32)03442 - OC1 (51.84 Mbps)
CHR(32)CHR(32)CHR(32)03443 - OC2 (103.68 Mbps)
CHR(32)CHR(32)CHR(32)03444 - OC3 (155.52 Mbps)
CHR(32)CHR(32)CHR(32)09999 - Other
</t>
  </si>
  <si>
    <t xml:space="preserve">Assessment Standard Indicator
CHR(32)CHR(32)CHR(32)00430 - Local standard
CHR(32)CHR(32)CHR(32)00431 - Statewide standard
CHR(32)CHR(32)CHR(32)00432 - Regional standard
CHR(32)CHR(32)CHR(32)00434 - Association standard
CHR(32)CHR(32)CHR(32)00435 - School standard
CHR(32)CHR(32)CHR(32)00438 - Other standard
CHR(32)CHR(32)CHR(32)09998 - None
CHR(32)CHR(32)CHR(32)09999 - Other
</t>
  </si>
  <si>
    <t xml:space="preserve">Job Classification
CHR(32)CHR(32)CHR(32)04706 - Official-administrative
CHR(32)CHR(32)CHR(32)04722 - Professional educational
CHR(32)CHR(32)CHR(32)04736 - Professional other
CHR(32)CHR(32)CHR(32)04800 - Paraprofessionals
CHR(32)CHR(32)CHR(32)04816 - Technical Job Classification
CHR(32)CHR(32)CHR(32)04830 - Office/clerical/administrative support
CHR(32)CHR(32)CHR(32)04850 - Crafts and trades
CHR(32)CHR(32)CHR(32)04863 - Operative
CHR(32)CHR(32)CHR(32)04866 - Laborer
CHR(32)CHR(32)CHR(32)04874 - Service work
CHR(32)CHR(32)CHR(32)09999 - Other
</t>
  </si>
  <si>
    <t xml:space="preserve">Job Type
CHR(32)CHR(32)CHR(32)02860 - Carpentry
CHR(32)CHR(32)CHR(32)02861 - Custodial
CHR(32)CHR(32)CHR(32)02862 - Electrical
CHR(32)CHR(32)CHR(32)02863 - Safety and environmental
CHR(32)CHR(32)CHR(32)02864 - Glazing
CHR(32)CHR(32)CHR(32)02865 - Grounds
CHR(32)CHR(32)CHR(32)02866 - Energy management
CHR(32)CHR(32)CHR(32)02867 - Masonry
CHR(32)CHR(32)CHR(32)02868 - Painting
CHR(32)CHR(32)CHR(32)02869 - Plumbing
CHR(32)CHR(32)CHR(32)02870 - Roofing
CHR(32)CHR(32)CHR(32)02871 - HVAC
CHR(32)CHR(32)CHR(32)13676 - Electronic Systems/ Security
CHR(32)CHR(32)CHR(32)13677 - Locksmith
CHR(32)CHR(32)CHR(32)13678 - Technology
CHR(32)CHR(32)CHR(32)09999 - Other
</t>
  </si>
  <si>
    <t xml:space="preserve">Knife Type
CHR(32)CHR(32)CHR(32)04611 - Knife with blade length less than 2.5 inches
CHR(32)CHR(32)CHR(32)04612 - Knife with blade length greater than or equal to 3 inches
CHR(32)CHR(32)CHR(32)04614 - Other knife
</t>
  </si>
  <si>
    <t xml:space="preserve">Laborer Job Classification
CHR(32)CHR(32)CHR(32)04867 - Construction laborer
CHR(32)CHR(32)CHR(32)04868 - Freight, stock, and materials handlers
CHR(32)CHR(32)CHR(32)04869 - Garbage collector
CHR(32)CHR(32)CHR(32)04870 - Gardener
CHR(32)CHR(32)CHR(32)04871 - Groundskeeper
CHR(32)CHR(32)CHR(32)04872 - Garage/parking lot attendant
CHR(32)CHR(32)CHR(32)04873 - Vehicle washer/equipment cleaner
CHR(32)CHR(32)CHR(32)09999 - Other
</t>
  </si>
  <si>
    <t xml:space="preserve">LAN Bandwidth Within the Building
CHR(32)CHR(32)CHR(32)03434 - &lt;10Mbps
CHR(32)CHR(32)CHR(32)03435 - 10Mbps
CHR(32)CHR(32)CHR(32)03436 - 100Mbps
CHR(32)CHR(32)CHR(32)03437 - 1Gbps
CHR(32)CHR(32)CHR(32)09999 - Other
</t>
  </si>
  <si>
    <t xml:space="preserve">Learning Standard Document Source Code
CHR(32)CHR(32)CHR(32)13492 - National standard
CHR(32)CHR(32)CHR(32)13493 - State standard
CHR(32)CHR(32)CHR(32)00432 - Regional standard
CHR(32)CHR(32)CHR(32)13494 - District standard
CHR(32)CHR(32)CHR(32)13495 - Site standard
CHR(32)CHR(32)CHR(32)13496 - Classroom standard
CHR(32)CHR(32)CHR(32)13497 - Publisher standard
</t>
  </si>
  <si>
    <t xml:space="preserve">Lease Type (Equipment)
CHR(32)CHR(32)CHR(32)02973 - Capital lease
CHR(32)CHR(32)CHR(32)02974 - Master lease
CHR(32)CHR(32)CHR(32)02975 - Operating lease
</t>
  </si>
  <si>
    <t xml:space="preserve">Leave Payment Status
CHR(32)CHR(32)CHR(32)01611 - With pay
CHR(32)CHR(32)CHR(32)01612 - Without pay
</t>
  </si>
  <si>
    <t xml:space="preserve">Leave Substitution Status
CHR(32)CHR(32)CHR(32)01608 - No substitution
CHR(32)CHR(32)CHR(32)01609 - Substitution by an individual without proof of required credentials
CHR(32)CHR(32)CHR(32)01610 - Substitution by an individual with proof of required credentials
</t>
  </si>
  <si>
    <t xml:space="preserve">Level of Specialization
CHR(32)CHR(32)CHR(32)01145 - Area of interest
CHR(32)CHR(32)CHR(32)01144 - Post-degree study
CHR(32)CHR(32)CHR(32)01143 - Area of emphasis/concentration
CHR(32)CHR(32)CHR(32)01142 - Minor
CHR(32)CHR(32)CHR(32)01141 - Major
</t>
  </si>
  <si>
    <t xml:space="preserve">Life Status
CHR(32)CHR(32)CHR(32)01784 - Deceased
CHR(32)CHR(32)CHR(32)01785 - Living
</t>
  </si>
  <si>
    <t xml:space="preserve">Local Funding Source Type
CHR(32)CHR(32)CHR(32)14910 - Bond
CHR(32)CHR(32)CHR(32)14911 - Capital Project Fund
CHR(32)CHR(32)CHR(32)14912 - Department of Defense Grant
CHR(32)CHR(32)CHR(32)14913 - Federal
CHR(32)CHR(32)CHR(32)14914 - Impact Fees
CHR(32)CHR(32)CHR(32)14915 - Insurance
CHR(32)CHR(32)CHR(32)14916 - Levy
CHR(32)CHR(32)CHR(32)14917 - Property Sale
CHR(32)CHR(32)CHR(32)14918 - Reserve Funds
</t>
  </si>
  <si>
    <t xml:space="preserve">Local Funding Type
CHR(32)CHR(32)CHR(32)06078 - Local Part C lead agency
CHR(32)CHR(32)CHR(32)06079 - Local public health agency
CHR(32)CHR(32)CHR(32)00066 - Local education agency 
CHR(32)CHR(32)CHR(32)06081 - Local social services agency
CHR(32)CHR(32)CHR(32)06082 - Local developmental disabilities agency
CHR(32)CHR(32)CHR(32)06083 - Other local agency
CHR(32)CHR(32)CHR(32)01555 - Community organization, business, or group
CHR(32)CHR(32)CHR(32)09999 - Other
</t>
  </si>
  <si>
    <t xml:space="preserve">Locale Code
CHR(32)CHR(32)CHR(32)08655 - City, Large
CHR(32)CHR(32)CHR(32)08656 - City, Midsize
CHR(32)CHR(32)CHR(32)08657 - City, Small
CHR(32)CHR(32)CHR(32)08658 - Suburb, Large
CHR(32)CHR(32)CHR(32)08659 - Suburb, Midsize
CHR(32)CHR(32)CHR(32)08660 - Suburb, Small
CHR(32)CHR(32)CHR(32)08661 - Town, Fringe
CHR(32)CHR(32)CHR(32)08662 - Town, Distant
CHR(32)CHR(32)CHR(32)08663 - Town, Remote
CHR(32)CHR(32)CHR(32)08664 - Rural, Fringe
CHR(32)CHR(32)CHR(32)08665 - Rural, Distant
CHR(32)CHR(32)CHR(32)08666 - Rural, Remote
</t>
  </si>
  <si>
    <t xml:space="preserve">Marital Status
CHR(32)CHR(32)CHR(32)01040 - Legally separated
CHR(32)CHR(32)CHR(32)01041 - Married
CHR(32)CHR(32)CHR(32)01042 - Not married 
</t>
  </si>
  <si>
    <t xml:space="preserve">Marital Status for Tax Withholding
CHR(32)CHR(32)CHR(32)01041 - Married
CHR(32)CHR(32)CHR(32)00142 - Single
CHR(32)CHR(32)CHR(32)00210 - Married but withholding at single rate
</t>
  </si>
  <si>
    <t xml:space="preserve">Meal Menu Planning Approach
CHR(32)CHR(32)CHR(32)03255 - Traditional food-based menu planning approach
CHR(32)CHR(32)CHR(32)03256 - Enhanced food-based menu planning approach
CHR(32)CHR(32)CHR(32)03257 - Nutrient standard menu planning approach
CHR(32)CHR(32)CHR(32)03258 - Assisted nutrient standard menu planning approach
CHR(32)CHR(32)CHR(32)03259 - Alternate menu planning approach
CHR(32)CHR(32)CHR(32)09999 - Other
</t>
  </si>
  <si>
    <t xml:space="preserve">Meal Payment Method (Reimbursable/Non-reimbursable)
CHR(32)CHR(32)CHR(32)03119 - Free
CHR(32)CHR(32)CHR(32)03151 - Debit from account (prepaid)
CHR(32)CHR(32)CHR(32)03152 - Charge to account (to be paid)
CHR(32)CHR(32)CHR(32)03153 - Payment at point of service 
CHR(32)CHR(32)CHR(32)09999 - Other
</t>
  </si>
  <si>
    <t xml:space="preserve">Meal Service
CHR(32)CHR(32)CHR(32)03135 - Breakfast
CHR(32)CHR(32)CHR(32)03136 - Lunch
CHR(32)CHR(32)CHR(32)03137 - Snack
CHR(32)CHR(32)CHR(32)03138 - Supper
CHR(32)CHR(32)CHR(32)03139 - Milk
</t>
  </si>
  <si>
    <t xml:space="preserve">Meal Service Components
CHR(32)CHR(32)CHR(32)03260 - Meat
CHR(32)CHR(32)CHR(32)03261 - Fruit
CHR(32)CHR(32)CHR(32)03262 - Vegetable
CHR(32)CHR(32)CHR(32)03263 - Bread
CHR(32)CHR(32)CHR(32)03139 - Milk
</t>
  </si>
  <si>
    <t xml:space="preserve">Meal Service Transaction Type
CHR(32)CHR(32)CHR(32)03142 - Reimbursable free meal
CHR(32)CHR(32)CHR(32)03143 - Reimbursable reduced price meal
CHR(32)CHR(32)CHR(32)03144 - Reimbursable full price meal
CHR(32)CHR(32)CHR(32)03145 - Reimbursable free snack
CHR(32)CHR(32)CHR(32)03146 - Reimbursable reduced price snack
CHR(32)CHR(32)CHR(32)03147 - Reimbursable full price snack 
CHR(32)CHR(32)CHR(32)03148 - Reimbursable free milk
CHR(32)CHR(32)CHR(32)03149 - Reimbursable full price milk
CHR(32)CHR(32)CHR(32)03150 - Non-reimbursable meal/ala carte food item(s)
</t>
  </si>
  <si>
    <t xml:space="preserve">Meal Type
CHR(32)CHR(32)CHR(32)03140 - Meal
CHR(32)CHR(32)CHR(32)03137 - Snack
CHR(32)CHR(32)CHR(32)03139 - Milk
CHR(32)CHR(32)CHR(32)03141 - Ala carte/extra food item(s)
</t>
  </si>
  <si>
    <t xml:space="preserve">Means of Introduction for Employment
CHR(32)CHR(32)CHR(32)01410 - Advertisement
CHR(32)CHR(32)CHR(32)01411 - Assignment/appointment
CHR(32)CHR(32)CHR(32)01412 - Employee-initiated effort
CHR(32)CHR(32)CHR(32)01413 - Employment agency
CHR(32)CHR(32)CHR(32)00357 - Peace Corps/Overseas Military
CHR(32)CHR(32)CHR(32)01414 - Recruitment effort
CHR(32)CHR(32)CHR(32)01415 - Staff recommendation
CHR(32)CHR(32)CHR(32)01416 - Student teaching or internship
CHR(32)CHR(32)CHR(32)01417 - Educator database service/network
CHR(32)CHR(32)CHR(32)01418 - Work-related organization recommendation
CHR(32)CHR(32)CHR(32)01419 - Internet
CHR(32)CHR(32)CHR(32)09999 - Other
</t>
  </si>
  <si>
    <t xml:space="preserve">Medical Examination Type
CHR(32)CHR(32)CHR(32)01076 - Vision evaluation
CHR(32)CHR(32)CHR(32)01077 - Hearing evaluation
CHR(32)CHR(32)CHR(32)01078 - Speech and language evaluation
CHR(32)CHR(32)CHR(32)01079 - Routine physical examination/screening
CHR(32)CHR(32)CHR(32)01080 - Special physical examination
CHR(32)CHR(32)CHR(32)01081 - Physical examination for sports participation
CHR(32)CHR(32)CHR(32)01082 - Employment evaluation
CHR(32)CHR(32)CHR(32)01083 - Psychological evaluation
CHR(32)CHR(32)CHR(32)09999 - Other
</t>
  </si>
  <si>
    <t xml:space="preserve">Meeting Type
CHR(32)CHR(32)CHR(32)13360 - Governing Board
CHR(32)CHR(32)CHR(32)13361 - Individualized Education Plan
CHR(32)CHR(32)CHR(32)13362 - Parent/Teacher
CHR(32)CHR(32)CHR(32)13363 - Parent/Administrator
CHR(32)CHR(32)CHR(32)13364 - Teacher/Administrator
CHR(32)CHR(32)CHR(32)13365 - Parent Teacher Association/Organization
CHR(32)CHR(32)CHR(32)13366 - School Organization
CHR(32)CHR(32)CHR(32)01556 - Other organization, business, or group
</t>
  </si>
  <si>
    <t xml:space="preserve">Metro Status Code (MSC)
CHR(32)CHR(32)CHR(32)02366 - Primarily serves a central city of a Metropolitan Statistical Area (MSA)
CHR(32)CHR(32)CHR(32)02367 - Serves a Metropolitan Statistical Area (MSA) but not primarily its central city
CHR(32)CHR(32)CHR(32)02368 - Does not serve a Metropolitan Statistical Area (MSA)
</t>
  </si>
  <si>
    <t xml:space="preserve">Migrant Certificate of Eligibility
CHR(32)CHR(32)CHR(32)01650 - Certificate of eligibility completed
CHR(32)CHR(32)CHR(32)01651 - Certificate of eligibility not completed
</t>
  </si>
  <si>
    <t xml:space="preserve">Migrant Classification Subgroup
CHR(32)CHR(32)CHR(32)03159 - Currently migratory agricultural
CHR(32)CHR(32)CHR(32)03160 - Formerly migratory agricultural
CHR(32)CHR(32)CHR(32)03161 - Currently migratory fishing
CHR(32)CHR(32)CHR(32)03162 - Formerly migratory fishing
CHR(32)CHR(32)CHR(32)03163 - Not migratory
</t>
  </si>
  <si>
    <t xml:space="preserve">Migrant Qualifying Work Type
CHR(32)CHR(32)CHR(32)03164 - Production
CHR(32)CHR(32)CHR(32)03165 - Processing
</t>
  </si>
  <si>
    <t xml:space="preserve">Military Discharge Type
CHR(32)CHR(32)CHR(32)01070 - Honorable discharge
CHR(32)CHR(32)CHR(32)01072 - General discharge
CHR(32)CHR(32)CHR(32)01071 - Dishonorable discharge
</t>
  </si>
  <si>
    <t xml:space="preserve">Military Duty Status
CHR(32)CHR(32)CHR(32)01064 - Active duty
CHR(32)CHR(32)CHR(32)01065 - Ready reserve, selected reserve
CHR(32)CHR(32)CHR(32)01066 - Ready reserve, individual ready reserve (IRR)
CHR(32)CHR(32)CHR(32)01067 - Ready reserve, inactive national guard (ING)
CHR(32)CHR(32)CHR(32)01068 - Standby reserve
CHR(32)CHR(32)CHR(32)01069 - Retired reserve
CHR(32)CHR(32)CHR(32)09998 - None
</t>
  </si>
  <si>
    <t xml:space="preserve">Military Service Type
CHR(32)CHR(32)CHR(32)01058 - United States Air Force
CHR(32)CHR(32)CHR(32)01059 - United States Army
CHR(32)CHR(32)CHR(32)01060 - United States Coast Guard
CHR(32)CHR(32)CHR(32)01061 - United States Marine Corps
CHR(32)CHR(32)CHR(32)01062 - United States Navy
CHR(32)CHR(32)CHR(32)01063 - National Guard
</t>
  </si>
  <si>
    <t xml:space="preserve">Minor/Adult Status
CHR(32)CHR(32)CHR(32)01638 - Emancipated minor
CHR(32)CHR(32)CHR(32)01639 - Legal adult
CHR(32)CHR(32)CHR(32)01640 - Legal minor
</t>
  </si>
  <si>
    <t xml:space="preserve">Connection Type
CHR(32)CHR(32)CHR(32)03193 - Dial-up via modem
CHR(32)CHR(32)CHR(32)03194 - Wired LAN and router
CHR(32)CHR(32)CHR(32)03195 - Wireless LAN and router
CHR(32)CHR(32)CHR(32)03196 - Cable modem
CHR(32)CHR(32)CHR(32)03197 - Satellite/modem hybrid link
CHR(32)CHR(32)CHR(32)03198 - Full satellite/two-way link
</t>
  </si>
  <si>
    <t xml:space="preserve">Non-Course Graduation Requirement Code
CHR(32)CHR(32)CHR(32)02010 - State graduation test
CHR(32)CHR(32)CHR(32)02011 - Service learning/community service
CHR(32)CHR(32)CHR(32)02012 - Thesis/dissertation
CHR(32)CHR(32)CHR(32)02013 - Special skill test
CHR(32)CHR(32)CHR(32)02014 - Career-related work experience
CHR(32)CHR(32)CHR(32)09999 - Other
</t>
  </si>
  <si>
    <t xml:space="preserve">Non-Parental Caregiver/Early Childhood Program Provider
CHR(32)CHR(32)CHR(32)02351 - Relative care, education, and/or services
CHR(32)CHR(32)CHR(32)02352 - Non-relative care, education, and/or services
CHR(32)CHR(32)CHR(32)09998 - None
</t>
  </si>
  <si>
    <t xml:space="preserve">Non-Resident Attendance Rationale
CHR(32)CHR(32)CHR(32)01657 - Attending an area alternative school
CHR(32)CHR(32)CHR(32)01658 - Attending an area magnet program 
CHR(32)CHR(32)CHR(32)01659 - Attending an area special education school
CHR(32)CHR(32)CHR(32)01660 - Attending an area vocational/technical school
CHR(32)CHR(32)CHR(32)01661 - Attending a private school
CHR(32)CHR(32)CHR(32)01662 - Court-mandated juvenile system assignment
CHR(32)CHR(32)CHR(32)01663 - Home schooling
CHR(32)CHR(32)CHR(32)01664 - Local education agency (LEA) assignment
CHR(32)CHR(32)CHR(32)01665 - Migrant education program participation
CHR(32)CHR(32)CHR(32)01666 - Open school enrollment
CHR(32)CHR(32)CHR(32)01667 - Voucher
CHR(32)CHR(32)CHR(32)01668 - Charter school
</t>
  </si>
  <si>
    <t xml:space="preserve">Non-School Activity Code
CHR(32)CHR(32)CHR(32)02015 - Full-time employment
CHR(32)CHR(32)CHR(32)02016 - Part-time employment
CHR(32)CHR(32)CHR(32)02017 - Internship employment/experience
CHR(32)CHR(32)CHR(32)02018 - Co-curricular experience
CHR(32)CHR(32)CHR(32)02019 - Teaching assistantship
CHR(32)CHR(32)CHR(32)02020 - Research assistantship
CHR(32)CHR(32)CHR(32)02021 - Other employment
CHR(32)CHR(32)CHR(32)02022 - Professional or scholarly article
CHR(32)CHR(32)CHR(32)02025 - Published writing
CHR(32)CHR(32)CHR(32)02026 - Professional presentation
CHR(32)CHR(32)CHR(32)02027 - Other publication
CHR(32)CHR(32)CHR(32)02028 - Professional organization membership
CHR(32)CHR(32)CHR(32)02029 - Patents and inventions
CHR(32)CHR(32)CHR(32)09999 - Other
</t>
  </si>
  <si>
    <t xml:space="preserve">Nontax Revenue Type
CHR(32)CHR(32)CHR(32)02969 - Individual contributions
CHR(32)CHR(32)CHR(32)02970 - Corporate contributions
CHR(32)CHR(32)CHR(32)02971 - Foundation contributions
CHR(32)CHR(32)CHR(32)02972 - Payments in lieu of tax contributions
CHR(32)CHR(32)CHR(32)13744 - Capital lease proceeds
CHR(32)CHR(32)CHR(32)13746 - Gains or losses on the sale of capital assets
CHR(32)CHR(32)CHR(32)13747 - Loan proceeds
CHR(32)CHR(32)CHR(32)13748 - Loans
CHR(32)CHR(32)CHR(32)13751 - Other long-term debt proceeds
CHR(32)CHR(32)CHR(32)13752 - Proceeds from the disposal of real or personal property
CHR(32)CHR(32)CHR(32)13753 - Rentals
CHR(32)CHR(32)CHR(32)13754 - Revenue for/on behalf of the school district from an intermediate governmental jurisdiction
CHR(32)CHR(32)CHR(32)13755 - Revenue for/on behalf of the school district from the federal government
CHR(32)CHR(32)CHR(32)13756 - Revenue for/on behalf of the school district from the state
CHR(32)CHR(32)CHR(32)09999 - Other
</t>
  </si>
  <si>
    <t xml:space="preserve">Obscene Behavior Violation
CHR(32)CHR(32)CHR(32)04663 - Obscene written messages
CHR(32)CHR(32)CHR(32)04664 - Drawing obscene pictures
CHR(32)CHR(32)CHR(32)04665 - Obscene electronic communication
CHR(32)CHR(32)CHR(32)04666 - Obscene gestures
CHR(32)CHR(32)CHR(32)04667 - Obscene language/profanity
CHR(32)CHR(32)CHR(32)09999 - Other
</t>
  </si>
  <si>
    <t xml:space="preserve">Technical Job Classification
CHR(32)CHR(32)CHR(32)04817 - Audiometrist
CHR(32)CHR(32)CHR(32)04818 - Computer technician
CHR(32)CHR(32)CHR(32)04819 - Drafter
CHR(32)CHR(32)CHR(32)04820 - Engineering aide
CHR(32)CHR(32)CHR(32)04821 - Graphic artist
CHR(32)CHR(32)CHR(32)04822 - Inspector
CHR(32)CHR(32)CHR(32)04823 - Licensed practical nurse
CHR(32)CHR(32)CHR(32)04824 - Media technologist
CHR(32)CHR(32)CHR(32)04825 - Photographer
CHR(32)CHR(32)CHR(32)04826 - Psychometrist
CHR(32)CHR(32)CHR(32)04827 - Purchasing agent
CHR(32)CHR(32)CHR(32)04828 - Speech language technician
CHR(32)CHR(32)CHR(32)04829 - Supervisor
CHR(32)CHR(32)CHR(32)09999 - Other
</t>
  </si>
  <si>
    <t xml:space="preserve">Office/Clerical/Administrative Support Job Classification
CHR(32)CHR(32)CHR(32)04831 - Bookkeeping/accounting/auditing clerk
CHR(32)CHR(32)CHR(32)04832 - Cashier
CHR(32)CHR(32)CHR(32)04833 - Computer operator
CHR(32)CHR(32)CHR(32)04834 - Data entry clerk
CHR(32)CHR(32)CHR(32)04835 - Dispatcher
CHR(32)CHR(32)CHR(32)04836 - Duplicating/photocopying assistant
CHR(32)CHR(32)CHR(32)04837 - Electrical and electronic repairers
CHR(32)CHR(32)CHR(32)04838 - File clerk
CHR(32)CHR(32)CHR(32)04839 - General office clerk
CHR(32)CHR(32)CHR(32)04840 - Mail clerk
CHR(32)CHR(32)CHR(32)04841 - Messenger
CHR(32)CHR(32)CHR(32)04842 - Office manager
CHR(32)CHR(32)CHR(32)04843 - Receptionist
CHR(32)CHR(32)CHR(32)04844 - Records clerk
CHR(32)CHR(32)CHR(32)04845 - Secretary
CHR(32)CHR(32)CHR(32)04846 - Stenographer
CHR(32)CHR(32)CHR(32)04847 - Stores/supplies handler
CHR(32)CHR(32)CHR(32)04848 - Switchboard/PBX operator
CHR(32)CHR(32)CHR(32)04849 - Typist and wordprocessor
CHR(32)CHR(32)CHR(32)09999 - Other
</t>
  </si>
  <si>
    <t xml:space="preserve">Official-Administrative Job Classification
CHR(32)CHR(32)CHR(32)04707 - Administrative/supervisory/ancillary services officer
CHR(32)CHR(32)CHR(32)04708 - Board of education/school board/board of trustees member
CHR(32)CHR(32)CHR(32)04709 - Commandant of cadets
CHR(32)CHR(32)CHR(32)04710 - Dean/dean of instructions/dean of students/dean of boys/dean of girls/dean of student activities
CHR(32)CHR(32)CHR(32)04711 - Deputy/associate/vice /assistant principal
CHR(32)CHR(32)CHR(32)04712 - Deputy/associate/assistant superintendent/ commissioner
CHR(32)CHR(32)CHR(32)04713 - Executive assistant
CHR(32)CHR(32)CHR(32)04714 - Instructional program director/coordinator/consultant
CHR(32)CHR(32)CHR(32)04715 - Manager
CHR(32)CHR(32)CHR(32)04716 - Non instructional program director/coordinator/consultant
CHR(32)CHR(32)CHR(32)04717 - Ombudsperson
CHR(32)CHR(32)CHR(32)04718 - Principal/headmaster/headmistress/head of school
CHR(32)CHR(32)CHR(32)04719 - School president
CHR(32)CHR(32)CHR(32)04720 - School site council member
CHR(32)CHR(32)CHR(32)04721 - Superintendent/commissioner
CHR(32)CHR(32)CHR(32)09999 - Other
</t>
  </si>
  <si>
    <t xml:space="preserve">Operative Job Classification
CHR(32)CHR(32)CHR(32)04864 - Bus driver
CHR(32)CHR(32)CHR(32)04865 - Other vehicle operator
CHR(32)CHR(32)CHR(32)09999 - Other
</t>
  </si>
  <si>
    <t xml:space="preserve">Location of Instruction/Service
CHR(32)CHR(32)CHR(32)00675 - School
CHR(32)CHR(32)CHR(32)00341 - Other K-12 educational institution
CHR(32)CHR(32)CHR(32)00342 - Postsecondary facility
CHR(32)CHR(32)CHR(32)03018 - Library/media center
CHR(32)CHR(32)CHR(32)00752 - Community facility
CHR(32)CHR(32)CHR(32)00997 - Business
CHR(32)CHR(32)CHR(32)00754 - Hospital
CHR(32)CHR(32)CHR(32)00753 - Home of student
CHR(32)CHR(32)CHR(32)03506 - Mobile
CHR(32)CHR(32)CHR(32)09999 - Other
</t>
  </si>
  <si>
    <t xml:space="preserve">Other Debt Type
CHR(32)CHR(32)CHR(32)13757 - Bridge financing or bridge loan
CHR(32)CHR(32)CHR(32)13758 - Installment Debt
</t>
  </si>
  <si>
    <t xml:space="preserve">Overall Diagnosis/Interpretation of Hearing
CHR(32)CHR(32)CHR(32)02108 - No significant hearing impairment
CHR(32)CHR(32)CHR(32)02109 - Mild hearing impairment
CHR(32)CHR(32)CHR(32)02110 - Moderate hearing impairment
CHR(32)CHR(32)CHR(32)02111 - Moderate severe hearing impairment
CHR(32)CHR(32)CHR(32)02112 - Severe hearing impairment
CHR(32)CHR(32)CHR(32)02113 - Profound hearing impairment
</t>
  </si>
  <si>
    <t xml:space="preserve">Overall Diagnosis/Interpretation of Speech
CHR(32)CHR(32)CHR(32)02114 - No significant speech impairment
CHR(32)CHR(32)CHR(32)02115 - Articulation disorder
CHR(32)CHR(32)CHR(32)02116 - Fluency disorder
CHR(32)CHR(32)CHR(32)02117 - Voice disorder
CHR(32)CHR(32)CHR(32)02118 - Language disorder
CHR(32)CHR(32)CHR(32)09999 - Other
</t>
  </si>
  <si>
    <t xml:space="preserve">Overall Diagnosis/Interpretation of Vision
CHR(32)CHR(32)CHR(32)02104 - No significant visual impairment
CHR(32)CHR(32)CHR(32)02105 - Slight or mild visual impairment
CHR(32)CHR(32)CHR(32)02106 - Partially seeing
CHR(32)CHR(32)CHR(32)02107 - Blind
</t>
  </si>
  <si>
    <t xml:space="preserve">Overall Health Status
CHR(32)CHR(32)CHR(32)06007 - Excellent
CHR(32)CHR(32)CHR(32)06005 - Very good
CHR(32)CHR(32)CHR(32)06066 - Good
CHR(32)CHR(32)CHR(32)06034 - Fair
CHR(32)CHR(32)CHR(32)06050 - Poor
</t>
  </si>
  <si>
    <t xml:space="preserve">Paraprofessionals Job Classification
CHR(32)CHR(32)CHR(32)04801 - Assistant counselor
CHR(32)CHR(32)CHR(32)04802 - Bilingual aide
CHR(32)CHR(32)CHR(32)04803 - Bilingual special education aide
CHR(32)CHR(32)CHR(32)04804 - Career aide
CHR(32)CHR(32)CHR(32)04805 - Child care giver
CHR(32)CHR(32)CHR(32)04806 - Computer aide
CHR(32)CHR(32)CHR(32)04807 - Extra curricular activity aide
CHR(32)CHR(32)CHR(32)04808 - Financial aid specialist
CHR(32)CHR(32)CHR(32)04809 - Monitor/prefect
CHR(32)CHR(32)CHR(32)04810 - Library aide
CHR(32)CHR(32)CHR(32)04811 - Media center aide
CHR(32)CHR(32)CHR(32)04812 - Psychologist assistant
CHR(32)CHR(32)CHR(32)04813 - Teaching/classroom aide
CHR(32)CHR(32)CHR(32)04814 - Teaching assistant
CHR(32)CHR(32)CHR(32)04815 - Tutor
CHR(32)CHR(32)CHR(32)09999 - Other
</t>
  </si>
  <si>
    <t xml:space="preserve">Participation Status
CHR(32)CHR(32)CHR(32)01119 - Currently enrolled/involved
CHR(32)CHR(32)CHR(32)01120 - Previously enrolled/involved
CHR(32)CHR(32)CHR(32)01121 - Program completed
</t>
  </si>
  <si>
    <t xml:space="preserve">Payroll Deduction Type
CHR(32)CHR(32)CHR(32)01561 - Federal income tax
CHR(32)CHR(32)CHR(32)01562 - State income tax
CHR(32)CHR(32)CHR(32)01563 - Local income tax
CHR(32)CHR(32)CHR(32)01564 - Social Security FICA
CHR(32)CHR(32)CHR(32)01565 - Medicare
CHR(32)CHR(32)CHR(32)01566 - State teacher retirement system
CHR(32)CHR(32)CHR(32)01567 - State public employee retirement system
CHR(32)CHR(32)CHR(32)01568 - Industrial/professional insurance
CHR(32)CHR(32)CHR(32)01569 - Group medical insurance
CHR(32)CHR(32)CHR(32)01570 - Group dental insurance
CHR(32)CHR(32)CHR(32)01571 - Term life insurance
CHR(32)CHR(32)CHR(32)01572 - Permanent life insurance
CHR(32)CHR(32)CHR(32)01573 - Profit sharing plan
CHR(32)CHR(32)CHR(32)01574 - Retirement plan - 401(k) or 403(b)
CHR(32)CHR(32)CHR(32)01575 - Charity
CHR(32)CHR(32)CHR(32)01576 - Annuity
CHR(32)CHR(32)CHR(32)01577 - Child/dependent care benefits reimbursement
CHR(32)CHR(32)CHR(32)01578 - Child support disbursement unit
CHR(32)CHR(32)CHR(32)01579 - Alimony payment
CHR(32)CHR(32)CHR(32)01580 - Credit union
CHR(32)CHR(32)CHR(32)01581 - Recreation fee
CHR(32)CHR(32)CHR(32)01582 - Parking fee
CHR(32)CHR(32)CHR(32)01583 - Uninsured medical expenses
CHR(32)CHR(32)CHR(32)01584 - Section 457
CHR(32)CHR(32)CHR(32)01585 - Loan repayment
CHR(32)CHR(32)CHR(32)09999 - Other
</t>
  </si>
  <si>
    <t xml:space="preserve">Payroll Tax Treatment Status
CHR(32)CHR(32)CHR(32)01586 - Pre-tax
CHR(32)CHR(32)CHR(32)01587 - After tax
CHR(32)CHR(32)CHR(32)01588 - Non-taxed
</t>
  </si>
  <si>
    <t xml:space="preserve">Person Relationship to Learner Qualifier Type
CHR(32)CHR(32)CHR(32)14761 - Adoptive
CHR(32)CHR(32)CHR(32)14762 - Biological
CHR(32)CHR(32)CHR(32)14763 - Foster
CHR(32)CHR(32)CHR(32)14764 - Half
CHR(32)CHR(32)CHR(32)14765 - Step
CHR(32)CHR(32)CHR(32)09998 - None
</t>
  </si>
  <si>
    <t xml:space="preserve">Planned Assessment Participation Code
CHR(32)CHR(32)CHR(32)13466 - Accommodations - Students with Disabilities
CHR(32)CHR(32)CHR(32)13467 - Accommodations - Students with temporary or long-term disabilities and Section 504 students
CHR(32)CHR(32)CHR(32)13468 - Accommodations - English Language Learners
CHR(32)CHR(32)CHR(32)13469 - Exempted Students - Transfer
CHR(32)CHR(32)CHR(32)13470 - Excused - Prior to Test
CHR(32)CHR(32)CHR(32)13471 - Excused - During Testing
</t>
  </si>
  <si>
    <t xml:space="preserve">Post-School Training or Education Subject Matter
CHR(32)CHR(32)CHR(32)01146 - Agricultural business and production
CHR(32)CHR(32)CHR(32)01147 - Agricultural sciences
CHR(32)CHR(32)CHR(32)01148 - Conservation and renewable natural resources
CHR(32)CHR(32)CHR(32)01149 - Architecture and related programs
CHR(32)CHR(32)CHR(32)01150 - Area, ethnic and cultural studies
CHR(32)CHR(32)CHR(32)01151 - Marketing operations/marketing and distributing
CHR(32)CHR(32)CHR(32)01152 - Communications
CHR(32)CHR(32)CHR(32)01153 - Communications technologies
CHR(32)CHR(32)CHR(32)01154 - Computer and information sciences
CHR(32)CHR(32)CHR(32)02051 - Consumer and homemaking education
CHR(32)CHR(32)CHR(32)01155 - Personal and miscellaneous services
CHR(32)CHR(32)CHR(32)01156 - Education
CHR(32)CHR(32)CHR(32)01157 - Engineering
CHR(32)CHR(32)CHR(32)01158 - Engineering-related technologies
CHR(32)CHR(32)CHR(32)02371 - Foreign language and literature
CHR(32)CHR(32)CHR(32)00551 - Home economics
CHR(32)CHR(32)CHR(32)01159 - Vocational home economics
CHR(32)CHR(32)CHR(32)01161 - Law and legal studies
CHR(32)CHR(32)CHR(32)01162 - English language and literature/letters
CHR(32)CHR(32)CHR(32)01163 - Liberal arts and sciences, general studies and humanities
CHR(32)CHR(32)CHR(32)01164 - Library science
CHR(32)CHR(32)CHR(32)01165 - Biological sciences/life sciences
CHR(32)CHR(32)CHR(32)01166 - Mathematics
CHR(32)CHR(32)CHR(32)01168 - Military technologies
CHR(32)CHR(32)CHR(32)00558 - Multi/Interdisciplinary studies
CHR(32)CHR(32)CHR(32)01176 - Parks, recreation, leisure and fitness studies
CHR(32)CHR(32)CHR(32)01177 - Philosophy and religion
CHR(32)CHR(32)CHR(32)01178 - Theological studies and religious vocations
CHR(32)CHR(32)CHR(32)01179 - Physical sciences
CHR(32)CHR(32)CHR(32)01180 - Science technologies
CHR(32)CHR(32)CHR(32)01181 - Psychology
CHR(32)CHR(32)CHR(32)01182 - Protective services
CHR(32)CHR(32)CHR(32)01183 - Public administration and services
CHR(32)CHR(32)CHR(32)01167 - Reserve Officers' Training Corp (ROTC)
CHR(32)CHR(32)CHR(32)01184 - Social sciences and history
CHR(32)CHR(32)CHR(32)01185 - Construction trades
CHR(32)CHR(32)CHR(32)01186 - Mechanics and repairers
CHR(32)CHR(32)CHR(32)01187 - Precision production trades
CHR(32)CHR(32)CHR(32)01160 - Technology education/industrial arts
CHR(32)CHR(32)CHR(32)01188 - Transportation and materials moving workers
CHR(32)CHR(32)CHR(32)01189 - Visual and performing arts
CHR(32)CHR(32)CHR(32)01369 - Health professions and occupations
CHR(32)CHR(32)CHR(32)01191 - Business management and administrative services
CHR(32)CHR(32)CHR(32)09999 - Other
</t>
  </si>
  <si>
    <t xml:space="preserve">Postsecondary Subject Matter Area
CHR(32)CHR(32)CHR(32)01146 - Agricultural business and production
CHR(32)CHR(32)CHR(32)01147 - Agricultural sciences
CHR(32)CHR(32)CHR(32)01148 - Conservation and renewable natural resources
CHR(32)CHR(32)CHR(32)01149 - Architecture and related programs
CHR(32)CHR(32)CHR(32)01150 - Area, ethnic and cultural studies
CHR(32)CHR(32)CHR(32)01151 - Marketing operations/marketing and distributing
CHR(32)CHR(32)CHR(32)01152 - Communications
CHR(32)CHR(32)CHR(32)01153 - Communications technologies
CHR(32)CHR(32)CHR(32)01154 - Computer and information sciences
CHR(32)CHR(32)CHR(32)01155 - Personal and miscellaneous services
CHR(32)CHR(32)CHR(32)01156 - Education
CHR(32)CHR(32)CHR(32)01157 - Engineering
CHR(32)CHR(32)CHR(32)01158 - Engineering-related technologies
CHR(32)CHR(32)CHR(32)02371 - Foreign language and literature
CHR(32)CHR(32)CHR(32)00551 - Home economics
CHR(32)CHR(32)CHR(32)01159 - Vocational home economics
CHR(32)CHR(32)CHR(32)01160 - Technology education/industrial arts
CHR(32)CHR(32)CHR(32)01161 - Law and legal studies
CHR(32)CHR(32)CHR(32)01162 - English language and literature/letters
CHR(32)CHR(32)CHR(32)01163 - Liberal arts and sciences, general studies and humanities
CHR(32)CHR(32)CHR(32)01164 - Library science
CHR(32)CHR(32)CHR(32)01165 - Biological sciences/life sciences
CHR(32)CHR(32)CHR(32)01166 - Mathematics
CHR(32)CHR(32)CHR(32)01167 - Reserve Officers' Training Corp (ROTC)
CHR(32)CHR(32)CHR(32)01168 - Military technologies
CHR(32)CHR(32)CHR(32)00558 - Multi/Interdisciplinary studies
CHR(32)CHR(32)CHR(32)01170 - Basic skills
CHR(32)CHR(32)CHR(32)01171 - Citizenship activities
CHR(32)CHR(32)CHR(32)01172 - Health-related knowledge and skills
CHR(32)CHR(32)CHR(32)01173 - Interpersonal and social skills
CHR(32)CHR(32)CHR(32)01174 - Leisure and recreational activities
CHR(32)CHR(32)CHR(32)01175 - Personal awareness and self-improvement
CHR(32)CHR(32)CHR(32)01176 - Parks, recreation, leisure and fitness studies
CHR(32)CHR(32)CHR(32)01177 - Philosophy and religion
CHR(32)CHR(32)CHR(32)01178 - Theological studies and religious vocations
CHR(32)CHR(32)CHR(32)01179 - Physical sciences
CHR(32)CHR(32)CHR(32)01180 - Science technologies
CHR(32)CHR(32)CHR(32)01181 - Psychology
CHR(32)CHR(32)CHR(32)01182 - Protective services
CHR(32)CHR(32)CHR(32)01183 - Public administration and services
CHR(32)CHR(32)CHR(32)01184 - Social sciences and history
CHR(32)CHR(32)CHR(32)01185 - Construction trades
CHR(32)CHR(32)CHR(32)01186 - Mechanics and repairers
CHR(32)CHR(32)CHR(32)01187 - Precision production trades
CHR(32)CHR(32)CHR(32)01188 - Transportation and materials moving workers
CHR(32)CHR(32)CHR(32)01189 - Visual and performing arts
CHR(32)CHR(32)CHR(32)01190 - Health professions and related sciences
CHR(32)CHR(32)CHR(32)01191 - Business management and administrative services
CHR(32)CHR(32)CHR(32)09999 - Other
</t>
  </si>
  <si>
    <t xml:space="preserve">Prior Year Status
CHR(32)CHR(32)CHR(32)01424 - Teaching in this school
CHR(32)CHR(32)CHR(32)01425 - Teaching in another elementary or secondary school in this school system
CHR(32)CHR(32)CHR(32)01426 - Teaching in a public elementary or secondary school in a different school system in this state
CHR(32)CHR(32)CHR(32)01427 - Teaching in a public elementary or secondary school in another state
CHR(32)CHR(32)CHR(32)01428 - Teaching in a private elementary or secondary school
CHR(32)CHR(32)CHR(32)01429 - Student at a college or university
CHR(32)CHR(32)CHR(32)01430 - Teaching in a preschool
CHR(32)CHR(32)CHR(32)01431 - Teaching at a college or university
CHR(32)CHR(32)CHR(32)01432 - Working in a position in the field of education, but not as a teacher
CHR(32)CHR(32)CHR(32)01433 - Working in an occupation outside the field of education
CHR(32)CHR(32)CHR(32)01434 - Caring for family members
CHR(32)CHR(32)CHR(32)01435 - Military service
CHR(32)CHR(32)CHR(32)01436 - Unemployed and seeking work
CHR(32)CHR(32)CHR(32)01437 - Retired from another job
CHR(32)CHR(32)CHR(32)09999 - Other
</t>
  </si>
  <si>
    <t xml:space="preserve">Program Availability
CHR(32)CHR(32)CHR(32)00235 - Before school
CHR(32)CHR(32)CHR(32)00231 - During school
CHR(32)CHR(32)CHR(32)00236 - After school
CHR(32)CHR(32)CHR(32)00234 - Weekend
CHR(32)CHR(32)CHR(32)00237 - Summer
CHR(32)CHR(32)CHR(32)00238 - In-school service day
CHR(32)CHR(32)CHR(32)00239 - Evenings
CHR(32)CHR(32)CHR(32)09999 - Other
</t>
  </si>
  <si>
    <t xml:space="preserve">Program Beneficiary
CHR(32)CHR(32)CHR(32)00868 - State Education Agency
CHR(32)CHR(32)CHR(32)00890 - Intermediate Education Unit
CHR(32)CHR(32)CHR(32)00213 - Local Education Agencies/Local Administrative Unit
CHR(32)CHR(32)CHR(32)00015 - School boards
CHR(32)CHR(32)CHR(32)00026 - Schools
CHR(32)CHR(32)CHR(32)00039 - Administrators
CHR(32)CHR(32)CHR(32)00049 - Teachers
CHR(32)CHR(32)CHR(32)00059 - Paraprofessionals/teacher aides
CHR(32)CHR(32)CHR(32)00069 - Non-instructional staff
CHR(32)CHR(32)CHR(32)00080 - Student teachers
CHR(32)CHR(32)CHR(32)00102 - Preschool children
CHR(32)CHR(32)CHR(32)00091 - Students
CHR(32)CHR(32)CHR(32)00114 - Families
CHR(32)CHR(32)CHR(32)00125 - Communities
CHR(32)CHR(32)CHR(32)09999 - Other
</t>
  </si>
  <si>
    <t xml:space="preserve">Program Benefit Targeting Type
CHR(32)CHR(32)CHR(32)00147 - Direct
CHR(32)CHR(32)CHR(32)00148 - Incidental
CHR(32)CHR(32)CHR(32)00149 - Both direct and incidental
</t>
  </si>
  <si>
    <t xml:space="preserve">Program Delivery Structure
CHR(32)CHR(32)CHR(32)00220 - Fixed schedule
CHR(32)CHR(32)CHR(32)00221 - Variable schedule
CHR(32)CHR(32)CHR(32)00874 - One-time
</t>
  </si>
  <si>
    <t xml:space="preserve">Program Eligibility Indicator
CHR(32)CHR(32)CHR(32)02568 - Eligible to participate in program
CHR(32)CHR(32)CHR(32)02569 - Not eligible to participate in program
</t>
  </si>
  <si>
    <t xml:space="preserve">Program Frequency
CHR(32)CHR(32)CHR(32)00351 - Less than 1 day per week
CHR(32)CHR(32)CHR(32)00001 - 1 day per week
CHR(32)CHR(32)CHR(32)00223 - 2 days per week
CHR(32)CHR(32)CHR(32)00224 - 3 days per week
CHR(32)CHR(32)CHR(32)00225 - 4 days per week
CHR(32)CHR(32)CHR(32)00226 - 5 days per week
CHR(32)CHR(32)CHR(32)00227 - 6 days per week
CHR(32)CHR(32)CHR(32)00228 - 7 days per week
CHR(32)CHR(32)CHR(32)00230 - Not scheduled
CHR(32)CHR(32)CHR(32)06020 - More than once a day
CHR(32)CHR(32)CHR(32)06021 - 1 to 4 times per month
CHR(32)CHR(32)CHR(32)06022 - Once a month
CHR(32)CHR(32)CHR(32)02326 - As needed
CHR(32)CHR(32)CHR(32)02322 - Quarterly
CHR(32)CHR(32)CHR(32)02323 - Semi-annually
CHR(32)CHR(32)CHR(32)02324 - Annually
CHR(32)CHR(32)CHR(32)09999 - Other
</t>
  </si>
  <si>
    <t xml:space="preserve">Program Funding Source
CHR(32)CHR(32)CHR(32)00797 - Federal government
CHR(32)CHR(32)CHR(32)00617 - State government
CHR(32)CHR(32)CHR(32)00622 - Local/community government
CHR(32)CHR(32)CHR(32)00654 - College/University
CHR(32)CHR(32)CHR(32)00675 - School
CHR(32)CHR(32)CHR(32)00997 - Business
CHR(32)CHR(32)CHR(32)00698 - Community
CHR(32)CHR(32)CHR(32)00709 - Self in tuition and/or fees
CHR(32)CHR(32)CHR(32)00720 - Parent/guardian in tuition and/or fees
CHR(32)CHR(32)CHR(32)00731 - Parent/teacher organizations
CHR(32)CHR(32)CHR(32)00739 - Individuals (endowments)
CHR(32)CHR(32)CHR(32)00749 - Foundations and other charitable organizations
CHR(32)CHR(32)CHR(32)00218 - Religious organization
CHR(32)CHR(32)CHR(32)01899 - Parent/guardian's employer
CHR(32)CHR(32)CHR(32)00772 - Unions
CHR(32)CHR(32)CHR(32)00219 - Fraternal organization
CHR(32)CHR(32)CHR(32)00786 - Insurance
CHR(32)CHR(32)CHR(32)09999 - Other
</t>
  </si>
  <si>
    <t xml:space="preserve">Program of Study Relevance
CHR(32)CHR(32)CHR(32)02040 - Relevant
CHR(32)CHR(32)CHR(32)02041 - Peripheral
</t>
  </si>
  <si>
    <t xml:space="preserve">Program Participation Reason
CHR(32)CHR(32)CHR(32)02154 - Academic difficulty
CHR(32)CHR(32)CHR(32)02155 - Academic excellence/enrichment
CHR(32)CHR(32)CHR(32)02156 - College admission preparation
CHR(32)CHR(32)CHR(32)02157 - Family background
CHR(32)CHR(32)CHR(32)02158 - Language barrier difficulty
CHR(32)CHR(32)CHR(32)02159 - Health reason
CHR(32)CHR(32)CHR(32)02160 - Psychological reason
CHR(32)CHR(32)CHR(32)02161 - Socioeconomic reason
CHR(32)CHR(32)CHR(32)02162 - Legal/court-specified
CHR(32)CHR(32)CHR(32)03169 - Disability
CHR(32)CHR(32)CHR(32)09999 - Other
</t>
  </si>
  <si>
    <t xml:space="preserve">Provider Authority
CHR(32)CHR(32)CHR(32)02138 - School provider
CHR(32)CHR(32)CHR(32)02139 - Personal/family provider
CHR(32)CHR(32)CHR(32)02140 - Public agency provider
CHR(32)CHR(32)CHR(32)09999 - Other
</t>
  </si>
  <si>
    <t xml:space="preserve">Publication Type
CHR(32)CHR(32)CHR(32)01372 - Book
CHR(32)CHR(32)CHR(32)01373 - Peer journal article
CHR(32)CHR(32)CHR(32)01374 - Non-peer journal article
CHR(32)CHR(32)CHR(32)01375 - Fine arts performance 
CHR(32)CHR(32)CHR(32)01376 - Presentation/paper at a conference or professional association meeting
CHR(32)CHR(32)CHR(32)01377 - Newspaper article
CHR(32)CHR(32)CHR(32)09999 - Other
</t>
  </si>
  <si>
    <t xml:space="preserve">Purpose of Assessment Special Accommodation
CHR(32)CHR(32)CHR(32)03574 - Student's IEP status
CHR(32)CHR(32)CHR(32)03575 - Student's LEP status
CHR(32)CHR(32)CHR(32)03576 - Student's 504 status
CHR(32)CHR(32)CHR(32)03577 - Student's IEP and LEP status
CHR(32)CHR(32)CHR(32)09999 - Other
</t>
  </si>
  <si>
    <t xml:space="preserve">Race for Federal Reporting
CHR(32)CHR(32)CHR(32)00998 - American Indian or Alaska Native
CHR(32)CHR(32)CHR(32)00999 - Asian
CHR(32)CHR(32)CHR(32)01000 - Black or African American
CHR(32)CHR(32)CHR(32)01001 - Native Hawaiian or Other Pacific Islander
CHR(32)CHR(32)CHR(32)01002 - White
CHR(32)CHR(32)CHR(32)02304 - Hispanic or Latino Ethnicity
CHR(32)CHR(32)CHR(32)14559 - Two or more races
</t>
  </si>
  <si>
    <t xml:space="preserve">Readiness for Assignment of Greater Responsibility
CHR(32)CHR(32)CHR(32)02343 - Immediately eligible
CHR(32)CHR(32)CHR(32)02344 - In the future
CHR(32)CHR(32)CHR(32)02345 - Not ready
CHR(32)CHR(32)CHR(32)09999 - Other
</t>
  </si>
  <si>
    <t xml:space="preserve">Reason for Closure
CHR(32)CHR(32)CHR(32)00008 - Low enrollment
CHR(32)CHR(32)CHR(32)00009 - Inadequate facilities
CHR(32)CHR(32)CHR(32)00010 - Financial difficulties
CHR(32)CHR(32)CHR(32)00011 - Achievement requirements unmet
CHR(32)CHR(32)CHR(32)00012 - Loss of accreditation
CHR(32)CHR(32)CHR(32)00112 - Planned construction
CHR(32)CHR(32)CHR(32)00115 - Re-organization by merging, splitting, or changes in authoritative agency
CHR(32)CHR(32)CHR(32)00116 - Legislative mandates
CHR(32)CHR(32)CHR(32)00117 - Emergency event
CHR(32)CHR(32)CHR(32)09999 - Other
</t>
  </si>
  <si>
    <t xml:space="preserve">Reason for Non-Entrance
CHR(32)CHR(32)CHR(32)01960 - Chose not to accept services
CHR(32)CHR(32)CHR(32)01961 - Distance from residence to school
CHR(32)CHR(32)CHR(32)01663 - Home schooling
CHR(32)CHR(32)CHR(32)01963 - Receiving instruction elsewhere
CHR(32)CHR(32)CHR(32)01964 - Religious reason
CHR(32)CHR(32)CHR(32)01965 - Not eligible for services
CHR(32)CHR(32)CHR(32)09999 - Other
</t>
  </si>
  <si>
    <t xml:space="preserve">Reason for Variation
CHR(32)CHR(32)CHR(32)06023 - Parent request
CHR(32)CHR(32)CHR(32)06024 - New assessment information
CHR(32)CHR(32)CHR(32)06025 - Consensus among team members
</t>
  </si>
  <si>
    <t xml:space="preserve">Reemployment Eligibility
CHR(32)CHR(32)CHR(32)01627 - Eligible for reemployment
CHR(32)CHR(32)CHR(32)01628 - Not eligible for reemployment
CHR(32)CHR(32)CHR(32)01629 - Eligible on a conditional basis
</t>
  </si>
  <si>
    <t xml:space="preserve">Referral Status
CHR(32)CHR(32)CHR(32)02141 - Referring provider
CHR(32)CHR(32)CHR(32)02142 - Receiving provider
</t>
  </si>
  <si>
    <t xml:space="preserve">Referral Purpose
CHR(32)CHR(32)CHR(32)02136 - Physical, health, sensory, and related conditions
CHR(32)CHR(32)CHR(32)02137 - School work or for intellectual, social, or emotional reasons
</t>
  </si>
  <si>
    <t xml:space="preserve">Regional Funding Type
CHR(32)CHR(32)CHR(32)06075 - Regional public health entity
CHR(32)CHR(32)CHR(32)00214 - Regional or intermediate educational agency
CHR(32)CHR(32)CHR(32)06076 - Regional social services entity
CHR(32)CHR(32)CHR(32)06077 - Regional developmental disabilities entity
CHR(32)CHR(32)CHR(32)09999 - Other
</t>
  </si>
  <si>
    <t xml:space="preserve">Regulation Promulation Requirement
CHR(32)CHR(32)CHR(32)00866 - Public hearing
CHR(32)CHR(32)CHR(32)00867 - Notify parents/public
CHR(32)CHR(32)CHR(32)00869 - Waiting period
CHR(32)CHR(32)CHR(32)00870 - Authority body vote
CHR(32)CHR(32)CHR(32)00871 - Endorsements
CHR(32)CHR(32)CHR(32)00872 - Signature
CHR(32)CHR(32)CHR(32)09999 - Other
</t>
  </si>
  <si>
    <t xml:space="preserve">Religious Affiliation/Religious Background
CHR(32)CHR(32)CHR(32)00019 - Amish
CHR(32)CHR(32)CHR(32)00020 - Assembly of God
CHR(32)CHR(32)CHR(32)00021 - Baptist
CHR(32)CHR(32)CHR(32)00022 - Buddhist
CHR(32)CHR(32)CHR(32)00023 - Calvinist
CHR(32)CHR(32)CHR(32)00024 - Catholic
CHR(32)CHR(32)CHR(32)00025 - Eastern Orthodox
CHR(32)CHR(32)CHR(32)00027 - Episcopal
CHR(32)CHR(32)CHR(32)00028 - Friends
CHR(32)CHR(32)CHR(32)00029 - Greek Orthodox
CHR(32)CHR(32)CHR(32)00030 - Hindu
CHR(32)CHR(32)CHR(32)00031 - Islamic
CHR(32)CHR(32)CHR(32)00032 - Jehovah's Witnesses
CHR(32)CHR(32)CHR(32)00033 - Jewish
CHR(32)CHR(32)CHR(32)00034 - Latter Day Saints
CHR(32)CHR(32)CHR(32)00036 - Lutheran
CHR(32)CHR(32)CHR(32)00038 - Mennonite
CHR(32)CHR(32)CHR(32)00040 - Methodist
CHR(32)CHR(32)CHR(32)00041 - Pentecostal
CHR(32)CHR(32)CHR(32)00042 - Presbyterian
CHR(32)CHR(32)CHR(32)02405 - Christian (no specific denomination)
CHR(32)CHR(32)CHR(32)00043 - Other Christian denomination
CHR(32)CHR(32)CHR(32)00044 - Seventh Day Adventist
CHR(32)CHR(32)CHR(32)00045 - Tao
CHR(32)CHR(32)CHR(32)00046 - Unitarian Universalist
CHR(32)CHR(32)CHR(32)00047 - Christian Scientist
CHR(32)CHR(32)CHR(32)00048 - Nazarene
CHR(32)CHR(32)CHR(32)09998 - None
CHR(32)CHR(32)CHR(32)09999 - Other
</t>
  </si>
  <si>
    <t xml:space="preserve">Report Type
CHR(32)CHR(32)CHR(32)00150 - Application
CHR(32)CHR(32)CHR(32)00151 - Management report
CHR(32)CHR(32)CHR(32)00152 - Regularly scheduled update report 
CHR(32)CHR(32)CHR(32)00153 - Funding report
CHR(32)CHR(32)CHR(32)00155 - Final report
CHR(32)CHR(32)CHR(32)09999 - Other
</t>
  </si>
  <si>
    <t xml:space="preserve">Reporting Means
CHR(32)CHR(32)CHR(32)00624 - Letter or note
CHR(32)CHR(32)CHR(32)00625 - Parent/guardian conference
CHR(32)CHR(32)CHR(32)00626 - Report card/evaluation
CHR(32)CHR(32)CHR(32)03485 - Progress report
CHR(32)CHR(32)CHR(32)09999 - Other
</t>
  </si>
  <si>
    <t xml:space="preserve">Reporting Method
CHR(32)CHR(32)CHR(32)00925 - Number grade
CHR(32)CHR(32)CHR(32)00926 - Percentage
CHR(32)CHR(32)CHR(32)00927 - Standard words or phrases
CHR(32)CHR(32)CHR(32)00144 - Letter grade/mark
CHR(32)CHR(32)CHR(32)00928 - Teacher's comments
CHR(32)CHR(32)CHR(32)00929 - Two-word scale
CHR(32)CHR(32)CHR(32)00930 - Developmental scale
CHR(32)CHR(32)CHR(32)00931 - Mastery/non mastery of standards
CHR(32)CHR(32)CHR(32)03412 - Rubric
CHR(32)CHR(32)CHR(32)09999 - Other
</t>
  </si>
  <si>
    <t xml:space="preserve">Residence after Exiting/Withdrawing from School
CHR(32)CHR(32)CHR(32)01953 - Armed services
CHR(32)CHR(32)CHR(32)01954 - New residence of family
CHR(32)CHR(32)CHR(32)01955 - New residence of student
CHR(32)CHR(32)CHR(32)01956 - No record of residence
CHR(32)CHR(32)CHR(32)01957 - Non-educational institution
CHR(32)CHR(32)CHR(32)01958 - Same residence
CHR(32)CHR(32)CHR(32)01959 - Other educational institution
CHR(32)CHR(32)CHR(32)09999 - Other
</t>
  </si>
  <si>
    <t xml:space="preserve">Resource Media
CHR(32)CHR(32)CHR(32)00916 - Audiotape
CHR(32)CHR(32)CHR(32)00917 - CD
CHR(32)CHR(32)CHR(32)00918 - Diskette
CHR(32)CHR(32)CHR(32)00919 - DVD
CHR(32)CHR(32)CHR(32)00920 - Intranet/internet
CHR(32)CHR(32)CHR(32)00921 - Print
CHR(32)CHR(32)CHR(32)00923 - Television
CHR(32)CHR(32)CHR(32)00924 - Videotape
CHR(32)CHR(32)CHR(32)00146 - Film/filmstrip
CHR(32)CHR(32)CHR(32)09999 - Other
</t>
  </si>
  <si>
    <t xml:space="preserve">Response Form Design
CHR(32)CHR(32)CHR(32)00442 - Collaborative/group activity
CHR(32)CHR(32)CHR(32)00443 - Computer response
CHR(32)CHR(32)CHR(32)03465 - Direct coding
CHR(32)CHR(32)CHR(32)00444 - Constructed-response
CHR(32)CHR(32)CHR(32)00445 - Laboratory experiment
CHR(32)CHR(32)CHR(32)00446 - Selected response
CHR(32)CHR(32)CHR(32)00447 - Performance
CHR(32)CHR(32)CHR(32)01281 - Portfolio 
CHR(32)CHR(32)CHR(32)09999 - Other
</t>
  </si>
  <si>
    <t xml:space="preserve">Revenue from Community Service Activities Type
CHR(32)CHR(32)CHR(32)13759 - Event fees
CHR(32)CHR(32)CHR(32)13760 - Lease revenue
CHR(32)CHR(32)CHR(32)73100 - User fees
</t>
  </si>
  <si>
    <t xml:space="preserve">Roof Type
CHR(32)CHR(32)CHR(32)02530 - Metal
CHR(32)CHR(32)CHR(32)02531 - Slate
CHR(32)CHR(32)CHR(32)02532 - Asphalt shingle
CHR(32)CHR(32)CHR(32)02533 - Built-up
CHR(32)CHR(32)CHR(32)02534 - Single-ply
CHR(32)CHR(32)CHR(32)02535 - Terra cotta tile
CHR(32)CHR(32)CHR(32)02536 - Membrane
CHR(32)CHR(32)CHR(32)09999 - Other
CHR(32)CHR(32)CHR(32)13600 - Green roof
</t>
  </si>
  <si>
    <t xml:space="preserve">Safe Harbor Application for AYP
CHR(32)CHR(32)CHR(32)14929 - AYP was met because Safe Harbor was applied
CHR(32)CHR(32)CHR(32)14930 - AYP was not met even though Safe Harbor was applied
CHR(32)CHR(32)CHR(32)14931 - Safe Harbor was not applied
</t>
  </si>
  <si>
    <t xml:space="preserve">School Food Services Eligibility Status Determination
CHR(32)CHR(32)CHR(32)03130 - Household size and income application
CHR(32)CHR(32)CHR(32)03131 - Categorical eligibility application 
CHR(32)CHR(32)CHR(32)03132 - Direct certification
CHR(32)CHR(32)CHR(32)09999 - Other
</t>
  </si>
  <si>
    <t xml:space="preserve">School Food Services Participation Basis 
CHR(32)CHR(32)CHR(32)03133 - Individual student eligibility
CHR(32)CHR(32)CHR(32)03134 - Food services site eligibility
CHR(32)CHR(32)CHR(32)09999 - Other
</t>
  </si>
  <si>
    <t xml:space="preserve">School Food Services Type
CHR(32)CHR(32)CHR(32)03122 - National School Lunch Program
CHR(32)CHR(32)CHR(32)03123 - School Breakfast Program
CHR(32)CHR(32)CHR(32)03124 - Afterschool snacks
CHR(32)CHR(32)CHR(32)03125 - Special Milk Program
CHR(32)CHR(32)CHR(32)03126 - Child and Adult Care Food Program
CHR(32)CHR(32)CHR(32)03127 - Summer Food Service Program
CHR(32)CHR(32)CHR(32)03128 - Other federally funded school food service program
CHR(32)CHR(32)CHR(32)03129 - Non-federal school food services
</t>
  </si>
  <si>
    <t xml:space="preserve">School Honor or Award
CHR(32)CHR(32)CHR(32)00414 - National school of excellence
CHR(32)CHR(32)CHR(32)00415 - State school of excellence
CHR(32)CHR(32)CHR(32)01559 - Monetary
CHR(32)CHR(32)CHR(32)00406 - Accreditation
CHR(32)CHR(32)CHR(32)09999 - Other
</t>
  </si>
  <si>
    <t xml:space="preserve">School Threat Violation
CHR(32)CHR(32)CHR(32)04672 - Bomb threat
CHR(32)CHR(32)CHR(32)04673 - Fire alarm
CHR(32)CHR(32)CHR(32)04674 - Chemical/biological threat
CHR(32)CHR(32)CHR(32)04675 - Terroristic threat
CHR(32)CHR(32)CHR(32)09999 - Other
</t>
  </si>
  <si>
    <t xml:space="preserve">School Use Type
CHR(32)CHR(32)CHR(32)02599 - Early childhood center
CHR(32)CHR(32)CHR(32)02600 - Elementary school
CHR(32)CHR(32)CHR(32)02601 - Middle school
CHR(32)CHR(32)CHR(32)02602 - Junior high school
CHR(32)CHR(32)CHR(32)02603 - Senior high school
CHR(32)CHR(32)CHR(32)02807 - Combination grades
CHR(32)CHR(32)CHR(32)02043 - Special education
CHR(32)CHR(32)CHR(32)02808 - Career-technical education
CHR(32)CHR(32)CHR(32)02809 - Adult education
CHR(32)CHR(32)CHR(32)02609 - Alternative school
CHR(32)CHR(32)CHR(32)02810 - Upper elementary school
CHR(32)CHR(32)CHR(32)13701 - Early childhood education
CHR(32)CHR(32)CHR(32)13702 - Middle school education
CHR(32)CHR(32)CHR(32)13703 - High school education
CHR(32)CHR(32)CHR(32)09999 - Other
</t>
  </si>
  <si>
    <t xml:space="preserve">School/Local Education Agency Status
CHR(32)CHR(32)CHR(32)01786 - Enrolled in the same school or local education agency
CHR(32)CHR(32)CHR(32)01787 - Enrolled in a different school or local education agency
CHR(32)CHR(32)CHR(32)01788 - Not enrolled in any school or local education agency
</t>
  </si>
  <si>
    <t xml:space="preserve">Scope of Assignment
CHR(32)CHR(32)CHR(32)01613 - Statewide
CHR(32)CHR(32)CHR(32)01614 - More-than-agency wide
CHR(32)CHR(32)CHR(32)01615 - Agency wide
CHR(32)CHR(32)CHR(32)01616 - Multi-operational unit but less-than-agency wide
CHR(32)CHR(32)CHR(32)01617 - Single operational unit
</t>
  </si>
  <si>
    <t xml:space="preserve">Score Interpretation Information
CHR(32)CHR(32)CHR(32)02054 - Special circumstances 
CHR(32)CHR(32)CHR(32)02055 - Nonstandard administration procedure/special accommodations made
CHR(32)CHR(32)CHR(32)02056 - Experience only
CHR(32)CHR(32)CHR(32)02057 - Diagnostic only
CHR(32)CHR(32)CHR(32)02058 - Experience and diagnostic
CHR(32)CHR(32)CHR(32)02059 - Alternative assessment for children with disabilities
CHR(32)CHR(32)CHR(32)09999 - Other
</t>
  </si>
  <si>
    <t xml:space="preserve">Disability Type
CHR(32)CHR(32)CHR(32)02121 - Autism
CHR(32)CHR(32)CHR(32)02122 - Deaf-blindness
CHR(32)CHR(32)CHR(32)02123 - Hearing Impairment
CHR(32)CHR(32)CHR(32)02124 - Intellectual Disability
CHR(32)CHR(32)CHR(32)02125 - Multiple disabilities
CHR(32)CHR(32)CHR(32)02126 - Orthopedic impairment
CHR(32)CHR(32)CHR(32)02128 - Specific learning disability
CHR(32)CHR(32)CHR(32)02129 - Speech or language impairment
CHR(32)CHR(32)CHR(32)02130 - Traumatic brain injury
CHR(32)CHR(32)CHR(32)02131 - Visual impairment
CHR(32)CHR(32)CHR(32)02132 - Other health impairment
CHR(32)CHR(32)CHR(32)02134 - Developmental delay
CHR(32)CHR(32)CHR(32)02127 - Emotional disturbance
</t>
  </si>
  <si>
    <t xml:space="preserve">Service Alternatives
CHR(32)CHR(32)CHR(32)02120 - Special assistance needed
</t>
  </si>
  <si>
    <t xml:space="preserve">Service Category Code
CHR(32)CHR(32)CHR(32)13472 - Instructional service
CHR(32)CHR(32)CHR(32)13473 - Related service (e.g. speech / language, vision)
CHR(32)CHR(32)CHR(32)13474 - Transitional service
CHR(32)CHR(32)CHR(32)13475 - Itinerant service
CHR(32)CHR(32)CHR(32)09999 - Other
</t>
  </si>
  <si>
    <t xml:space="preserve">Service Setting
CHR(32)CHR(32)CHR(32)00127 - Early intervention classroom/center
CHR(32)CHR(32)CHR(32)00128 - Homebound placement instruction
CHR(32)CHR(32)CHR(32)00129 - Hospital placement instruction
CHR(32)CHR(32)CHR(32)00130 - Regular school campus/regular class placement
CHR(32)CHR(32)CHR(32)00356 - Outpatient service facility
CHR(32)CHR(32)CHR(32)00132 - Private residential placement
CHR(32)CHR(32)CHR(32)00358 - Private separate day school placement
CHR(32)CHR(32)CHR(32)00134 - Public residential placement
CHR(32)CHR(32)CHR(32)00135 - Public separate day school placement
CHR(32)CHR(32)CHR(32)00136 - Resource room placement (pullout program)
CHR(32)CHR(32)CHR(32)00137 - Separate class placement
CHR(32)CHR(32)CHR(32)00364 - Detention facility
CHR(32)CHR(32)CHR(32)00365 - Regular nursery school/child care center
CHR(32)CHR(32)CHR(32)00140 - Itinerant services outside the home
CHR(32)CHR(32)CHR(32)00367 - Respite care
CHR(32)CHR(32)CHR(32)00756 - Residential facility
CHR(32)CHR(32)CHR(32)00143 - Reverse mainstream setting
CHR(32)CHR(32)CHR(32)02192 - Home
CHR(32)CHR(32)CHR(32)07697 - Service Provider Location
</t>
  </si>
  <si>
    <t xml:space="preserve">Service work Job Classification
CHR(32)CHR(32)CHR(32)04875 - Bus monitor/crossing guard
CHR(32)CHR(32)CHR(32)04876 - Child care worker
CHR(32)CHR(32)CHR(32)04877 - Cook/food preparer (food service staff)
CHR(32)CHR(32)CHR(32)04878 - Custodian
CHR(32)CHR(32)CHR(32)04879 - Dietary technician
CHR(32)CHR(32)CHR(32)04880 - Elevator operator
CHR(32)CHR(32)CHR(32)04881 - Facilities maintenance worker
CHR(32)CHR(32)CHR(32)04882 - Food service assistant
CHR(32)CHR(32)CHR(32)04883 - Police officer
CHR(32)CHR(32)CHR(32)04884 - Resident/dormitory supervisor
CHR(32)CHR(32)CHR(32)04885 - Security guard
CHR(32)CHR(32)CHR(32)04886 - Extended day-care provider
CHR(32)CHR(32)CHR(32)09999 - Other
</t>
  </si>
  <si>
    <t xml:space="preserve">Site Electrical Utilities
CHR(32)CHR(32)CHR(32)02473 - Electrical distribution
CHR(32)CHR(32)CHR(32)13601 - Exterior communications and security
CHR(32)CHR(32)CHR(32)13602 - Exterior lighting
CHR(32)CHR(32)CHR(32)13603 - Other electrical utilities
</t>
  </si>
  <si>
    <t xml:space="preserve">Site Improvements
CHR(32)CHR(32)CHR(32)02443 - Landscaping
CHR(32)CHR(32)CHR(32)13604 - Parking lots
CHR(32)CHR(32)CHR(32)13605 - Pedestrian paving
CHR(32)CHR(32)CHR(32)13606 - Roadways
CHR(32)CHR(32)CHR(32)13607 - Site development
</t>
  </si>
  <si>
    <t xml:space="preserve">Site Preparation
CHR(32)CHR(32)CHR(32)13608 - Hazardous waste remediation
CHR(32)CHR(32)CHR(32)13609 - Site clearing
CHR(32)CHR(32)CHR(32)13610 - Site demolition and relocations
CHR(32)CHR(32)CHR(32)13611 - Site earthwork
</t>
  </si>
  <si>
    <t xml:space="preserve">Technology Application Type
CHR(32)CHR(32)CHR(32)03199 - Word processing software
CHR(32)CHR(32)CHR(32)03200 - Spreadsheet software
CHR(32)CHR(32)CHR(32)03201 - Database software
CHR(32)CHR(32)CHR(32)03202 - Desktop publishing software
CHR(32)CHR(32)CHR(32)03203 - Process writing software
CHR(32)CHR(32)CHR(32)03204 - Keyboarding training software
CHR(32)CHR(32)CHR(32)03205 - Telecommunication software
CHR(32)CHR(32)CHR(32)03206 - Web browsers and search engines
CHR(32)CHR(32)CHR(32)03207 - Web authoring software
CHR(32)CHR(32)CHR(32)03208 - Presentation development software
CHR(32)CHR(32)CHR(32)03209 - Reference software
CHR(32)CHR(32)CHR(32)03210 - Simulation/gaming software
CHR(32)CHR(32)CHR(32)03211 - Mathematical/computational software
CHR(32)CHR(32)CHR(32)03212 - Art/photo software
CHR(32)CHR(32)CHR(32)03213 - Instructional software
CHR(32)CHR(32)CHR(32)03214 - Programming tools, including compilers and interpreters
CHR(32)CHR(32)CHR(32)03215 - Adaptive technologies
</t>
  </si>
  <si>
    <t xml:space="preserve">Special Construction
CHR(32)CHR(32)CHR(32)13612 - Integrated construction
CHR(32)CHR(32)CHR(32)13613 - Special construction systems
CHR(32)CHR(32)CHR(32)13614 - Special controls and instrumentation
CHR(32)CHR(32)CHR(32)13615 - Special facilities
CHR(32)CHR(32)CHR(32)13616 - Special structures
</t>
  </si>
  <si>
    <t xml:space="preserve">Special Education Services Program
CHR(32)CHR(32)CHR(32)04889 - Early identification
CHR(32)CHR(32)CHR(32)04890 - Early intervention
CHR(32)CHR(32)CHR(32)04891 - Service for individuals with autism
CHR(32)CHR(32)CHR(32)04892 - Service for individuals with deaf blindness
CHR(32)CHR(32)CHR(32)04893 - Service for individuals with mental retardation
CHR(32)CHR(32)CHR(32)04894 - Service for individuals with hearing impairment
CHR(32)CHR(32)CHR(32)04895 - Service for individuals with visual impairment
CHR(32)CHR(32)CHR(32)04896 - Service for individuals with orthopedic impairment
CHR(32)CHR(32)CHR(32)04897 - Service for individuals with speech or language impairment
CHR(32)CHR(32)CHR(32)04898 - Service for individuals with serious emotional disturbance
CHR(32)CHR(32)CHR(32)04899 - Service for individuals with specific learning disabilities
CHR(32)CHR(32)CHR(32)04900 - Service for individuals with multiple disabilities
CHR(32)CHR(32)CHR(32)04901 - Service for individuals with traumatic brain injury
CHR(32)CHR(32)CHR(32)04902 - Psychological service
CHR(32)CHR(32)CHR(32)04903 - Cross categorical
CHR(32)CHR(32)CHR(32)04904 - Service for individuals with developmental delay
CHR(32)CHR(32)CHR(32)04905 - Other Special Education Service
CHR(32)CHR(32)CHR(32)09999 - Other
</t>
  </si>
  <si>
    <t xml:space="preserve">Staircases
CHR(32)CHR(32)CHR(32)13617 - Stair construction
CHR(32)CHR(32)CHR(32)13618 - Stair finishes
</t>
  </si>
  <si>
    <t xml:space="preserve">Standardization Group
CHR(32)CHR(32)CHR(32)00938 - International
CHR(32)CHR(32)CHR(32)00939 - National
CHR(32)CHR(32)CHR(32)00005 - Regional
CHR(32)CHR(32)CHR(32)00391 - State
CHR(32)CHR(32)CHR(32)00862 - Local (e.g., school board, city council, municipal board)
CHR(32)CHR(32)CHR(32)00675 - School
CHR(32)CHR(32)CHR(32)00006 - Categorical type 
CHR(32)CHR(32)CHR(32)09999 - Other
</t>
  </si>
  <si>
    <t xml:space="preserve">State FIPS Code
CHR(32)CHR(32)CHR(32)03289 - 01
CHR(32)CHR(32)CHR(32)03290 - 02
CHR(32)CHR(32)CHR(32)03291 - 04
CHR(32)CHR(32)CHR(32)03292 - 05
CHR(32)CHR(32)CHR(32)03293 - 06
CHR(32)CHR(32)CHR(32)03294 - 08
CHR(32)CHR(32)CHR(32)03295 - 09
CHR(32)CHR(32)CHR(32)03296 - 10
CHR(32)CHR(32)CHR(32)03297 - 11
CHR(32)CHR(32)CHR(32)03298 - 12
CHR(32)CHR(32)CHR(32)03299 - 13
CHR(32)CHR(32)CHR(32)03300 - 15
CHR(32)CHR(32)CHR(32)03301 - 16 
CHR(32)CHR(32)CHR(32)03302 - 17
CHR(32)CHR(32)CHR(32)03303 - 18
CHR(32)CHR(32)CHR(32)03304 - 19
CHR(32)CHR(32)CHR(32)03305 - 20
CHR(32)CHR(32)CHR(32)03306 - 21
CHR(32)CHR(32)CHR(32)03307 - 22
CHR(32)CHR(32)CHR(32)03308 - 23
CHR(32)CHR(32)CHR(32)03309 - 24
CHR(32)CHR(32)CHR(32)03310 - 25
CHR(32)CHR(32)CHR(32)03311 - 26
CHR(32)CHR(32)CHR(32)03312 - 27
CHR(32)CHR(32)CHR(32)03313 - 28
CHR(32)CHR(32)CHR(32)03314 - 29
CHR(32)CHR(32)CHR(32)03315 - 30
CHR(32)CHR(32)CHR(32)03316 - 31
CHR(32)CHR(32)CHR(32)03317 - 32
CHR(32)CHR(32)CHR(32)03318 - 33
CHR(32)CHR(32)CHR(32)03319 - 34
CHR(32)CHR(32)CHR(32)03320 - 35
CHR(32)CHR(32)CHR(32)03321 - 36
CHR(32)CHR(32)CHR(32)03322 - 37
CHR(32)CHR(32)CHR(32)03323 - 38
CHR(32)CHR(32)CHR(32)03324 - 39
CHR(32)CHR(32)CHR(32)03325 - 40
CHR(32)CHR(32)CHR(32)03326 - 41
CHR(32)CHR(32)CHR(32)03327 - 42
CHR(32)CHR(32)CHR(32)03328 - 44
CHR(32)CHR(32)CHR(32)03329 - 45
CHR(32)CHR(32)CHR(32)03330 - 46
CHR(32)CHR(32)CHR(32)03331 - 47
CHR(32)CHR(32)CHR(32)03332 - 48
CHR(32)CHR(32)CHR(32)03333 - 49
CHR(32)CHR(32)CHR(32)03334 - 50
CHR(32)CHR(32)CHR(32)03335 - 51
CHR(32)CHR(32)CHR(32)03336 - 53
CHR(32)CHR(32)CHR(32)03337 - 54
CHR(32)CHR(32)CHR(32)03338 - 55
CHR(32)CHR(32)CHR(32)03339 - 56
CHR(32)CHR(32)CHR(32)03340 - 58
CHR(32)CHR(32)CHR(32)03341 - 59
CHR(32)CHR(32)CHR(32)03342 - 60
CHR(32)CHR(32)CHR(32)03343 - 61
CHR(32)CHR(32)CHR(32)03344 - 66
CHR(32)CHR(32)CHR(32)03345 - 69
CHR(32)CHR(32)CHR(32)03346 - 72
CHR(32)CHR(32)CHR(32)03347 - 78
</t>
  </si>
  <si>
    <t xml:space="preserve">State Funding Type
CHR(32)CHR(32)CHR(32)06072 - Part C lead agency
CHR(32)CHR(32)CHR(32)03460 - State department of health
CHR(32)CHR(32)CHR(32)00868 - State Education Agency
CHR(32)CHR(32)CHR(32)06073 - State social services agency
CHR(32)CHR(32)CHR(32)06074 - State developmental disabilities agency
CHR(32)CHR(32)CHR(32)09999 - Other
</t>
  </si>
  <si>
    <t xml:space="preserve">State Transportation Aid Qualification
CHR(32)CHR(32)CHR(32)02065 - Qualifies for regular aid
CHR(32)CHR(32)CHR(32)02066 - Qualifies for special education aid
CHR(32)CHR(32)CHR(32)02067 - Does not qualify
CHR(32)CHR(32)CHR(32)09999 - Other
</t>
  </si>
  <si>
    <t xml:space="preserve">Status of Work Order Request
CHR(32)CHR(32)CHR(32)02874 - Open
CHR(32)CHR(32)CHR(32)02875 - Assigned
CHR(32)CHR(32)CHR(32)02876 - Completed
CHR(32)CHR(32)CHR(32)02877 - Reopened Work Order
CHR(32)CHR(32)CHR(32)13684 - In Progress
</t>
  </si>
  <si>
    <t xml:space="preserve">Full-Time/Part-Time status
CHR(32)CHR(32)CHR(32)01854 - Full-time student
CHR(32)CHR(32)CHR(32)01855 - Part-time student
</t>
  </si>
  <si>
    <t xml:space="preserve">Tuition Status
CHR(32)CHR(32)CHR(32)01878 - Full-tuition student
CHR(32)CHR(32)CHR(32)01879 - Non-tuition student
CHR(32)CHR(32)CHR(32)01880 - Partial-tuition student
</t>
  </si>
  <si>
    <t xml:space="preserve">Transportation Status
CHR(32)CHR(32)CHR(32)02060 - Transported at public expense
CHR(32)CHR(32)CHR(32)02061 - Transported at reduced public expense
CHR(32)CHR(32)CHR(32)02062 - Transported, but not at public expense
CHR(32)CHR(32)CHR(32)02063 - Provided room, board, or payment in lieu of transportation
CHR(32)CHR(32)CHR(32)02064 - Not transported
CHR(32)CHR(32)CHR(32)09999 - Other
</t>
  </si>
  <si>
    <t xml:space="preserve">Substitute Status
CHR(32)CHR(32)CHR(32)01444 - Willing
CHR(32)CHR(32)CHR(32)01445 - Not willing
CHR(32)CHR(32)CHR(32)01446 - Currently substituting
</t>
  </si>
  <si>
    <t xml:space="preserve">Suicide Violation
CHR(32)CHR(32)CHR(32)04679 - Suicide
CHR(32)CHR(32)CHR(32)04680 - Attempted suicide
CHR(32)CHR(32)CHR(32)09999 - Other
</t>
  </si>
  <si>
    <t xml:space="preserve">Supplemental Pay Type
CHR(32)CHR(32)CHR(32)01470 - Bonus for student performance of school
CHR(32)CHR(32)CHR(32)01471 - Bonus for student performance of class
CHR(32)CHR(32)CHR(32)01472 - Merit bonus
CHR(32)CHR(32)CHR(32)01473 - Hazard pay
CHR(32)CHR(32)CHR(32)01474 - Locality supplement
CHR(32)CHR(32)CHR(32)01475 - Position bonus
CHR(32)CHR(32)CHR(32)01476 - Shortage position supplement
CHR(32)CHR(32)CHR(32)01477 - Saving bonus
CHR(32)CHR(32)CHR(32)01478 - Voluntary transfer
CHR(32)CHR(32)CHR(32)01479 - Bilingual work
CHR(32)CHR(32)CHR(32)01480 - Co-curricular activities
CHR(32)CHR(32)CHR(32)01481 - Coaching supplement
CHR(32)CHR(32)CHR(32)01482 - Curriculum work
CHR(32)CHR(32)CHR(32)01483 - Department chair
CHR(32)CHR(32)CHR(32)01484 - Extra-curricular activities
CHR(32)CHR(32)CHR(32)01485 - General additional duties
CHR(32)CHR(32)CHR(32)01486 - Longevity
CHR(32)CHR(32)CHR(32)01487 - Mentoring
CHR(32)CHR(32)CHR(32)02043 - Special education
CHR(32)CHR(32)CHR(32)01488 - Technology responsibilities
CHR(32)CHR(32)CHR(32)01489 - Training
CHR(32)CHR(32)CHR(32)00715 - Tutoring
CHR(32)CHR(32)CHR(32)01490 - Advance skill supplement
CHR(32)CHR(32)CHR(32)01491 - Assessment
CHR(32)CHR(32)CHR(32)01492 - Certification supplement
CHR(32)CHR(32)CHR(32)01493 - Credit/course completion supplement
CHR(32)CHR(32)CHR(32)01494 - Degree supplement
CHR(32)CHR(32)CHR(32)01495 - Education time
CHR(32)CHR(32)CHR(32)01496 - Professional affiliation supplement
CHR(32)CHR(32)CHR(32)01497 - Extended salary
CHR(32)CHR(32)CHR(32)01498 - Overtime
CHR(32)CHR(32)CHR(32)00138 - Summer salary
CHR(32)CHR(32)CHR(32)01499 - Sabbatical
CHR(32)CHR(32)CHR(32)09999 - Other
</t>
  </si>
  <si>
    <t xml:space="preserve">Tax Revenue Type
CHR(32)CHR(32)CHR(32)02957 - Local property tax
CHR(32)CHR(32)CHR(32)02958 - City commuter income tax
CHR(32)CHR(32)CHR(32)02959 - County or city sales tax
CHR(32)CHR(32)CHR(32)02960 - State property tax
CHR(32)CHR(32)CHR(32)02961 - State sales tax
CHR(32)CHR(32)CHR(32)02962 - State personal income tax
CHR(32)CHR(32)CHR(32)02963 - State corporate income tax
CHR(32)CHR(32)CHR(32)02964 - State lottery proceeds
CHR(32)CHR(32)CHR(32)02965 - State alcohol tax
CHR(32)CHR(32)CHR(32)02966 - State cigarette tax
CHR(32)CHR(32)CHR(32)02967 - Tobacco settlement revenue
CHR(32)CHR(32)CHR(32)01561 - Federal income tax
CHR(32)CHR(32)CHR(32)02968 - Developer impact fees
CHR(32)CHR(32)CHR(32)09999 - Other
</t>
  </si>
  <si>
    <t xml:space="preserve">Teacher Involvement in Assessment Development
CHR(32)CHR(32)CHR(32)00453 - Developed items
CHR(32)CHR(32)CHR(32)00454 - Edited items
CHR(32)CHR(32)CHR(32)00455 - Piloted items
CHR(32)CHR(32)CHR(32)00456 - Helped to select items
CHR(32)CHR(32)CHR(32)00458 - Scored items
CHR(32)CHR(32)CHR(32)00459 - Instrument selection
CHR(32)CHR(32)CHR(32)03466 - Test form review
CHR(32)CHR(32)CHR(32)09998 - None
CHR(32)CHR(32)CHR(32)09999 - Other
</t>
  </si>
  <si>
    <t xml:space="preserve">Teaching Field or Area Authorized
CHR(32)CHR(32)CHR(32)01981 - Preschool/early childhood
CHR(32)CHR(32)CHR(32)00805 - Kindergarten
CHR(32)CHR(32)CHR(32)02397 - Primary
CHR(32)CHR(32)CHR(32)01304 - Elementary
CHR(32)CHR(32)CHR(32)02400 - Middle
CHR(32)CHR(32)CHR(32)02403 - Secondary
CHR(32)CHR(32)CHR(32)00068 - Curriculum and instruction
CHR(32)CHR(32)CHR(32)00097 - Educational administration
CHR(32)CHR(32)CHR(32)01183 - Public administration and services
CHR(32)CHR(32)CHR(32)00302 - School counseling
CHR(32)CHR(32)CHR(32)00120 - Educational psychology
CHR(32)CHR(32)CHR(32)01164 - Library science
CHR(32)CHR(32)CHR(32)01305 - Accounting
CHR(32)CHR(32)CHR(32)01306 - Business and management
CHR(32)CHR(32)CHR(32)01307 - Other business
CHR(32)CHR(32)CHR(32)01163 - Liberal arts and sciences, general studies and humanities
CHR(32)CHR(32)CHR(32)01308 - English or language arts
CHR(32)CHR(32)CHR(32)01162 - English language and literature/letters
CHR(32)CHR(32)CHR(32)01309 - Journalism/communications
CHR(32)CHR(32)CHR(32)00560 - Reading
CHR(32)CHR(32)CHR(32)01310 - Speech
CHR(32)CHR(32)CHR(32)01311 - Architecture or environmental design
CHR(32)CHR(32)CHR(32)00684 - Dance
CHR(32)CHR(32)CHR(32)01312 - Drama/Theater
CHR(32)CHR(32)CHR(32)01313 - Music
CHR(32)CHR(32)CHR(32)01314 - Visual arts
CHR(32)CHR(32)CHR(32)02371 - Foreign language and literature
CHR(32)CHR(32)CHR(32)01315 - Chinese
CHR(32)CHR(32)CHR(32)01316 - French
CHR(32)CHR(32)CHR(32)01317 - German
CHR(32)CHR(32)CHR(32)01318 - Italian
CHR(32)CHR(32)CHR(32)01319 - Japanese
CHR(32)CHR(32)CHR(32)01320 - Latin
CHR(32)CHR(32)CHR(32)01321 - Russian
CHR(32)CHR(32)CHR(32)01322 - Spanish
CHR(32)CHR(32)CHR(32)01323 - Other languages
CHR(32)CHR(32)CHR(32)01324 - Computer science
CHR(32)CHR(32)CHR(32)01157 - Engineering
CHR(32)CHR(32)CHR(32)01166 - Mathematics
CHR(32)CHR(32)CHR(32)01325 - Biology or life science
CHR(32)CHR(32)CHR(32)01326 - Chemistry
CHR(32)CHR(32)CHR(32)01327 - Earth/space science/geology
CHR(32)CHR(32)CHR(32)01328 - General science
CHR(32)CHR(32)CHR(32)01329 - Health education
CHR(32)CHR(32)CHR(32)01330 - Physical science
CHR(32)CHR(32)CHR(32)01331 - Physics
CHR(32)CHR(32)CHR(32)01332 - Other natural sciences
CHR(32)CHR(32)CHR(32)01150 - Area, ethnic and cultural studies
CHR(32)CHR(32)CHR(32)01333 - American Indian/Native American studies
CHR(32)CHR(32)CHR(32)01334 - Anthropology
CHR(32)CHR(32)CHR(32)01335 - Civics
CHR(32)CHR(32)CHR(32)01336 - Economics
CHR(32)CHR(32)CHR(32)00547 - Geography
CHR(32)CHR(32)CHR(32)00550 - History
CHR(32)CHR(32)CHR(32)01337 - Humanities
CHR(32)CHR(32)CHR(32)01338 - Law
CHR(32)CHR(32)CHR(32)00558 - Multi/Interdisciplinary studies
CHR(32)CHR(32)CHR(32)01339 - Philosophy
CHR(32)CHR(32)CHR(32)01340 - Political science and government
CHR(32)CHR(32)CHR(32)01181 - Psychology
CHR(32)CHR(32)CHR(32)01342 - Religion
CHR(32)CHR(32)CHR(32)00563 - Social studies
CHR(32)CHR(32)CHR(32)01343 - Sociology
CHR(32)CHR(32)CHR(32)01344 - Other area or ethnic studies
CHR(32)CHR(32)CHR(32)01345 - Other social studies/social sciences
CHR(32)CHR(32)CHR(32)01346 - Basic skills or remedial education
CHR(32)CHR(32)CHR(32)00251 - Bilingual education
CHR(32)CHR(32)CHR(32)00256 - English as a second language (ESL)
CHR(32)CHR(32)CHR(32)00557 - Military science
CHR(32)CHR(32)CHR(32)00559 - Physical education
CHR(32)CHR(32)CHR(32)02381 - Gifted and talented
CHR(32)CHR(32)CHR(32)02043 - Special education
CHR(32)CHR(32)CHR(32)01348 - Autism
CHR(32)CHR(32)CHR(32)01349 - Deaf and hard-of-hearing
CHR(32)CHR(32)CHR(32)01350 - Developmentally delayed
CHR(32)CHR(32)CHR(32)01351 - Early childhood special education
CHR(32)CHR(32)CHR(32)01352 - Emotionally disturbed or behavior disorders
CHR(32)CHR(32)CHR(32)01353 - Learning disabilities
CHR(32)CHR(32)CHR(32)01354 - Mentally disabled
CHR(32)CHR(32)CHR(32)01355 - Mildly/moderately disabled
CHR(32)CHR(32)CHR(32)01357 - Severely/profoundly disabled
CHR(32)CHR(32)CHR(32)01356 - Orthopedically impaired
CHR(32)CHR(32)CHR(32)01358 - Speech/language impaired
CHR(32)CHR(32)CHR(32)01359 - Traumatically brain-injured
CHR(32)CHR(32)CHR(32)01360 - Visually impaired
CHR(32)CHR(32)CHR(32)01361 - Other special education
CHR(32)CHR(32)CHR(32)01362 - Agriculture or natural resources
CHR(32)CHR(32)CHR(32)01363 - Business/office
CHR(32)CHR(32)CHR(32)01364 - Career education
CHR(32)CHR(32)CHR(32)01153 - Communications technologies
CHR(32)CHR(32)CHR(32)01366 - Cosmetology
CHR(32)CHR(32)CHR(32)01367 - Family and consumer science (home economics)
CHR(32)CHR(32)CHR(32)01368 - Food/restaurant skills and services
CHR(32)CHR(32)CHR(32)01369 - Health professions and occupations
CHR(32)CHR(32)CHR(32)01370 - Trades and industry (e.g., CADD, electronics repair, mechanics, precision production)
CHR(32)CHR(32)CHR(32)01371 - Other vocational/technical education
CHR(32)CHR(32)CHR(32)09999 - Other
</t>
  </si>
  <si>
    <t xml:space="preserve">Technology Equipment
CHR(32)CHR(32)CHR(32)01279 - Computer
CHR(32)CHR(32)CHR(32)03172 - Computer projector
CHR(32)CHR(32)CHR(32)03173 - Digital video disk
CHR(32)CHR(32)CHR(32)03174 - Electronic whiteboard
CHR(32)CHR(32)CHR(32)03175 - Graphing calculator
CHR(32)CHR(32)CHR(32)03176 - Laptop/notebook computer
CHR(32)CHR(32)CHR(32)03177 - Monitor
CHR(32)CHR(32)CHR(32)03178 - Multimedia computer
CHR(32)CHR(32)CHR(32)03179 - Overhead opaque projector
CHR(32)CHR(32)CHR(32)03180 - Overhead transparency projector
CHR(32)CHR(32)CHR(32)03181 - Personal computer
CHR(32)CHR(32)CHR(32)03182 - Printer
CHR(32)CHR(32)CHR(32)03183 - Scanner
CHR(32)CHR(32)CHR(32)03184 - Server
CHR(32)CHR(32)CHR(32)03185 - Videoconferencing/distance education equipment
CHR(32)CHR(32)CHR(32)03186 - Videocassette recorder
</t>
  </si>
  <si>
    <t xml:space="preserve">Technology Equipment Networking
CHR(32)CHR(32)CHR(32)03190 - Connected to a local-area network (building-level LAN)
CHR(32)CHR(32)CHR(32)03191 - Connected to a wide-area network (district-level WAN)
CHR(32)CHR(32)CHR(32)03192 - Directly connected to the Internet
</t>
  </si>
  <si>
    <t xml:space="preserve">Technology Equipment Use/Purpose
CHR(32)CHR(32)CHR(32)04732 - Teacher
CHR(32)CHR(32)CHR(32)00126 - Student
CHR(32)CHR(32)CHR(32)03187 - Administrative staff
CHR(32)CHR(32)CHR(32)03188 - Support staff
CHR(32)CHR(32)CHR(32)03189 - General reference
CHR(32)CHR(32)CHR(32)09999 - Other
</t>
  </si>
  <si>
    <t xml:space="preserve">Test Score Status
CHR(32)CHR(32)CHR(32)03446 - Not tested
CHR(32)CHR(32)CHR(32)03447 - Valid score, used in AYP
CHR(32)CHR(32)CHR(32)03448 - Valid score, not used in AYP
CHR(32)CHR(32)CHR(32)03449 - Invalid score, used in AYP
CHR(32)CHR(32)CHR(32)03450 - Invalid score, not used in AYP
</t>
  </si>
  <si>
    <t xml:space="preserve">Theft Violation
CHR(32)CHR(32)CHR(32)04683 - General theft, Person
CHR(32)CHR(32)CHR(32)04684 - General theft, Other entity
CHR(32)CHR(32)CHR(32)09999 - Other
</t>
  </si>
  <si>
    <t xml:space="preserve">Threat/Intimidation Violation
CHR(32)CHR(32)CHR(32)04687 - Physical threat
CHR(32)CHR(32)CHR(32)04688 - Verbal threat
CHR(32)CHR(32)CHR(32)04689 - Written threat
CHR(32)CHR(32)CHR(32)04690 - Electronic threat
CHR(32)CHR(32)CHR(32)09999 - Other
</t>
  </si>
  <si>
    <t xml:space="preserve">Time Period Classification
CHR(32)CHR(32)CHR(32)01620 - Calendar year
CHR(32)CHR(32)CHR(32)01621 - Fiscal year
</t>
  </si>
  <si>
    <t xml:space="preserve">LEP Instructor Credential Type
CHR(32)CHR(32)CHR(32)00251 - Bilingual education
CHR(32)CHR(32)CHR(32)13405 - Both ESL and BE
CHR(32)CHR(32)CHR(32)13406 - Certified in content areas only
CHR(32)CHR(32)CHR(32)13407 - Certified in content with ESL/BE professional development training
CHR(32)CHR(32)CHR(32)00256 - English as a second language (ESL)
CHR(32)CHR(32)CHR(32)13408 - Not Certified, Licensed, or endorsed in any area
</t>
  </si>
  <si>
    <t xml:space="preserve">Tobacco Violation
CHR(32)CHR(32)CHR(32)04693 - Sale of tobacco
CHR(32)CHR(32)CHR(32)04694 - Distribution of tobacco
CHR(32)CHR(32)CHR(32)04695 - Use of tobacco
CHR(32)CHR(32)CHR(32)04696 - Possession of tobacco
CHR(32)CHR(32)CHR(32)04697 - Suspicion of use of tobacco
CHR(32)CHR(32)CHR(32)09999 - Other
</t>
  </si>
  <si>
    <t xml:space="preserve">Track System
CHR(32)CHR(32)CHR(32)02369 - Single-track
CHR(32)CHR(32)CHR(32)02370 - Multi-track
</t>
  </si>
  <si>
    <t xml:space="preserve">Transportation at Public Expense Eligibility
CHR(32)CHR(32)CHR(32)02068 - Eligible because of distance
CHR(32)CHR(32)CHR(32)02069 - Eligible because of disability
CHR(32)CHR(32)CHR(32)02070 - Eligible because of disability and distance
CHR(32)CHR(32)CHR(32)02071 - Eligible because of hazardous conditions
CHR(32)CHR(32)CHR(32)02072 - Eligible because of program for desegregation or integration
CHR(32)CHR(32)CHR(32)02073 - Eligible because of special instruction
CHR(32)CHR(32)CHR(32)02074 - Not eligible
CHR(32)CHR(32)CHR(32)09999 - Other
</t>
  </si>
  <si>
    <t xml:space="preserve">Type of Vending Item
CHR(32)CHR(32)CHR(32)02843 - Water
CHR(32)CHR(32)CHR(32)03277 - Juice with 50 percent or more fruit or vegetable juice
CHR(32)CHR(32)CHR(32)03278 - Juice with less than 50 percent fruit or vegetable juice
CHR(32)CHR(32)CHR(32)03279 - Low-fat or fat free milk
CHR(32)CHR(32)CHR(32)03280 - Carbonated drinks
CHR(32)CHR(32)CHR(32)03281 - Sports drink
CHR(32)CHR(32)CHR(32)03282 - Iced tea
CHR(32)CHR(32)CHR(32)03283 - Salty snack
CHR(32)CHR(32)CHR(32)03284 - Sweet snack
CHR(32)CHR(32)CHR(32)03285 - Coffee or tea
CHR(32)CHR(32)CHR(32)03286 - Non-milk dairy products
CHR(32)CHR(32)CHR(32)03287 - Reimbursable meals
CHR(32)CHR(32)CHR(32)03288 - Non-food items
CHR(32)CHR(32)CHR(32)09999 - Other
</t>
  </si>
  <si>
    <t xml:space="preserve">Unit of Basis for Measurement
CHR(32)CHR(32)CHR(32)02310 - Hour
CHR(32)CHR(32)CHR(32)02354 - Days
CHR(32)CHR(32)CHR(32)01452 - Half-week
CHR(32)CHR(32)CHR(32)01453 - Week
CHR(32)CHR(32)CHR(32)01454 - Two weeks
CHR(32)CHR(32)CHR(32)01455 - Half-month
CHR(32)CHR(32)CHR(32)01456 - Month
CHR(32)CHR(32)CHR(32)01457 - Two months
CHR(32)CHR(32)CHR(32)02355 - Quarters
CHR(32)CHR(32)CHR(32)02356 - Summer terms
CHR(32)CHR(32)CHR(32)01458 - Half-year
CHR(32)CHR(32)CHR(32)01459 - Year
CHR(32)CHR(32)CHR(32)01460 - Current pay period
CHR(32)CHR(32)CHR(32)01461 - Quarter-to-date
CHR(32)CHR(32)CHR(32)01462 - Year-to-date
CHR(32)CHR(32)CHR(32)01463 - Inception-to-date
CHR(32)CHR(32)CHR(32)01464 - Per occasion or job completion
CHR(32)CHR(32)CHR(32)01465 - Unit
CHR(32)CHR(32)CHR(32)01466 - Visit
CHR(32)CHR(32)CHR(32)09999 - Other
</t>
  </si>
  <si>
    <t xml:space="preserve">Vandalism Violation
CHR(32)CHR(32)CHR(32)04701 - Vandalism of school property
CHR(32)CHR(32)CHR(32)04702 - Vandalism of personal property
CHR(32)CHR(32)CHR(32)09999 - Other
</t>
  </si>
  <si>
    <t xml:space="preserve">Vehicle Driver's License Type
CHR(32)CHR(32)CHR(32)01447 - Automobile license
CHR(32)CHR(32)CHR(32)01448 - School bus license
CHR(32)CHR(32)CHR(32)01449 - Heavy equipment license
CHR(32)CHR(32)CHR(32)01450 - Commercial vehicle license
CHR(32)CHR(32)CHR(32)01451 - Motorcycle license
CHR(32)CHR(32)CHR(32)09999 - Other
</t>
  </si>
  <si>
    <t xml:space="preserve">Vocational Education
CHR(32)CHR(32)CHR(32)04907 - Agriculture
CHR(32)CHR(32)CHR(32)04908 - Consumer and home making
CHR(32)CHR(32)CHR(32)04909 - Marketing
CHR(32)CHR(32)CHR(32)04910 - Health
CHR(32)CHR(32)CHR(32)04911 - Technology/industrial arts
CHR(32)CHR(32)CHR(32)04912 - Occupational home economics
CHR(32)CHR(32)CHR(32)04913 - Business
CHR(32)CHR(32)CHR(32)04914 - Technical/Vocational
CHR(32)CHR(32)CHR(32)04915 - Trade and industrial
CHR(32)CHR(32)CHR(32)04916 - Other vocational education
CHR(32)CHR(32)CHR(32)09999 - Other
</t>
  </si>
  <si>
    <t xml:space="preserve">Voting Status
CHR(32)CHR(32)CHR(32)02052 - Registered
CHR(32)CHR(32)CHR(32)02053 - Not registered
CHR(32)CHR(32)CHR(32)02358 - Not eligible to vote
</t>
  </si>
  <si>
    <t xml:space="preserve">WAN Bandwidth to the Building
CHR(32)CHR(32)CHR(32)03438 - 128K
CHR(32)CHR(32)CHR(32)03439 - 256K
CHR(32)CHR(32)CHR(32)03440 - 720K
CHR(32)CHR(32)CHR(32)03441 - 1.5Mbps
CHR(32)CHR(32)CHR(32)03435 - 10Mbps
CHR(32)CHR(32)CHR(32)03436 - 100Mbps
CHR(32)CHR(32)CHR(32)03437 - 1Gbps
CHR(32)CHR(32)CHR(32)09999 - Other
</t>
  </si>
  <si>
    <t xml:space="preserve">Work Experience Paid
CHR(32)CHR(32)CHR(32)02042 - Yes, a salary was received
CHR(32)CHR(32)CHR(32)02043 - No, a salary was not received
CHR(32)CHR(32)CHR(32)09997 - Unknown
</t>
  </si>
  <si>
    <t xml:space="preserve">Work Experience Required
CHR(32)CHR(32)CHR(32)01102 - Required
CHR(32)CHR(32)CHR(32)01103 - Not required
CHR(32)CHR(32)CHR(32)09997 - Unknown
</t>
  </si>
  <si>
    <t xml:space="preserve">Work Order Priority
CHR(32)CHR(32)CHR(32)02991 - Emergency priority
CHR(32)CHR(32)CHR(32)02872 - Regular priority
CHR(32)CHR(32)CHR(32)02873 - Low priority
</t>
  </si>
  <si>
    <t xml:space="preserve">Workforce and Employment Development Program Type
CHR(32)CHR(32)CHR(32)15180 - Labor Exchange Services
CHR(32)CHR(32)CHR(32)15181 - Adult Workforce Investment Act Program
CHR(32)CHR(32)CHR(32)15182 - Dislocated Worker Workforce Investment Act Program
CHR(32)CHR(32)CHR(32)15183 - Youth Workforce Investment Act Program
CHR(32)CHR(32)CHR(32)15184 - Job Corps
CHR(32)CHR(32)CHR(32)15185 - Adult Education and Literacy
CHR(32)CHR(32)CHR(32)15186 - National Farmworker Jobs Program
CHR(32)CHR(32)CHR(32)15187 - Indian and Native American Programs
CHR(32)CHR(32)CHR(32)15188 - Veteran''s Programs
CHR(32)CHR(32)CHR(32)15189 - Trade Adjustment Assistance Program
CHR(32)CHR(32)CHR(32)15190 - YouthBuild Program
CHR(32)CHR(32)CHR(32)15191 - Title V Older Worker Program
CHR(32)CHR(32)CHR(32)15192 - Registered Apprenticeship
CHR(32)CHR(32)CHR(32)15193 - Non-traditional Apprenticeship
CHR(32)CHR(32)CHR(32)15194 - Vocational Rehabilitation
CHR(32)CHR(32)CHR(32)15195 - Food Stamp Employment and Training Program
CHR(32)CHR(32)CHR(32)15196 - TANF Employment and Training Program
CHR(32)CHR(32)CHR(32)15197 - Other On-The-Job training Program
CHR(32)CHR(32)CHR(32)15198 - Other Workforce Related Employment and Training Program
CHR(32)CHR(32)CHR(32)15199 - No identified services
</t>
  </si>
  <si>
    <t xml:space="preserve">AcademicAwardEarnedPriorToAdmission
CHR(32)CHR(32)CHR(32)AssociateDegree
CHR(32)CHR(32)CHR(32)BaccalaureateDegree
CHR(32)CHR(32)CHR(32)Doctorate
CHR(32)CHR(32)CHR(32)MastersDegree
CHR(32)CHR(32)CHR(32)ProfessionalDegree
CHR(32)CHR(32)CHR(32)TwoYearCollegeDiploma
</t>
  </si>
  <si>
    <t xml:space="preserve">AcademicAwardLevel
CHR(32)CHR(32)CHR(32)B17 - Did not complete secondary school
CHR(32)CHR(32)CHR(32)B18 - Standard High School Diploma which may or may not include an exit test
CHR(32)CHR(32)CHR(32)B19 - Advanced or honors diploma B20 Vocational diploma
CHR(32)CHR(32)CHR(32)B21 - Special Education Diploma normally for students with a disability
CHR(32)CHR(32)CHR(32)B22 - Certificate of completion or attendance
CHR(32)CHR(32)CHR(32)B23 - Special certificate of completion or attendance
CHR(32)CHR(32)CHR(32)B24 - General Education Development (GED) Diploma
CHR(32)CHR(32)CHR(32)B25 - Other high school equivalency diploma
CHR(32)CHR(32)CHR(32)B26 - International diploma or certificate such as International Baccalaureate
CHR(32)CHR(32)CHR(32)B27 - Standard High School Diploma with only 3 year curriculum
CHR(32)CHR(32)CHR(32)B28 - Met all graduation requirements except for required exit test
CHR(32)CHR(32)CHR(32)1.1 - Certificate of completion
CHR(32)CHR(32)CHR(32)1.2 - Certificate of proficiency
CHR(32)CHR(32)CHR(32)2.0 - Certificate
CHR(32)CHR(32)CHR(32)2.1 - Postsecondary Certificate or Diploma (less than one year)
CHR(32)CHR(32)CHR(32)2.2 - Postsecondary Certificate or Diploma (one year or more, but less than four years)
CHR(32)CHR(32)CHR(32)2.3 - Associate Degree (e.g., Associate in Arts, Associate in Science
CHR(32)CHR(32)CHR(32)2.4 - Baccalaureate Degree
CHR(32)CHR(32)CHR(32)2.5 - Baccalaureate (Honors) Degree
CHR(32)CHR(32)CHR(32)2.6 - Postsecondary Certificate or Diploma (one year or more, but less than two years)
CHR(32)CHR(32)CHR(32)2.7 - Postsecondary Certificate or Diploma (two years or more, but less than four years)
CHR(32)CHR(32)CHR(32)3.1 - First Professional Degree
CHR(32)CHR(32)CHR(32)3.2 - Post-Professional Degree
CHR(32)CHR(32)CHR(32)4.1 - Graduate Certificate
CHR(32)CHR(32)CHR(32)4.2 - Master's Degree
CHR(32)CHR(32)CHR(32)4.3 - Intermediate Graduate Degree
CHR(32)CHR(32)CHR(32)4.4 - Doctoral Degree
CHR(32)CHR(32)CHR(32)4.5 - Post-Doctoral Award
CHR(32)CHR(32)CHR(32)FrenchBaccalaureate
CHR(32)CHR(32)CHR(32)CEGEP - Collège d'enseignement general et professionnel
</t>
  </si>
  <si>
    <t xml:space="preserve">AcademicCompletionIndicator
CHR(32)CHR(32)CHR(32)true
CHR(32)CHR(32)CHR(32)false
</t>
  </si>
  <si>
    <t xml:space="preserve">AcademicProgramDegreeLevel
CHR(32)CHR(32)CHR(32)PostBaccalaureateCertificate
CHR(32)CHR(32)CHR(32)UndergraduateCertificate
CHR(32)CHR(32)CHR(32)AssociateDegree
CHR(32)CHR(32)CHR(32)BaccalaureateDegree
CHR(32)CHR(32)CHR(32)Certificate
CHR(32)CHR(32)CHR(32)Doctorate
CHR(32)CHR(32)CHR(32)GraduateDegree
CHR(32)CHR(32)CHR(32)HighSchool
CHR(32)CHR(32)CHR(32)MastersDegree
CHR(32)CHR(32)CHR(32)NonDegree
CHR(32)CHR(32)CHR(32)PostsecondaryDiploma
CHR(32)CHR(32)CHR(32)ProfessionalDegree
</t>
  </si>
  <si>
    <t xml:space="preserve">AcademicProgramType
CHR(32)CHR(32)CHR(32)Concentration
CHR(32)CHR(32)CHR(32)Focus
CHR(32)CHR(32)CHR(32)Major
CHR(32)CHR(32)CHR(32)Minor
CHR(32)CHR(32)CHR(32)SecondMajor
CHR(32)CHR(32)CHR(32)Specialization
</t>
  </si>
  <si>
    <t xml:space="preserve">AcademicTrainingLevelCode
CHR(32)CHR(32)CHR(32)Associate
CHR(32)CHR(32)CHR(32)Bachelors
CHR(32)CHR(32)CHR(32)Doctorate
CHR(32)CHR(32)CHR(32)Graduate
CHR(32)CHR(32)CHR(32)HighSchool
CHR(32)CHR(32)CHR(32)Professional
</t>
  </si>
  <si>
    <t xml:space="preserve">FullTimePartTime
CHR(32)CHR(32)CHR(32)FullTime
CHR(32)CHR(32)CHR(32)PartTime
</t>
  </si>
  <si>
    <t xml:space="preserve">AccreditingBodyCode
CHR(32)CHR(32)CHR(32)MSA - Middle States Association of Colleges and Schools, Commission on Higher Education
CHR(32)CHR(32)CHR(32)NCA-HLC - North Central Association of Colleges and Schools, Higher Learning Commission
CHR(32)CHR(32)CHR(32)NCA-CASI - North Central Association of Colleges and Schools, Commission on Accreditation and School Improvement, Board of Trustees
CHR(32)CHR(32)CHR(32)NEASC-CIHE - New England Association of Schools and Colleges, Inc., Commission on Institutions of Higher Education
CHR(32)CHR(32)CHR(32)NEASC-CTCI - New England Association of Schools and Colleges, Inc., Commission on Technical and Career Institutions
CHR(32)CHR(32)CHR(32)NWCCU - Northwest Commission on Colleges and Universities
CHR(32)CHR(32)CHR(32)SACS - Southern Association of Colleges and Schools, Commission on Colleges
CHR(32)CHR(32)CHR(32)WASC-ACCJC - Western Association of Schools and Colleges, Accrediting Commission for Community and Junior Colleges
CHR(32)CHR(32)CHR(32)WASC-ACSCU - Western Association of Schools and Colleges, Accrediting Commission for Senior Colleges and Universities
CHR(32)CHR(32)CHR(32)Other - Other accrediting bodies not shown above
</t>
  </si>
  <si>
    <t xml:space="preserve">AchievementCategoryCode
CHR(32)CHR(32)CHR(32)Academic
CHR(32)CHR(32)CHR(32)Arts
CHR(32)CHR(32)CHR(32)Athletic
CHR(32)CHR(32)CHR(32)BusinessEmployment
CHR(32)CHR(32)CHR(32)CommunityService
CHR(32)CHR(32)CHR(32)Leadership
CHR(32)CHR(32)CHR(32)Other
</t>
  </si>
  <si>
    <t xml:space="preserve">ActivityScopeCode
CHR(32)CHR(32)CHR(32)International
CHR(32)CHR(32)CHR(32)Local
CHR(32)CHR(32)CHR(32)National
CHR(32)CHR(32)CHR(32)Regional
</t>
  </si>
  <si>
    <t xml:space="preserve">AgencyCode
CHR(32)CHR(32)CHR(32)Province
CHR(32)CHR(32)CHR(32)State
CHR(32)CHR(32)CHR(32)Regional
CHR(32)CHR(32)CHR(32)National
CHR(32)CHR(32)CHR(32)MutuallyDefined
CHR(32)CHR(32)CHR(32)Migrant
CHR(32)CHR(32)CHR(32)District
</t>
  </si>
  <si>
    <t xml:space="preserve">AnswerSelectedCode
CHR(32)CHR(32)CHR(32)NotSelected
CHR(32)CHR(32)CHR(32)Selected
</t>
  </si>
  <si>
    <t xml:space="preserve">ApplicationProcessingGroupCode
CHR(32)CHR(32)CHR(32)ContinuingEducation
CHR(32)CHR(32)CHR(32)FirstTimeStudent
CHR(32)CHR(32)CHR(32)GraduateLevel
CHR(32)CHR(32)CHR(32)HighSchool
CHR(32)CHR(32)CHR(32)HighSchoolDual
CHR(32)CHR(32)CHR(32)International
CHR(32)CHR(32)CHR(32)MatureStudent
CHR(32)CHR(32)CHR(32)NonDegree
CHR(32)CHR(32)CHR(32)Other
CHR(32)CHR(32)CHR(32)PostBaccalaureate
CHR(32)CHR(32)CHR(32)PostDoctoral
CHR(32)CHR(32)CHR(32)PostGraduate
CHR(32)CHR(32)CHR(32)Professional
CHR(32)CHR(32)CHR(32)Readmit
CHR(32)CHR(32)CHR(32)Special
CHR(32)CHR(32)CHR(32)Transfer
CHR(32)CHR(32)CHR(32)Transient
CHR(32)CHR(32)CHR(32)Undergraduate
CHR(32)CHR(32)CHR(32)VisitingExchangeStudent
</t>
  </si>
  <si>
    <t xml:space="preserve">YesNo
CHR(32)CHR(32)CHR(32)Yes
CHR(32)CHR(32)CHR(32)No
</t>
  </si>
  <si>
    <t xml:space="preserve">AttendedCollegeCode
CHR(32)CHR(32)CHR(32)EitherParent
CHR(32)CHR(32)CHR(32)GrandParent
CHR(32)CHR(32)CHR(32)Siblings
CHR(32)CHR(32)CHR(32)Spouse
</t>
  </si>
  <si>
    <t xml:space="preserve">CanadianEthnicityCode
CHR(32)CHR(32)CHR(32)BillC31
CHR(32)CHR(32)CHR(32)FirstNations
CHR(32)CHR(32)CHR(32)FrenchAncestry
CHR(32)CHR(32)CHR(32)Inuit
CHR(32)CHR(32)CHR(32)Metis
</t>
  </si>
  <si>
    <t xml:space="preserve">CardIssuerCode
CHR(32)CHR(32)CHR(32)AmericanExpress
CHR(32)CHR(32)CHR(32)Discover
CHR(32)CHR(32)CHR(32)MasterCard
CHR(32)CHR(32)CHR(32)Other
CHR(32)CHR(32)CHR(32)Visa
</t>
  </si>
  <si>
    <t xml:space="preserve">CountryCode
CHR(32)CHR(32)CHR(32)AD - Andorra
CHR(32)CHR(32)CHR(32)AE - United Arab Emirates
CHR(32)CHR(32)CHR(32)AF - Afghanistan
CHR(32)CHR(32)CHR(32)AG - Antigua And Barbuda
CHR(32)CHR(32)CHR(32)AI - Anguilla
CHR(32)CHR(32)CHR(32)AL - Albania
CHR(32)CHR(32)CHR(32)AM - Armenia
CHR(32)CHR(32)CHR(32)AN - Netherlands Antilles
CHR(32)CHR(32)CHR(32)AO - Angola
CHR(32)CHR(32)CHR(32)AQ - Antarctica
CHR(32)CHR(32)CHR(32)AR - Argentina
CHR(32)CHR(32)CHR(32)AS - American Samoa
CHR(32)CHR(32)CHR(32)AT - Austria
CHR(32)CHR(32)CHR(32)AU - Australia
CHR(32)CHR(32)CHR(32)AW - Aruba
CHR(32)CHR(32)CHR(32)AX - Åland Islands
CHR(32)CHR(32)CHR(32)AZ - Azerbaijan
CHR(32)CHR(32)CHR(32)BA - Bosnia And Herzegovina
CHR(32)CHR(32)CHR(32)BB - Barbados
CHR(32)CHR(32)CHR(32)BD - Bangladesh
CHR(32)CHR(32)CHR(32)BE - Belgium
CHR(32)CHR(32)CHR(32)BF - Burkina Faso
CHR(32)CHR(32)CHR(32)BG - Bulgaria
CHR(32)CHR(32)CHR(32)BH - Bahrain
CHR(32)CHR(32)CHR(32)BI - Burundi
CHR(32)CHR(32)CHR(32)BJ - Benin
CHR(32)CHR(32)CHR(32)BL - Saint-Barthélemy
CHR(32)CHR(32)CHR(32)BM - Bermuda
CHR(32)CHR(32)CHR(32)BN - Brunei Darussalam
CHR(32)CHR(32)CHR(32)BO - Bolivia
CHR(32)CHR(32)CHR(32)BR - Brazil
CHR(32)CHR(32)CHR(32)BS - Bahamas
CHR(32)CHR(32)CHR(32)BT - Bhutan
CHR(32)CHR(32)CHR(32)BV - Bouvet Island
CHR(32)CHR(32)CHR(32)BW - Botswana
CHR(32)CHR(32)CHR(32)BY - Belarus
CHR(32)CHR(32)CHR(32)BZ - Belize
CHR(32)CHR(32)CHR(32)CA - Canada
CHR(32)CHR(32)CHR(32)CC - Cocos (Keeling) Islands
CHR(32)CHR(32)CHR(32)CD - Congo, The Democratic Republic Of The
CHR(32)CHR(32)CHR(32)CF - Central African Republic
CHR(32)CHR(32)CHR(32)CG - Congo
CHR(32)CHR(32)CHR(32)CH - Switzerland
CHR(32)CHR(32)CHR(32)CI - Cote D'ivoire
CHR(32)CHR(32)CHR(32)CK - Cook Islands
CHR(32)CHR(32)CHR(32)CL - Chile
CHR(32)CHR(32)CHR(32)CM - Cameroon
CHR(32)CHR(32)CHR(32)CN - China
CHR(32)CHR(32)CHR(32)CO - Colombia
CHR(32)CHR(32)CHR(32)CR - Costa Rica
CHR(32)CHR(32)CHR(32)CS - Serbia And Montenegro (Deleted as of April 2007 – see ME and RS) *
CHR(32)CHR(32)CHR(32)CU - Cuba
CHR(32)CHR(32)CHR(32)CV - Cape Verde
CHR(32)CHR(32)CHR(32)CX - Christmas Island
CHR(32)CHR(32)CHR(32)CY - Cyprus
CHR(32)CHR(32)CHR(32)CZ - Czech Republic
CHR(32)CHR(32)CHR(32)DE - Germany
CHR(32)CHR(32)CHR(32)DJ - Djibouti
CHR(32)CHR(32)CHR(32)DK - Denmark
CHR(32)CHR(32)CHR(32)DM - Dominica
CHR(32)CHR(32)CHR(32)DO - Dominican Republic
CHR(32)CHR(32)CHR(32)DZ - Algeria
CHR(32)CHR(32)CHR(32)EC - Ecuador
CHR(32)CHR(32)CHR(32)EE - Estonia
CHR(32)CHR(32)CHR(32)EG - Egypt
CHR(32)CHR(32)CHR(32)EH - Western Sahara
CHR(32)CHR(32)CHR(32)ER - Eritrea
CHR(32)CHR(32)CHR(32)ES - Spain
CHR(32)CHR(32)CHR(32)ET - Ethiopia
CHR(32)CHR(32)CHR(32)FI - Finland
CHR(32)CHR(32)CHR(32)FJ - Fiji
CHR(32)CHR(32)CHR(32)FK - Falkland Islands (Malvinas)
CHR(32)CHR(32)CHR(32)FM - Micronesia, Federated States Of
CHR(32)CHR(32)CHR(32)FO - Faroe Islands
CHR(32)CHR(32)CHR(32)FR - France
CHR(32)CHR(32)CHR(32)GA - Gabon
CHR(32)CHR(32)CHR(32)GB - United Kingdom
CHR(32)CHR(32)CHR(32)GD - Grenada
CHR(32)CHR(32)CHR(32)GE - Georgia
CHR(32)CHR(32)CHR(32)GF - French Guiana
CHR(32)CHR(32)CHR(32)GG - Guernsey
CHR(32)CHR(32)CHR(32)GH - Ghana
CHR(32)CHR(32)CHR(32)GI - Gibraltar
CHR(32)CHR(32)CHR(32)GL - Greenland
CHR(32)CHR(32)CHR(32)GM - Gambia
CHR(32)CHR(32)CHR(32)GN - Guinea
CHR(32)CHR(32)CHR(32)GP - Guadeloupe
CHR(32)CHR(32)CHR(32)GQ - Equatorial Guinea
CHR(32)CHR(32)CHR(32)GR - Greece
CHR(32)CHR(32)CHR(32)GS - South Georgia And The South Sandwich Islands
CHR(32)CHR(32)CHR(32)GT - Guatemala
CHR(32)CHR(32)CHR(32)GU - Guam
CHR(32)CHR(32)CHR(32)GW - Guinea Bissau
CHR(32)CHR(32)CHR(32)GY - Guyana
CHR(32)CHR(32)CHR(32)HK - Hong Kong
CHR(32)CHR(32)CHR(32)HM - Heard Island And Mcdonald Islands
CHR(32)CHR(32)CHR(32)HN - Honduras
CHR(32)CHR(32)CHR(32)HR - Croatia
CHR(32)CHR(32)CHR(32)HT - Haiti
CHR(32)CHR(32)CHR(32)HU - Hungary
CHR(32)CHR(32)CHR(32)ID - Indonesia
CHR(32)CHR(32)CHR(32)IE - Ireland
CHR(32)CHR(32)CHR(32)IL - Israel
CHR(32)CHR(32)CHR(32)IM - Isle of Man
CHR(32)CHR(32)CHR(32)IN - India
CHR(32)CHR(32)CHR(32)IO - British Indian Ocean Territory
CHR(32)CHR(32)CHR(32)IQ - Iraq
CHR(32)CHR(32)CHR(32)IR - Iran, Islamic Republic Of
CHR(32)CHR(32)CHR(32)IS - Iceland
CHR(32)CHR(32)CHR(32)IT - Italy
CHR(32)CHR(32)CHR(32)JE - Jersey
CHR(32)CHR(32)CHR(32)JM - Jamaica
CHR(32)CHR(32)CHR(32)JO - Jordan
CHR(32)CHR(32)CHR(32)JP - Japan
CHR(32)CHR(32)CHR(32)KE - Kenya
CHR(32)CHR(32)CHR(32)KG - Kyrgyzstan
CHR(32)CHR(32)CHR(32)KH - Cambodia
CHR(32)CHR(32)CHR(32)KI - Kiribati
CHR(32)CHR(32)CHR(32)KM - Comoros
CHR(32)CHR(32)CHR(32)KN - Saint Kitts And Nevis
CHR(32)CHR(32)CHR(32)KP - Korea, Democratic People's Republic Of
CHR(32)CHR(32)CHR(32)KR - Korea, Republic Of
CHR(32)CHR(32)CHR(32)KW - Kuwait
CHR(32)CHR(32)CHR(32)KY - Cayman Islands
CHR(32)CHR(32)CHR(32)KZ - Kazakhstan
CHR(32)CHR(32)CHR(32)LA - Lao People's Democratic Republic
CHR(32)CHR(32)CHR(32)LB - Lebanon
CHR(32)CHR(32)CHR(32)LC - Saint Lucia
CHR(32)CHR(32)CHR(32)LI - Liechtenstein
CHR(32)CHR(32)CHR(32)LK - Sri Lanka
CHR(32)CHR(32)CHR(32)LR - Liberia
CHR(32)CHR(32)CHR(32)LS - Lesotho
CHR(32)CHR(32)CHR(32)LT - Lithuania
CHR(32)CHR(32)CHR(32)LU - Luxembourg
CHR(32)CHR(32)CHR(32)LV - Latvia
CHR(32)CHR(32)CHR(32)LY - Libyan Arab Jamahiriya
CHR(32)CHR(32)CHR(32)MA - Morocco
CHR(32)CHR(32)CHR(32)MC - Monaco
CHR(32)CHR(32)CHR(32)MD - Moldova, Republic Of
CHR(32)CHR(32)CHR(32)ME - Montenegro
CHR(32)CHR(32)CHR(32)MF - Saint Martin (French Part)
CHR(32)CHR(32)CHR(32)MG - Madagascar
CHR(32)CHR(32)CHR(32)MH - Marshall Islands
CHR(32)CHR(32)CHR(32)MK - Macedonia, The Former Yugoslav Republic Of
CHR(32)CHR(32)CHR(32)ML - Mali
CHR(32)CHR(32)CHR(32)MM - Myanmar
CHR(32)CHR(32)CHR(32)MN - Mongolia
CHR(32)CHR(32)CHR(32)MO - Macao
CHR(32)CHR(32)CHR(32)MP - Northern Mariana Islands
CHR(32)CHR(32)CHR(32)MQ - Martinique
CHR(32)CHR(32)CHR(32)MR - Mauritania
CHR(32)CHR(32)CHR(32)MS - Montserrat
CHR(32)CHR(32)CHR(32)MT - Malta
CHR(32)CHR(32)CHR(32)MU - Mauritius
CHR(32)CHR(32)CHR(32)MV - Maldives
CHR(32)CHR(32)CHR(32)MW - Malawi
CHR(32)CHR(32)CHR(32)MX - Mexico
CHR(32)CHR(32)CHR(32)MY - Malaysia
CHR(32)CHR(32)CHR(32)MZ - Mozambique
CHR(32)CHR(32)CHR(32)NA - Namibia
CHR(32)CHR(32)CHR(32)NC - New Caledonia
CHR(32)CHR(32)CHR(32)NE - Niger
CHR(32)CHR(32)CHR(32)NF - Norfolk Island
CHR(32)CHR(32)CHR(32)NG - Nigeria
CHR(32)CHR(32)CHR(32)NI - Nicaragua
CHR(32)CHR(32)CHR(32)NL - Netherlands
CHR(32)CHR(32)CHR(32)NO - Norway
CHR(32)CHR(32)CHR(32)NP - Nepal
CHR(32)CHR(32)CHR(32)NR - Nauru
CHR(32)CHR(32)CHR(32)NU - Niue
CHR(32)CHR(32)CHR(32)NZ - New Zealand
CHR(32)CHR(32)CHR(32)OM - Oman
CHR(32)CHR(32)CHR(32)PA - Panama
CHR(32)CHR(32)CHR(32)PE - Peru
CHR(32)CHR(32)CHR(32)PF - French Polynesia
CHR(32)CHR(32)CHR(32)PG - Papua New Guinea
CHR(32)CHR(32)CHR(32)PH - Philippines
CHR(32)CHR(32)CHR(32)PK - Pakistan
CHR(32)CHR(32)CHR(32)PL - Poland
CHR(32)CHR(32)CHR(32)PM - Saint Pierre And Miquelon
CHR(32)CHR(32)CHR(32)PN - Pitcairn
CHR(32)CHR(32)CHR(32)PR - Puerto Rico
CHR(32)CHR(32)CHR(32)PS - Palestinian Territory, Occupied
CHR(32)CHR(32)CHR(32)PT - Portugal
CHR(32)CHR(32)CHR(32)PW - Palau
CHR(32)CHR(32)CHR(32)PY - Paraguay
CHR(32)CHR(32)CHR(32)QA - Qatar
CHR(32)CHR(32)CHR(32)RE - Reunion
CHR(32)CHR(32)CHR(32)RO - Romania
CHR(32)CHR(32)CHR(32)RS - Serbia
CHR(32)CHR(32)CHR(32)RU - Russian Federation
CHR(32)CHR(32)CHR(32)RW - Rwanda
CHR(32)CHR(32)CHR(32)SA - Saudi Arabia
CHR(32)CHR(32)CHR(32)SB - Solomon Islands
CHR(32)CHR(32)CHR(32)SC - Seychelles
CHR(32)CHR(32)CHR(32)SD - Sudan
CHR(32)CHR(32)CHR(32)SE - Sweden
CHR(32)CHR(32)CHR(32)SG - Singapore
CHR(32)CHR(32)CHR(32)SH - Saint Helena
CHR(32)CHR(32)CHR(32)SI - Slovenia
CHR(32)CHR(32)CHR(32)SJ - Svalbard And Jan Mayen
CHR(32)CHR(32)CHR(32)SK - Slovakia
CHR(32)CHR(32)CHR(32)SL - Sierra Leone
CHR(32)CHR(32)CHR(32)SM - San Marino
CHR(32)CHR(32)CHR(32)SN - Senegal
CHR(32)CHR(32)CHR(32)SO - Somalia
CHR(32)CHR(32)CHR(32)SR - Suriname
CHR(32)CHR(32)CHR(32)ST - Sao Tome And Principe
CHR(32)CHR(32)CHR(32)SV - El Salvador
CHR(32)CHR(32)CHR(32)SY - Syrian Arab Republic
CHR(32)CHR(32)CHR(32)SZ - Swaziland
CHR(32)CHR(32)CHR(32)TC - Turks And Caicos Islands
CHR(32)CHR(32)CHR(32)TD - Chad
CHR(32)CHR(32)CHR(32)TF - French Southern Territories
CHR(32)CHR(32)CHR(32)TG - Togo
CHR(32)CHR(32)CHR(32)TH - Thailand
CHR(32)CHR(32)CHR(32)TJ - Tajikistan
CHR(32)CHR(32)CHR(32)TK - Tokelau
CHR(32)CHR(32)CHR(32)TL - Timor Leste
CHR(32)CHR(32)CHR(32)TM - Turkmenistan
CHR(32)CHR(32)CHR(32)TN - Tunisia
CHR(32)CHR(32)CHR(32)TO - Tonga
CHR(32)CHR(32)CHR(32)TR - Turkey
CHR(32)CHR(32)CHR(32)TT - Trinidad And Tobago
CHR(32)CHR(32)CHR(32)TV - Tuvalu
CHR(32)CHR(32)CHR(32)TW - Taiwan, Province Of China
CHR(32)CHR(32)CHR(32)TZ - Tanzania, United Republic Of
CHR(32)CHR(32)CHR(32)UA - Ukraine
CHR(32)CHR(32)CHR(32)UG - Uganda
CHR(32)CHR(32)CHR(32)UM - United States Minor Outlying Islands
CHR(32)CHR(32)CHR(32)US - United States
CHR(32)CHR(32)CHR(32)UY - Uruguay
CHR(32)CHR(32)CHR(32)UZ - Uzbekistan
CHR(32)CHR(32)CHR(32)VA - Holy See (Vatican City State)
CHR(32)CHR(32)CHR(32)VC - Saint Vincent And The Grenadines
CHR(32)CHR(32)CHR(32)VE - Venezuela
CHR(32)CHR(32)CHR(32)VG - Virgin Islands, British
CHR(32)CHR(32)CHR(32)VI - Virgin Islands, U.S.
CHR(32)CHR(32)CHR(32)VN - Viet Nam
CHR(32)CHR(32)CHR(32)VU - Vanuatu
CHR(32)CHR(32)CHR(32)WF - Wallis And Futuna
CHR(32)CHR(32)CHR(32)WS - Samoa
CHR(32)CHR(32)CHR(32)YE - Yemen
CHR(32)CHR(32)CHR(32)YT - Mayotte
CHR(32)CHR(32)CHR(32)ZA - South Africa
CHR(32)CHR(32)CHR(32)ZM - Zambia
CHR(32)CHR(32)CHR(32)ZW - Zimbabwe
</t>
  </si>
  <si>
    <t xml:space="preserve">CitizenshipStatusCode
CHR(32)CHR(32)CHR(32)Asylee
CHR(32)CHR(32)CHR(32)Citizen
CHR(32)CHR(32)CHR(32)EligibleNonCitizen
CHR(32)CHR(32)CHR(32)IllegalAlien
CHR(32)CHR(32)CHR(32)LandedImmigrant
CHR(32)CHR(32)CHR(32)MinistersPermit
CHR(32)CHR(32)CHR(32)NonCitizen
CHR(32)CHR(32)CHR(32)NonPermanentResidentAlien
CHR(32)CHR(32)CHR(32)NonResidentAlien
CHR(32)CHR(32)CHR(32)NonResidentCitizen
CHR(32)CHR(32)CHR(32)NotEligible
CHR(32)CHR(32)CHR(32)PermanentVisa
CHR(32)CHR(32)CHR(32)Refugee
CHR(32)CHR(32)CHR(32)ResidentAlien
CHR(32)CHR(32)CHR(32)StudentAuthorization
CHR(32)CHR(32)CHR(32)StudentVisa
CHR(32)CHR(32)CHR(32)TemporaryVisa
CHR(32)CHR(32)CHR(32)UndocumentedAlien
CHR(32)CHR(32)CHR(32)VisitorVisa
CHR(32)CHR(32)CHR(32)WorkVisa
</t>
  </si>
  <si>
    <t xml:space="preserve">ContactPreferenceCode
CHR(32)CHR(32)CHR(32)Email
CHR(32)CHR(32)CHR(32)InstantMessage
CHR(32)CHR(32)CHR(32)Phone
CHR(32)CHR(32)CHR(32)PostalMail
CHR(32)CHR(32)CHR(32)TextMessage
</t>
  </si>
  <si>
    <t xml:space="preserve">CourseAcademicGradeStatusCode
CHR(32)CHR(32)CHR(32)Completed
CHR(32)CHR(32)CHR(32)PlanningToTake
CHR(32)CHR(32)CHR(32)AuditedCourse
CHR(32)CHR(32)CHR(32)HonorsGrade
CHR(32)CHR(32)CHR(32)Incomplete
CHR(32)CHR(32)CHR(32)IncompleteNotResolvedFail
CHR(32)CHR(32)CHR(32)InProgress
CHR(32)CHR(32)CHR(32)NotYetReported
CHR(32)CHR(32)CHR(32)OtherFail
CHR(32)CHR(32)CHR(32)OtherPass
CHR(32)CHR(32)CHR(32)PassFailFail
CHR(32)CHR(32)CHR(32)PassFailPass
CHR(32)CHR(32)CHR(32)TransferNoGrade
CHR(32)CHR(32)CHR(32)Withdrew
CHR(32)CHR(32)CHR(32)WithdrewFailing
CHR(32)CHR(32)CHR(32)WithdrewNoPenalty
CHR(32)CHR(32)CHR(32)WithdrewPassing
</t>
  </si>
  <si>
    <t xml:space="preserve">CourseAcademicSupplementalGradeStatusCode
CHR(32)CHR(32)CHR(32)AuditedCourse
CHR(32)CHR(32)CHR(32)HonorsGrade
CHR(32)CHR(32)CHR(32)Incomplete
CHR(32)CHR(32)CHR(32)IncompleteNotResolvedFai
CHR(32)CHR(32)CHR(32)InProgress
CHR(32)CHR(32)CHR(32)NotYetReported
CHR(32)CHR(32)CHR(32)OtherFail
CHR(32)CHR(32)CHR(32)OtherPass
CHR(32)CHR(32)CHR(32)PassFailFail
CHR(32)CHR(32)CHR(32)PassFailPass
CHR(32)CHR(32)CHR(32)TransferNoGrade
CHR(32)CHR(32)CHR(32)Withdrew
CHR(32)CHR(32)CHR(32)WithdrewFailing
CHR(32)CHR(32)CHR(32)WithdrewNoPenalty
CHR(32)CHR(32)CHR(32)WithdrewPassing
</t>
  </si>
  <si>
    <t xml:space="preserve">CourseApplicability
CHR(32)CHR(32)CHR(32)BothPrograms
CHR(32)CHR(32)CHR(32)FirstProgram
CHR(32)CHR(32)CHR(32)SecondProgram
CHR(32)CHR(32)CHR(32)NotApplicable
</t>
  </si>
  <si>
    <t xml:space="preserve">CourseCreditBasis
CHR(32)CHR(32)CHR(32)Correspondence
CHR(32)CHR(32)CHR(32)LifeExperience
CHR(32)CHR(32)CHR(32)AcademicRenewal
CHR(32)CHR(32)CHR(32)AdultBasic
CHR(32)CHR(32)CHR(32)AdvancedPlacement
CHR(32)CHR(32)CHR(32)AdvancedStanding
CHR(32)CHR(32)CHR(32)ContinuingEducation
CHR(32)CHR(32)CHR(32)CreditByExam
CHR(32)CHR(32)CHR(32)Equivalence
CHR(32)CHR(32)CHR(32)Exemption
CHR(32)CHR(32)CHR(32)HighSchoolCreditOnly
CHR(32)CHR(32)CHR(32)HighSchoolDualCredit
CHR(32)CHR(32)CHR(32)HighSchoolTransferCredit
CHR(32)CHR(32)CHR(32)InternationalBaccalaureate
CHR(32)CHR(32)CHR(32)JuniorHighSchoolCredit
CHR(32)CHR(32)CHR(32)Major
CHR(32)CHR(32)CHR(32)Military
CHR(32)CHR(32)CHR(32)Regular
CHR(32)CHR(32)CHR(32)Remedial
</t>
  </si>
  <si>
    <t xml:space="preserve">CourseCreditLevel
CHR(32)CHR(32)CHR(32)Grade13
CHR(32)CHR(32)CHR(32)Ungraded
CHR(32)CHR(32)CHR(32)Dual
CHR(32)CHR(32)CHR(32)DualGraduateUndergraduate
CHR(32)CHR(32)CHR(32)DualHighSchoolCollege
CHR(32)CHR(32)CHR(32)EighthGrade
CHR(32)CHR(32)CHR(32)EleventhGrade
CHR(32)CHR(32)CHR(32)Graduate
CHR(32)CHR(32)CHR(32)GraduateProfessional
CHR(32)CHR(32)CHR(32)LowerDivision
CHR(32)CHR(32)CHR(32)Professional
CHR(32)CHR(32)CHR(32)NinthGrade
CHR(32)CHR(32)CHR(32)Secondary
CHR(32)CHR(32)CHR(32)SeventhGrade
CHR(32)CHR(32)CHR(32)TechnicalPreparatory
CHR(32)CHR(32)CHR(32)TenthGrade
CHR(32)CHR(32)CHR(32)TwelfthGrade
CHR(32)CHR(32)CHR(32)Undergraduate
CHR(32)CHR(32)CHR(32)UpperDivision
CHR(32)CHR(32)CHR(32)Vocational
</t>
  </si>
  <si>
    <t xml:space="preserve">CourseLevel
CHR(32)CHR(32)CHR(32)Dual Grad/Upper
CHR(32)CHR(32)CHR(32)Dual HS/Undergrad
CHR(32)CHR(32)CHR(32)Accelerated
CHR(32)CHR(32)CHR(32)AdultBasic
CHR(32)CHR(32)CHR(32)AdvancedPlacement
CHR(32)CHR(32)CHR(32)Basic
CHR(32)CHR(32)CHR(32)CollegeLevel
CHR(32)CHR(32)CHR(32)CollegePreparatory
CHR(32)CHR(32)CHR(32)Dual
CHR(32)CHR(32)CHR(32)GiftedTalented
CHR(32)CHR(32)CHR(32)GraduateProfessional
CHR(32)CHR(32)CHR(32)Honors
CHR(32)CHR(32)CHR(32)InternationalBaccalaureate
CHR(32)CHR(32)CHR(32)LowerDivision
CHR(32)CHR(32)CHR(32)NonAcademic
CHR(32)CHR(32)CHR(32)Regents
CHR(32)CHR(32)CHR(32)Remedial
CHR(32)CHR(32)CHR(32)SpecialEducation
CHR(32)CHR(32)CHR(32)TechnicalPreparatory
CHR(32)CHR(32)CHR(32)UpperDivision
CHR(32)CHR(32)CHR(32)Vocational
</t>
  </si>
  <si>
    <t xml:space="preserve">CPTTrainingLevelCode
CHR(32)CHR(32)CHR(32)Associate
CHR(32)CHR(32)CHR(32)Bachelors
CHR(32)CHR(32)CHR(32)Doctorate
CHR(32)CHR(32)CHR(32)Graduate
CHR(32)CHR(32)CHR(32)HighSchool
CHR(32)CHR(32)CHR(32)Professional
</t>
  </si>
  <si>
    <t xml:space="preserve">CreditUnit
CHR(32)CHR(32)CHR(32)CarnegieUnits
CHR(32)CHR(32)CHR(32)ClockHours
CHR(32)CHR(32)CHR(32)ContinuingEducationUnits
CHR(32)CHR(32)CHR(32)NoCredit
CHR(32)CHR(32)CHR(32)Other
CHR(32)CHR(32)CHR(32)Quarter
CHR(32)CHR(32)CHR(32)Semester
CHR(32)CHR(32)CHR(32)Units
CHR(32)CHR(32)CHR(32)Unreported
</t>
  </si>
  <si>
    <t xml:space="preserve">DecisionToApplyCode
CHR(32)CHR(32)CHR(32)Alumni
CHR(32)CHR(32)CHR(32)CampusEvent
CHR(32)CHR(32)CHR(32)CampusVisit
CHR(32)CHR(32)CHR(32)ClassmateCollege
CHR(32)CHR(32)CHR(32)ClassmateHighSchool
CHR(32)CHR(32)CHR(32)CollegeFair
CHR(32)CHR(32)CHR(32)CollegeProfessor
CHR(32)CHR(32)CHR(32)CoWorker
CHR(32)CHR(32)CHR(32)Friend
CHR(32)CHR(32)CHR(32)GuidanceCounselor
CHR(32)CHR(32)CHR(32)HumanResourceDepartment
CHR(32)CHR(32)CHR(32)IndependentCounselor
CHR(32)CHR(32)CHR(32)InformationEvent
CHR(32)CHR(32)CHR(32)InstitutionCorrespondence
CHR(32)CHR(32)CHR(32)InstitutionReputation
CHR(32)CHR(32)CHR(32)Internet
CHR(32)CHR(32)CHR(32)Location
CHR(32)CHR(32)CHR(32)MastersBusinessAdministrationForum
CHR(32)CHR(32)CHR(32)Media
CHR(32)CHR(32)CHR(32)MediaRanking
CHR(32)CHR(32)CHR(32)OffCampusEvent
CHR(32)CHR(32)CHR(32)Other
CHR(32)CHR(32)CHR(32)PlacementDepartment
CHR(32)CHR(32)CHR(32)Recruiter
CHR(32)CHR(32)CHR(32)Relative
CHR(32)CHR(32)CHR(32)Supervisor
CHR(32)CHR(32)CHR(32)Tuition
CHR(32)CHR(32)CHR(32)VisitToHighSchool
CHR(32)CHR(32)CHR(32)WebSite
</t>
  </si>
  <si>
    <t xml:space="preserve">Delinquencies
CHR(32)CHR(32)CHR(32)ExclusionAcademic - Student is not eligible to continue or return to the school for academic reasons.  Students, in some cases, may petition to return on probation.
CHR(32)CHR(32)CHR(32)ExclusionDiscipline - Student is not eligible to continue or return to the school for disciplinary reasons.  Students, in some cases, may petition to return on probation.
CHR(32)CHR(32)CHR(32)GoodStanding - Student was in good standing
CHR(32)CHR(32)CHR(32)Other
CHR(32)CHR(32)CHR(32)ProbationDiscipline - Student was on disciplinary probation
CHR(32)CHR(32)CHR(32)ProbationGPA - Student was on academic probation because of low GPA
CHR(32)CHR(32)CHR(32)ProbationHours - Student was on academic probation because of a deficiency in credit hours earned
CHR(32)CHR(32)CHR(32)SuspensionDiscipline - Student was on disciplinary suspension
CHR(32)CHR(32)CHR(32)SuspensionGPA - Student was on academic suspension because of low GPA
CHR(32)CHR(32)CHR(32)SuspensionHours - Student was on academic suspension because of a a deficiency in credit hours earned
CHR(32)CHR(32)CHR(32)Unknown
</t>
  </si>
  <si>
    <t xml:space="preserve">DependencyStatusCode
CHR(32)CHR(32)CHR(32)Dependent
CHR(32)CHR(32)CHR(32)Independent
</t>
  </si>
  <si>
    <t xml:space="preserve">DesignateCode
CHR(32)CHR(32)CHR(32)AuthorizedDesignate
CHR(32)CHR(32)CHR(32)EmergencyContact
</t>
  </si>
  <si>
    <t xml:space="preserve">EarlyIndicatorCode
CHR(32)CHR(32)CHR(32)EarlyAction
CHR(32)CHR(32)CHR(32)EarlyAdmission
CHR(32)CHR(32)CHR(32)EarlyDecision
CHR(32)CHR(32)CHR(32)RestrictedEarlyAction
</t>
  </si>
  <si>
    <t xml:space="preserve">EducationLevel
CHR(32)CHR(32)CHR(32)AssociateDegree
CHR(32)CHR(32)CHR(32)BaccalaureateDegree
CHR(32)CHR(32)CHR(32)CollegeAttended
CHR(32)CHR(32)CHR(32)CollegeCertificate
CHR(32)CHR(32)CHR(32)CollegeDiploma
CHR(32)CHR(32)CHR(32)DoctoralDegree
CHR(32)CHR(32)CHR(32)Elementary
CHR(32)CHR(32)CHR(32)FourYearCollegeGraduate
CHR(32)CHR(32)CHR(32)HighSchoolAttended
CHR(32)CHR(32)CHR(32)HighSchoolGraduate
CHR(32)CHR(32)CHR(32)JuniorHighSchool
CHR(32)CHR(32)CHR(32)MastersDegree
CHR(32)CHR(32)CHR(32)MiddleSchool
CHR(32)CHR(32)CHR(32)NoHighSchool
CHR(32)CHR(32)CHR(32)None
CHR(32)CHR(32)CHR(32)PostGraduateStudy
CHR(32)CHR(32)CHR(32)ProfessionalAttended
CHR(32)CHR(32)CHR(32)ProfessionalCertification
CHR(32)CHR(32)CHR(32)ProfessionalDegree
CHR(32)CHR(32)CHR(32)SecondarySchool
CHR(32)CHR(32)CHR(32)TwoYearCollegeGraduate
CHR(32)CHR(32)CHR(32)VocationalSchool
</t>
  </si>
  <si>
    <t xml:space="preserve">ExchangeVisitorPositionCode
CHR(32)CHR(32)CHR(32)100 - CATEGORY - GOVERNMENT
CHR(32)CHR(32)CHR(32)110 - CENTRAL GOVERNMENT GROUP
CHR(32)CHR(32)CHR(32)111 - HEAD OF GOVERNMENT
CHR(32)CHR(32)CHR(32)112 - MINISTERIAL LEVEL OFFICIAL
CHR(32)CHR(32)CHR(32)113 - EXECUTIVE LEVEL OFFICIAL
CHR(32)CHR(32)CHR(32)114 - CIVIL SERVICE EMPLOYEE IN CENTRAL GOVERNMENT
CHR(32)CHR(32)CHR(32)115 - PROFESSIONALS AND SCIENTISTS IN CENTRAL GOVENMENT
CHR(32)CHR(32)CHR(32)116 - LEGISLATOR IN CENTRAL GOVERNMENT
CHR(32)CHR(32)CHR(32)117 - JUDGES IN CENTRAL GOVERNMENT
CHR(32)CHR(32)CHR(32)118 - MANAGER OF STATE ENTERPRISE
CHR(32)CHR(32)CHR(32)119 - CENTRAL GOVERNMENT, OTHER
CHR(32)CHR(32)CHR(32)120 - REGIONAL, STATE OR PROVINCIAL GOVERNMENT GROUP
CHR(32)CHR(32)CHR(32)121 - GOVERNOR OR OTHER CHIEF OF REGIONAL UNIT
CHR(32)CHR(32)CHR(32)122 - SENIOR HEAD OF REGIONAL DEPT
CHR(32)CHR(32)CHR(32)123 - EXECUTIVE LEVEL REGIONAL OFFICIALS
CHR(32)CHR(32)CHR(32)124 - CIVIL SERVICE EMPLOYEE IN REGIONAL/STATE GOVERNMENT
CHR(32)CHR(32)CHR(32)125 - PROFESSIONALS AND SCIENTISTS IN REGIONAL GOVERNMENT
CHR(32)CHR(32)CHR(32)126 - LEGISLATOR IN REGIONAL OR STATE GOVERNMENT
CHR(32)CHR(32)CHR(32)127 - JUDGES IN REGIONAL OR STATE GOVERNMENT
CHR(32)CHR(32)CHR(32)128 - MANAGER OF REGIONAL ENTERPRISE
CHR(32)CHR(32)CHR(32)129 - OTHER, REGIONAL GOVERNMENT
CHR(32)CHR(32)CHR(32)130 - CITY OR TOWN GOVERNMENT GROUP
CHR(32)CHR(32)CHR(32)131 - MAYOR OR CITY MANAGER
CHR(32)CHR(32)CHR(32)132 - HEAD OF CITY DEPARTMENT
CHR(32)CHR(32)CHR(32)133 - EXECUTIVE LEVEL CITY OR TOWN OFFICIALS
CHR(32)CHR(32)CHR(32)134 - CIVIL SERVICE EMPLOYEE IN CITY OR TOWN GOVERNMENT
CHR(32)CHR(32)CHR(32)135 - PROFESSIONALS AND SCIENTISTS IN CITY OR TOWN GOVERNMENT
CHR(32)CHR(32)CHR(32)136 - LEGISLATOR IN CITY OR TOWN GOVERNMENT
CHR(32)CHR(32)CHR(32)137 - JUDGES IN CITY OR TOWN GOVERNMENT
CHR(32)CHR(32)CHR(32)138 - MANAGER OF CITY ENTERPRISE
CHR(32)CHR(32)CHR(32)139 - OTHER, CITY OR TOWN GOVERNMENT
CHR(32)CHR(32)CHR(32)140 - INTERNATIONAL ORGANIZAATION GROUP
CHR(32)CHR(32)CHR(32)141 - HEAD OF INTERNATIONAL ORGANIZATION GROUP
CHR(32)CHR(32)CHR(32)142 - SENIOR OFFICIAL OF INTERNATIONAL ORGAINZATION
CHR(32)CHR(32)CHR(32)143 - EMPLOYEE OF INTERNATIONAL ORGANIZATION
CHR(32)CHR(32)CHR(32)200 - CATEGORY - ACADEMIC COMMUNITY
CHR(32)CHR(32)CHR(32)210 - UNIVERSITY LEVEL GROUP
CHR(32)CHR(32)CHR(32)211 - UNIVERSITY PRESIDENT OR RECTOR
CHR(32)CHR(32)CHR(32)212 - UNIVERSITY ADMINISTRATIVE STAFF
CHR(32)CHR(32)CHR(32)213 - UNIVERSITY TEACHING STAFF INCLUDING RESEARCHERS
CHR(32)CHR(32)CHR(32)214 - UNIVERSITY GRADUATE STUDENTS
CHR(32)CHR(32)CHR(32)215 - UNIVERSITY UNDERGRADUATE STUDENTS
CHR(32)CHR(32)CHR(32)216 - UNIVERSITY MEDICAL SCHOOL STUDENTS
CHR(32)CHR(32)CHR(32)217 - UNIVERSITY SCHOOL STUDENTS IN OTHER PROFESSIONS
CHR(32)CHR(32)CHR(32)218 - UNIVERSITY POST GRAD MEDICAL TRAINEE
CHR(32)CHR(32)CHR(32)219 - OTHER UNIVERSITY
CHR(32)CHR(32)CHR(32)220 - SECONDARY SCHOOL GROUP
CHR(32)CHR(32)CHR(32)221 - SECONDARY SCHOOL PRINCIPAL
CHR(32)CHR(32)CHR(32)222 - SECONDARY SCHOOL TEACHER OR STAFF
CHR(32)CHR(32)CHR(32)223 - SECONDARY SCHOOL STUDENT
CHR(32)CHR(32)CHR(32)229 - OTHER SECONDARY SCHOOL
CHR(32)CHR(32)CHR(32)230 - ELEMENTARY SCHOOL GROUP
CHR(32)CHR(32)CHR(32)231 - TEACHER OR STAFF ELEMENTARY PRINCIPAL
CHR(32)CHR(32)CHR(32)239 - OTHER ELEMENTARY SCHOOL
CHR(32)CHR(32)CHR(32)240 - SPECIAL SCHOOLS, INSTITUTES, OR VOCATIONAL SCHOOL GROUPS
CHR(32)CHR(32)CHR(32)241 - SPECIAL SCHOOL, INSTITUTE, OR VOCATIONAL HEAD
CHR(32)CHR(32)CHR(32)242 - SPECIAL SCHOOL, INSTITUTE, OR VOCATIONAL TEACHER OR STAFF
CHR(32)CHR(32)CHR(32)249 - SPECIAL SCHOOL, INSTITUTE, OR VOCATIONAL – OTHER
CHR(32)CHR(32)CHR(32)300 - CATEGORY - PRIVATE SECTOR
CHR(32)CHR(32)CHR(32)310 - PRIVATE BUSINESS GROUP
CHR(32)CHR(32)CHR(32)311 - PRIVATE BUSINESS ENTREPRENEUR
CHR(32)CHR(32)CHR(32)312 - CORPORATE EXECUTIVE
CHR(32)CHR(32)CHR(32)313 - MANAGER EMPLOYED BY PRIVATE BUSINESS
CHR(32)CHR(32)CHR(32)314 - EMPLOYEE OF PRIVATE BUSINESS
CHR(32)CHR(32)CHR(32)315 - PROFESSIONAL OR SCIENTISTS IN PRIVATE BUSINESS
CHR(32)CHR(32)CHR(32)319 - PRIVATE BUSINESS, OTHER
CHR(32)CHR(32)CHR(32)320 - SELF-EMPLOYED PROFESSIONALS GROUP
CHR(32)CHR(32)CHR(32)321 - SELF-EMPLOYED PROFESSIONALS (LEGAL FIELD)
CHR(32)CHR(32)CHR(32)322 - SELF-EMPLOYED PROFESSIONALS (MEDICAL FIELD)
CHR(32)CHR(32)CHR(32)323 - SELF-EMPLOYED PROFESSIONALS (TECHNICAL FIELD)
CHR(32)CHR(32)CHR(32)329 - SELF-EMPLOYED PROFESSIONALS – OTHER
CHR(32)CHR(32)CHR(32)330 - INDEPENDENT, NON-PROFIT, HOSPITALS, OR OTHER ORGANIZATION GROUPS
CHR(32)CHR(32)CHR(32)331 - DIRECTOR OF INSTIT/CORP. OR HOSPITAL
CHR(32)CHR(32)CHR(32)332 - MANAGER-EXEC EMPLOYED BY INST/CORP
CHR(32)CHR(32)CHR(32)334 - EMPLOYEE OF IND.INSTIT OR CORP
CHR(32)CHR(32)CHR(32)335 - INSTIT/CORP PROFESS.NAL/SCIEN.
CHR(32)CHR(32)CHR(32)339 - INDEPENDENT, NON-PROFIT, HOSPITALS, OR SIMILAR ORGANIZATION – OTHER
CHR(32)CHR(32)CHR(32)340 - AGRICULTURE (INCL. FORESTRY AND FISHERIES) GROUP
CHR(32)CHR(32)CHR(32)341 - AGRICULTURAL ENTREPRENEUR
CHR(32)CHR(32)CHR(32)342 - EXECUTIVE OF AGRICULTURAL BUSINESS
CHR(32)CHR(32)CHR(32)343 - AGRICULTURAL MANAGER
CHR(32)CHR(32)CHR(32)344 - EMPLOYEE OF AGRICULTURAL ENTERPRISE
CHR(32)CHR(32)CHR(32)345 - PROFESSIONAL OR SCIENTISTS IN AGRICULTURE
CHR(32)CHR(32)CHR(32)349 - AGRICULTURE, OTHER
CHR(32)CHR(32)CHR(32)350 - RELIGION GROUP
CHR(32)CHR(32)CHR(32)351 - MINISTER OF RELIGION
CHR(32)CHR(32)CHR(32)352 - RELIGIOUS ORDER/CONGREGATION MEMBER
CHR(32)CHR(32)CHR(32)353 - THEOLOGIAN
CHR(32)CHR(32)CHR(32)400 - CATEGORY - THE ARTS AND SPORTS
CHR(32)CHR(32)CHR(32)410 - THE ARTS GROUP
CHR(32)CHR(32)CHR(32)411 - ARTIST (GRAPHIC ARTS)
CHR(32)CHR(32)CHR(32)412 - AUTHOR (PLAYWRIGHT POET)
CHR(32)CHR(32)CHR(32)413 - STAGE OR FILM ACTOR
CHR(32)CHR(32)CHR(32)414 - FILM (OR STAGE) PRODUCER
CHR(32)CHR(32)CHR(32)415 - COMPOSER OR MUSICIAN
CHR(32)CHR(32)CHR(32)419 - ARTS OTHER
CHR(32)CHR(32)CHR(32)420 - THE SPORTS GROUP
CHR(32)CHR(32)CHR(32)421 - ATHLETE
CHR(32)CHR(32)CHR(32)422 - COACH
CHR(32)CHR(32)CHR(32)429 - SPORTS OTHER
CHR(32)CHR(32)CHR(32)500 - CATEGORY – LABOR
CHR(32)CHR(32)CHR(32)510 - LABOR UNION GROUP
CHR(32)CHR(32)CHR(32)511 - LABOR UNION HEAD
CHR(32)CHR(32)CHR(32)512 - LABOR UNION OFFICIAL
CHR(32)CHR(32)CHR(32)513 - LABOR UNION OTHER
CHR(32)CHR(32)CHR(32)520 - LABOR UNION MINISTRY GROUP
CHR(32)CHR(32)CHR(32)521 - LABOR MINISTER (OR LAB.AG.HEAD)
CHR(32)CHR(32)CHR(32)522 - SENIOR MINISTERIAL OFFICIAL
CHR(32)CHR(32)CHR(32)523 - MINISTERIAL OR LABOR AG.EMPL.
CHR(32)CHR(32)CHR(32)529 - MINISTRY OF LABOR OTHER
CHR(32)CHR(32)CHR(32)530 - LABOR EXPERTS IN ACADEMIA GROUP
CHR(32)CHR(32)CHR(32)539 - LABOR EXPERTS IN ACADEMIA OTHER
CHR(32)CHR(32)CHR(32)540 - LABOR ORGANIZATION AND OTHER LABOR GROUPS
CHR(32)CHR(32)CHR(32)541 - HEAD OF LABOR ORGANIZATION
CHR(32)CHR(32)CHR(32)542 - EMPLOYEE OF LABOR ORGANIZATION
CHR(32)CHR(32)CHR(32)600 - CATEGORY - COMMUNICATIONS
CHR(32)CHR(32)CHR(32)610 - ELECTRONIC MEDIA GROUP
CHR(32)CHR(32)CHR(32)611 - HEAD OF TV OR RADIO STATION
CHR(32)CHR(32)CHR(32)612 - RADIO OR TV JOURNALIST
CHR(32)CHR(32)CHR(32)613 - ELECTRONIC MEDIA TECHNICIAN
CHR(32)CHR(32)CHR(32)619 - ELECTRONIC MEDIA OTHER
CHR(32)CHR(32)CHR(32)620 - PRINTED MEDIA GROUP
CHR(32)CHR(32)CHR(32)621 - EDITOR AND/OR PUBLISHER
CHR(32)CHR(32)CHR(32)622 - JOURNALIST
CHR(32)CHR(32)CHR(32)623 - TECHNICAL OFFICIAL IN PRINTED MEDIA FIELD
CHR(32)CHR(32)CHR(32)629 - PRINTED MEDIA OTHER
CHR(32)CHR(32)CHR(32)630 - FILM AS NEWS MEDIA GROUP
CHR(32)CHR(32)CHR(32)631 - FILM MAKER
CHR(32)CHR(32)CHR(32)639 - FILM AS NEWS MEDIA OTHER
CHR(32)CHR(32)CHR(32)700 - CATEGORY - IMPORTANT POLITICAL FIGURES NOT CLASSIFIED ELSEWHERE
CHR(32)CHR(32)CHR(32)710 - OPPOSITION LEADER (NOT IN GOVERNMENT)
</t>
  </si>
  <si>
    <t xml:space="preserve">FeeWaiverBasisCode
CHR(32)CHR(32)CHR(32)AmeriCorps
CHR(32)CHR(32)CHR(32)Employee
CHR(32)CHR(32)CHR(32)EmployeeDependent
CHR(32)CHR(32)CHR(32)GoverningBoard
CHR(32)CHR(32)CHR(32)LowIncome
CHR(32)CHR(32)CHR(32)Other
CHR(32)CHR(32)CHR(32)PeaceCorps
CHR(32)CHR(32)CHR(32)PreviouslyPaid
CHR(32)CHR(32)CHR(32)School
CHR(32)CHR(32)CHR(32)SeniorCitizen
CHR(32)CHR(32)CHR(32)TestAgency
</t>
  </si>
  <si>
    <t xml:space="preserve">FundingSourceCode
CHR(32)CHR(32)CHR(32)BiNationalCommission
CHR(32)CHR(32)CHR(32)Employment
CHR(32)CHR(32)CHR(32)ExchangeVisitorGovernment
CHR(32)CHR(32)CHR(32)InternationalOrganization
CHR(32)CHR(32)CHR(32)Other
CHR(32)CHR(32)CHR(32)Personal
CHR(32)CHR(32)CHR(32)ProgramSponsorFunds
CHR(32)CHR(32)CHR(32)School
CHR(32)CHR(32)CHR(32)USGovernmentFundsl
</t>
  </si>
  <si>
    <t xml:space="preserve">GradeLevel
CHR(32)CHR(32)CHR(32)Grade9
CHR(32)CHR(32)CHR(32)Grade10
CHR(32)CHR(32)CHR(32)Grade11
CHR(32)CHR(32)CHR(32)Grade12
CHR(32)CHR(32)CHR(32)PostSecondary
</t>
  </si>
  <si>
    <t xml:space="preserve">HomesteadExemptionClaimedCode
CHR(32)CHR(32)CHR(32)No
CHR(32)CHR(32)CHR(32)Pending
CHR(32)CHR(32)CHR(32)Yes
</t>
  </si>
  <si>
    <t xml:space="preserve">HonorsLevel
CHR(32)CHR(32)CHR(32)FirstHighest
CHR(32)CHR(32)CHR(32)SecondHighest
CHR(32)CHR(32)CHR(32)ThirdHighest
</t>
  </si>
  <si>
    <t xml:space="preserve">HousingInformationCode
CHR(32)CHR(32)CHR(32)Family
CHR(32)CHR(32)CHR(32)General
CHR(32)CHR(32)CHR(32)OffCampus
CHR(32)CHR(32)CHR(32)OnCampus
</t>
  </si>
  <si>
    <t xml:space="preserve">I94PortOfEntryCode
CHR(32)CHR(32)CHR(32)ABG - ALBURG VT
CHR(32)CHR(32)CHR(32)ABQ - ALBUQUERQUE NM
CHR(32)CHR(32)CHR(32)ABS - ALBURG SPRINGS VT
CHR(32)CHR(32)CHR(32)ADT - AMISTAD DAM TX
CHR(32)CHR(32)CHR(32)AGA - AGANA GUAM
CHR(32)CHR(32)CHR(32)AGN - ALGONAC, MI
CHR(32)CHR(32)CHR(32)ALB - ALBANY, NY
CHR(32)CHR(32)CHR(32)ALC - ALCAN AK
CHR(32)CHR(32)CHR(32)AMB - AMBROSE ND
CHR(32)CHR(32)CHR(32)ANC - ANCHORAGE, AK
CHR(32)CHR(32)CHR(32)AND - ANDRADE CA
CHR(32)CHR(32)CHR(32)ANT - ANTLER ND
CHR(32)CHR(32)CHR(32)ARB - ARUBA NETH ANTILLES
CHR(32)CHR(32)CHR(32)AST - ASTORIA OR
CHR(32)CHR(32)CHR(32)ATL - ATLANTA GA
CHR(32)CHR(32)CHR(32)AUS - AUSTIN TX
CHR(32)CHR(32)CHR(32)BAL - BALTIMORE MD
CHR(32)CHR(32)CHR(32)BAU - BAUDETTE MN
CHR(32)CHR(32)CHR(32)BBM - BROWNSV'LE, MATAMOR.TX
CHR(32)CHR(32)CHR(32)BEB - BEEBE PLAIN, VT
CHR(32)CHR(32)CHR(32)BEE - BEECHER FALLS, VT
CHR(32)CHR(32)CHR(32)BEL - BELLINGHAM WA
CHR(32)CHR(32)CHR(32)BGM - BANGOR, ME
CHR(32)CHR(32)CHR(32)BLA - BLAINE WA
CHR(32)CHR(32)CHR(32)BOA - BRIDGE OF AMERICAS TX
CHR(32)CHR(32)CHR(32)BOS - BOSTON, MA
CHR(32)CHR(32)CHR(32)BRG - BURLINGTON, VT
CHR(32)CHR(32)CHR(32)BRO - BROWNSV'LE TX
CHR(32)CHR(32)CHR(32)BTN - BATON ROUGE LA
CHR(32)CHR(32)CHR(32)BWA - BOUNDARY WA
CHR(32)CHR(32)CHR(32)BWM - BRIDGEWATER,  ME
CHR(32)CHR(32)CHR(32)BYO - BAYONNE, NJ
CHR(32)CHR(32)CHR(32)CAL - CALEXICO, CA
CHR(32)CHR(32)CHR(32)CHA - CHARLOTTE AMALIE
CHR(32)CHR(32)CHR(32)CHF - CHIEF MOUNTAIN, MT
CHR(32)CHR(32)CHR(32)CHI - CHICAGO, IL
CHR(32)CHR(32)CHR(32)CHL - CHARLESTON, SC
CHR(32)CHR(32)CHR(32)CHM - CHAMPLAIN, NY
CHR(32)CHR(32)CHR(32)CHR - CHRISTIANSTED, VI
CHR(32)CHR(32)CHR(32)CHT - CHATEAUGAY, NY
CHR(32)CHR(32)CHR(32)CIN - CINCINNATI, OH
CHR(32)CHR(32)CHR(32)CLE - CLEVELAND, OH
CHR(32)CHR(32)CHR(32)CLG - CALGARY, CN
CHR(32)CHR(32)CHR(32)CLM - COLUMBUS, OH
CHR(32)CHR(32)CHR(32)CLS - CALAIS, ME
CHR(32)CHR(32)CHR(32)CLT - CHARLOTTE, NC
CHR(32)CHR(32)CHR(32)CNA - CANAAN, VT
CHR(32)CHR(32)CHR(32)CNJ - CAMDEN, NJ
CHR(32)CHR(32)CHR(32)COB - COBURN GORE, ME
CHR(32)CHR(32)CHR(32)COL - COLUMBUS, NM
CHR(32)CHR(32)CHR(32)COO - COOS BAY, OR
CHR(32)CHR(32)CHR(32)COW - HEADQUARTERS
CHR(32)CHR(32)CHR(32)CRP - CORPUS CHRISTI, TX
CHR(32)CHR(32)CHR(32)CRU - CRUZ BAY, ST JOHN
CHR(32)CHR(32)CHR(32)CRY - CARBURY, ND
CHR(32)CHR(32)CHR(32)DAC - DALTONS CACHE, AK
CHR(32)CHR(32)CHR(32)DAL - DALLAS, TX
CHR(32)CHR(32)CHR(32)DCB - DETROIT, MI (BRIDGE)
CHR(32)CHR(32)CHR(32)DCT - DETROIT MI (TUNNEL)
CHR(32)CHR(32)CHR(32)DEN - DENVER CO
CHR(32)CHR(32)CHR(32)DER - DERBY LINE, VT (I91)
CHR(32)CHR(32)CHR(32)DET - DETROIT, MI
CHR(32)CHR(32)CHR(32)DLB - DEL BONITA, MT
CHR(32)CHR(32)CHR(32)DLR - DEL RIO,  TX
CHR(32)CHR(32)CHR(32)DLV - DERBY LINE, VT (RT 5)
CHR(32)CHR(32)CHR(32)DNS - DUNSEITH, ND
CHR(32)CHR(32)CHR(32)DOU - DOUGLAS, AZ
CHR(32)CHR(32)CHR(32)DTH - DUTCH HARBOR, AK
CHR(32)CHR(32)CHR(32)DUL - DULUTH, MN
CHR(32)CHR(32)CHR(32)DVD - DOVER, DE AFB
CHR(32)CHR(32)CHR(32)DVL - DANVILLE, WA
CHR(32)CHR(32)CHR(32)EAS - EASTON, ME
CHR(32)CHR(32)CHR(32)EDA - EDMONTON, CN
CHR(32)CHR(32)CHR(32)EGP - EAGLE PASS, TX
CHR(32)CHR(32)CHR(32)EPI - EASTPORT, ID
CHR(32)CHR(32)CHR(32)EPM - EASTPORT, ME
CHR(32)CHR(32)CHR(32)ERC - EAST RICHFORD, VT
CHR(32)CHR(32)CHR(32)EST - ESTCOURT, ME
CHR(32)CHR(32)CHR(32)FAB - FABENS, TX
CHR(32)CHR(32)CHR(32)FAL - FALCON HEIGHTS, TX
CHR(32)CHR(32)CHR(32)FBA - FREEPORT, BAHAMAS
CHR(32)CHR(32)CHR(32)FER - FERRY, WA
CHR(32)CHR(32)CHR(32)FMY - FORT MYERS, FL
CHR(32)CHR(32)CHR(32)FOR - FOREST CITY, ME
CHR(32)CHR(32)CHR(32)FRB - FAIRBANKS, AK
CHR(32)CHR(32)CHR(32)FRT - FORTUNA, ND
CHR(32)CHR(32)CHR(32)FTC - FORT COVINGTON, NY
CHR(32)CHR(32)CHR(32)FTF - FORT FAIRFIELD, ME
CHR(32)CHR(32)CHR(32)FTH - FORT HANCOCK, TX
CHR(32)CHR(32)CHR(32)FTK - FORT KENT, ME
CHR(32)CHR(32)CHR(32)FWA - FRONTIER, WA
CHR(32)CHR(32)CHR(32)GAL - GALVESTON, TX
CHR(32)CHR(32)CHR(32)GPM - GRAND PORTAGE, MN
CHR(32)CHR(32)CHR(32)GRR - GREER, SC
CHR(32)CHR(32)CHR(32)GUL - GULFPORT, MS
CHR(32)CHR(32)CHR(32)HAM - HAMILTON, BERMUDA
CHR(32)CHR(32)CHR(32)HAR - HARTFORD, CT
CHR(32)CHR(32)CHR(32)HEL - HELENA, MT
CHR(32)CHR(32)CHR(32)HHW - HONOLULU HI
CHR(32)CHR(32)CHR(32)HID - HIDALGO, TX
CHR(32)CHR(32)CHR(32)HIG - HIGHGATE SPRINGS, VT
CHR(32)CHR(32)CHR(32)HML - HAMLIN, ME
CHR(32)CHR(32)CHR(32)HNN - HANNAH, ND
CHR(32)CHR(32)CHR(32)HNS - HANSBORO, ND
CHR(32)CHR(32)CHR(32)HOU - HOUSTON, TX
CHR(32)CHR(32)CHR(32)HTM - HOULTON, ME
CHR(32)CHR(32)CHR(32)INP - INDIANAPOLIS IN
CHR(32)CHR(32)CHR(32)INT - INTERNAT'L FALLS MN
CHR(32)CHR(32)CHR(32)IVP - CALEXICO, EAST, CA
CHR(32)CHR(32)CHR(32)JAC - JACKSONV'L FL
CHR(32)CHR(32)CHR(32)JKM - JACKMAN, ME
CHR(32)CHR(32)CHR(32)KAN - KANSAS CITY MO
CHR(32)CHR(32)CHR(32)KET - KETCHIKAN, AK
CHR(32)CHR(32)CHR(32)KEY - KEY WEST FL
CHR(32)CHR(32)CHR(32)KOA - KEAHOLE, KONA, HI
CHR(32)CHR(32)CHR(32)LAN - LANCASTER, MN
CHR(32)CHR(32)CHR(32)LAR - LAREDO, TX
CHR(32)CHR(32)CHR(32)LAU - LAURIER, WA
CHR(32)CHR(32)CHR(32)LCB - LAREDO COL BRIDGE, TX
CHR(32)CHR(32)CHR(32)LIM - LIMESTONE, ME
CHR(32)CHR(32)CHR(32)LKC - LAKE CHARLES, LA
CHR(32)CHR(32)CHR(32)LLB - JUAREZ, LINCN BRDG TX
CHR(32)CHR(32)CHR(32)LOI - LOS INDIOS, TX
CHR(32)CHR(32)CHR(32)LON - LONGVIEW, WA
CHR(32)CHR(32)CHR(32)LOS - LOS ANGELES, CA
CHR(32)CHR(32)CHR(32)LOU - LOUISVILLE KY
CHR(32)CHR(32)CHR(32)LSE - LOS EBANOS, TX
CHR(32)CHR(32)CHR(32)LUB - LUBEC, ME
CHR(32)CHR(32)CHR(32)LUK - LUKEVILLE AZ
CHR(32)CHR(32)CHR(32)LVG - LAS VEGAS NV
CHR(32)CHR(32)CHR(32)LYN - LYNDEN, WA
CHR(32)CHR(32)CHR(32)MAD - MADAWASKA, ME
CHR(32)CHR(32)CHR(32)MAG - MCGUIRE AFB, NJ
CHR(32)CHR(32)CHR(32)MAI - MAIDA, ND
CHR(32)CHR(32)CHR(32)MAP - MARIPOSA, AZ
CHR(32)CHR(32)CHR(32)MAS - MASSENA, NY
CHR(32)CHR(32)CHR(32)MAY - MAYAGUEZ, PR
CHR(32)CHR(32)CHR(32)MEM - MEMPHIS TN
CHR(32)CHR(32)CHR(32)MET - METALINE FALLS, WA
CHR(32)CHR(32)CHR(32)MGM - MORGAN, MT
CHR(32)CHR(32)CHR(32)MIA - MIAMI, FL
CHR(32)CHR(32)CHR(32)MIL - MILWAUKEE, WI
CHR(32)CHR(32)CHR(32)MND - MINOT ND
CHR(32)CHR(32)CHR(32)MOB - MOBILE, AL
CHR(32)CHR(32)CHR(32)MON - MONTREAL, CN
CHR(32)CHR(32)CHR(32)MOO - MOORES, NY
CHR(32)CHR(32)CHR(32)MOR - MORSES LINE, VT
CHR(32)CHR(32)CHR(32)MRC - MARINE CITY, MI
CHR(32)CHR(32)CHR(32)MSP - MINNEAPOLIS, ST. PAUL AIRPORT
CHR(32)CHR(32)CHR(32)MTC - MONTICELLO, ME
CHR(32)CHR(32)CHR(32)NAC - NACO, AZ
CHR(32)CHR(32)CHR(32)NAS - NASSAU BAHAMAS
CHR(32)CHR(32)CHR(32)NEC - NECHE, ND
CHR(32)CHR(32)CHR(32)NEW - NEWARK, NJ
CHR(32)CHR(32)CHR(32)NIA - NIAGARA FALLS, NY
CHR(32)CHR(32)CHR(32)NIG - NIGHTHAWK, WA
CHR(32)CHR(32)CHR(32)NOG - NOGALES, AZ
CHR(32)CHR(32)CHR(32)NOL - NEW ORLEANS, LA
CHR(32)CHR(32)CHR(32)NOM - NOME, AK SEAPORT
CHR(32)CHR(32)CHR(32)NOO - NOONAN, ND
CHR(32)CHR(32)CHR(32)NOR - NORFOLK VA
CHR(32)CHR(32)CHR(32)NOY - NOYES, MN
CHR(32)CHR(32)CHR(32)NPT - NEWPORT, OR
CHR(32)CHR(32)CHR(32)NRG - NORTHGATE, ND
CHR(32)CHR(32)CHR(32)NRN - NORTON, VT
CHR(32)CHR(32)CHR(32)NRT - NORTH TROY, VT
CHR(32)CHR(32)CHR(32)NSV - NASHVILLE, TN
CHR(32)CHR(32)CHR(32)NYC - NEW YORK, NY
CHR(32)CHR(32)CHR(32)OGD - OGDENSBURG, NY
CHR(32)CHR(32)CHR(32)OKC - OKLAHOMA CITY, OK
CHR(32)CHR(32)CHR(32)OMA - OMAHA, NE
CHR(32)CHR(32)CHR(32)OPH - OPHEIM, MT
CHR(32)CHR(32)CHR(32)ORI - ORIENT, ME
CHR(32)CHR(32)CHR(32)ORL - ORLANDO, FL
CHR(32)CHR(32)CHR(32)ORO - OROVILLE, WA
CHR(32)CHR(32)CHR(32)OTM - OTAY MESA, CA
CHR(32)CHR(32)CHR(32)OTT - OTTAWA, CN
CHR(32)CHR(32)CHR(32)PAN - PANAMA CITY, FL
CHR(32)CHR(32)CHR(32)PAR - PORT ARTHUR, TX
CHR(32)CHR(32)CHR(32)PBB - PEACE BRIDGE, NY
CHR(32)CHR(32)CHR(32)PCF - PORT CANAVERAL, FL
CHR(32)CHR(32)CHR(32)PDN - PASO DEL NORTE, TX
CHR(32)CHR(32)CHR(32)PEM - PEMBINA, ND
CHR(32)CHR(32)CHR(32)PEV - PORT EVERGLADES, FL
CHR(32)CHR(32)CHR(32)PGR - PROGRESO, TX
CHR(32)CHR(32)CHR(32)PHI - PHILADELPHI, PA
CHR(32)CHR(32)CHR(32)PHO - PHOENIX AZ
CHR(32)CHR(32)CHR(32)PHR - PHARR, TX
CHR(32)CHR(32)CHR(32)PHU - PORT HURON, MI
CHR(32)CHR(32)CHR(32)PHY - BLAINE, WA PACIFIC HWY
CHR(32)CHR(32)CHR(32)PIB - PARADISE ISLAND, BS
CHR(32)CHR(32)CHR(32)PIE - PIEGAN, MT
CHR(32)CHR(32)CHR(32)PIN - PINE CREEK, MN
CHR(32)CHR(32)CHR(32)PIT - PITTSBURGH, PA
CHR(32)CHR(32)CHR(32)PIV - PINNACLE ROAD, VT
CHR(32)CHR(32)CHR(32)PKC - POKER CREEK, AK
CHR(32)CHR(32)CHR(32)PNG - PORT ANGELES, WA
CHR(32)CHR(32)CHR(32)PNH - PITTSBURG, NH
CHR(32)CHR(32)CHR(32)POM - PORTLAND, ME
CHR(32)CHR(32)CHR(32)PON - PONCE, PR
CHR(32)CHR(32)CHR(32)POO - PORTLAND OR
CHR(32)CHR(32)CHR(32)POR - PORTAL, ND
CHR(32)CHR(32)CHR(32)PRE - PRESIDIO, TX
CHR(32)CHR(32)CHR(32)PRO - PROVIDENCE, RI
CHR(32)CHR(32)CHR(32)PTL - PORTHILL, ID
CHR(32)CHR(32)CHR(32)PTR - POINT ROBERTS,WA
CHR(32)CHR(32)CHR(32)RAY - RAYMOND, MT
CHR(32)CHR(32)CHR(32)RDU - RALEIGH/DURHAM, NC
CHR(32)CHR(32)CHR(32)REN - RENO, NV
CHR(32)CHR(32)CHR(32)RIF - RICHFORD, VT
CHR(32)CHR(32)CHR(32)RIO - RIO GRANDE CITY, TX
CHR(32)CHR(32)CHR(32)ROM - ROMA, TX
CHR(32)CHR(32)CHR(32)ROO - ROOSVILLE, MT
CHR(32)CHR(32)CHR(32)ROS - ROSEAU, MN
CHR(32)CHR(32)CHR(32)ROU - ROUSES POINT, NY
CHR(32)CHR(32)CHR(32)SAJ - SAN JUAN, PR
CHR(32)CHR(32)CHR(32)SAR - SARLES, ND
CHR(32)CHR(32)CHR(32)SAS - SASABE, AZ
CHR(32)CHR(32)CHR(32)SAU - ST AUGUSTINE, FL
CHR(32)CHR(32)CHR(32)SAV - SAVANNAH, GA
CHR(32)CHR(32)CHR(32)SCO - SCOBEY, MT
CHR(32)CHR(32)CHR(32)SDP - SAN DIEGO, CA
CHR(32)CHR(32)CHR(32)SDY - SANDUSKY, OH
CHR(32)CHR(32)CHR(32)SEA - SEATTLE, WA
CHR(32)CHR(32)CHR(32)SET - SEATTLE, WA
CHR(32)CHR(32)CHR(32)SFB - SANFORD, FL
CHR(32)CHR(32)CHR(32)SFR - SAN FRANCISCO, CA
CHR(32)CHR(32)CHR(32)SHR - SHERWOOD, ND
CHR(32)CHR(32)CHR(32)SJO - ST JOHN, ND
CHR(32)CHR(32)CHR(32)SKA - SKAGWAY, AK
CHR(32)CHR(32)CHR(32)SLC - SALT LAKE CITY, UT
CHR(32)CHR(32)CHR(32)SLU - SAN LUIS, AZ
CHR(32)CHR(32)CHR(32)SNA - SAN ANTONIO, TX
CHR(32)CHR(32)CHR(32)SND - SAN DIEGO, CA
CHR(32)CHR(32)CHR(32)SNJ - SAN JOSE, CA
CHR(32)CHR(32)CHR(32)SNN - SHANNON, IRELAND
CHR(32)CHR(32)CHR(32)SPA - ST PAMPILE
CHR(32)CHR(32)CHR(32)SPE - </t>
  </si>
  <si>
    <t xml:space="preserve">ImmunizationStatusCode
CHR(32)CHR(32)CHR(32)FirstInnoculation
CHR(32)CHR(32)CHR(32)SecondInnoculation
CHR(32)CHR(32)CHR(32)ThirdInnoculation
CHR(32)CHR(32)CHR(32)FourthInnoculation
CHR(32)CHR(32)CHR(32)FifthInnoculation
CHR(32)CHR(32)CHR(32)SixthInnoculation
CHR(32)CHR(32)CHR(32)SeventhInnoculation
CHR(32)CHR(32)CHR(32)EighthInnoculation
CHR(32)CHR(32)CHR(32)NinthInnoculation
CHR(32)CHR(32)CHR(32)HadTheDisease
CHR(32)CHR(32)CHR(32)MedicalExemption
CHR(32)CHR(32)CHR(32)PersonalExemption
CHR(32)CHR(32)CHR(32)ReligiousExemption
</t>
  </si>
  <si>
    <t xml:space="preserve">State
CHR(32)CHR(32)CHR(32)AA - Military - Americas
CHR(32)CHR(32)CHR(32)AB - Alberta
CHR(32)CHR(32)CHR(32)AE - Military - Europe
CHR(32)CHR(32)CHR(32)AK - Alaska
CHR(32)CHR(32)CHR(32)AL - Alabama
CHR(32)CHR(32)CHR(32)AP - Military - Pacific
CHR(32)CHR(32)CHR(32)AR - Arkansas
CHR(32)CHR(32)CHR(32)AS - American Samoa
CHR(32)CHR(32)CHR(32)AZ - Arizona
CHR(32)CHR(32)CHR(32)BC - British Columbia
CHR(32)CHR(32)CHR(32)CA - California
CHR(32)CHR(32)CHR(32)CO - Colorado
CHR(32)CHR(32)CHR(32)CT - Connecticut
CHR(32)CHR(32)CHR(32)CZ - Canal Zone
CHR(32)CHR(32)CHR(32)DC - District of Columbia
CHR(32)CHR(32)CHR(32)DE - Delaware
CHR(32)CHR(32)CHR(32)FL - Florida
CHR(32)CHR(32)CHR(32)FM - Federated States of Micronesia
CHR(32)CHR(32)CHR(32)GA - Georgia
CHR(32)CHR(32)CHR(32)GU - Guam
CHR(32)CHR(32)CHR(32)HI - Hawaii
CHR(32)CHR(32)CHR(32)IA - Iowa
CHR(32)CHR(32)CHR(32)ID - Idaho
CHR(32)CHR(32)CHR(32)IL - Illinois
CHR(32)CHR(32)CHR(32)IN - Indiana
CHR(32)CHR(32)CHR(32)KS - Kansas
CHR(32)CHR(32)CHR(32)KY - Kentucky
CHR(32)CHR(32)CHR(32)LA - Louisiana
CHR(32)CHR(32)CHR(32)MA - Massachusetts
CHR(32)CHR(32)CHR(32)MB - Manitoba
CHR(32)CHR(32)CHR(32)MD - Maryland
CHR(32)CHR(32)CHR(32)ME - Maine
CHR(32)CHR(32)CHR(32)MH - Marshall Islands
CHR(32)CHR(32)CHR(32)MI - Michigan
CHR(32)CHR(32)CHR(32)MN - Minnesota
CHR(32)CHR(32)CHR(32)MO - Missouri
CHR(32)CHR(32)CHR(32)MP - Northern Mariana Islands
CHR(32)CHR(32)CHR(32)MS - Mississippi
CHR(32)CHR(32)CHR(32)MT - Montana
CHR(32)CHR(32)CHR(32)NB - New Brunswick
CHR(32)CHR(32)CHR(32)NC - North Carolina
CHR(32)CHR(32)CHR(32)ND - North Dakota
CHR(32)CHR(32)CHR(32)NE - Nebraska
CHR(32)CHR(32)CHR(32)NF - Newfoundland
CHR(32)CHR(32)CHR(32)NH - New Hampshire
CHR(32)CHR(32)CHR(32)NJ - New Jersey
CHR(32)CHR(32)CHR(32)NL - Newfoundland and Labrador
CHR(32)CHR(32)CHR(32)NM - New Mexico
CHR(32)CHR(32)CHR(32)NS - Nova Scotia
CHR(32)CHR(32)CHR(32)NT - Northwest Territories
CHR(32)CHR(32)CHR(32)NU - Nunavut
CHR(32)CHR(32)CHR(32)NV - Nevada
CHR(32)CHR(32)CHR(32)NY - New York
CHR(32)CHR(32)CHR(32)OH - Ohio
CHR(32)CHR(32)CHR(32)OK - Oklahoma
CHR(32)CHR(32)CHR(32)ON - Ontario
CHR(32)CHR(32)CHR(32)OR - Oregon
CHR(32)CHR(32)CHR(32)PA - Pennsylvania
CHR(32)CHR(32)CHR(32)PE - Prince Edward Island
CHR(32)CHR(32)CHR(32)PR - Puerto Rico
CHR(32)CHR(32)CHR(32)PW - Republic of Palau
CHR(32)CHR(32)CHR(32)QC - Quebec
CHR(32)CHR(32)CHR(32)RI - Rhode Island
CHR(32)CHR(32)CHR(32)SC - South Carolina
CHR(32)CHR(32)CHR(32)SD - South Dakota
CHR(32)CHR(32)CHR(32)SK - Saskatchewan
CHR(32)CHR(32)CHR(32)TN - Tennessee
CHR(32)CHR(32)CHR(32)TX - Texas
CHR(32)CHR(32)CHR(32)UT - Utah
CHR(32)CHR(32)CHR(32)VA - Virginia
CHR(32)CHR(32)CHR(32)VI - Virgin Islands
CHR(32)CHR(32)CHR(32)VT - Vermont
CHR(32)CHR(32)CHR(32)WA - Washington
CHR(32)CHR(32)CHR(32)WI - Wisconsin
CHR(32)CHR(32)CHR(32)WV - West Virginia
CHR(32)CHR(32)CHR(32)WY - Wyoming
CHR(32)CHR(32)CHR(32)YT - Yukon
</t>
  </si>
  <si>
    <t xml:space="preserve">InstructionUsage
CHR(32)CHR(32)CHR(32)Examination
CHR(32)CHR(32)CHR(32)Instruction
CHR(32)CHR(32)CHR(32)WrittenExam
</t>
  </si>
  <si>
    <t xml:space="preserve">InterestedInCode
CHR(32)CHR(32)CHR(32)Art
CHR(32)CHR(32)CHR(32)AthleticsIntramural
CHR(32)CHR(32)CHR(32)AthleticsVarsity
CHR(32)CHR(32)CHR(32)Band
CHR(32)CHR(32)CHR(32)CadetCorps
CHR(32)CHR(32)CHR(32)HonorsProgram
CHR(32)CHR(32)CHR(32)IndependentStudy
CHR(32)CHR(32)CHR(32)ROTCAirForce
CHR(32)CHR(32)CHR(32)ROTCArmy
CHR(32)CHR(32)CHR(32)ROTCGeneral
CHR(32)CHR(32)CHR(32)ROTCNavyMarine
CHR(32)CHR(32)CHR(32)SororityFraternityClub
</t>
  </si>
  <si>
    <t xml:space="preserve">IssuingCountryCode
CHR(32)CHR(32)CHR(32)AA - ARUBA
CHR(32)CHR(32)CHR(32)AC - ANTIGUA AND BARBUDA
CHR(32)CHR(32)CHR(32)AE - UNITED ARAB EMIRATES
CHR(32)CHR(32)CHR(32)AF - AFGHANISTAN
CHR(32)CHR(32)CHR(32)AG - ALGERIA
CHR(32)CHR(32)CHR(32)AJ - AZERBAIJAN
CHR(32)CHR(32)CHR(32)AL - ALBANIA
CHR(32)CHR(32)CHR(32)AM - ARMENIA
CHR(32)CHR(32)CHR(32)AN - ANDORRA
CHR(32)CHR(32)CHR(32)AO - ANGOLA
CHR(32)CHR(32)CHR(32)AR - ARGENTINA
CHR(32)CHR(32)CHR(32)AS - AUSTRALIA
CHR(32)CHR(32)CHR(32)AT - ASHMORE AND CARTIER ISLANDS
CHR(32)CHR(32)CHR(32)AU - AUSTRIA
CHR(32)CHR(32)CHR(32)AV - ANGUILLA
CHR(32)CHR(32)CHR(32)AY - ANTARCTICA
CHR(32)CHR(32)CHR(32)BA - BAHRAIN
CHR(32)CHR(32)CHR(32)BB - BARBADOS
CHR(32)CHR(32)CHR(32)BC - BOTSWANA
CHR(32)CHR(32)CHR(32)BD - BERMUDA
CHR(32)CHR(32)CHR(32)BE - BELGIUM
CHR(32)CHR(32)CHR(32)BF - BAHAMAS, THE
CHR(32)CHR(32)CHR(32)BG - BANGLADESH
CHR(32)CHR(32)CHR(32)BH - BELIZE
CHR(32)CHR(32)CHR(32)BK - BOSNIA AND HERZEGOVINA
CHR(32)CHR(32)CHR(32)BL - BOLIVIA
CHR(32)CHR(32)CHR(32)BM - BURMA
CHR(32)CHR(32)CHR(32)BN - BENIN
CHR(32)CHR(32)CHR(32)BO - BELARUS
CHR(32)CHR(32)CHR(32)BP - SOLOMON ISLANDS
CHR(32)CHR(32)CHR(32)BR - BRAZIL
CHR(32)CHR(32)CHR(32)BS - BASSAS DA INDIA
CHR(32)CHR(32)CHR(32)BT - BHUTAN
CHR(32)CHR(32)CHR(32)BU - BULGARIA
CHR(32)CHR(32)CHR(32)BV - BOUVET ISLAND
CHR(32)CHR(32)CHR(32)BX - BRUNEI
CHR(32)CHR(32)CHR(32)BY - BURUNDI
CHR(32)CHR(32)CHR(32)CA - CANADA
CHR(32)CHR(32)CHR(32)CB - CAMBODIA
CHR(32)CHR(32)CHR(32)CD - CHAD
CHR(32)CHR(32)CHR(32)CE - SRI LANKA
CHR(32)CHR(32)CHR(32)CF - CONGO
CHR(32)CHR(32)CHR(32)CG - CONGO, DEMOCRATIC REPUBLIC OF THE
CHR(32)CHR(32)CHR(32)CH - CHINA
CHR(32)CHR(32)CHR(32)CI - CHILE
CHR(32)CHR(32)CHR(32)CJ - CAYMAN ISLANDS
CHR(32)CHR(32)CHR(32)CK - COCOS (KEELING) ISLANDS
CHR(32)CHR(32)CHR(32)CL - CENTRAL AND SOUTHERN LINE ISLANDS
CHR(32)CHR(32)CHR(32)CM - CAMEROON
CHR(32)CHR(32)CHR(32)CN - COMOROS
CHR(32)CHR(32)CHR(32)CO - COLOMBIA
CHR(32)CHR(32)CHR(32)CR - CORAL SEA ISLANDS
CHR(32)CHR(32)CHR(32)CS - COSTA RICA
CHR(32)CHR(32)CHR(32)CT - CENTRAL AFRICAN REPUBLIC
CHR(32)CHR(32)CHR(32)CU - CUBA
CHR(32)CHR(32)CHR(32)CV - CAPE VERDE
CHR(32)CHR(32)CHR(32)CW - COOK ISLANDS
CHR(32)CHR(32)CHR(32)CY - CYPRUS
CHR(32)CHR(32)CHR(32)CZ - CZECHOSLOVAKIA
CHR(32)CHR(32)CHR(32)DA - DENMARK
CHR(32)CHR(32)CHR(32)DJ - DJIBOUTI
CHR(32)CHR(32)CHR(32)DO - DOMINICA
CHR(32)CHR(32)CHR(32)DR - DOMINICAN REPUBLIC
CHR(32)CHR(32)CHR(32)EC - ECUADOR
CHR(32)CHR(32)CHR(32)EG - EGYPT
CHR(32)CHR(32)CHR(32)EI - IRELAND
CHR(32)CHR(32)CHR(32)EK - EQUATORIAL GUINEA
CHR(32)CHR(32)CHR(32)EN - ESTONIA
CHR(32)CHR(32)CHR(32)EQ - CANTON AND ENDERBURY
CHR(32)CHR(32)CHR(32)ER - ERITREA
CHR(32)CHR(32)CHR(32)ES - EL SALVADOR
CHR(32)CHR(32)CHR(32)ET - ETHIOPIA
CHR(32)CHR(32)CHR(32)EU - EUROPA ISLAND
CHR(32)CHR(32)CHR(32)EZ - CZECH REPUBLIC
CHR(32)CHR(32)CHR(32)FG - FRENCH GUIANA
CHR(32)CHR(32)CHR(32)FI - FINLAND
CHR(32)CHR(32)CHR(32)FJ - FIJI
CHR(32)CHR(32)CHR(32)FK - FALKLAND ISLANDS (ISLAS MALVINAS)
CHR(32)CHR(32)CHR(32)FM - MICRONESIA, FEDERATED STATES OF
CHR(32)CHR(32)CHR(32)FO - FAROE ISLANDS
CHR(32)CHR(32)CHR(32)FP - FRENCH POLYNESIA
CHR(32)CHR(32)CHR(32)FR - FRANCE
CHR(32)CHR(32)CHR(32)FS - FRENCH SOUTHERN AND ANTARCTIC LANDS
CHR(32)CHR(32)CHR(32)FT - FRENCH TERRITORY OF THE AFARS AND ISSAS
CHR(32)CHR(32)CHR(32)GA - GAMBIA, THE
CHR(32)CHR(32)CHR(32)GB - GABON
CHR(32)CHR(32)CHR(32)GC - GERMAN DEMOCRATIC REPUBLIC
CHR(32)CHR(32)CHR(32)GE - FEDERAL REPUBLIC OF GERMANY
CHR(32)CHR(32)CHR(32)GG - GEORGIA
CHR(32)CHR(32)CHR(32)GH - GHANA
CHR(32)CHR(32)CHR(32)GI - GIBRALTAR
CHR(32)CHR(32)CHR(32)GJ - GRENADA
CHR(32)CHR(32)CHR(32)GK - GUERNSEY
CHR(32)CHR(32)CHR(32)GL - GREENLAND
CHR(32)CHR(32)CHR(32)GM - GERMANY
CHR(32)CHR(32)CHR(32)GN - GILBERT AND ELLICE ISLANDS
CHR(32)CHR(32)CHR(32)GO - GLORIOSO ISLANDS
CHR(32)CHR(32)CHR(32)GP - GUADELOUPE
CHR(32)CHR(32)CHR(32)GR - GREECE
CHR(32)CHR(32)CHR(32)GS - GILBERT ISLANDS
CHR(32)CHR(32)CHR(32)GT - GUATEMALA
CHR(32)CHR(32)CHR(32)GV - GUINEA
CHR(32)CHR(32)CHR(32)GY - GUYANA
CHR(32)CHR(32)CHR(32)GZ - GAZA STRIP
CHR(32)CHR(32)CHR(32)HA - HAITI
CHR(32)CHR(32)CHR(32)HK - HONG KONG
CHR(32)CHR(32)CHR(32)HM - HEARD ISLAND AND MCDONALD SLANDS
CHR(32)CHR(32)CHR(32)HO - HONDURAS
CHR(32)CHR(32)CHR(32)HR - CROATIA
CHR(32)CHR(32)CHR(32)HU - HUNGARY
CHR(32)CHR(32)CHR(32)IC - ICELAND
CHR(32)CHR(32)CHR(32)ID - INDONESIA
CHR(32)CHR(32)CHR(32)IM - ISLE OF MAN
CHR(32)CHR(32)CHR(32)IN - INDIA
CHR(32)CHR(32)CHR(32)IO - BRITISH INDIAN OCEAN TERRITORY
CHR(32)CHR(32)CHR(32)IP - CLIPPERTON ISLAND
CHR(32)CHR(32)CHR(32)IQ - UNITED STATES MISC. PACIFIC ISLANDS
CHR(32)CHR(32)CHR(32)IR - IRAN
CHR(32)CHR(32)CHR(32)IS - ISRAEL
CHR(32)CHR(32)CHR(32)IT - ITALY
CHR(32)CHR(32)CHR(32)IU - ISRAEL-SYRIA DEMILITARIZED ZONE
CHR(32)CHR(32)CHR(32)IV - COTE D IVOIRE
CHR(32)CHR(32)CHR(32)IW - ISRAEL-JORDAN DEMILITARIZED ZONE
CHR(32)CHR(32)CHR(32)IY - IRAQ-SAUDI ARABIA NEUTRAL ZONE
CHR(32)CHR(32)CHR(32)IZ - IRAQ
CHR(32)CHR(32)CHR(32)JA - JAPAN
CHR(32)CHR(32)CHR(32)JE - JERSEY
CHR(32)CHR(32)CHR(32)JM - JAMAICA
CHR(32)CHR(32)CHR(32)JN - JAN MAYEN
CHR(32)CHR(32)CHR(32)JO - JORDAN
CHR(32)CHR(32)CHR(32)JS - SVALBARD AND JAN MAYEN
CHR(32)CHR(32)CHR(32)JU - JUAN DE NOVA ISLAND
CHR(32)CHR(32)CHR(32)KE - KENYA
CHR(32)CHR(32)CHR(32)KG - KYRGYZSTAN
CHR(32)CHR(32)CHR(32)KN - NORTH KOREA
CHR(32)CHR(32)CHR(32)KR - KIRIBATI
CHR(32)CHR(32)CHR(32)KS - SOUTH KOREA
CHR(32)CHR(32)CHR(32)KT - CHRISTMAS ISLAND
CHR(32)CHR(32)CHR(32)KU - KUWAIT
CHR(32)CHR(32)CHR(32)KZ - KAZAKHSTAN
CHR(32)CHR(32)CHR(32)LA - LAOS
CHR(32)CHR(32)CHR(32)LE - LEBANON
CHR(32)CHR(32)CHR(32)LG - LATVIA
CHR(32)CHR(32)CHR(32)LH - LITHUANIA
CHR(32)CHR(32)CHR(32)LI - LIBERIA
CHR(32)CHR(32)CHR(32)LO - SLOVAKIA
CHR(32)CHR(32)CHR(32)LS - LIECHTENSTEIN
CHR(32)CHR(32)CHR(32)LT - LESOTHO
CHR(32)CHR(32)CHR(32)LU - LUXEMBOURG
CHR(32)CHR(32)CHR(32)LY - LIBYA
CHR(32)CHR(32)CHR(32)MA - MADAGASCAR
CHR(32)CHR(32)CHR(32)MB - MARTINIQUE
CHR(32)CHR(32)CHR(32)MC - MACAU
CHR(32)CHR(32)CHR(32)MD - MOLDOVA
CHR(32)CHR(32)CHR(32)ME - SPANISH NORTH AFRICA
CHR(32)CHR(32)CHR(32)MF - MAYOTTE
CHR(32)CHR(32)CHR(32)MG - MONGOLIA
CHR(32)CHR(32)CHR(32)MH - MONTSERRAT
CHR(32)CHR(32)CHR(32)MI - MALAWI
CHR(32)CHR(32)CHR(32)MK - MACEDONIA, THE FORMER YUGOSLAV REPUBLIC OF
CHR(32)CHR(32)CHR(32)ML - MALI
CHR(32)CHR(32)CHR(32)MN - MONACO
CHR(32)CHR(32)CHR(32)MO - MOROCCO
CHR(32)CHR(32)CHR(32)MP - MAURITIUS
CHR(32)CHR(32)CHR(32)MR - MAURITANIA
CHR(32)CHR(32)CHR(32)MT - MALTA
CHR(32)CHR(32)CHR(32)MU - OMAN
CHR(32)CHR(32)CHR(32)MV - MALDIVES
CHR(32)CHR(32)CHR(32)MW - MONTENEGRO
CHR(32)CHR(32)CHR(32)MX - MEXICO
CHR(32)CHR(32)CHR(32)MY - MALAYSIA
CHR(32)CHR(32)CHR(32)MZ - MOZAMBIQUE
CHR(32)CHR(32)CHR(32)NC - NEW CALEDONIA
CHR(32)CHR(32)CHR(32)NE - NIUE
CHR(32)CHR(32)CHR(32)NF - NORFOLK ISLAND
CHR(32)CHR(32)CHR(32)NG - NIGER
CHR(32)CHR(32)CHR(32)NH - VANUATU
CHR(32)CHR(32)CHR(32)NI - NIGERIA
CHR(32)CHR(32)CHR(32)NL - NETHERLANDS
CHR(32)CHR(32)CHR(32)NO - NORWAY
CHR(32)CHR(32)CHR(32)NP - NEPAL
CHR(32)CHR(32)CHR(32)NR - NAURU
CHR(32)CHR(32)CHR(32)NS - SURINAME
CHR(32)CHR(32)CHR(32)NT - NETHERLANDS ANTILLES
CHR(32)CHR(32)CHR(32)NU - NICARAGUA
CHR(32)CHR(32)CHR(32)NZ - NEW ZEALAND
CHR(32)CHR(32)CHR(32)PA - PARAGUAY
CHR(32)CHR(32)CHR(32)PC - PITCAIRN ISLANDS
CHR(32)CHR(32)CHR(32)PE - PERU
CHR(32)CHR(32)CHR(32)PF - PARACEL ISLANDS
CHR(32)CHR(32)CHR(32)PG - SPRATLY ISLANDS
CHR(32)CHR(32)CHR(32)PK - PAKISTAN
CHR(32)CHR(32)CHR(32)PL - POLAND
CHR(32)CHR(32)CHR(32)PM - PANAMA
CHR(32)CHR(32)CHR(32)PO - PORTUGAL
CHR(32)CHR(32)CHR(32)PP - PAPUA NEW GUINEA
CHR(32)CHR(32)CHR(32)PQ - CANAL ZONE
CHR(32)CHR(32)CHR(32)PS - PALAU
CHR(32)CHR(32)CHR(32)PT - PORTUGUESE TIMOR
CHR(32)CHR(32)CHR(32)PU - GUINEA-BISSAU
CHR(32)CHR(32)CHR(32)QA - QATAR
CHR(32)CHR(32)CHR(32)RE - REUNION
CHR(32)CHR(32)CHR(32)RH - SOUTHERN RHODESIA
CHR(32)CHR(32)CHR(32)RM - MARSHALL ISLANDS
CHR(32)CHR(32)CHR(32)RO - ROMANIA
CHR(32)CHR(32)CHR(32)RP - PHILIPPINES
CHR(32)CHR(32)CHR(32)RS - RUSSIA
CHR(32)CHR(32)CHR(32)RW - RWANDA
CHR(32)CHR(32)CHR(32)SA - SAUDI ARABIA
CHR(32)CHR(32)CHR(32)SB - SAINT PIERRE AND MIQUELON
CHR(32)CHR(32)CHR(32)SC - SAINT KITTS AND NEVIS
CHR(32)CHR(32)CHR(32)SE - SEYCHELLES
CHR(32)CHR(32)CHR(32)SF - SOUTH AFRICA
CHR(32)CHR(32)CHR(32)SG - SENEGAL
CHR(32)CHR(32)CHR(32)SH - SAINT HELENA
CHR(32)CHR(32)CHR(32)SI - SLOVENIA
CHR(32)CHR(32)CHR(32)SK - SIKKIM
CHR(32)CHR(32)CHR(32)SL - SIERRA LEONE
CHR(32)CHR(32)CHR(32)SM - SAN MARINO
CHR(32)CHR(32)CHR(32)SN - SINGAPORE
CHR(32)CHR(32)CHR(32)SO - SOMALIA
CHR(32)CHR(32)CHR(32)SP - SPAIN
CHR(32)CHR(32)CHR(32)SQ - SWAN ISLANDS
CHR(32)CHR(32)CHR(32)SR - SERBIA
CHR(32)CHR(32)CHR(32)SS - SPANISH SAHARA
CHR(32)CHR(32)CHR(32)ST - SAINT LUCIA
CHR(32)CHR(32)CHR(32)SU - SUDAN
CHR(32)CHR(32)CHR(32)SV - SVALBARD
CHR(32)CHR(32)CHR(32)SW - SWEDEN
CHR(32)CHR(32)CHR(32)SX - SOUTH GEORGIA AND THE SOUTH SANDWICH ISLANDS
CHR(32)CHR(32)CHR(32)SY - SYRIA
CHR(32)CHR(32)CHR(32)SZ - SWITZERLAND
CHR(32)CHR(32)CHR(32)TD - TRINIDAD AND TOBAGO
CHR(32)CHR(32)CHR(32)TE - TROMELIN ISLAND
CHR(32)CHR(32)CHR(32)TH - THAILAND
CHR(32)CHR(32)CHR(32)TI - TAJIKISTAN
CHR(32)CHR(32)CHR(32)TK - TURKS AND CAICOS ISLANDS
CHR(32)CHR(32)CHR(32)TL - TOKELAU
CHR(32)CHR(32)CHR(32)TN - TONGA
CHR(32)CHR(32)CHR(32)TO - TOGO
CHR(32)CHR(32)CHR(32)TP - SAO TOME AND PRINCIPE
CHR(32)CHR(32)CHR(32)TQ - TRUST TERRITORY OF THE PACIFIC ISLANDS
CHR(32)CHR(32)CHR(32)TS - TUNISIA
CHR(32)CHR(32)CHR(32)TT - EAST TIMOR
CHR(32)CHR(32)CHR(32)TU - TURKEY
CHR(32)CHR(32)CHR(32)TV - TUVALU
CHR(32)CHR(32)CHR(32)TW - TAIWAN
CHR(32)CHR(32)CHR(32)TX - TURKMENISTAN
CHR(32)CHR(32)CHR(32)TZ - TANZANIA
CHR(32)CHR(32)CHR(32)U2 - NEUTRAL ZONE
CHR(32)CHR(32)CHR(32)U3 - STATELESS
CHR(32)CHR(32)CHR(32)U5 - UNKNOWN
CHR(32)CHR(32)CHR(32)UG - UGANDA
CHR(32)CHR(32)CHR(32)UK - UNITED KINGDOM
CHR(32)CHR(32)CHR(32)UP - UKRAINE
CHR(32)CHR(32)CHR(32)UR - UNION OF SOVIET SOCIALIST REPUBLICS
CHR(32)CHR(32)CHR(32)UV - BURKINA FASO
CHR(32)CHR(32)CHR(32)UY - URUGUAY
CHR(32)CHR(32)CHR(32)UZ - UZBEKISTAN
CHR(32)CHR(32)CHR(32)VC - SAINT VINCENT AND THE GRENADINES
CHR(32)CHR(32)CHR(32)VE - VENEZUELA
CHR(32)CHR(32)CHR(32)VI - BRITISH VIRGIN ISLANDS
CHR(32)CHR(32)CHR(32)VM - VIETNAM
CHR(32)CHR(32)CHR(32)VN - DEMOCRATIC REPUBLIC OF VIET-NAM
CHR(32)CHR(32)CHR(32)VS - REPUBLIC OF VIET-NAM
CHR(32)CHR(32)CHR(32)VT - VATICAN CITY
CHR(32)CHR(32)CHR(32)WA - NAMIBIA
CHR(32)CHR(32)CHR(32)WE - WEST BANK
CHR(32)CHR(32)CHR(32)WF - WALLIS AND FUTUNA
CHR(32)CHR(32)CHR(32)WI - WESTERN SAHARA
CHR(32)CHR(32)CHR(32)WS - SAMOA
CHR(32)CHR(32)CHR(32)WZ - SWAZILAND
CHR(32)CHR(32)CHR(32)YE - YEMAN (SANAA)
CHR(32)CHR(32)CHR(32)YM - YEMEN
CHR(32)CHR(32)CHR(32)YO - YUGOSLAVIA
CHR(32)CHR(32)CHR(32)YQ - YUGOSLAVIA
CHR(32)CHR(32)CHR(32)YS - YEMEN (ADEN)
CHR(32)CHR(32)CHR(32)ZA - ZAMBIA
CHR(32)CHR(32)CHR(32)ZI - ZIMBABWE
</t>
  </si>
  <si>
    <t xml:space="preserve">LanguageProficiency
CHR(32)CHR(32)CHR(32)Unknown
CHR(32)CHR(32)CHR(32)Unacceptable
CHR(32)CHR(32)CHR(32)RedesignatedFluentEnglishProficient
CHR(32)CHR(32)CHR(32)Poor
CHR(32)CHR(32)CHR(32)NonEnglishSpeaking
CHR(32)CHR(32)CHR(32)LimitedEnglishProficiency
CHR(32)CHR(32)CHR(32)Good
CHR(32)CHR(32)CHR(32)FullyEnglishProficient
CHR(32)CHR(32)CHR(32)Fair
CHR(32)CHR(32)CHR(32)Excellent
CHR(32)CHR(32)CHR(32)EnglishOnly
</t>
  </si>
  <si>
    <t xml:space="preserve">LanguageUsage
CHR(32)CHR(32)CHR(32)Always
CHR(32)CHR(32)CHR(32)FirstSpokenLanguage
CHR(32)CHR(32)CHR(32)SomeSections
CHR(32)CHR(32)CHR(32)Sometimes
CHR(32)CHR(32)CHR(32)WrittenCommunication
CHR(32)CHR(32)CHR(32)Native
CHR(32)CHR(32)CHR(32)Reading
CHR(32)CHR(32)CHR(32)Speaking
CHR(32)CHR(32)CHR(32)SpokenAtHome
CHR(32)CHR(32)CHR(32)Writing
</t>
  </si>
  <si>
    <t xml:space="preserve">LeadershipCharacteristicCode
CHR(32)CHR(32)CHR(32)Elected
CHR(32)CHR(32)CHR(32)NonElected
</t>
  </si>
  <si>
    <t xml:space="preserve">LegacyAlumniCode
CHR(32)CHR(32)CHR(32)Child
CHR(32)CHR(32)CHR(32)Father
CHR(32)CHR(32)CHR(32)Mother
CHR(32)CHR(32)CHR(32)Sibling
CHR(32)CHR(32)CHR(32)Spouse
</t>
  </si>
  <si>
    <t xml:space="preserve">LegalStatusCode
CHR(32)CHR(32)CHR(32)NonStatus
CHR(32)CHR(32)CHR(32)Status
</t>
  </si>
  <si>
    <t xml:space="preserve">MaritalStatusChangeCode
CHR(32)CHR(32)CHR(32)Cohabitation
CHR(32)CHR(32)CHR(32)Divorced
CHR(32)CHR(32)CHR(32)DomesticPartnership
CHR(32)CHR(32)CHR(32)LegallySeparated
CHR(32)CHR(32)CHR(32)Married
CHR(32)CHR(32)CHR(32)None
CHR(32)CHR(32)CHR(32)Other
CHR(32)CHR(32)CHR(32)Unknown
CHR(32)CHR(32)CHR(32)Widowed
</t>
  </si>
  <si>
    <t xml:space="preserve">MaritalStatusCode
CHR(32)CHR(32)CHR(32)CommonLaw
CHR(32)CHR(32)CHR(32)Divorced
CHR(32)CHR(32)CHR(32)LegallySeparated
CHR(32)CHR(32)CHR(32)Married
CHR(32)CHR(32)CHR(32)RegisteredPartnership
CHR(32)CHR(32)CHR(32)Separated
CHR(32)CHR(32)CHR(32)Single
CHR(32)CHR(32)CHR(32)Unknown
CHR(32)CHR(32)CHR(32)Unmarried
CHR(32)CHR(32)CHR(32)Unreported
CHR(32)CHR(32)CHR(32)Widowed
</t>
  </si>
  <si>
    <t xml:space="preserve">MilitaryRelationshipStatusCode
CHR(32)CHR(32)CHR(32)ActiveDutyMilitary
CHR(32)CHR(32)CHR(32)AirForce
CHR(32)CHR(32)CHR(32)AirForceNationalGuard
CHR(32)CHR(32)CHR(32)AirForceReserve
CHR(32)CHR(32)CHR(32)AirForceROTC
CHR(32)CHR(32)CHR(32)ArmedForces
CHR(32)CHR(32)CHR(32)ArmedForcesReserves
CHR(32)CHR(32)CHR(32)Army
CHR(32)CHR(32)CHR(32)ArmyReserve
CHR(32)CHR(32)CHR(32)ArmyROTC
CHR(32)CHR(32)CHR(32)CoastGuard
CHR(32)CHR(32)CHR(32)Dependent
CHR(32)CHR(32)CHR(32)InactiveMember
CHR(32)CHR(32)CHR(32)MarineCorps
CHR(32)CHR(32)CHR(32)MarineCorpsReserve
CHR(32)CHR(32)CHR(32)MarineCorpsROTC
CHR(32)CHR(32)CHR(32)MerchantMarines
CHR(32)CHR(32)CHR(32)Navy
CHR(32)CHR(32)CHR(32)NavyReserve
CHR(32)CHR(32)CHR(32)NavyROTC
CHR(32)CHR(32)CHR(32)None
CHR(32)CHR(32)CHR(32)Other
CHR(32)CHR(32)CHR(32)ReserveOfficersTrainingProgram
CHR(32)CHR(32)CHR(32)Unknown
CHR(32)CHR(32)CHR(32)Veteran
</t>
  </si>
  <si>
    <t xml:space="preserve">NameCode
CHR(32)CHR(32)CHR(32)Casual
CHR(32)CHR(32)CHR(32)Formal
CHR(32)CHR(32)CHR(32)Former
CHR(32)CHR(32)CHR(32)LawSchoolApplicationSource
CHR(32)CHR(32)CHR(32)Legal
CHR(32)CHR(32)CHR(32)MedicalSchoolApplicationSource
CHR(32)CHR(32)CHR(32)Nickname
CHR(32)CHR(32)CHR(32)Other
</t>
  </si>
  <si>
    <t xml:space="preserve">NonImmigrantVisaType
CHR(32)CHR(32)CHR(32)A-1 - Ambassador, Diplomat or Conoff and Immediate Family
CHR(32)CHR(32)CHR(32)A-2 - Other Foreign Government Official and Immediate Family
CHR(32)CHR(32)CHR(32)A-3 - Personal Employee of A1/A2 Visa Holder and Immediate Family
CHR(32)CHR(32)CHR(32)B-1 - Visitor for Business
CHR(32)CHR(32)CHR(32)B-1/B-2 - Visitor for Business and Pleasure
CHR(32)CHR(32)CHR(32)B-2 - Visitor for Pleasure
CHR(32)CHR(32)CHR(32)BBBCC - B-1/B-2/BCC Combination Visa Mexican
CHR(32)CHR(32)CHR(32)C-1 - Alien in Transit
CHR(32)CHR(32)CHR(32)C-1D - Alien Crewmember in Transit
CHR(32)CHR(32)CHR(32)C-2 - Alien in Transit – United Nations
CHR(32)CHR(32)CHR(32)C-3 - Alien in Transit – Foreign Official and Immediate Family
CHR(32)CHR(32)CHR(32)C-4 - Transit without visa
CHR(32)CHR(32)CHR(32)D-- - Crew Member (Ship or Aircraft Crew)
CHR(32)CHR(32)CHR(32)D-1 - Crewmember departing on same vesselof arrival
CHR(32)CHR(32)CHR(32)D-2 - Crewmember departing by means other than vessel of arrival
CHR(32)CHR(32)CHR(32)E-1 - Treaty Trader, Spouse, Children
CHR(32)CHR(32)CHR(32)E-2 - Treaty Investor, Spouse, Children
CHR(32)CHR(32)CHR(32)F-1 - Student (full time) for Academic or Language Training
CHR(32)CHR(32)CHR(32)F-2 - Spouse or Dependent Child of F-1 Visa Holder
CHR(32)CHR(32)CHR(32)F-3 - Border Commuter Student
CHR(32)CHR(32)CHR(32)G-1 - Permanent Representative to an International Organization and Immediate Family
CHR(32)CHR(32)CHR(32)G-2 - Temporary  Representative  to  International  Organization  and  Immediate Family
CHR(32)CHR(32)CHR(32)G-3 - Representative NonRec/Member Government to International Organization and Immediate Family
CHR(32)CHR(32)CHR(32)G-4 - Employee of International Organization and Immediate Family
CHR(32)CHR(32)CHR(32)G-5 - Personal Employee of G-1, G-2, G-3 or G-4 Visa Holder and Immediate Family
CHR(32)CHR(32)CHR(32)H-1B - Temporary Worker Distinguished Merit (Other than Nurse)
CHR(32)CHR(32)CHR(32)H-1B1 - Free Trade Agreement NonImmigrant Professionals
CHR(32)CHR(32)CHR(32)H-1C - Nurses going to work for up to three years in health professional shortage areas
CHR(32)CHR(32)CHR(32)H-2A - Temporary Agricultural Worker
CHR(32)CHR(32)CHR(32)H-2B - Non-Agricultural Temporary Worker
CHR(32)CHR(32)CHR(32)H-3 - Trainee
CHR(32)CHR(32)CHR(32)H-4 - Spouse or Child of H-1, B-1, C-2, A-2, or B-3 Visa Holder
CHR(32)CHR(32)CHR(32)I-- - Foreign Information Media and Spouse and Child
CHR(32)CHR(32)CHR(32)J-1 - Exchange Visitor
CHR(32)CHR(32)CHR(32)J-2 - Spouse or Dependent Child of J-1
CHR(32)CHR(32)CHR(32)K-1 - Fiancé or Fiancée of US Citizen
CHR(32)CHR(32)CHR(32)K-2 - Child of K-1 Visa Holder
CHR(32)CHR(32)CHR(32)K-3 - Spouse of a US Citizen (LIFE Act)
CHR(32)CHR(32)CHR(32)K-4 - Child of K-3 Visa Holder (LIFE Act)
CHR(32)CHR(32)CHR(32)L-1 - Intra-Company Transferee (Executive, Manager)
CHR(32)CHR(32)CHR(32)L-1A - Executive, managerial
CHR(32)CHR(32)CHR(32)L-1B - Specialized knowledge
CHR(32)CHR(32)CHR(32)L-2 - Spouse or Child of L-1 Visa Holder
CHR(32)CHR(32)CHR(32)M-1 - Student (full time) admitted for educational vocational or technical training
CHR(32)CHR(32)CHR(32)M-2 - Spouse or Dependent Child of M-1 visa Holder
CHR(32)CHR(32)CHR(32)M-3 - Border Commuter Vocational Student
CHR(32)CHR(32)CHR(32)N-8 - Parent of SK3 International Organization Special Immigrant
CHR(32)CHR(32)CHR(32)N-9 - Child of N-8 or of SK-1, SK-2, or SK-4 Special Immigrant
CHR(32)CHR(32)CHR(32)NATO-1 - NATO-1
CHR(32)CHR(32)CHR(32)NATO-2 - NATO-2
CHR(32)CHR(32)CHR(32)NATO-3 - NATO-3
CHR(32)CHR(32)CHR(32)NATO-4 - NATO-4
CHR(32)CHR(32)CHR(32)NATO-5 - NATO-5
CHR(32)CHR(32)CHR(32)NATO-6 - NATO-6
CHR(32)CHR(32)CHR(32)NATO-7 - Personal Employee of a NATO-1, NATO-2, NATO-3, NATO-4, NATO-5 or NATO-6 Visa Holder
CHR(32)CHR(32)CHR(32)O-1 - Alien of Extraordinary Ability
CHR(32)CHR(32)CHR(32)O-2 - Alien Accompanying O-1 Alien
CHR(32)CHR(32)CHR(32)O-3 - Spouse or Child of O-1 or O-2 Visa Holder
CHR(32)CHR(32)CHR(32)P-1 - Athlete or Entertainment Group for Specific Event
CHR(32)CHR(32)CHR(32)P-2 - Artist – Reciprocal Exchange
CHR(32)CHR(32)CHR(32)P-3 - Culturally Unique Artist
CHR(32)CHR(32)CHR(32)P-4 - Spouse or Child of P-1, P-2, or P-3 Visa Holder
CHR(32)CHR(32)CHR(32)Q-1 - International cultural exchange visitors
CHR(32)CHR(32)CHR(32)Q-2 - Irish Peace Process Cultural and Training Program (Walsh Visas) from Dublin and Belfast only
CHR(32)CHR(32)CHR(32)Q-3 - Spouse or child of Q-2 (Dublin or Belfast Only)
CHR(32)CHR(32)CHR(32)R-1 - Religious workers
CHR(32)CHR(32)CHR(32)R-2 - Spouse or child of R-1 Visa Holder
CHR(32)CHR(32)CHR(32)S-5 - Informant of criminal organization information
CHR(32)CHR(32)CHR(32)S-6 - Informant of terrorism information
CHR(32)CHR(32)CHR(32)S-7 - Spouse, Son, Daughter or Parent of S-5 or S-6 Visa Holder
CHR(32)CHR(32)CHR(32)T-1 - Victim of a severe form of trafficking in persons
CHR(32)CHR(32)CHR(32)T-2 - Spouse of a victim of a severe form of trafficking in persons
CHR(32)CHR(32)CHR(32)T-3 - Child of a victim of a severe form of trafficking in persons
CHR(32)CHR(32)CHR(32)T-4 - Parent of a victim of a severe form of trafficking persons (if T-1 victim is under 21 years of age)
CHR(32)CHR(32)CHR(32)TN- - NAFTA Professional
CHR(32)CHR(32)CHR(32)TD- - NAFTA Derivative (Spouse or child accompanying TN Visa Holder)
CHR(32)CHR(32)CHR(32)TWOV - Passenger or crew
CHR(32)CHR(32)CHR(32)U-1 - Victim of certain criminal activity
CHR(32)CHR(32)CHR(32)U-2 - Spouse of U-1
CHR(32)CHR(32)CHR(32)U-3 - Child of U-1
CHR(32)CHR(32)CHR(32)U-4 - Parent of U-1, if U-1 is under 21 years of age
CHR(32)CHR(32)CHR(32)V-2 - Child of V-1 (LPR Child Principal – LIFE Act)
CHR(32)CHR(32)CHR(32)V-3 - The derivative child of a V-1 or V-2 Visa Holder
CHR(32)CHR(32)CHR(32)TPS - Temporary Protected Status
</t>
  </si>
  <si>
    <t xml:space="preserve">ParentsMaritalStatusCode
CHR(32)CHR(32)CHR(32)CommonLaw
CHR(32)CHR(32)CHR(32)Divorced
CHR(32)CHR(32)CHR(32)LegallySeparated
CHR(32)CHR(32)CHR(32)Married
CHR(32)CHR(32)CHR(32)NeverMarried
CHR(32)CHR(32)CHR(32)RegisteredDomesticPartners
CHR(32)CHR(32)CHR(32)Separated
CHR(32)CHR(32)CHR(32)Single
CHR(32)CHR(32)CHR(32)Unknown
CHR(32)CHR(32)CHR(32)Unmarried
CHR(32)CHR(32)CHR(32)Unreported
CHR(32)CHR(32)CHR(32)Widowed
</t>
  </si>
  <si>
    <t xml:space="preserve">PassportInformationAvailableCode
CHR(32)CHR(32)CHR(32)InformationNotAvailable
CHR(32)CHR(32)CHR(32)NotYetIssued
</t>
  </si>
  <si>
    <t xml:space="preserve">PaymentMethodCode
CHR(32)CHR(32)CHR(32)BankWire
CHR(32)CHR(32)CHR(32)Cash
CHR(32)CHR(32)CHR(32)Check
CHR(32)CHR(32)CHR(32)CreditCard
CHR(32)CHR(32)CHR(32)DebitCard
CHR(32)CHR(32)CHR(32)FeeWaiver
CHR(32)CHR(32)CHR(32)GuaranteedFunds
CHR(32)CHR(32)CHR(32)MoneyOrder
CHR(32)CHR(32)CHR(32)Other
CHR(32)CHR(32)CHR(32)OtherAgency
</t>
  </si>
  <si>
    <t xml:space="preserve">PlanToApplyForCode
CHR(32)CHR(32)CHR(32)CampusEmployment
CHR(32)CHR(32)CHR(32)CoOp
CHR(32)CHR(32)CHR(32)Fellowship
CHR(32)CHR(32)CHR(32)FinancialAid
CHR(32)CHR(32)CHR(32)HonorsProgram
CHR(32)CHR(32)CHR(32)Housing
CHR(32)CHR(32)CHR(32)Internship
CHR(32)CHR(32)CHR(32)NationalStudentExchange
CHR(32)CHR(32)CHR(32)ResearchAssistantship
CHR(32)CHR(32)CHR(32)Scholarship
CHR(32)CHR(32)CHR(32)StudyAbroad
CHR(32)CHR(32)CHR(32)TeachingAssistantship
</t>
  </si>
  <si>
    <t xml:space="preserve">PostsecondarySchoolCategory
CHR(32)CHR(32)CHR(32)PrivateFourYear
CHR(32)CHR(32)CHR(32)PrivateGraduateProfessional
CHR(32)CHR(32)CHR(32)PrivateTwoYear
CHR(32)CHR(32)CHR(32)PublicFourYear
CHR(32)CHR(32)CHR(32)PublicGraduateProfessional
CHR(32)CHR(32)CHR(32)PublicTwoYear
</t>
  </si>
  <si>
    <t xml:space="preserve">PrivacyRestrictionLevel
CHR(32)CHR(32)CHR(32)00 - No restrictions have been placed on the release of information
CHR(32)CHR(32)CHR(32)01 - Student has requested that no directory information be released without prior consent
CHR(32)CHR(32)CHR(32)02 - Student has requested nonrelease of specific information items
CHR(32)CHR(32)CHR(32)03 - Student has requested nonrelease of information in specific formats (book, electronic, etc.)
CHR(32)CHR(32)CHR(32)04 - Student has requested nonrelease of information to specific people, entities
CHR(32)CHR(32)CHR(32)99 - Other (to be specified in the NoteMessage).
</t>
  </si>
  <si>
    <t xml:space="preserve">ProgramSecondarySchoolCode
CHR(32)CHR(32)CHR(32)CareerPrep
CHR(32)CHR(32)CHR(32)CollegePrep
CHR(32)CHR(32)CHR(32)CollegePrepOrCollegeTechhPrep
CHR(32)CHR(32)CHR(32)CollegeTechPrep
CHR(32)CHR(32)CHR(32)General
CHR(32)CHR(32)CHR(32)Occupational
CHR(32)CHR(32)CHR(32)Vocational
</t>
  </si>
  <si>
    <t xml:space="preserve">QuestionAreaCode
CHR(32)CHR(32)CHR(32)AcademicRecord
CHR(32)CHR(32)CHR(32)Admissions
CHR(32)CHR(32)CHR(32)Biographical
CHR(32)CHR(32)CHR(32)Education
CHR(32)CHR(32)CHR(32)Employment
CHR(32)CHR(32)CHR(32)Essay
CHR(32)CHR(32)CHR(32)ExtraCurricularActivities
CHR(32)CHR(32)CHR(32)Family
CHR(32)CHR(32)CHR(32)FinancialAid
CHR(32)CHR(32)CHR(32)General
CHR(32)CHR(32)CHR(32)Health
CHR(32)CHR(32)CHR(32)HonorsAwards
CHR(32)CHR(32)CHR(32)Housing
CHR(32)CHR(32)CHR(32)Immigration
CHR(32)CHR(32)CHR(32)Other
CHR(32)CHR(32)CHR(32)Personal
CHR(32)CHR(32)CHR(32)References
CHR(32)CHR(32)CHR(32)Residency
CHR(32)CHR(32)CHR(32)Scholarship
CHR(32)CHR(32)CHR(32)Tests
</t>
  </si>
  <si>
    <t xml:space="preserve">QuestionFormatCode
CHR(32)CHR(32)CHR(32)CheckBox
CHR(32)CHR(32)CHR(32)DropDownMenu
CHR(32)CHR(32)CHR(32)NoInput
CHR(32)CHR(32)CHR(32)OneLineText
CHR(32)CHR(32)CHR(32)RadioButton
CHR(32)CHR(32)CHR(32)TextArea
</t>
  </si>
  <si>
    <t xml:space="preserve">QuestionRequiredCode
CHR(32)CHR(32)CHR(32)Optional
CHR(32)CHR(32)CHR(32)Required
</t>
  </si>
  <si>
    <t xml:space="preserve">ReligiousAffiliationCode
CHR(32)CHR(32)CHR(32)Agnostic
CHR(32)CHR(32)CHR(32)Anglican
CHR(32)CHR(32)CHR(32)ApostolicChristian
CHR(32)CHR(32)CHR(32)AssembliesOfGod
CHR(32)CHR(32)CHR(32)Atheist
CHR(32)CHR(32)CHR(32)BahaiFaith
CHR(32)CHR(32)CHR(32)Baptist
CHR(32)CHR(32)CHR(32)BaptistConservative
CHR(32)CHR(32)CHR(32)BaptistOther
CHR(32)CHR(32)CHR(32)BaptistSouthern
CHR(32)CHR(32)CHR(32)Buddhist
CHR(32)CHR(32)CHR(32)Catholic
CHR(32)CHR(32)CHR(32)CatholicGreek
CHR(32)CHR(32)CHR(32)CatholicOther
CHR(32)CHR(32)CHR(32)CatholicRoman
CHR(32)CHR(32)CHR(32)Christian
CHR(32)CHR(32)CHR(32)ChristianBrethren
CHR(32)CHR(32)CHR(32)ChristianOther
CHR(32)CHR(32)CHR(32)ChristianReformed
CHR(32)CHR(32)CHR(32)ChristianScience
CHR(32)CHR(32)CHR(32)ChurchOfChrist
CHR(32)CHR(32)CHR(32)ChurchOfGod
CHR(32)CHR(32)CHR(32)ChurchOfTheNazarene
CHR(32)CHR(32)CHR(32)Congregational
CHR(32)CHR(32)CHR(32)Coptic
CHR(32)CHR(32)CHR(32)CrusadeForChristCampus
CHR(32)CHR(32)CHR(32)DisciplesOfChrist
CHR(32)CHR(32)CHR(32)EasternChristianOrthodox
CHR(32)CHR(32)CHR(32)Episcopal
CHR(32)CHR(32)CHR(32)Evangelist
CHR(32)CHR(32)CHR(32)FirstChristian
CHR(32)CHR(32)CHR(32)GraceReformed
CHR(32)CHR(32)CHR(32)GreatCommission
CHR(32)CHR(32)CHR(32)Hindu
CHR(32)CHR(32)CHR(32)Interdenominational
CHR(32)CHR(32)CHR(32)IntervarsityChristianFellowship
CHR(32)CHR(32)CHR(32)Jain
CHR(32)CHR(32)CHR(32)JehovahsWitnesses
CHR(32)CHR(32)CHR(32)Jewish
CHR(32)CHR(32)CHR(32)JewishConservative
CHR(32)CHR(32)CHR(32)JewishOrthodox
CHR(32)CHR(32)CHR(32)JewishOther
CHR(32)CHR(32)CHR(32)JewishReform
CHR(32)CHR(32)CHR(32)LatterDaySaintMormon
CHR(32)CHR(32)CHR(32)LutheranMissouriSynod
CHR(32)CHR(32)CHR(32)LutheranNationalConference
CHR(32)CHR(32)CHR(32)LutheranUnspecified
CHR(32)CHR(32)CHR(32)LutheranWisconsin
CHR(32)CHR(32)CHR(32)Mennonite
CHR(32)CHR(32)CHR(32)Methodist
CHR(32)CHR(32)CHR(32)MethodistAfricanEpiscopal
CHR(32)CHR(32)CHR(32)Muslim
CHR(32)CHR(32)CHR(32)Navigators
CHR(32)CHR(32)CHR(32)None
CHR(32)CHR(32)CHR(32)NotFoundSeeNoteMessage
CHR(32)CHR(32)CHR(32)OtherNonChristian
CHR(32)CHR(32)CHR(32)OtherReligion
CHR(32)CHR(32)CHR(32)Pentecostal
CHR(32)CHR(32)CHR(32)PlymouthBrethren
CHR(32)CHR(32)CHR(32)Presbyterian
CHR(32)CHR(32)CHR(32)PresbyterianReformed
CHR(32)CHR(32)CHR(32)Protestant
CHR(32)CHR(32)CHR(32)ProtestantOther
CHR(32)CHR(32)CHR(32)ReorganizedLatterDaySaint
CHR(32)CHR(32)CHR(32)SeventhDayAdventist
CHR(32)CHR(32)CHR(32)Sikh
CHR(32)CHR(32)CHR(32)SocietyOfFriends
CHR(32)CHR(32)CHR(32)TrinityChurch
CHR(32)CHR(32)CHR(32)Unification
CHR(32)CHR(32)CHR(32)UnifiedFamily
CHR(32)CHR(32)CHR(32)UnitarianUniversalists
CHR(32)CHR(32)CHR(32)UnitedChurch
CHR(32)CHR(32)CHR(32)Wesleyan
CHR(32)CHR(32)CHR(32)WorldWideDiscipleship
</t>
  </si>
  <si>
    <t xml:space="preserve">ResidencyStatusCode
CHR(32)CHR(32)CHR(32)InCity
CHR(32)CHR(32)CHR(32)InCounty
CHR(32)CHR(32)CHR(32)InDistrict
CHR(32)CHR(32)CHR(32)InState
CHR(32)CHR(32)CHR(32)NonResident
CHR(32)CHR(32)CHR(32)NotReported
CHR(32)CHR(32)CHR(32)OtherResident
CHR(32)CHR(32)CHR(32)Resident
</t>
  </si>
  <si>
    <t xml:space="preserve">SchoolAppliedEmployedCode
CHR(32)CHR(32)CHR(32)Applicant
CHR(32)CHR(32)CHR(32)FamilyMember
CHR(32)CHR(32)CHR(32)Father
CHR(32)CHR(32)CHR(32)Mother
</t>
  </si>
  <si>
    <t xml:space="preserve">SchoolOverrideCode
CHR(32)CHR(32)CHR(32)Coop
CHR(32)CHR(32)CHR(32)Institutional
CHR(32)CHR(32)CHR(32)Internship
CHR(32)CHR(32)CHR(32)MultiCampus
CHR(32)CHR(32)CHR(32)Reciprocal
CHR(32)CHR(32)CHR(32)StudyAbroad
CHR(32)CHR(32)CHR(32)Transfer
</t>
  </si>
  <si>
    <t xml:space="preserve">SecondarySchoolCategoryCode
CHR(32)CHR(32)CHR(32)Charter
CHR(32)CHR(32)CHR(32)HomeSchool
CHR(32)CHR(32)CHR(32)Independent
CHR(32)CHR(32)CHR(32)Parochial
CHR(32)CHR(32)CHR(32)Private
CHR(32)CHR(32)CHR(32)Public
</t>
  </si>
  <si>
    <t xml:space="preserve">SponsorCode
CHR(32)CHR(32)CHR(32)ForeignCompany
CHR(32)CHR(32)CHR(32)ForeignGovernment
CHR(32)CHR(32)CHR(32)Institution
CHR(32)CHR(32)CHR(32)Organization
CHR(32)CHR(32)CHR(32)Other
CHR(32)CHR(32)CHR(32)Parent
CHR(32)CHR(32)CHR(32)Relative
CHR(32)CHR(32)CHR(32)Self
CHR(32)CHR(32)CHR(32)Spouse
CHR(32)CHR(32)CHR(32)Unknown
CHR(32)CHR(32)CHR(32)USCompany
CHR(32)CHR(32)CHR(32)USGovernment
</t>
  </si>
  <si>
    <t xml:space="preserve">StudentReleaseCode
CHR(32)CHR(32)CHR(32)AllValuesIncluded - Have you listed all previous schools in which you were ever enrolled? 
CHR(32)CHR(32)CHR(32)AllTrue - Is all the information you have provided on this application both accurate and complete? 
CHR(32)CHR(32)CHR(32)HonorCode - If admitted as a student to this school, do you agree to abide by all the rules of the school’s Honor Code? 
CHR(32)CHR(32)CHR(32)ObtainTestScores - Do you agree to allow the school to request test scores from all the national testing agencies? 
CHR(32)CHR(32)CHR(32)ObtainTranscripts - Do you agree to allow the school to request transcripts from all schools in which you previously enrolled? 
CHR(32)CHR(32)CHR(32)ReleaseTestScores - Do you give this school permission to release test scores when requested by other accredited colleges? 
CHR(32)CHR(32)CHR(32)ReleaseTranscripts - Do you give this school permission to release your academic record (transcript) when requested from other accredited schools to which you may later apply?
</t>
  </si>
  <si>
    <t xml:space="preserve">SupplementalGradeCode
CHR(32)CHR(32)CHR(32)BiCourseGrade
CHR(32)CHR(32)CHR(32)BlendedFinalGrade
CHR(32)CHR(32)CHR(32)ExamGrade
CHR(32)CHR(32)CHR(32)InstructorAssignedGrade
CHR(32)CHR(32)CHR(32)SubSessionGrade
CHR(32)CHR(32)CHR(32)TriCourseGrade
</t>
  </si>
  <si>
    <t xml:space="preserve">TreatyCode
CHR(32)CHR(32)CHR(32)NonTreaty
CHR(32)CHR(32)CHR(32)Treaty
</t>
  </si>
  <si>
    <t xml:space="preserve">VisaIssuingPostCode
CHR(32)CHR(32)CHR(32)ABD - ABU DHABI
CHR(32)CHR(32)CHR(32)ABJ - ABIDJAN
CHR(32)CHR(32)CHR(32)ABU - ABUJA
CHR(32)CHR(32)CHR(32)ACC - ACCRA
CHR(32)CHR(32)CHR(32)ADA - ADDIS ABADA
CHR(32)CHR(32)CHR(32)ADN - ADANA
CHR(32)CHR(32)CHR(32)AKD - ASHGABAT
CHR(32)CHR(32)CHR(32)ALG - ALGIERS
CHR(32)CHR(32)CHR(32)ALX - ALEXANDRIA
CHR(32)CHR(32)CHR(32)AMM - AMMAN
CHR(32)CHR(32)CHR(32)AMS - AMSTERDAM
CHR(32)CHR(32)CHR(32)ANK - ANKARA
CHR(32)CHR(32)CHR(32)ANT - ANTANANARIVO
CHR(32)CHR(32)CHR(32)APA - APIA
CHR(32)CHR(32)CHR(32)ASC - ASUNCION
CHR(32)CHR(32)CHR(32)ATA - ALMA ATA
CHR(32)CHR(32)CHR(32)ATH - ATHENS
CHR(32)CHR(32)CHR(32)ATW - ANTWERP
CHR(32)CHR(32)CHR(32)AUC - AUCKLAND
CHR(32)CHR(32)CHR(32)BAG - BAGHDAD
CHR(32)CHR(32)CHR(32)BAM - BAMAKO
CHR(32)CHR(32)CHR(32)BAN - BANGKOK
CHR(32)CHR(32)CHR(32)BAR - BARRANQUILLA
CHR(32)CHR(32)CHR(32)BDS - BANDAR SERI BEGAWAN
CHR(32)CHR(32)CHR(32)BEI - BEIJING
CHR(32)CHR(32)CHR(32)BEL - BELEM
CHR(32)CHR(32)CHR(32)BER - BERLIN
CHR(32)CHR(32)CHR(32)BET - BELFAST
CHR(32)CHR(32)CHR(32)BGD - BELGRADE
CHR(32)CHR(32)CHR(32)BIL - BILBAO
CHR(32)CHR(32)CHR(32)BIS - BISSAU
CHR(32)CHR(32)CHR(32)BKK - BISHKEK
CHR(32)CHR(32)CHR(32)BKU - BAKU
CHR(32)CHR(32)CHR(32)BLA - BLANTYRE
CHR(32)CHR(32)CHR(32)BLZ - BELIZE CITY
CHR(32)CHR(32)CHR(32)BNG - BANGUI
CHR(32)CHR(32)CHR(32)BNJ - BANJUL
CHR(32)CHR(32)CHR(32)BOG - BOGOTA
CHR(32)CHR(32)CHR(32)BOM - BOMBAY
CHR(32)CHR(32)CHR(32)BON - BONN
CHR(32)CHR(32)CHR(32)BOR - BORDEAUX
CHR(32)CHR(32)CHR(32)BRA - BRASILIA
CHR(32)CHR(32)CHR(32)BRC - BARCELONA
CHR(32)CHR(32)CHR(32)BRE - BREMEN
CHR(32)CHR(32)CHR(32)BRI - BRIDGETOWN
CHR(32)CHR(32)CHR(32)BRN - BERN
CHR(32)CHR(32)CHR(32)BRT - BEIRUT
CHR(32)CHR(32)CHR(32)BRU - BRUSSELS
CHR(32)CHR(32)CHR(32)BRV - BRAZZAVILLE
CHR(32)CHR(32)CHR(32)BSB - BRISBANE
CHR(32)CHR(32)CHR(32)BTS - BRATISLAVA
CHR(32)CHR(32)CHR(32)BUC - BUCHAREST
CHR(32)CHR(32)CHR(32)BUD - BUDAPEST
CHR(32)CHR(32)CHR(32)BUE - BUENOS AIRES
CHR(32)CHR(32)CHR(32)BUJ - BUJUMBURA
CHR(32)CHR(32)CHR(32)BUK - BUKAVU
CHR(32)CHR(32)CHR(32)CAI - CALI
CHR(32)CHR(32)CHR(32)CAL - CALCUTTA
CHR(32)CHR(32)CHR(32)CAN - CANBERRA
CHR(32)CHR(32)CHR(32)CAO - CAIRO
CHR(32)CHR(32)CHR(32)CAP - CAPE TOWN
CHR(32)CHR(32)CHR(32)CAR - CARACAS
CHR(32)CHR(32)CHR(32)CAS - CASABLANCA
CHR(32)CHR(32)CHR(32)CDJ - CIUDAD JUAREZ
CHR(32)CHR(32)CHR(32)CEB - CEBU
CHR(32)CHR(32)CHR(32)CHE - CHENGDU
CHR(32)CHR(32)CHR(32)CHN - CHIANG MAI
CHR(32)CHR(32)CHR(32)CLG - CALGARY
CHR(32)CHR(32)CHR(32)COL - COLOMBO
CHR(32)CHR(32)CHR(32)CON - CONAKRY
CHR(32)CHR(32)CHR(32)COP - COPENHAGEN
CHR(32)CHR(32)CHR(32)COT - COTONOU
CHR(32)CHR(32)CHR(32)CUR - CURACAO
CHR(32)CHR(32)CHR(32)DAC - DHAKA
CHR(32)CHR(32)CHR(32)DAK - DAKAR
CHR(32)CHR(32)CHR(32)DAM - DAMASCUS
CHR(32)CHR(32)CHR(32)DAR - DAR ES SALAAM
CHR(32)CHR(32)CHR(32)DBI - DUBAI
CHR(32)CHR(32)CHR(32)DHA - DHAHRAN
CHR(32)CHR(32)CHR(32)DHB - DUSHANBE
CHR(32)CHR(32)CHR(32)DJI - DJIBOUTI
CHR(32)CHR(32)CHR(32)DOH - DOHA
CHR(32)CHR(32)CHR(32)DOU - DOUALA
CHR(32)CHR(32)CHR(32)DUB - DUBLIN
CHR(32)CHR(32)CHR(32)DUR - DURBAN
CHR(32)CHR(32)CHR(32)DUS - DUSSELDORF
CHR(32)CHR(32)CHR(32)EDI - EDINBURGH
CHR(32)CHR(32)CHR(32)FKT - FRANKFURT
CHR(32)CHR(32)CHR(32)FLO - FLORENCE
CHR(32)CHR(32)CHR(32)FRE - FREETOWNN
CHR(32)CHR(32)CHR(32)FUK - FUKUOKA
CHR(32)CHR(32)CHR(32)GAB - GABORONE
CHR(32)CHR(32)CHR(32)GEN - GENEVA
CHR(32)CHR(32)CHR(32)GNG - GUANGZHOU
CHR(32)CHR(32)CHR(32)GOA - GENOA
CHR(32)CHR(32)CHR(32)GTW - GEORGETOWN
CHR(32)CHR(32)CHR(32)GUA - GUATEMALA
CHR(32)CHR(32)CHR(32)GUJ - GUADALAJARA
CHR(32)CHR(32)CHR(32)GUQ - GUAYAQUIL
CHR(32)CHR(32)CHR(32)HAG - HAGUE
CHR(32)CHR(32)CHR(32)HAI - HAIFA
CHR(32)CHR(32)CHR(32)HAL - HALIFAX
CHR(32)CHR(32)CHR(32)HAM - HAMBURG
CHR(32)CHR(32)CHR(32)HAR - HARARE
CHR(32)CHR(32)CHR(32)HAV - HAVANA
CHR(32)CHR(32)CHR(32)HCM - HO CHI MINH CITY, VIETNAM
CHR(32)CHR(32)CHR(32)HEL - HELSINKI
CHR(32)CHR(32)CHR(32)HER - HERMOSILLO
CHR(32)CHR(32)CHR(32)HKG - HONG KONG
CHR(32)CHR(32)CHR(32)HMN - HAMILTON
CHR(32)CHR(32)CHR(32)HON - HONIORA
CHR(32)CHR(32)CHR(32)ISL - ISLAMABAD
CHR(32)CHR(32)CHR(32)IST - ISTANBUL
CHR(32)CHR(32)CHR(32)IZM - IZMIR
CHR(32)CHR(32)CHR(32)JAK - JAKARTA
CHR(32)CHR(32)CHR(32)JER - JERUSALEM
CHR(32)CHR(32)CHR(32)JID - JEDDAH
CHR(32)CHR(32)CHR(32)JOH - JOHANNESBURG
CHR(32)CHR(32)CHR(32)KAB - KABUL
CHR(32)CHR(32)CHR(32)KAD - KADUNA
CHR(32)CHR(32)CHR(32)KAM - KAMPALA
CHR(32)CHR(32)CHR(32)KAP - KARACHI
CHR(32)CHR(32)CHR(32)KAT - KATHMANDU
CHR(32)CHR(32)CHR(32)KEV - KIEV
CHR(32)CHR(32)CHR(32)KHA - KHARTOUM
CHR(32)CHR(32)CHR(32)KIG - KIGALI
CHR(32)CHR(32)CHR(32)KIN - KINGSTON
CHR(32)CHR(32)CHR(32)KNS - KINSHASA
CHR(32)CHR(32)CHR(32)KNV - CHISINAU
CHR(32)CHR(32)CHR(32)KOL - KOLONIA
CHR(32)CHR(32)CHR(32)KOR - KOROR
CHR(32)CHR(32)CHR(32)KRA - KRAKOW
CHR(32)CHR(32)CHR(32)KUL - KUALA LUMPUR
CHR(32)CHR(32)CHR(32)KUW - KUWAIT
CHR(32)CHR(32)CHR(32)LAG - LAGOS
CHR(32)CHR(32)CHR(32)LAH - LAHORE
CHR(32)CHR(32)CHR(32)LAP - LA PAZ
CHR(32)CHR(32)CHR(32)LEI - LIEPZIG
CHR(32)CHR(32)CHR(32)LEN - LENINGRAD
CHR(32)CHR(32)CHR(32)LIB - LIBREVILLE
CHR(32)CHR(32)CHR(32)LIL - LILONGWE
CHR(32)CHR(32)CHR(32)LIM - LIMA
CHR(32)CHR(32)CHR(32)LIS - LISBON
CHR(32)CHR(32)CHR(32)LIV - LIVERPOOL
CHR(32)CHR(32)CHR(32)LOM - LOME
CHR(32)CHR(32)CHR(32)LON - LONDON
CHR(32)CHR(32)CHR(32)LUA - LUANDA
CHR(32)CHR(32)CHR(32)LUB - LUBUMBASHI
CHR(32)CHR(32)CHR(32)LUS - LUSAKA
CHR(32)CHR(32)CHR(32)LUX - LUXEMBOURG
CHR(32)CHR(32)CHR(32)LYN - LYON
CHR(32)CHR(32)CHR(32)MAA - MANAMA
CHR(32)CHR(32)CHR(32)MAD - MADRID
CHR(32)CHR(32)CHR(32)MAJ - MAJURO
CHR(32)CHR(32)CHR(32)MAL - MALABO
CHR(32)CHR(32)CHR(32)MAN - MANILA
CHR(32)CHR(32)CHR(32)MAP - MAPUTO
CHR(32)CHR(32)CHR(32)MAR - MARACAIBO
CHR(32)CHR(32)CHR(32)MAS - MASERU
CHR(32)CHR(32)CHR(32)MAT - MATAMOROS
CHR(32)CHR(32)CHR(32)MAZ - MAZATLAN
CHR(32)CHR(32)CHR(32)MBA - MBABANE
CHR(32)CHR(32)CHR(32)MDR - MADRAS
CHR(32)CHR(32)CHR(32)MDS - MADRAS
CHR(32)CHR(32)CHR(32)MED - MEDAN
CHR(32)CHR(32)CHR(32)MEL - MELBOURNE
CHR(32)CHR(32)CHR(32)MER - MERIDA
CHR(32)CHR(32)CHR(32)MEX - MEXICO CITY
CHR(32)CHR(32)CHR(32)MIL - MILAN
CHR(32)CHR(32)CHR(32)MNG - MANAGUA
CHR(32)CHR(32)CHR(32)MNT - MONTREAL
CHR(32)CHR(32)CHR(32)MOG - MOGADISHU
CHR(32)CHR(32)CHR(32)MON - MONROVIA
CHR(32)CHR(32)CHR(32)MOR - MORONI
CHR(32)CHR(32)CHR(32)MOS - MOSCOW
CHR(32)CHR(32)CHR(32)MRS - MARSEILLE
CHR(32)CHR(32)CHR(32)MRT - MARTINIQUE
CHR(32)CHR(32)CHR(32)MSA - MOMBASA
CHR(32)CHR(32)CHR(32)MSK - MINSK
CHR(32)CHR(32)CHR(32)MTR - MONTERREY
CHR(32)CHR(32)CHR(32)MTV - MONTEVIDEO
CHR(32)CHR(32)CHR(32)MUN - MUNICH
CHR(32)CHR(32)CHR(32)MUS - MUSCAT
CHR(32)CHR(32)CHR(32)NAH - NAHA
CHR(32)CHR(32)CHR(32)NAI - NAIROBI
CHR(32)CHR(32)CHR(32)NAP - NAPLES
CHR(32)CHR(32)CHR(32)NAS - NASSAU
CHR(32)CHR(32)CHR(32)NDJ - N.DJAMENA
CHR(32)CHR(32)CHR(32)NDL - NEW DELHI
CHR(32)CHR(32)CHR(32)NIA - NIAMEY
CHR(32)CHR(32)CHR(32)NIC - NICOSIA
CHR(32)CHR(32)CHR(32)NOU - NOUAKCHOTT
CHR(32)CHR(32)CHR(32)NUV - NUEVO LAREDO
CHR(32)CHR(32)CHR(32)OPO - OPORTO
CHR(32)CHR(32)CHR(32)ORN - ORAN
CHR(32)CHR(32)CHR(32)OSK - OSAKA-KOBE
CHR(32)CHR(32)CHR(32)OSL - OSLO
CHR(32)CHR(32)CHR(32)OTT - OTTAWA
CHR(32)CHR(32)CHR(32)OUA - OUAGADOUGOU
CHR(32)CHR(32)CHR(32)PAG - PORTO ALEGRE
CHR(32)CHR(32)CHR(32)PAL - PALERMO
CHR(32)CHR(32)CHR(32)PAN - PANAMA CITY
CHR(32)CHR(32)CHR(32)PAP - PORT-AU-PRINCE
CHR(32)CHR(32)CHR(32)PAR - PARIS
CHR(32)CHR(32)CHR(32)PDE - PONTA DELGADA
CHR(32)CHR(32)CHR(32)PER - PERTH
CHR(32)CHR(32)CHR(32)PES - PESHAWAR
CHR(32)CHR(32)CHR(32)PHP - U. S. CONSULATE OFFICE, PHNPM PENN
CHR(32)CHR(32)CHR(32)PLS - PORT LOUIS
CHR(32)CHR(32)CHR(32)PMB - PORT MORESBY
CHR(32)CHR(32)CHR(32)POS - PORT OF SPAIN
CHR(32)CHR(32)CHR(32)POZ - POZNAN
CHR(32)CHR(32)CHR(32)PPO - PAGO PAGO
CHR(32)CHR(32)CHR(32)PRA - PRAIA
CHR(32)CHR(32)CHR(32)PRB - PARAMARIBO
CHR(32)CHR(32)CHR(32)PRE - PRETORIA
CHR(32)CHR(32)CHR(32)PRG - PRAGUE
CHR(32)CHR(32)CHR(32)PRM - PARAMARIBO
CHR(32)CHR(32)CHR(32)PSN - PUSAN
CHR(32)CHR(32)CHR(32)QUE - QUEBEC
CHR(32)CHR(32)CHR(32)QUI - QUITO
CHR(32)CHR(32)CHR(32)RAB - RABAT
CHR(32)CHR(32)CHR(32)RAN - RANGOON
CHR(32)CHR(32)CHR(32)RDJ - RIO DE JANEIRO
CHR(32)CHR(32)CHR(32)REC - RECIFE
CHR(32)CHR(32)CHR(32)REY - REYKJAVIK
CHR(32)CHR(32)CHR(32)RGA - RIGA
CHR(32)CHR(32)CHR(32)RID - RIYADH
CHR(32)CHR(32)CHR(32)ROM - ROME
CHR(32)CHR(32)CHR(32)ROT - ROTTERDAM
CHR(32)CHR(32)CHR(32)SAJ - SAIPAN
CHR(32)CHR(32)CHR(32)SAL - SALISBURY
CHR(32)CHR(32)CHR(32)SAN - SANTIAGO
CHR(32)CHR(32)CHR(32)SAP - SAO PAULO
CHR(32)CHR(32)CHR(32)SEO - SEOUL
CHR(32)CHR(32)CHR(32)SEV - SEVILLE
CHR(32)CHR(32)CHR(32)SGE - ST. GEORGES
CHR(32)CHR(32)CHR(32)SHA - SHANGHAI
CHR(32)CHR(32)CHR(32)SIN - SINGAPORE
CHR(32)CHR(32)CHR(32)SLZ - SALZBURG
CHR(32)CHR(32)CHR(32)SNA - SANAA
CHR(32)CHR(32)CHR(32)SND - SANTO DOMINGO
CHR(32)CHR(32)CHR(32)SNJ - SAN JOSE
CHR(32)CHR(32)CHR(32)SNS - SAN SALVADOR
CHR(32)CHR(32)CHR(32)SNY - SHENYANG
CHR(32)CHR(32)CHR(32)SOF - SOFIA
CHR(32)CHR(32)CHR(32)SOK - SONGKHLA
CHR(32)CHR(32)CHR(32)SPP - SAPPORO
CHR(32)CHR(32)CHR(32)SPT - ST. PETERSBURG
CHR(32)CHR(32)CHR(32)STJ - ST. JOHNS
CHR(32)CHR(32)CHR(32)STO - STOCKHOLM
CHR(32)CHR(32)CHR(32)STR - STRASBOURG
CHR(32)CHR(32)CHR(32)STU - STUTTGART
CHR(32)CHR(32)CHR(32)SUR - SURABAYA
CHR(32)CHR(32)CHR(32)SUV - SUVA
CHR(32)CHR(32)CHR(32)SVD - SALVADOR
CHR(32)CHR(32)CHR(32)SYD - SYDNEY
CHR(32)CHR(32)CHR(32)TAI - TAIPEI
CHR(32)CHR(32)CHR(32)TAL - TALLINN
CHR(32)CHR(32)CHR(32)TAN - TANGIER
CHR(32)CHR(32)CHR(32)TBL - TBILISI
CHR(32)CHR(32)CHR(32)TEG - TEGUCIGALPA
CHR(32)CHR(32)CHR(32)TEH - TEHRAN
CHR(32)CHR(32)CHR(32)TEL - TEL AVIV
CHR(32)CHR(32)CHR(32)THE - THESSALONIKI
CHR(32)CHR(32)CHR(32)THT - TASHKENT
CHR(32)CHR(32)CHR(32)TIA - TIRANA
CHR(32)CHR(32)CHR(32)TIJ - TIJUANA
CHR(32)CHR(32)CHR(32)TOK - TOKYO
CHR(32)CHR(32)CHR(32)TOR - TORONTO
CHR(32)CHR(32)CHR(32)TRI - TRIESTE
CHR(32)CHR(32)CHR(32)TRP - TRIPOLI
CHR(32)CHR(32)CHR(32)TUN - TUNIS
CHR(32)CHR(32)CHR(32)UDN - UDORN
CHR(32)CHR(32)CHR(32)ULN - ULAANBAATAR
CHR(32)CHR(32)CHR(32)VAL - VALLETTA
CHR(32)CHR(32)CHR(32)VAN - VANCOUVER
CHR(32)CHR(32)CHR(32)VAT - VATICAN CITY
CHR(32)CHR(32)CHR(32)VIC - VICTORIA
CHR(32)CHR(32)CHR(32)VIE - VIENNA
CHR(32)CHR(32)CHR(32)VIL - VILNIUS
CHR(32)CHR(32)CHR(32)VIT - VIENTIANE
CHR(32)CHR(32)CHR(32)VW - VISA WAIVER
CHR(32)CHR(32)CHR(32)WAR - WARSAW
CHR(32)CHR(32)CHR(32)WDC - WASHINGTON
CHR(32)CHR(32)CHR(32)WEL - WELLINGTON
CHR(32)CHR(32)CHR(32)WHK - WINDHOEK
CHR(32)CHR(32)CHR(32)WIN - WINNEPEG
CHR(32)CHR(32)CHR(32)YAO - YAOUNDE
CHR(32)CHR(32)CHR(32)YRV - YEREVAN
CHR(32)CHR(32)CHR(32)ZAG - ZAGREB
CHR(32)CHR(32)CHR(32)ZUR - ZURICH
</t>
  </si>
  <si>
    <t xml:space="preserve">VisaReasonForUSBornCode
CHR(32)CHR(32)CHR(32)BornInUSToForeignDiplomat
CHR(32)CHR(32)CHR(32)Expatriated
</t>
  </si>
  <si>
    <t xml:space="preserve">1001 - Adaptive calculator
1002 - Alternate response option
1003 - Alternative text
1004 - Amplification
1014 - Assessment countdown timer
1017 - Assessment extended time
1024 - Assessment multiple days
1029 - Assessment Refocus
1041 - Assessment time of day
1005 - Auditory calming
1006 - Bilingual dictionary
1043 - Bilingual glossary
1009 - Braille
1010 - Breaks
1011 - Calculator
1012 - Closed captioning
1036 - Display Format Adjustment
1015 - English dictionary
1016 - English glossary
1026 - Group size
1018 - Highlighter
1019 - Illustration glossaries
1020 - Large print paper assessment booklet
1021 - Line guide
1022 - Masking
1023 - Medical supports
1025 - Noise canceling
1027 - Read aloud
1028 - Read aloud to self
1013 - Reference sheet
1030 - Repeat test directions
1031 - Screen reader
1032 - Setting
1033 - Signed administration
1034 - Simplified test directions
1035 - Specific test administrator
1037 - Strikethrough
1038 - Tactile graphics
1039 - Tactile symbols
1040 - Thesaurus
1042 - Translation
1044 - Turn off any universal tools
1045 - Unlimited replays
1046 - Unlimited rerecording
1007 - Word to word bilingual dictionary
1008 - Word to word bilingual glossary
9999 - Other
</t>
  </si>
  <si>
    <t xml:space="preserve">Certification - Certification
Endorsement - Endorsement
HighSchoolDiploma - High School Diploma
HighSchoolDiplomaDistinction - High School Diploma Distinction
Licensure - Licensure
LicensureDistinction - Licensure distinction
Registration - Registration
Other - Other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</si>
</sst>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20">
    <xf numFmtId="0" fontId="0" fillId="0" borderId="0" xfId="0"/>
    <xf numFmtId="0" fontId="16" fillId="33" borderId="10" xfId="0" applyFont="1" applyFill="1" applyBorder="1" applyAlignment="1">
      <alignment horizontal="left" wrapText="1"/>
    </xf>
    <xf numFmtId="0" fontId="16" fillId="33" borderId="0" xfId="0" applyFont="1" applyFill="1" applyAlignment="1">
      <alignment horizontal="left" wrapText="1"/>
    </xf>
    <xf numFmtId="0" fontId="16" fillId="33" borderId="11" xfId="0" applyFont="1" applyFill="1" applyBorder="1" applyAlignment="1">
      <alignment horizontal="left" wrapText="1"/>
    </xf>
    <xf numFmtId="164" fontId="16" fillId="33" borderId="11" xfId="0" applyNumberFormat="1" applyFont="1" applyFill="1" applyBorder="1" applyAlignment="1">
      <alignment horizontal="left" wrapText="1"/>
    </xf>
    <xf numFmtId="0" fontId="16" fillId="33" borderId="10" xfId="0" applyFont="1" applyFill="1" applyBorder="1" applyAlignment="1">
      <alignment horizontal="left" vertical="top" wrapText="1"/>
    </xf>
    <xf numFmtId="0" fontId="0" fillId="0" borderId="10" xfId="0" applyBorder="1" applyAlignment="1">
      <alignment vertical="top" wrapText="1"/>
    </xf>
    <xf numFmtId="0" fontId="0" fillId="0" borderId="10" xfId="0" applyBorder="1" applyAlignment="1">
      <alignment horizontal="left" vertical="top" wrapText="1"/>
    </xf>
    <xf numFmtId="0" fontId="18" fillId="0" borderId="10" xfId="42" applyBorder="1" applyAlignment="1">
      <alignment horizontal="left" vertical="top" wrapText="1"/>
    </xf>
    <xf numFmtId="0" fontId="0" fillId="0" borderId="10" xfId="0" applyBorder="1" applyAlignment="1">
      <alignment vertical="top"/>
    </xf>
    <xf numFmtId="49" fontId="16" fillId="33" borderId="10" xfId="0" applyNumberFormat="1" applyFont="1" applyFill="1" applyBorder="1" applyAlignment="1">
      <alignment horizontal="left" wrapText="1"/>
    </xf>
    <xf numFmtId="49" fontId="0" fillId="0" borderId="10" xfId="0" applyNumberFormat="1" applyBorder="1" applyAlignment="1">
      <alignment horizontal="left" vertical="top" wrapText="1"/>
    </xf>
    <xf numFmtId="49" fontId="0" fillId="0" borderId="10" xfId="0" applyNumberFormat="1" applyBorder="1" applyAlignment="1">
      <alignment vertical="top" wrapText="1"/>
    </xf>
    <xf numFmtId="0" fontId="0" fillId="0" borderId="0" xfId="0" applyAlignment="1">
      <alignment wrapText="1"/>
    </xf>
    <xf numFmtId="49" fontId="16" fillId="33" borderId="11" xfId="0" applyNumberFormat="1" applyFont="1" applyFill="1" applyBorder="1" applyAlignment="1">
      <alignment horizontal="left" wrapText="1"/>
    </xf>
    <xf numFmtId="0" fontId="0" fillId="0" borderId="10" xfId="0" applyBorder="1"/>
    <xf numFmtId="0" fontId="0" fillId="0" borderId="10" xfId="0" applyBorder="1" applyAlignment="1">
      <alignment wrapText="1"/>
    </xf>
    <xf numFmtId="49" fontId="16" fillId="33" borderId="10" xfId="0" applyNumberFormat="1" applyFont="1" applyFill="1" applyBorder="1" applyAlignment="1">
      <alignment horizontal="left" vertical="top" wrapText="1"/>
    </xf>
    <xf numFmtId="49" fontId="0" fillId="0" borderId="0" xfId="0" applyNumberFormat="1" applyAlignment="1">
      <alignment wrapText="1"/>
    </xf>
    <xf numFmtId="49" fontId="0" fillId="0" borderId="10" xfId="0" applyNumberFormat="1" applyBorder="1" applyAlignment="1">
      <alignment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A8C04-0B4E-4CD5-B2DA-C24400668095}">
  <dimension ref="A1:M102"/>
  <sheetViews>
    <sheetView showGridLines="0" workbookViewId="0">
      <selection activeCell="A2" sqref="A2:M61"/>
    </sheetView>
  </sheetViews>
  <sheetFormatPr defaultRowHeight="14.4" x14ac:dyDescent="0.3"/>
  <cols>
    <col min="1" max="4" width="36.5546875" style="13" bestFit="1" customWidth="1"/>
    <col min="5" max="5" width="9.44140625" style="13" bestFit="1" customWidth="1"/>
    <col min="6" max="8" width="36.5546875" style="13" bestFit="1" customWidth="1"/>
    <col min="9" max="9" width="9.44140625" style="18" bestFit="1" customWidth="1"/>
    <col min="10" max="12" width="36.5546875" style="13" bestFit="1" customWidth="1"/>
    <col min="13" max="13" width="28" style="13" customWidth="1"/>
  </cols>
  <sheetData>
    <row r="1" spans="1:13" s="2" customFormat="1" x14ac:dyDescent="0.3">
      <c r="A1" s="1" t="s">
        <v>0</v>
      </c>
      <c r="B1" s="1" t="s">
        <v>1</v>
      </c>
      <c r="C1" s="1" t="s">
        <v>2</v>
      </c>
      <c r="D1" s="1" t="s">
        <v>3</v>
      </c>
      <c r="E1" s="1" t="s">
        <v>4</v>
      </c>
      <c r="F1" s="1" t="s">
        <v>5</v>
      </c>
      <c r="G1" s="1" t="s">
        <v>6</v>
      </c>
      <c r="H1" s="1" t="s">
        <v>7</v>
      </c>
      <c r="I1" s="10" t="s">
        <v>8</v>
      </c>
      <c r="J1" s="1" t="s">
        <v>9</v>
      </c>
      <c r="K1" s="1" t="s">
        <v>10</v>
      </c>
      <c r="L1" s="1" t="s">
        <v>11</v>
      </c>
      <c r="M1" s="1" t="s">
        <v>12</v>
      </c>
    </row>
    <row r="2" spans="1:13" ht="86.4" x14ac:dyDescent="0.3">
      <c r="A2" s="7" t="s">
        <v>12634</v>
      </c>
      <c r="B2" s="7" t="s">
        <v>12635</v>
      </c>
      <c r="C2" s="7" t="s">
        <v>12886</v>
      </c>
      <c r="D2" s="7" t="s">
        <v>12887</v>
      </c>
      <c r="E2" s="7" t="s">
        <v>155</v>
      </c>
      <c r="F2" s="7" t="s">
        <v>2</v>
      </c>
      <c r="G2" s="7" t="s">
        <v>12636</v>
      </c>
      <c r="H2" s="7"/>
      <c r="I2" s="11" t="s">
        <v>12637</v>
      </c>
      <c r="J2" s="7"/>
      <c r="K2" s="7" t="s">
        <v>12638</v>
      </c>
      <c r="L2" s="7"/>
      <c r="M2" s="7" t="str">
        <f>HYPERLINK("https://ceds.ed.gov/cedselementdetails.aspx?termid=28148")</f>
        <v>https://ceds.ed.gov/cedselementdetails.aspx?termid=28148</v>
      </c>
    </row>
    <row r="3" spans="1:13" ht="72" x14ac:dyDescent="0.3">
      <c r="A3" s="7" t="s">
        <v>12639</v>
      </c>
      <c r="B3" s="7" t="s">
        <v>12640</v>
      </c>
      <c r="C3" s="7" t="s">
        <v>12888</v>
      </c>
      <c r="D3" s="7" t="s">
        <v>12887</v>
      </c>
      <c r="E3" s="7" t="s">
        <v>155</v>
      </c>
      <c r="F3" s="7" t="s">
        <v>2</v>
      </c>
      <c r="G3" s="7" t="s">
        <v>12636</v>
      </c>
      <c r="H3" s="7"/>
      <c r="I3" s="11" t="s">
        <v>12641</v>
      </c>
      <c r="J3" s="7"/>
      <c r="K3" s="7" t="s">
        <v>12642</v>
      </c>
      <c r="L3" s="7"/>
      <c r="M3" s="7" t="str">
        <f>HYPERLINK("https://ceds.ed.gov/cedselementdetails.aspx?termid=28149")</f>
        <v>https://ceds.ed.gov/cedselementdetails.aspx?termid=28149</v>
      </c>
    </row>
    <row r="4" spans="1:13" ht="72" x14ac:dyDescent="0.3">
      <c r="A4" s="7" t="s">
        <v>12643</v>
      </c>
      <c r="B4" s="7" t="s">
        <v>12644</v>
      </c>
      <c r="C4" s="7" t="s">
        <v>12889</v>
      </c>
      <c r="D4" s="7" t="s">
        <v>12887</v>
      </c>
      <c r="E4" s="7" t="s">
        <v>155</v>
      </c>
      <c r="F4" s="7" t="s">
        <v>2</v>
      </c>
      <c r="G4" s="7" t="s">
        <v>12636</v>
      </c>
      <c r="H4" s="7"/>
      <c r="I4" s="11" t="s">
        <v>12645</v>
      </c>
      <c r="J4" s="7"/>
      <c r="K4" s="7" t="s">
        <v>12646</v>
      </c>
      <c r="L4" s="7"/>
      <c r="M4" s="7" t="str">
        <f>HYPERLINK("https://ceds.ed.gov/cedselementdetails.aspx?termid=28150")</f>
        <v>https://ceds.ed.gov/cedselementdetails.aspx?termid=28150</v>
      </c>
    </row>
    <row r="5" spans="1:13" ht="72" x14ac:dyDescent="0.3">
      <c r="A5" s="7" t="s">
        <v>12647</v>
      </c>
      <c r="B5" s="7" t="s">
        <v>12648</v>
      </c>
      <c r="C5" s="7" t="s">
        <v>12890</v>
      </c>
      <c r="D5" s="7" t="s">
        <v>12887</v>
      </c>
      <c r="E5" s="7" t="s">
        <v>155</v>
      </c>
      <c r="F5" s="7" t="s">
        <v>2</v>
      </c>
      <c r="G5" s="7" t="s">
        <v>12636</v>
      </c>
      <c r="H5" s="7"/>
      <c r="I5" s="11" t="s">
        <v>12649</v>
      </c>
      <c r="J5" s="7"/>
      <c r="K5" s="7" t="s">
        <v>12650</v>
      </c>
      <c r="L5" s="7"/>
      <c r="M5" s="7" t="str">
        <f>HYPERLINK("https://ceds.ed.gov/cedselementdetails.aspx?termid=28151")</f>
        <v>https://ceds.ed.gov/cedselementdetails.aspx?termid=28151</v>
      </c>
    </row>
    <row r="6" spans="1:13" ht="72" x14ac:dyDescent="0.3">
      <c r="A6" s="7" t="s">
        <v>12651</v>
      </c>
      <c r="B6" s="7" t="s">
        <v>12652</v>
      </c>
      <c r="C6" s="7" t="s">
        <v>7313</v>
      </c>
      <c r="D6" s="7" t="s">
        <v>12887</v>
      </c>
      <c r="E6" s="7" t="s">
        <v>155</v>
      </c>
      <c r="F6" s="7" t="s">
        <v>2</v>
      </c>
      <c r="G6" s="7" t="s">
        <v>12636</v>
      </c>
      <c r="H6" s="7"/>
      <c r="I6" s="11" t="s">
        <v>12653</v>
      </c>
      <c r="J6" s="7"/>
      <c r="K6" s="7" t="s">
        <v>12654</v>
      </c>
      <c r="L6" s="7"/>
      <c r="M6" s="7" t="str">
        <f>HYPERLINK("https://ceds.ed.gov/cedselementdetails.aspx?termid=28152")</f>
        <v>https://ceds.ed.gov/cedselementdetails.aspx?termid=28152</v>
      </c>
    </row>
    <row r="7" spans="1:13" ht="72" x14ac:dyDescent="0.3">
      <c r="A7" s="7" t="s">
        <v>12655</v>
      </c>
      <c r="B7" s="7" t="s">
        <v>12656</v>
      </c>
      <c r="C7" s="7" t="s">
        <v>12891</v>
      </c>
      <c r="D7" s="7" t="s">
        <v>12887</v>
      </c>
      <c r="E7" s="7" t="s">
        <v>155</v>
      </c>
      <c r="F7" s="7" t="s">
        <v>2</v>
      </c>
      <c r="G7" s="7" t="s">
        <v>12636</v>
      </c>
      <c r="H7" s="7"/>
      <c r="I7" s="11" t="s">
        <v>12657</v>
      </c>
      <c r="J7" s="7"/>
      <c r="K7" s="7" t="s">
        <v>12658</v>
      </c>
      <c r="L7" s="7"/>
      <c r="M7" s="7" t="str">
        <f>HYPERLINK("https://ceds.ed.gov/cedselementdetails.aspx?termid=28153")</f>
        <v>https://ceds.ed.gov/cedselementdetails.aspx?termid=28153</v>
      </c>
    </row>
    <row r="8" spans="1:13" ht="86.4" x14ac:dyDescent="0.3">
      <c r="A8" s="7" t="s">
        <v>12659</v>
      </c>
      <c r="B8" s="7" t="s">
        <v>12660</v>
      </c>
      <c r="C8" s="7" t="s">
        <v>12892</v>
      </c>
      <c r="D8" s="7" t="s">
        <v>12887</v>
      </c>
      <c r="E8" s="7" t="s">
        <v>155</v>
      </c>
      <c r="F8" s="7" t="s">
        <v>2</v>
      </c>
      <c r="G8" s="7" t="s">
        <v>12636</v>
      </c>
      <c r="H8" s="7"/>
      <c r="I8" s="11" t="s">
        <v>12661</v>
      </c>
      <c r="J8" s="7"/>
      <c r="K8" s="7" t="s">
        <v>12662</v>
      </c>
      <c r="L8" s="7"/>
      <c r="M8" s="7" t="str">
        <f>HYPERLINK("https://ceds.ed.gov/cedselementdetails.aspx?termid=28154")</f>
        <v>https://ceds.ed.gov/cedselementdetails.aspx?termid=28154</v>
      </c>
    </row>
    <row r="9" spans="1:13" ht="86.4" x14ac:dyDescent="0.3">
      <c r="A9" s="7" t="s">
        <v>12663</v>
      </c>
      <c r="B9" s="7" t="s">
        <v>12664</v>
      </c>
      <c r="C9" s="7" t="s">
        <v>12893</v>
      </c>
      <c r="D9" s="7" t="s">
        <v>5002</v>
      </c>
      <c r="E9" s="7" t="s">
        <v>155</v>
      </c>
      <c r="F9" s="7" t="s">
        <v>2</v>
      </c>
      <c r="G9" s="7" t="s">
        <v>12636</v>
      </c>
      <c r="H9" s="7"/>
      <c r="I9" s="11" t="s">
        <v>12665</v>
      </c>
      <c r="J9" s="7"/>
      <c r="K9" s="7" t="s">
        <v>12666</v>
      </c>
      <c r="L9" s="7"/>
      <c r="M9" s="7" t="str">
        <f>HYPERLINK("https://ceds.ed.gov/cedselementdetails.aspx?termid=28109")</f>
        <v>https://ceds.ed.gov/cedselementdetails.aspx?termid=28109</v>
      </c>
    </row>
    <row r="10" spans="1:13" ht="72" x14ac:dyDescent="0.3">
      <c r="A10" s="7" t="s">
        <v>12667</v>
      </c>
      <c r="B10" s="7" t="s">
        <v>12668</v>
      </c>
      <c r="C10" s="7" t="s">
        <v>32</v>
      </c>
      <c r="D10" s="7" t="s">
        <v>12887</v>
      </c>
      <c r="E10" s="7" t="s">
        <v>155</v>
      </c>
      <c r="F10" s="7" t="s">
        <v>316</v>
      </c>
      <c r="G10" s="7" t="s">
        <v>12636</v>
      </c>
      <c r="H10" s="7"/>
      <c r="I10" s="11" t="s">
        <v>12669</v>
      </c>
      <c r="J10" s="7"/>
      <c r="K10" s="7" t="s">
        <v>12670</v>
      </c>
      <c r="L10" s="7"/>
      <c r="M10" s="7" t="str">
        <f>HYPERLINK("https://ceds.ed.gov/cedselementdetails.aspx?termid=28123")</f>
        <v>https://ceds.ed.gov/cedselementdetails.aspx?termid=28123</v>
      </c>
    </row>
    <row r="11" spans="1:13" ht="72" x14ac:dyDescent="0.3">
      <c r="A11" s="7" t="s">
        <v>12671</v>
      </c>
      <c r="B11" s="7" t="s">
        <v>12672</v>
      </c>
      <c r="C11" s="7" t="s">
        <v>12894</v>
      </c>
      <c r="D11" s="7" t="s">
        <v>12887</v>
      </c>
      <c r="E11" s="7" t="s">
        <v>155</v>
      </c>
      <c r="F11" s="7" t="s">
        <v>2</v>
      </c>
      <c r="G11" s="7" t="s">
        <v>12636</v>
      </c>
      <c r="H11" s="7"/>
      <c r="I11" s="11" t="s">
        <v>12673</v>
      </c>
      <c r="J11" s="7"/>
      <c r="K11" s="7" t="s">
        <v>12674</v>
      </c>
      <c r="L11" s="7"/>
      <c r="M11" s="7" t="str">
        <f>HYPERLINK("https://ceds.ed.gov/cedselementdetails.aspx?termid=28124")</f>
        <v>https://ceds.ed.gov/cedselementdetails.aspx?termid=28124</v>
      </c>
    </row>
    <row r="12" spans="1:13" ht="129.6" x14ac:dyDescent="0.3">
      <c r="A12" s="7" t="s">
        <v>12675</v>
      </c>
      <c r="B12" s="7" t="s">
        <v>12676</v>
      </c>
      <c r="C12" s="7" t="s">
        <v>12891</v>
      </c>
      <c r="D12" s="7" t="s">
        <v>4442</v>
      </c>
      <c r="E12" s="7" t="s">
        <v>155</v>
      </c>
      <c r="F12" s="7" t="s">
        <v>2</v>
      </c>
      <c r="G12" s="7" t="s">
        <v>12636</v>
      </c>
      <c r="H12" s="7" t="s">
        <v>12677</v>
      </c>
      <c r="I12" s="11" t="s">
        <v>12678</v>
      </c>
      <c r="J12" s="7"/>
      <c r="K12" s="7" t="s">
        <v>12679</v>
      </c>
      <c r="L12" s="7"/>
      <c r="M12" s="7" t="str">
        <f>HYPERLINK("https://ceds.ed.gov/cedselementdetails.aspx?termid=28105")</f>
        <v>https://ceds.ed.gov/cedselementdetails.aspx?termid=28105</v>
      </c>
    </row>
    <row r="13" spans="1:13" ht="144" x14ac:dyDescent="0.3">
      <c r="A13" s="7" t="s">
        <v>12680</v>
      </c>
      <c r="B13" s="7" t="s">
        <v>12681</v>
      </c>
      <c r="C13" s="7" t="s">
        <v>12895</v>
      </c>
      <c r="D13" s="7" t="s">
        <v>12887</v>
      </c>
      <c r="E13" s="7" t="s">
        <v>155</v>
      </c>
      <c r="F13" s="7" t="s">
        <v>2</v>
      </c>
      <c r="G13" s="7" t="s">
        <v>12636</v>
      </c>
      <c r="H13" s="7"/>
      <c r="I13" s="11" t="s">
        <v>12682</v>
      </c>
      <c r="J13" s="7"/>
      <c r="K13" s="7" t="s">
        <v>12683</v>
      </c>
      <c r="L13" s="7"/>
      <c r="M13" s="7" t="str">
        <f>HYPERLINK("https://ceds.ed.gov/cedselementdetails.aspx?termid=28125")</f>
        <v>https://ceds.ed.gov/cedselementdetails.aspx?termid=28125</v>
      </c>
    </row>
    <row r="14" spans="1:13" ht="57.6" x14ac:dyDescent="0.3">
      <c r="A14" s="7" t="s">
        <v>12684</v>
      </c>
      <c r="B14" s="7" t="s">
        <v>12685</v>
      </c>
      <c r="C14" s="7" t="s">
        <v>32</v>
      </c>
      <c r="D14" s="7" t="s">
        <v>7934</v>
      </c>
      <c r="E14" s="7" t="s">
        <v>155</v>
      </c>
      <c r="F14" s="7" t="s">
        <v>106</v>
      </c>
      <c r="G14" s="7" t="s">
        <v>12636</v>
      </c>
      <c r="H14" s="7"/>
      <c r="I14" s="11" t="s">
        <v>12686</v>
      </c>
      <c r="J14" s="7"/>
      <c r="K14" s="7" t="s">
        <v>12687</v>
      </c>
      <c r="L14" s="7"/>
      <c r="M14" s="7" t="str">
        <f>HYPERLINK("https://ceds.ed.gov/cedselementdetails.aspx?termid=28106")</f>
        <v>https://ceds.ed.gov/cedselementdetails.aspx?termid=28106</v>
      </c>
    </row>
    <row r="15" spans="1:13" ht="115.2" x14ac:dyDescent="0.3">
      <c r="A15" s="7" t="s">
        <v>12688</v>
      </c>
      <c r="B15" s="7" t="s">
        <v>12689</v>
      </c>
      <c r="C15" s="7" t="s">
        <v>12896</v>
      </c>
      <c r="D15" s="7" t="s">
        <v>12887</v>
      </c>
      <c r="E15" s="7" t="s">
        <v>155</v>
      </c>
      <c r="F15" s="7" t="s">
        <v>2</v>
      </c>
      <c r="G15" s="7" t="s">
        <v>12636</v>
      </c>
      <c r="H15" s="7"/>
      <c r="I15" s="11" t="s">
        <v>12690</v>
      </c>
      <c r="J15" s="7"/>
      <c r="K15" s="7" t="s">
        <v>12691</v>
      </c>
      <c r="L15" s="7"/>
      <c r="M15" s="7" t="str">
        <f>HYPERLINK("https://ceds.ed.gov/cedselementdetails.aspx?termid=28155")</f>
        <v>https://ceds.ed.gov/cedselementdetails.aspx?termid=28155</v>
      </c>
    </row>
    <row r="16" spans="1:13" ht="72" x14ac:dyDescent="0.3">
      <c r="A16" s="7" t="s">
        <v>12692</v>
      </c>
      <c r="B16" s="7" t="s">
        <v>12693</v>
      </c>
      <c r="C16" s="7" t="s">
        <v>32</v>
      </c>
      <c r="D16" s="7" t="s">
        <v>12887</v>
      </c>
      <c r="E16" s="7" t="s">
        <v>155</v>
      </c>
      <c r="F16" s="7" t="s">
        <v>305</v>
      </c>
      <c r="G16" s="7" t="s">
        <v>12636</v>
      </c>
      <c r="H16" s="7"/>
      <c r="I16" s="11" t="s">
        <v>12694</v>
      </c>
      <c r="J16" s="7"/>
      <c r="K16" s="7" t="s">
        <v>12695</v>
      </c>
      <c r="L16" s="7"/>
      <c r="M16" s="7" t="str">
        <f>HYPERLINK("https://ceds.ed.gov/cedselementdetails.aspx?termid=28136")</f>
        <v>https://ceds.ed.gov/cedselementdetails.aspx?termid=28136</v>
      </c>
    </row>
    <row r="17" spans="1:13" ht="72" x14ac:dyDescent="0.3">
      <c r="A17" s="7" t="s">
        <v>12696</v>
      </c>
      <c r="B17" s="7" t="s">
        <v>12697</v>
      </c>
      <c r="C17" s="7" t="s">
        <v>12897</v>
      </c>
      <c r="D17" s="7" t="s">
        <v>12887</v>
      </c>
      <c r="E17" s="7" t="s">
        <v>155</v>
      </c>
      <c r="F17" s="7" t="s">
        <v>2</v>
      </c>
      <c r="G17" s="7" t="s">
        <v>12636</v>
      </c>
      <c r="H17" s="7"/>
      <c r="I17" s="11" t="s">
        <v>12698</v>
      </c>
      <c r="J17" s="7"/>
      <c r="K17" s="7" t="s">
        <v>12699</v>
      </c>
      <c r="L17" s="7"/>
      <c r="M17" s="7" t="str">
        <f>HYPERLINK("https://ceds.ed.gov/cedselementdetails.aspx?termid=28137")</f>
        <v>https://ceds.ed.gov/cedselementdetails.aspx?termid=28137</v>
      </c>
    </row>
    <row r="18" spans="1:13" ht="43.2" x14ac:dyDescent="0.3">
      <c r="A18" s="7" t="s">
        <v>12700</v>
      </c>
      <c r="B18" s="7" t="s">
        <v>12701</v>
      </c>
      <c r="C18" s="7" t="s">
        <v>12891</v>
      </c>
      <c r="D18" s="7" t="s">
        <v>4321</v>
      </c>
      <c r="E18" s="7" t="s">
        <v>155</v>
      </c>
      <c r="F18" s="7" t="s">
        <v>2</v>
      </c>
      <c r="G18" s="7" t="s">
        <v>12636</v>
      </c>
      <c r="H18" s="7"/>
      <c r="I18" s="11" t="s">
        <v>12702</v>
      </c>
      <c r="J18" s="7"/>
      <c r="K18" s="7" t="s">
        <v>12703</v>
      </c>
      <c r="L18" s="7"/>
      <c r="M18" s="7" t="str">
        <f>HYPERLINK("https://ceds.ed.gov/cedselementdetails.aspx?termid=28103")</f>
        <v>https://ceds.ed.gov/cedselementdetails.aspx?termid=28103</v>
      </c>
    </row>
    <row r="19" spans="1:13" ht="72" x14ac:dyDescent="0.3">
      <c r="A19" s="7" t="s">
        <v>12704</v>
      </c>
      <c r="B19" s="7" t="s">
        <v>12705</v>
      </c>
      <c r="C19" s="7" t="s">
        <v>12898</v>
      </c>
      <c r="D19" s="7" t="s">
        <v>12887</v>
      </c>
      <c r="E19" s="7" t="s">
        <v>155</v>
      </c>
      <c r="F19" s="7" t="s">
        <v>2</v>
      </c>
      <c r="G19" s="7" t="s">
        <v>12636</v>
      </c>
      <c r="H19" s="7"/>
      <c r="I19" s="11" t="s">
        <v>12706</v>
      </c>
      <c r="J19" s="7"/>
      <c r="K19" s="7" t="s">
        <v>12707</v>
      </c>
      <c r="L19" s="7"/>
      <c r="M19" s="7" t="str">
        <f>HYPERLINK("https://ceds.ed.gov/cedselementdetails.aspx?termid=28127")</f>
        <v>https://ceds.ed.gov/cedselementdetails.aspx?termid=28127</v>
      </c>
    </row>
    <row r="20" spans="1:13" ht="72" x14ac:dyDescent="0.3">
      <c r="A20" s="7" t="s">
        <v>12708</v>
      </c>
      <c r="B20" s="7" t="s">
        <v>12709</v>
      </c>
      <c r="C20" s="7" t="s">
        <v>12899</v>
      </c>
      <c r="D20" s="7" t="s">
        <v>12887</v>
      </c>
      <c r="E20" s="7" t="s">
        <v>155</v>
      </c>
      <c r="F20" s="7" t="s">
        <v>2</v>
      </c>
      <c r="G20" s="7" t="s">
        <v>12636</v>
      </c>
      <c r="H20" s="7"/>
      <c r="I20" s="11" t="s">
        <v>12710</v>
      </c>
      <c r="J20" s="7"/>
      <c r="K20" s="7" t="s">
        <v>12711</v>
      </c>
      <c r="L20" s="7"/>
      <c r="M20" s="7" t="str">
        <f>HYPERLINK("https://ceds.ed.gov/cedselementdetails.aspx?termid=28128")</f>
        <v>https://ceds.ed.gov/cedselementdetails.aspx?termid=28128</v>
      </c>
    </row>
    <row r="21" spans="1:13" ht="72" x14ac:dyDescent="0.3">
      <c r="A21" s="7" t="s">
        <v>12712</v>
      </c>
      <c r="B21" s="7" t="s">
        <v>12713</v>
      </c>
      <c r="C21" s="7" t="s">
        <v>12900</v>
      </c>
      <c r="D21" s="7" t="s">
        <v>12887</v>
      </c>
      <c r="E21" s="7" t="s">
        <v>155</v>
      </c>
      <c r="F21" s="7" t="s">
        <v>2</v>
      </c>
      <c r="G21" s="7" t="s">
        <v>12636</v>
      </c>
      <c r="H21" s="7"/>
      <c r="I21" s="11" t="s">
        <v>12714</v>
      </c>
      <c r="J21" s="7"/>
      <c r="K21" s="7" t="s">
        <v>12715</v>
      </c>
      <c r="L21" s="7"/>
      <c r="M21" s="7" t="str">
        <f>HYPERLINK("https://ceds.ed.gov/cedselementdetails.aspx?termid=28129")</f>
        <v>https://ceds.ed.gov/cedselementdetails.aspx?termid=28129</v>
      </c>
    </row>
    <row r="22" spans="1:13" ht="72" x14ac:dyDescent="0.3">
      <c r="A22" s="7" t="s">
        <v>12716</v>
      </c>
      <c r="B22" s="7" t="s">
        <v>12717</v>
      </c>
      <c r="C22" s="7" t="s">
        <v>8339</v>
      </c>
      <c r="D22" s="7" t="s">
        <v>12887</v>
      </c>
      <c r="E22" s="7" t="s">
        <v>155</v>
      </c>
      <c r="F22" s="7" t="s">
        <v>2</v>
      </c>
      <c r="G22" s="7" t="s">
        <v>12636</v>
      </c>
      <c r="H22" s="7"/>
      <c r="I22" s="11" t="s">
        <v>12718</v>
      </c>
      <c r="J22" s="7"/>
      <c r="K22" s="7" t="s">
        <v>12719</v>
      </c>
      <c r="L22" s="7"/>
      <c r="M22" s="7" t="str">
        <f>HYPERLINK("https://ceds.ed.gov/cedselementdetails.aspx?termid=28130")</f>
        <v>https://ceds.ed.gov/cedselementdetails.aspx?termid=28130</v>
      </c>
    </row>
    <row r="23" spans="1:13" ht="72" x14ac:dyDescent="0.3">
      <c r="A23" s="7" t="s">
        <v>12720</v>
      </c>
      <c r="B23" s="7" t="s">
        <v>12721</v>
      </c>
      <c r="C23" s="7" t="s">
        <v>32</v>
      </c>
      <c r="D23" s="7" t="s">
        <v>12887</v>
      </c>
      <c r="E23" s="7" t="s">
        <v>155</v>
      </c>
      <c r="F23" s="7" t="s">
        <v>305</v>
      </c>
      <c r="G23" s="7" t="s">
        <v>12636</v>
      </c>
      <c r="H23" s="7"/>
      <c r="I23" s="11" t="s">
        <v>12722</v>
      </c>
      <c r="J23" s="7"/>
      <c r="K23" s="7" t="s">
        <v>12723</v>
      </c>
      <c r="L23" s="7"/>
      <c r="M23" s="7" t="str">
        <f>HYPERLINK("https://ceds.ed.gov/cedselementdetails.aspx?termid=28131")</f>
        <v>https://ceds.ed.gov/cedselementdetails.aspx?termid=28131</v>
      </c>
    </row>
    <row r="24" spans="1:13" ht="86.4" x14ac:dyDescent="0.3">
      <c r="A24" s="7" t="s">
        <v>12724</v>
      </c>
      <c r="B24" s="7" t="s">
        <v>12725</v>
      </c>
      <c r="C24" s="7" t="s">
        <v>12901</v>
      </c>
      <c r="D24" s="7" t="s">
        <v>12887</v>
      </c>
      <c r="E24" s="7" t="s">
        <v>155</v>
      </c>
      <c r="F24" s="7" t="s">
        <v>2</v>
      </c>
      <c r="G24" s="7" t="s">
        <v>12636</v>
      </c>
      <c r="H24" s="7"/>
      <c r="I24" s="11" t="s">
        <v>12726</v>
      </c>
      <c r="J24" s="7"/>
      <c r="K24" s="7" t="s">
        <v>12727</v>
      </c>
      <c r="L24" s="7"/>
      <c r="M24" s="7" t="str">
        <f>HYPERLINK("https://ceds.ed.gov/cedselementdetails.aspx?termid=28132")</f>
        <v>https://ceds.ed.gov/cedselementdetails.aspx?termid=28132</v>
      </c>
    </row>
    <row r="25" spans="1:13" ht="72" x14ac:dyDescent="0.3">
      <c r="A25" s="16" t="s">
        <v>12728</v>
      </c>
      <c r="B25" s="16" t="s">
        <v>12729</v>
      </c>
      <c r="C25" s="16" t="s">
        <v>12902</v>
      </c>
      <c r="D25" s="16" t="s">
        <v>12887</v>
      </c>
      <c r="E25" s="16" t="s">
        <v>155</v>
      </c>
      <c r="F25" s="16" t="s">
        <v>2</v>
      </c>
      <c r="G25" s="16" t="s">
        <v>12636</v>
      </c>
      <c r="H25" s="16"/>
      <c r="I25" s="19" t="s">
        <v>12730</v>
      </c>
      <c r="J25" s="16"/>
      <c r="K25" s="16" t="s">
        <v>12731</v>
      </c>
      <c r="L25" s="16"/>
      <c r="M25" s="16" t="str">
        <f>HYPERLINK("https://ceds.ed.gov/cedselementdetails.aspx?termid=28133")</f>
        <v>https://ceds.ed.gov/cedselementdetails.aspx?termid=28133</v>
      </c>
    </row>
    <row r="26" spans="1:13" ht="100.8" x14ac:dyDescent="0.3">
      <c r="A26" s="16" t="s">
        <v>12732</v>
      </c>
      <c r="B26" s="16" t="s">
        <v>12733</v>
      </c>
      <c r="C26" s="16" t="s">
        <v>12903</v>
      </c>
      <c r="D26" s="16" t="s">
        <v>12887</v>
      </c>
      <c r="E26" s="16" t="s">
        <v>155</v>
      </c>
      <c r="F26" s="16" t="s">
        <v>2</v>
      </c>
      <c r="G26" s="16" t="s">
        <v>12636</v>
      </c>
      <c r="H26" s="16"/>
      <c r="I26" s="19" t="s">
        <v>12734</v>
      </c>
      <c r="J26" s="16"/>
      <c r="K26" s="16" t="s">
        <v>12735</v>
      </c>
      <c r="L26" s="16"/>
      <c r="M26" s="16" t="str">
        <f>HYPERLINK("https://ceds.ed.gov/cedselementdetails.aspx?termid=28134")</f>
        <v>https://ceds.ed.gov/cedselementdetails.aspx?termid=28134</v>
      </c>
    </row>
    <row r="27" spans="1:13" ht="129.6" x14ac:dyDescent="0.3">
      <c r="A27" s="16" t="s">
        <v>12736</v>
      </c>
      <c r="B27" s="16" t="s">
        <v>12737</v>
      </c>
      <c r="C27" s="16" t="s">
        <v>12904</v>
      </c>
      <c r="D27" s="16" t="s">
        <v>8505</v>
      </c>
      <c r="E27" s="16" t="s">
        <v>155</v>
      </c>
      <c r="F27" s="16" t="s">
        <v>2</v>
      </c>
      <c r="G27" s="16" t="s">
        <v>12636</v>
      </c>
      <c r="H27" s="16"/>
      <c r="I27" s="19" t="s">
        <v>12738</v>
      </c>
      <c r="J27" s="16"/>
      <c r="K27" s="16" t="s">
        <v>12739</v>
      </c>
      <c r="L27" s="16"/>
      <c r="M27" s="16" t="str">
        <f>HYPERLINK("https://ceds.ed.gov/cedselementdetails.aspx?termid=28112")</f>
        <v>https://ceds.ed.gov/cedselementdetails.aspx?termid=28112</v>
      </c>
    </row>
    <row r="28" spans="1:13" ht="72" x14ac:dyDescent="0.3">
      <c r="A28" s="16" t="s">
        <v>12740</v>
      </c>
      <c r="B28" s="16" t="s">
        <v>12741</v>
      </c>
      <c r="C28" s="16" t="s">
        <v>12905</v>
      </c>
      <c r="D28" s="16" t="s">
        <v>12887</v>
      </c>
      <c r="E28" s="16" t="s">
        <v>155</v>
      </c>
      <c r="F28" s="16" t="s">
        <v>2</v>
      </c>
      <c r="G28" s="16" t="s">
        <v>12636</v>
      </c>
      <c r="H28" s="16"/>
      <c r="I28" s="19" t="s">
        <v>12742</v>
      </c>
      <c r="J28" s="16"/>
      <c r="K28" s="16" t="s">
        <v>12743</v>
      </c>
      <c r="L28" s="16"/>
      <c r="M28" s="16" t="str">
        <f>HYPERLINK("https://ceds.ed.gov/cedselementdetails.aspx?termid=28135")</f>
        <v>https://ceds.ed.gov/cedselementdetails.aspx?termid=28135</v>
      </c>
    </row>
    <row r="29" spans="1:13" ht="28.8" x14ac:dyDescent="0.3">
      <c r="A29" s="16" t="s">
        <v>12744</v>
      </c>
      <c r="B29" s="16" t="s">
        <v>12745</v>
      </c>
      <c r="C29" s="16" t="s">
        <v>32</v>
      </c>
      <c r="D29" s="16" t="s">
        <v>7900</v>
      </c>
      <c r="E29" s="16" t="s">
        <v>155</v>
      </c>
      <c r="F29" s="16" t="s">
        <v>106</v>
      </c>
      <c r="G29" s="16" t="s">
        <v>12636</v>
      </c>
      <c r="H29" s="16"/>
      <c r="I29" s="19" t="s">
        <v>12746</v>
      </c>
      <c r="J29" s="16"/>
      <c r="K29" s="16" t="s">
        <v>12747</v>
      </c>
      <c r="L29" s="16"/>
      <c r="M29" s="16" t="str">
        <f>HYPERLINK("https://ceds.ed.gov/cedselementdetails.aspx?termid=28107")</f>
        <v>https://ceds.ed.gov/cedselementdetails.aspx?termid=28107</v>
      </c>
    </row>
    <row r="30" spans="1:13" ht="86.4" x14ac:dyDescent="0.3">
      <c r="A30" s="16" t="s">
        <v>12748</v>
      </c>
      <c r="B30" s="16" t="s">
        <v>12749</v>
      </c>
      <c r="C30" s="16" t="s">
        <v>32</v>
      </c>
      <c r="D30" s="16" t="s">
        <v>4321</v>
      </c>
      <c r="E30" s="16" t="s">
        <v>155</v>
      </c>
      <c r="F30" s="16" t="s">
        <v>106</v>
      </c>
      <c r="G30" s="16" t="s">
        <v>12636</v>
      </c>
      <c r="H30" s="16"/>
      <c r="I30" s="19" t="s">
        <v>12750</v>
      </c>
      <c r="J30" s="16"/>
      <c r="K30" s="16" t="s">
        <v>12751</v>
      </c>
      <c r="L30" s="16"/>
      <c r="M30" s="16" t="str">
        <f>HYPERLINK("https://ceds.ed.gov/cedselementdetails.aspx?termid=28101")</f>
        <v>https://ceds.ed.gov/cedselementdetails.aspx?termid=28101</v>
      </c>
    </row>
    <row r="31" spans="1:13" ht="28.8" x14ac:dyDescent="0.3">
      <c r="A31" s="16" t="s">
        <v>12752</v>
      </c>
      <c r="B31" s="16" t="s">
        <v>12753</v>
      </c>
      <c r="C31" s="16" t="s">
        <v>32</v>
      </c>
      <c r="D31" s="16" t="s">
        <v>3161</v>
      </c>
      <c r="E31" s="16" t="s">
        <v>155</v>
      </c>
      <c r="F31" s="16" t="s">
        <v>106</v>
      </c>
      <c r="G31" s="16" t="s">
        <v>12636</v>
      </c>
      <c r="H31" s="16" t="s">
        <v>12754</v>
      </c>
      <c r="I31" s="19" t="s">
        <v>12755</v>
      </c>
      <c r="J31" s="16"/>
      <c r="K31" s="16" t="s">
        <v>12756</v>
      </c>
      <c r="L31" s="16"/>
      <c r="M31" s="16" t="str">
        <f>HYPERLINK("https://ceds.ed.gov/cedselementdetails.aspx?termid=28110")</f>
        <v>https://ceds.ed.gov/cedselementdetails.aspx?termid=28110</v>
      </c>
    </row>
    <row r="32" spans="1:13" ht="43.2" x14ac:dyDescent="0.3">
      <c r="A32" s="16" t="s">
        <v>12757</v>
      </c>
      <c r="B32" s="16" t="s">
        <v>12758</v>
      </c>
      <c r="C32" s="16" t="s">
        <v>32</v>
      </c>
      <c r="D32" s="16" t="s">
        <v>4442</v>
      </c>
      <c r="E32" s="16" t="s">
        <v>155</v>
      </c>
      <c r="F32" s="16" t="s">
        <v>106</v>
      </c>
      <c r="G32" s="16" t="s">
        <v>12636</v>
      </c>
      <c r="H32" s="16"/>
      <c r="I32" s="19" t="s">
        <v>12759</v>
      </c>
      <c r="J32" s="16"/>
      <c r="K32" s="16" t="s">
        <v>12760</v>
      </c>
      <c r="L32" s="16"/>
      <c r="M32" s="16" t="str">
        <f>HYPERLINK("https://ceds.ed.gov/cedselementdetails.aspx?termid=28108")</f>
        <v>https://ceds.ed.gov/cedselementdetails.aspx?termid=28108</v>
      </c>
    </row>
    <row r="33" spans="1:13" ht="72" x14ac:dyDescent="0.3">
      <c r="A33" s="16" t="s">
        <v>12761</v>
      </c>
      <c r="B33" s="16" t="s">
        <v>12762</v>
      </c>
      <c r="C33" s="16" t="s">
        <v>32</v>
      </c>
      <c r="D33" s="16" t="s">
        <v>12887</v>
      </c>
      <c r="E33" s="16" t="s">
        <v>155</v>
      </c>
      <c r="F33" s="16" t="s">
        <v>305</v>
      </c>
      <c r="G33" s="16" t="s">
        <v>12636</v>
      </c>
      <c r="H33" s="16"/>
      <c r="I33" s="19" t="s">
        <v>12763</v>
      </c>
      <c r="J33" s="16"/>
      <c r="K33" s="16" t="s">
        <v>12764</v>
      </c>
      <c r="L33" s="16"/>
      <c r="M33" s="16" t="str">
        <f>HYPERLINK("https://ceds.ed.gov/cedselementdetails.aspx?termid=28140")</f>
        <v>https://ceds.ed.gov/cedselementdetails.aspx?termid=28140</v>
      </c>
    </row>
    <row r="34" spans="1:13" ht="72" x14ac:dyDescent="0.3">
      <c r="A34" s="16" t="s">
        <v>12765</v>
      </c>
      <c r="B34" s="16" t="s">
        <v>12766</v>
      </c>
      <c r="C34" s="16" t="s">
        <v>32</v>
      </c>
      <c r="D34" s="16" t="s">
        <v>12887</v>
      </c>
      <c r="E34" s="16" t="s">
        <v>155</v>
      </c>
      <c r="F34" s="16" t="s">
        <v>305</v>
      </c>
      <c r="G34" s="16" t="s">
        <v>12636</v>
      </c>
      <c r="H34" s="16"/>
      <c r="I34" s="19" t="s">
        <v>12767</v>
      </c>
      <c r="J34" s="16"/>
      <c r="K34" s="16" t="s">
        <v>12768</v>
      </c>
      <c r="L34" s="16"/>
      <c r="M34" s="16" t="str">
        <f>HYPERLINK("https://ceds.ed.gov/cedselementdetails.aspx?termid=28139")</f>
        <v>https://ceds.ed.gov/cedselementdetails.aspx?termid=28139</v>
      </c>
    </row>
    <row r="35" spans="1:13" ht="72" x14ac:dyDescent="0.3">
      <c r="A35" s="16" t="s">
        <v>12769</v>
      </c>
      <c r="B35" s="16" t="s">
        <v>12770</v>
      </c>
      <c r="C35" s="16" t="s">
        <v>12906</v>
      </c>
      <c r="D35" s="16" t="s">
        <v>12887</v>
      </c>
      <c r="E35" s="16" t="s">
        <v>155</v>
      </c>
      <c r="F35" s="16" t="s">
        <v>2</v>
      </c>
      <c r="G35" s="16" t="s">
        <v>12636</v>
      </c>
      <c r="H35" s="16"/>
      <c r="I35" s="19" t="s">
        <v>12771</v>
      </c>
      <c r="J35" s="16"/>
      <c r="K35" s="16" t="s">
        <v>12772</v>
      </c>
      <c r="L35" s="16"/>
      <c r="M35" s="16" t="str">
        <f>HYPERLINK("https://ceds.ed.gov/cedselementdetails.aspx?termid=28138")</f>
        <v>https://ceds.ed.gov/cedselementdetails.aspx?termid=28138</v>
      </c>
    </row>
    <row r="36" spans="1:13" ht="273.60000000000002" x14ac:dyDescent="0.3">
      <c r="A36" s="16" t="s">
        <v>12773</v>
      </c>
      <c r="B36" s="16" t="s">
        <v>12774</v>
      </c>
      <c r="C36" s="16" t="s">
        <v>12907</v>
      </c>
      <c r="D36" s="16" t="s">
        <v>12908</v>
      </c>
      <c r="E36" s="16" t="s">
        <v>155</v>
      </c>
      <c r="F36" s="16" t="s">
        <v>2</v>
      </c>
      <c r="G36" s="16" t="s">
        <v>12636</v>
      </c>
      <c r="H36" s="16" t="s">
        <v>12775</v>
      </c>
      <c r="I36" s="19" t="s">
        <v>12776</v>
      </c>
      <c r="J36" s="16"/>
      <c r="K36" s="16" t="s">
        <v>12777</v>
      </c>
      <c r="L36" s="16"/>
      <c r="M36" s="16" t="str">
        <f>HYPERLINK("https://ceds.ed.gov/cedselementdetails.aspx?termid=28098")</f>
        <v>https://ceds.ed.gov/cedselementdetails.aspx?termid=28098</v>
      </c>
    </row>
    <row r="37" spans="1:13" ht="302.39999999999998" x14ac:dyDescent="0.3">
      <c r="A37" s="16" t="s">
        <v>12778</v>
      </c>
      <c r="B37" s="16" t="s">
        <v>12779</v>
      </c>
      <c r="C37" s="16" t="s">
        <v>12909</v>
      </c>
      <c r="D37" s="16" t="s">
        <v>4442</v>
      </c>
      <c r="E37" s="16" t="s">
        <v>155</v>
      </c>
      <c r="F37" s="16" t="s">
        <v>2</v>
      </c>
      <c r="G37" s="16" t="s">
        <v>12636</v>
      </c>
      <c r="H37" s="16" t="s">
        <v>12780</v>
      </c>
      <c r="I37" s="19" t="s">
        <v>12781</v>
      </c>
      <c r="J37" s="16"/>
      <c r="K37" s="16" t="s">
        <v>12782</v>
      </c>
      <c r="L37" s="16"/>
      <c r="M37" s="16" t="str">
        <f>HYPERLINK("https://ceds.ed.gov/cedselementdetails.aspx?termid=28097")</f>
        <v>https://ceds.ed.gov/cedselementdetails.aspx?termid=28097</v>
      </c>
    </row>
    <row r="38" spans="1:13" ht="216" x14ac:dyDescent="0.3">
      <c r="A38" s="16" t="s">
        <v>12783</v>
      </c>
      <c r="B38" s="16" t="s">
        <v>12784</v>
      </c>
      <c r="C38" s="16" t="s">
        <v>32</v>
      </c>
      <c r="D38" s="16" t="s">
        <v>12910</v>
      </c>
      <c r="E38" s="16" t="s">
        <v>155</v>
      </c>
      <c r="F38" s="16" t="s">
        <v>136</v>
      </c>
      <c r="G38" s="16" t="s">
        <v>12636</v>
      </c>
      <c r="H38" s="16"/>
      <c r="I38" s="19" t="s">
        <v>12785</v>
      </c>
      <c r="J38" s="16"/>
      <c r="K38" s="16" t="s">
        <v>12786</v>
      </c>
      <c r="L38" s="16"/>
      <c r="M38" s="16" t="str">
        <f>HYPERLINK("https://ceds.ed.gov/cedselementdetails.aspx?termid=28118")</f>
        <v>https://ceds.ed.gov/cedselementdetails.aspx?termid=28118</v>
      </c>
    </row>
    <row r="39" spans="1:13" ht="216" x14ac:dyDescent="0.3">
      <c r="A39" s="16" t="s">
        <v>12787</v>
      </c>
      <c r="B39" s="16" t="s">
        <v>12788</v>
      </c>
      <c r="C39" s="16" t="s">
        <v>32</v>
      </c>
      <c r="D39" s="16" t="s">
        <v>12910</v>
      </c>
      <c r="E39" s="16" t="s">
        <v>155</v>
      </c>
      <c r="F39" s="16" t="s">
        <v>9103</v>
      </c>
      <c r="G39" s="16" t="s">
        <v>12636</v>
      </c>
      <c r="H39" s="16"/>
      <c r="I39" s="19" t="s">
        <v>12789</v>
      </c>
      <c r="J39" s="16"/>
      <c r="K39" s="16" t="s">
        <v>12790</v>
      </c>
      <c r="L39" s="16"/>
      <c r="M39" s="16" t="str">
        <f>HYPERLINK("https://ceds.ed.gov/cedselementdetails.aspx?termid=28117")</f>
        <v>https://ceds.ed.gov/cedselementdetails.aspx?termid=28117</v>
      </c>
    </row>
    <row r="40" spans="1:13" ht="216" x14ac:dyDescent="0.3">
      <c r="A40" s="16" t="s">
        <v>12791</v>
      </c>
      <c r="B40" s="16" t="s">
        <v>12792</v>
      </c>
      <c r="C40" s="16" t="s">
        <v>32</v>
      </c>
      <c r="D40" s="16" t="s">
        <v>12910</v>
      </c>
      <c r="E40" s="16" t="s">
        <v>155</v>
      </c>
      <c r="F40" s="16" t="s">
        <v>106</v>
      </c>
      <c r="G40" s="16" t="s">
        <v>12636</v>
      </c>
      <c r="H40" s="16"/>
      <c r="I40" s="19" t="s">
        <v>12793</v>
      </c>
      <c r="J40" s="16"/>
      <c r="K40" s="16" t="s">
        <v>12794</v>
      </c>
      <c r="L40" s="16"/>
      <c r="M40" s="16" t="str">
        <f>HYPERLINK("https://ceds.ed.gov/cedselementdetails.aspx?termid=28116")</f>
        <v>https://ceds.ed.gov/cedselementdetails.aspx?termid=28116</v>
      </c>
    </row>
    <row r="41" spans="1:13" ht="216" x14ac:dyDescent="0.3">
      <c r="A41" s="16" t="s">
        <v>12795</v>
      </c>
      <c r="B41" s="16" t="s">
        <v>12796</v>
      </c>
      <c r="C41" s="16" t="s">
        <v>12891</v>
      </c>
      <c r="D41" s="16" t="s">
        <v>12910</v>
      </c>
      <c r="E41" s="16" t="s">
        <v>155</v>
      </c>
      <c r="F41" s="16" t="s">
        <v>2</v>
      </c>
      <c r="G41" s="16" t="s">
        <v>12636</v>
      </c>
      <c r="H41" s="16"/>
      <c r="I41" s="19" t="s">
        <v>12797</v>
      </c>
      <c r="J41" s="16"/>
      <c r="K41" s="16" t="s">
        <v>12798</v>
      </c>
      <c r="L41" s="16"/>
      <c r="M41" s="16" t="str">
        <f>HYPERLINK("https://ceds.ed.gov/cedselementdetails.aspx?termid=28114")</f>
        <v>https://ceds.ed.gov/cedselementdetails.aspx?termid=28114</v>
      </c>
    </row>
    <row r="42" spans="1:13" ht="216" x14ac:dyDescent="0.3">
      <c r="A42" s="16" t="s">
        <v>12799</v>
      </c>
      <c r="B42" s="16" t="s">
        <v>12800</v>
      </c>
      <c r="C42" s="16" t="s">
        <v>32</v>
      </c>
      <c r="D42" s="16" t="s">
        <v>12910</v>
      </c>
      <c r="E42" s="16" t="s">
        <v>155</v>
      </c>
      <c r="F42" s="16" t="s">
        <v>106</v>
      </c>
      <c r="G42" s="16" t="s">
        <v>12636</v>
      </c>
      <c r="H42" s="16"/>
      <c r="I42" s="19" t="s">
        <v>12801</v>
      </c>
      <c r="J42" s="16"/>
      <c r="K42" s="16" t="s">
        <v>12802</v>
      </c>
      <c r="L42" s="16"/>
      <c r="M42" s="16" t="str">
        <f>HYPERLINK("https://ceds.ed.gov/cedselementdetails.aspx?termid=28115")</f>
        <v>https://ceds.ed.gov/cedselementdetails.aspx?termid=28115</v>
      </c>
    </row>
    <row r="43" spans="1:13" ht="216" x14ac:dyDescent="0.3">
      <c r="A43" s="16" t="s">
        <v>12803</v>
      </c>
      <c r="B43" s="16" t="s">
        <v>12804</v>
      </c>
      <c r="C43" s="16" t="s">
        <v>12911</v>
      </c>
      <c r="D43" s="16" t="s">
        <v>12910</v>
      </c>
      <c r="E43" s="16" t="s">
        <v>155</v>
      </c>
      <c r="F43" s="16" t="s">
        <v>2</v>
      </c>
      <c r="G43" s="16" t="s">
        <v>12636</v>
      </c>
      <c r="H43" s="16"/>
      <c r="I43" s="19" t="s">
        <v>12805</v>
      </c>
      <c r="J43" s="16"/>
      <c r="K43" s="16" t="s">
        <v>12806</v>
      </c>
      <c r="L43" s="16"/>
      <c r="M43" s="16" t="str">
        <f>HYPERLINK("https://ceds.ed.gov/cedselementdetails.aspx?termid=28120")</f>
        <v>https://ceds.ed.gov/cedselementdetails.aspx?termid=28120</v>
      </c>
    </row>
    <row r="44" spans="1:13" ht="216" x14ac:dyDescent="0.3">
      <c r="A44" s="16" t="s">
        <v>12807</v>
      </c>
      <c r="B44" s="16" t="s">
        <v>12808</v>
      </c>
      <c r="C44" s="16" t="s">
        <v>12912</v>
      </c>
      <c r="D44" s="16" t="s">
        <v>12910</v>
      </c>
      <c r="E44" s="16" t="s">
        <v>155</v>
      </c>
      <c r="F44" s="16" t="s">
        <v>2</v>
      </c>
      <c r="G44" s="16" t="s">
        <v>12636</v>
      </c>
      <c r="H44" s="16"/>
      <c r="I44" s="19" t="s">
        <v>12809</v>
      </c>
      <c r="J44" s="16"/>
      <c r="K44" s="16" t="s">
        <v>12810</v>
      </c>
      <c r="L44" s="16"/>
      <c r="M44" s="16" t="str">
        <f>HYPERLINK("https://ceds.ed.gov/cedselementdetails.aspx?termid=28119")</f>
        <v>https://ceds.ed.gov/cedselementdetails.aspx?termid=28119</v>
      </c>
    </row>
    <row r="45" spans="1:13" ht="216" x14ac:dyDescent="0.3">
      <c r="A45" s="16" t="s">
        <v>12811</v>
      </c>
      <c r="B45" s="16" t="s">
        <v>12812</v>
      </c>
      <c r="C45" s="16" t="s">
        <v>12913</v>
      </c>
      <c r="D45" s="16" t="s">
        <v>12914</v>
      </c>
      <c r="E45" s="16" t="s">
        <v>155</v>
      </c>
      <c r="F45" s="16" t="s">
        <v>12813</v>
      </c>
      <c r="G45" s="16" t="s">
        <v>12636</v>
      </c>
      <c r="H45" s="16" t="s">
        <v>12814</v>
      </c>
      <c r="I45" s="19" t="s">
        <v>12815</v>
      </c>
      <c r="J45" s="16"/>
      <c r="K45" s="16" t="s">
        <v>12816</v>
      </c>
      <c r="L45" s="16"/>
      <c r="M45" s="16" t="str">
        <f>HYPERLINK("https://ceds.ed.gov/cedselementdetails.aspx?termid=28111")</f>
        <v>https://ceds.ed.gov/cedselementdetails.aspx?termid=28111</v>
      </c>
    </row>
    <row r="46" spans="1:13" ht="129.6" x14ac:dyDescent="0.3">
      <c r="A46" s="16" t="s">
        <v>12817</v>
      </c>
      <c r="B46" s="16" t="s">
        <v>12818</v>
      </c>
      <c r="C46" s="16" t="s">
        <v>12915</v>
      </c>
      <c r="D46" s="16" t="s">
        <v>12887</v>
      </c>
      <c r="E46" s="16" t="s">
        <v>155</v>
      </c>
      <c r="F46" s="16" t="s">
        <v>2</v>
      </c>
      <c r="G46" s="16" t="s">
        <v>12636</v>
      </c>
      <c r="H46" s="16"/>
      <c r="I46" s="19" t="s">
        <v>12819</v>
      </c>
      <c r="J46" s="16"/>
      <c r="K46" s="16" t="s">
        <v>12820</v>
      </c>
      <c r="L46" s="16"/>
      <c r="M46" s="16" t="str">
        <f>HYPERLINK("https://ceds.ed.gov/cedselementdetails.aspx?termid=28141")</f>
        <v>https://ceds.ed.gov/cedselementdetails.aspx?termid=28141</v>
      </c>
    </row>
    <row r="47" spans="1:13" ht="129.6" x14ac:dyDescent="0.3">
      <c r="A47" s="16" t="s">
        <v>12821</v>
      </c>
      <c r="B47" s="16" t="s">
        <v>12822</v>
      </c>
      <c r="C47" s="16" t="s">
        <v>12916</v>
      </c>
      <c r="D47" s="16" t="s">
        <v>2479</v>
      </c>
      <c r="E47" s="16" t="s">
        <v>155</v>
      </c>
      <c r="F47" s="16" t="s">
        <v>2</v>
      </c>
      <c r="G47" s="16" t="s">
        <v>12636</v>
      </c>
      <c r="H47" s="16" t="s">
        <v>12823</v>
      </c>
      <c r="I47" s="19" t="s">
        <v>12824</v>
      </c>
      <c r="J47" s="16"/>
      <c r="K47" s="16" t="s">
        <v>12825</v>
      </c>
      <c r="L47" s="16"/>
      <c r="M47" s="16" t="str">
        <f>HYPERLINK("https://ceds.ed.gov/cedselementdetails.aspx?termid=28122")</f>
        <v>https://ceds.ed.gov/cedselementdetails.aspx?termid=28122</v>
      </c>
    </row>
    <row r="48" spans="1:13" ht="360" x14ac:dyDescent="0.3">
      <c r="A48" s="16" t="s">
        <v>12826</v>
      </c>
      <c r="B48" s="16" t="s">
        <v>12827</v>
      </c>
      <c r="C48" s="16" t="s">
        <v>12917</v>
      </c>
      <c r="D48" s="16" t="s">
        <v>12918</v>
      </c>
      <c r="E48" s="16" t="s">
        <v>155</v>
      </c>
      <c r="F48" s="16" t="s">
        <v>2</v>
      </c>
      <c r="G48" s="16" t="s">
        <v>12636</v>
      </c>
      <c r="H48" s="16" t="s">
        <v>12828</v>
      </c>
      <c r="I48" s="19" t="s">
        <v>12829</v>
      </c>
      <c r="J48" s="16"/>
      <c r="K48" s="16" t="s">
        <v>12830</v>
      </c>
      <c r="L48" s="16"/>
      <c r="M48" s="16" t="str">
        <f>HYPERLINK("https://ceds.ed.gov/cedselementdetails.aspx?termid=28096")</f>
        <v>https://ceds.ed.gov/cedselementdetails.aspx?termid=28096</v>
      </c>
    </row>
    <row r="49" spans="1:13" ht="43.2" x14ac:dyDescent="0.3">
      <c r="A49" s="16" t="s">
        <v>12831</v>
      </c>
      <c r="B49" s="16" t="s">
        <v>12832</v>
      </c>
      <c r="C49" s="16" t="s">
        <v>12891</v>
      </c>
      <c r="D49" s="16" t="s">
        <v>4442</v>
      </c>
      <c r="E49" s="16" t="s">
        <v>155</v>
      </c>
      <c r="F49" s="16" t="s">
        <v>2</v>
      </c>
      <c r="G49" s="16" t="s">
        <v>12636</v>
      </c>
      <c r="H49" s="16" t="s">
        <v>12833</v>
      </c>
      <c r="I49" s="19" t="s">
        <v>12834</v>
      </c>
      <c r="J49" s="16"/>
      <c r="K49" s="16" t="s">
        <v>12835</v>
      </c>
      <c r="L49" s="16"/>
      <c r="M49" s="16" t="str">
        <f>HYPERLINK("https://ceds.ed.gov/cedselementdetails.aspx?termid=28102")</f>
        <v>https://ceds.ed.gov/cedselementdetails.aspx?termid=28102</v>
      </c>
    </row>
    <row r="50" spans="1:13" ht="72" x14ac:dyDescent="0.3">
      <c r="A50" s="16" t="s">
        <v>12836</v>
      </c>
      <c r="B50" s="16" t="s">
        <v>12837</v>
      </c>
      <c r="C50" s="16" t="s">
        <v>12919</v>
      </c>
      <c r="D50" s="16" t="s">
        <v>12887</v>
      </c>
      <c r="E50" s="16" t="s">
        <v>155</v>
      </c>
      <c r="F50" s="16" t="s">
        <v>2</v>
      </c>
      <c r="G50" s="16" t="s">
        <v>12636</v>
      </c>
      <c r="H50" s="16"/>
      <c r="I50" s="19" t="s">
        <v>12838</v>
      </c>
      <c r="J50" s="16"/>
      <c r="K50" s="16" t="s">
        <v>12839</v>
      </c>
      <c r="L50" s="16"/>
      <c r="M50" s="16" t="str">
        <f>HYPERLINK("https://ceds.ed.gov/cedselementdetails.aspx?termid=28142")</f>
        <v>https://ceds.ed.gov/cedselementdetails.aspx?termid=28142</v>
      </c>
    </row>
    <row r="51" spans="1:13" ht="86.4" x14ac:dyDescent="0.3">
      <c r="A51" s="16" t="s">
        <v>12840</v>
      </c>
      <c r="B51" s="16" t="s">
        <v>12841</v>
      </c>
      <c r="C51" s="16" t="s">
        <v>12920</v>
      </c>
      <c r="D51" s="16" t="s">
        <v>12887</v>
      </c>
      <c r="E51" s="16" t="s">
        <v>155</v>
      </c>
      <c r="F51" s="16" t="s">
        <v>2</v>
      </c>
      <c r="G51" s="16" t="s">
        <v>12636</v>
      </c>
      <c r="H51" s="16"/>
      <c r="I51" s="19" t="s">
        <v>12842</v>
      </c>
      <c r="J51" s="16"/>
      <c r="K51" s="16" t="s">
        <v>12843</v>
      </c>
      <c r="L51" s="16"/>
      <c r="M51" s="16" t="str">
        <f>HYPERLINK("https://ceds.ed.gov/cedselementdetails.aspx?termid=28143")</f>
        <v>https://ceds.ed.gov/cedselementdetails.aspx?termid=28143</v>
      </c>
    </row>
    <row r="52" spans="1:13" ht="158.4" x14ac:dyDescent="0.3">
      <c r="A52" s="16" t="s">
        <v>12844</v>
      </c>
      <c r="B52" s="16" t="s">
        <v>12845</v>
      </c>
      <c r="C52" s="16" t="s">
        <v>12921</v>
      </c>
      <c r="D52" s="16" t="s">
        <v>61</v>
      </c>
      <c r="E52" s="16" t="s">
        <v>155</v>
      </c>
      <c r="F52" s="16" t="s">
        <v>2</v>
      </c>
      <c r="G52" s="16" t="s">
        <v>12636</v>
      </c>
      <c r="H52" s="16" t="s">
        <v>12846</v>
      </c>
      <c r="I52" s="19" t="s">
        <v>12847</v>
      </c>
      <c r="J52" s="16"/>
      <c r="K52" s="16" t="s">
        <v>12848</v>
      </c>
      <c r="L52" s="16"/>
      <c r="M52" s="16" t="str">
        <f>HYPERLINK("https://ceds.ed.gov/cedselementdetails.aspx?termid=28100")</f>
        <v>https://ceds.ed.gov/cedselementdetails.aspx?termid=28100</v>
      </c>
    </row>
    <row r="53" spans="1:13" ht="72" x14ac:dyDescent="0.3">
      <c r="A53" s="16" t="s">
        <v>12849</v>
      </c>
      <c r="B53" s="16" t="s">
        <v>12850</v>
      </c>
      <c r="C53" s="16" t="s">
        <v>8802</v>
      </c>
      <c r="D53" s="16" t="s">
        <v>2474</v>
      </c>
      <c r="E53" s="16" t="s">
        <v>155</v>
      </c>
      <c r="F53" s="16" t="s">
        <v>2</v>
      </c>
      <c r="G53" s="16" t="s">
        <v>12636</v>
      </c>
      <c r="H53" s="16"/>
      <c r="I53" s="19" t="s">
        <v>12851</v>
      </c>
      <c r="J53" s="16"/>
      <c r="K53" s="16" t="s">
        <v>12852</v>
      </c>
      <c r="L53" s="16"/>
      <c r="M53" s="16" t="str">
        <f>HYPERLINK("https://ceds.ed.gov/cedselementdetails.aspx?termid=28121")</f>
        <v>https://ceds.ed.gov/cedselementdetails.aspx?termid=28121</v>
      </c>
    </row>
    <row r="54" spans="1:13" ht="100.8" x14ac:dyDescent="0.3">
      <c r="A54" s="16" t="s">
        <v>12853</v>
      </c>
      <c r="B54" s="16" t="s">
        <v>12854</v>
      </c>
      <c r="C54" s="16" t="s">
        <v>12922</v>
      </c>
      <c r="D54" s="16" t="s">
        <v>12887</v>
      </c>
      <c r="E54" s="16" t="s">
        <v>155</v>
      </c>
      <c r="F54" s="16" t="s">
        <v>2</v>
      </c>
      <c r="G54" s="16" t="s">
        <v>12636</v>
      </c>
      <c r="H54" s="16"/>
      <c r="I54" s="19" t="s">
        <v>12855</v>
      </c>
      <c r="J54" s="16"/>
      <c r="K54" s="16" t="s">
        <v>12856</v>
      </c>
      <c r="L54" s="16"/>
      <c r="M54" s="16" t="str">
        <f>HYPERLINK("https://ceds.ed.gov/cedselementdetails.aspx?termid=28144")</f>
        <v>https://ceds.ed.gov/cedselementdetails.aspx?termid=28144</v>
      </c>
    </row>
    <row r="55" spans="1:13" ht="100.8" x14ac:dyDescent="0.3">
      <c r="A55" s="16" t="s">
        <v>12857</v>
      </c>
      <c r="B55" s="16" t="s">
        <v>12858</v>
      </c>
      <c r="C55" s="16" t="s">
        <v>12923</v>
      </c>
      <c r="D55" s="16" t="s">
        <v>12887</v>
      </c>
      <c r="E55" s="16" t="s">
        <v>155</v>
      </c>
      <c r="F55" s="16" t="s">
        <v>2</v>
      </c>
      <c r="G55" s="16" t="s">
        <v>12636</v>
      </c>
      <c r="H55" s="16"/>
      <c r="I55" s="19" t="s">
        <v>12859</v>
      </c>
      <c r="J55" s="16"/>
      <c r="K55" s="16" t="s">
        <v>12860</v>
      </c>
      <c r="L55" s="16"/>
      <c r="M55" s="16" t="str">
        <f>HYPERLINK("https://ceds.ed.gov/cedselementdetails.aspx?termid=28145")</f>
        <v>https://ceds.ed.gov/cedselementdetails.aspx?termid=28145</v>
      </c>
    </row>
    <row r="56" spans="1:13" ht="72" x14ac:dyDescent="0.3">
      <c r="A56" s="16" t="s">
        <v>12861</v>
      </c>
      <c r="B56" s="16" t="s">
        <v>12862</v>
      </c>
      <c r="C56" s="16" t="s">
        <v>12924</v>
      </c>
      <c r="D56" s="16" t="s">
        <v>12887</v>
      </c>
      <c r="E56" s="16" t="s">
        <v>155</v>
      </c>
      <c r="F56" s="16" t="s">
        <v>2</v>
      </c>
      <c r="G56" s="16" t="s">
        <v>12636</v>
      </c>
      <c r="H56" s="16"/>
      <c r="I56" s="19" t="s">
        <v>12863</v>
      </c>
      <c r="J56" s="16"/>
      <c r="K56" s="16" t="s">
        <v>12864</v>
      </c>
      <c r="L56" s="16"/>
      <c r="M56" s="16" t="str">
        <f>HYPERLINK("https://ceds.ed.gov/cedselementdetails.aspx?termid=28126")</f>
        <v>https://ceds.ed.gov/cedselementdetails.aspx?termid=28126</v>
      </c>
    </row>
    <row r="57" spans="1:13" ht="57.6" x14ac:dyDescent="0.3">
      <c r="A57" s="16" t="s">
        <v>12865</v>
      </c>
      <c r="B57" s="16" t="s">
        <v>12866</v>
      </c>
      <c r="C57" s="16" t="s">
        <v>12891</v>
      </c>
      <c r="D57" s="16" t="s">
        <v>4442</v>
      </c>
      <c r="E57" s="16" t="s">
        <v>155</v>
      </c>
      <c r="F57" s="16" t="s">
        <v>2</v>
      </c>
      <c r="G57" s="16" t="s">
        <v>12636</v>
      </c>
      <c r="H57" s="16" t="s">
        <v>12677</v>
      </c>
      <c r="I57" s="19" t="s">
        <v>12867</v>
      </c>
      <c r="J57" s="16"/>
      <c r="K57" s="16" t="s">
        <v>12868</v>
      </c>
      <c r="L57" s="16"/>
      <c r="M57" s="16" t="str">
        <f>HYPERLINK("https://ceds.ed.gov/cedselementdetails.aspx?termid=28104")</f>
        <v>https://ceds.ed.gov/cedselementdetails.aspx?termid=28104</v>
      </c>
    </row>
    <row r="58" spans="1:13" ht="72" x14ac:dyDescent="0.3">
      <c r="A58" s="16" t="s">
        <v>12869</v>
      </c>
      <c r="B58" s="16" t="s">
        <v>12870</v>
      </c>
      <c r="C58" s="16" t="s">
        <v>12925</v>
      </c>
      <c r="D58" s="16" t="s">
        <v>12887</v>
      </c>
      <c r="E58" s="16" t="s">
        <v>155</v>
      </c>
      <c r="F58" s="16" t="s">
        <v>2</v>
      </c>
      <c r="G58" s="16" t="s">
        <v>12636</v>
      </c>
      <c r="H58" s="16"/>
      <c r="I58" s="19" t="s">
        <v>12871</v>
      </c>
      <c r="J58" s="16"/>
      <c r="K58" s="16" t="s">
        <v>12872</v>
      </c>
      <c r="L58" s="16"/>
      <c r="M58" s="16" t="str">
        <f>HYPERLINK("https://ceds.ed.gov/cedselementdetails.aspx?termid=28146")</f>
        <v>https://ceds.ed.gov/cedselementdetails.aspx?termid=28146</v>
      </c>
    </row>
    <row r="59" spans="1:13" ht="72" x14ac:dyDescent="0.3">
      <c r="A59" s="16" t="s">
        <v>12873</v>
      </c>
      <c r="B59" s="16" t="s">
        <v>12874</v>
      </c>
      <c r="C59" s="16" t="s">
        <v>12926</v>
      </c>
      <c r="D59" s="16" t="s">
        <v>12887</v>
      </c>
      <c r="E59" s="16" t="s">
        <v>155</v>
      </c>
      <c r="F59" s="16" t="s">
        <v>2</v>
      </c>
      <c r="G59" s="16" t="s">
        <v>12636</v>
      </c>
      <c r="H59" s="16"/>
      <c r="I59" s="19" t="s">
        <v>12875</v>
      </c>
      <c r="J59" s="16"/>
      <c r="K59" s="16" t="s">
        <v>12876</v>
      </c>
      <c r="L59" s="16"/>
      <c r="M59" s="16" t="str">
        <f>HYPERLINK("https://ceds.ed.gov/cedselementdetails.aspx?termid=28147")</f>
        <v>https://ceds.ed.gov/cedselementdetails.aspx?termid=28147</v>
      </c>
    </row>
    <row r="60" spans="1:13" ht="129.6" x14ac:dyDescent="0.3">
      <c r="A60" s="16" t="s">
        <v>12877</v>
      </c>
      <c r="B60" s="16" t="s">
        <v>12878</v>
      </c>
      <c r="C60" s="16" t="s">
        <v>12927</v>
      </c>
      <c r="D60" s="16" t="s">
        <v>8505</v>
      </c>
      <c r="E60" s="16" t="s">
        <v>155</v>
      </c>
      <c r="F60" s="16" t="s">
        <v>2</v>
      </c>
      <c r="G60" s="16" t="s">
        <v>12636</v>
      </c>
      <c r="H60" s="16"/>
      <c r="I60" s="19" t="s">
        <v>12879</v>
      </c>
      <c r="J60" s="16"/>
      <c r="K60" s="16" t="s">
        <v>12880</v>
      </c>
      <c r="L60" s="16"/>
      <c r="M60" s="16" t="str">
        <f>HYPERLINK("https://ceds.ed.gov/cedselementdetails.aspx?termid=28113")</f>
        <v>https://ceds.ed.gov/cedselementdetails.aspx?termid=28113</v>
      </c>
    </row>
    <row r="61" spans="1:13" ht="43.2" x14ac:dyDescent="0.3">
      <c r="A61" s="16" t="s">
        <v>12881</v>
      </c>
      <c r="B61" s="16" t="s">
        <v>12882</v>
      </c>
      <c r="C61" s="16" t="s">
        <v>32</v>
      </c>
      <c r="D61" s="16" t="s">
        <v>12928</v>
      </c>
      <c r="E61" s="16" t="s">
        <v>155</v>
      </c>
      <c r="F61" s="16" t="s">
        <v>12883</v>
      </c>
      <c r="G61" s="16" t="s">
        <v>12636</v>
      </c>
      <c r="H61" s="16"/>
      <c r="I61" s="19" t="s">
        <v>12884</v>
      </c>
      <c r="J61" s="16"/>
      <c r="K61" s="16" t="s">
        <v>12885</v>
      </c>
      <c r="L61" s="16"/>
      <c r="M61" s="16" t="str">
        <f>HYPERLINK("https://ceds.ed.gov/cedselementdetails.aspx?termid=28099")</f>
        <v>https://ceds.ed.gov/cedselementdetails.aspx?termid=28099</v>
      </c>
    </row>
    <row r="62" spans="1:13" x14ac:dyDescent="0.3">
      <c r="A62" s="16"/>
      <c r="B62" s="16"/>
      <c r="C62" s="16"/>
      <c r="D62" s="16"/>
      <c r="E62" s="16"/>
      <c r="F62" s="16"/>
      <c r="G62" s="16"/>
      <c r="H62" s="16"/>
      <c r="I62" s="19"/>
      <c r="J62" s="16"/>
      <c r="K62" s="16"/>
      <c r="L62" s="16"/>
      <c r="M62" s="16"/>
    </row>
    <row r="63" spans="1:13" x14ac:dyDescent="0.3">
      <c r="A63" s="16"/>
      <c r="B63" s="16"/>
      <c r="C63" s="16"/>
      <c r="D63" s="16"/>
      <c r="E63" s="16"/>
      <c r="F63" s="16"/>
      <c r="G63" s="16"/>
      <c r="H63" s="16"/>
      <c r="I63" s="19"/>
      <c r="J63" s="16"/>
      <c r="K63" s="16"/>
      <c r="L63" s="16"/>
      <c r="M63" s="16"/>
    </row>
    <row r="64" spans="1:13" x14ac:dyDescent="0.3">
      <c r="A64" s="16"/>
      <c r="B64" s="16"/>
      <c r="C64" s="16"/>
      <c r="D64" s="16"/>
      <c r="E64" s="16"/>
      <c r="F64" s="16"/>
      <c r="G64" s="16"/>
      <c r="H64" s="16"/>
      <c r="I64" s="19"/>
      <c r="J64" s="16"/>
      <c r="K64" s="16"/>
      <c r="L64" s="16"/>
      <c r="M64" s="16"/>
    </row>
    <row r="65" spans="1:13" x14ac:dyDescent="0.3">
      <c r="A65" s="16"/>
      <c r="B65" s="16"/>
      <c r="C65" s="16"/>
      <c r="D65" s="16"/>
      <c r="E65" s="16"/>
      <c r="F65" s="16"/>
      <c r="G65" s="16"/>
      <c r="H65" s="16"/>
      <c r="I65" s="19"/>
      <c r="J65" s="16"/>
      <c r="K65" s="16"/>
      <c r="L65" s="16"/>
      <c r="M65" s="16"/>
    </row>
    <row r="66" spans="1:13" x14ac:dyDescent="0.3">
      <c r="A66" s="16"/>
      <c r="B66" s="16"/>
      <c r="C66" s="16"/>
      <c r="D66" s="16"/>
      <c r="E66" s="16"/>
      <c r="F66" s="16"/>
      <c r="G66" s="16"/>
      <c r="H66" s="16"/>
      <c r="I66" s="19"/>
      <c r="J66" s="16"/>
      <c r="K66" s="16"/>
      <c r="L66" s="16"/>
      <c r="M66" s="16"/>
    </row>
    <row r="67" spans="1:13" x14ac:dyDescent="0.3">
      <c r="A67" s="16"/>
      <c r="B67" s="16"/>
      <c r="C67" s="16"/>
      <c r="D67" s="16"/>
      <c r="E67" s="16"/>
      <c r="F67" s="16"/>
      <c r="G67" s="16"/>
      <c r="H67" s="16"/>
      <c r="I67" s="19"/>
      <c r="J67" s="16"/>
      <c r="K67" s="16"/>
      <c r="L67" s="16"/>
      <c r="M67" s="16"/>
    </row>
    <row r="68" spans="1:13" x14ac:dyDescent="0.3">
      <c r="A68" s="16"/>
      <c r="B68" s="16"/>
      <c r="C68" s="16"/>
      <c r="D68" s="16"/>
      <c r="E68" s="16"/>
      <c r="F68" s="16"/>
      <c r="G68" s="16"/>
      <c r="H68" s="16"/>
      <c r="I68" s="19"/>
      <c r="J68" s="16"/>
      <c r="K68" s="16"/>
      <c r="L68" s="16"/>
      <c r="M68" s="16"/>
    </row>
    <row r="69" spans="1:13" x14ac:dyDescent="0.3">
      <c r="A69" s="16"/>
      <c r="B69" s="16"/>
      <c r="C69" s="16"/>
      <c r="D69" s="16"/>
      <c r="E69" s="16"/>
      <c r="F69" s="16"/>
      <c r="G69" s="16"/>
      <c r="H69" s="16"/>
      <c r="I69" s="19"/>
      <c r="J69" s="16"/>
      <c r="K69" s="16"/>
      <c r="L69" s="16"/>
      <c r="M69" s="16"/>
    </row>
    <row r="70" spans="1:13" x14ac:dyDescent="0.3">
      <c r="A70" s="16"/>
      <c r="B70" s="16"/>
      <c r="C70" s="16"/>
      <c r="D70" s="16"/>
      <c r="E70" s="16"/>
      <c r="F70" s="16"/>
      <c r="G70" s="16"/>
      <c r="H70" s="16"/>
      <c r="I70" s="19"/>
      <c r="J70" s="16"/>
      <c r="K70" s="16"/>
      <c r="L70" s="16"/>
      <c r="M70" s="16"/>
    </row>
    <row r="71" spans="1:13" x14ac:dyDescent="0.3">
      <c r="A71" s="16"/>
      <c r="B71" s="16"/>
      <c r="C71" s="16"/>
      <c r="D71" s="16"/>
      <c r="E71" s="16"/>
      <c r="F71" s="16"/>
      <c r="G71" s="16"/>
      <c r="H71" s="16"/>
      <c r="I71" s="19"/>
      <c r="J71" s="16"/>
      <c r="K71" s="16"/>
      <c r="L71" s="16"/>
      <c r="M71" s="16"/>
    </row>
    <row r="72" spans="1:13" x14ac:dyDescent="0.3">
      <c r="A72" s="16"/>
      <c r="B72" s="16"/>
      <c r="C72" s="16"/>
      <c r="D72" s="16"/>
      <c r="E72" s="16"/>
      <c r="F72" s="16"/>
      <c r="G72" s="16"/>
      <c r="H72" s="16"/>
      <c r="I72" s="19"/>
      <c r="J72" s="16"/>
      <c r="K72" s="16"/>
      <c r="L72" s="16"/>
      <c r="M72" s="16"/>
    </row>
    <row r="73" spans="1:13" x14ac:dyDescent="0.3">
      <c r="A73" s="16"/>
      <c r="B73" s="16"/>
      <c r="C73" s="16"/>
      <c r="D73" s="16"/>
      <c r="E73" s="16"/>
      <c r="F73" s="16"/>
      <c r="G73" s="16"/>
      <c r="H73" s="16"/>
      <c r="I73" s="19"/>
      <c r="J73" s="16"/>
      <c r="K73" s="16"/>
      <c r="L73" s="16"/>
      <c r="M73" s="16"/>
    </row>
    <row r="74" spans="1:13" x14ac:dyDescent="0.3">
      <c r="A74" s="16"/>
      <c r="B74" s="16"/>
      <c r="C74" s="16"/>
      <c r="D74" s="16"/>
      <c r="E74" s="16"/>
      <c r="F74" s="16"/>
      <c r="G74" s="16"/>
      <c r="H74" s="16"/>
      <c r="I74" s="19"/>
      <c r="J74" s="16"/>
      <c r="K74" s="16"/>
      <c r="L74" s="16"/>
      <c r="M74" s="16"/>
    </row>
    <row r="75" spans="1:13" x14ac:dyDescent="0.3">
      <c r="A75" s="16"/>
      <c r="B75" s="16"/>
      <c r="C75" s="16"/>
      <c r="D75" s="16"/>
      <c r="E75" s="16"/>
      <c r="F75" s="16"/>
      <c r="G75" s="16"/>
      <c r="H75" s="16"/>
      <c r="I75" s="19"/>
      <c r="J75" s="16"/>
      <c r="K75" s="16"/>
      <c r="L75" s="16"/>
      <c r="M75" s="16"/>
    </row>
    <row r="76" spans="1:13" x14ac:dyDescent="0.3">
      <c r="A76" s="16"/>
      <c r="B76" s="16"/>
      <c r="C76" s="16"/>
      <c r="D76" s="16"/>
      <c r="E76" s="16"/>
      <c r="F76" s="16"/>
      <c r="G76" s="16"/>
      <c r="H76" s="16"/>
      <c r="I76" s="19"/>
      <c r="J76" s="16"/>
      <c r="K76" s="16"/>
      <c r="L76" s="16"/>
      <c r="M76" s="16"/>
    </row>
    <row r="77" spans="1:13" x14ac:dyDescent="0.3">
      <c r="A77" s="16"/>
      <c r="B77" s="16"/>
      <c r="C77" s="16"/>
      <c r="D77" s="16"/>
      <c r="E77" s="16"/>
      <c r="F77" s="16"/>
      <c r="G77" s="16"/>
      <c r="H77" s="16"/>
      <c r="I77" s="19"/>
      <c r="J77" s="16"/>
      <c r="K77" s="16"/>
      <c r="L77" s="16"/>
      <c r="M77" s="16"/>
    </row>
    <row r="78" spans="1:13" x14ac:dyDescent="0.3">
      <c r="A78" s="16"/>
      <c r="B78" s="16"/>
      <c r="C78" s="16"/>
      <c r="D78" s="16"/>
      <c r="E78" s="16"/>
      <c r="F78" s="16"/>
      <c r="G78" s="16"/>
      <c r="H78" s="16"/>
      <c r="I78" s="19"/>
      <c r="J78" s="16"/>
      <c r="K78" s="16"/>
      <c r="L78" s="16"/>
      <c r="M78" s="16"/>
    </row>
    <row r="79" spans="1:13" x14ac:dyDescent="0.3">
      <c r="A79" s="16"/>
      <c r="B79" s="16"/>
      <c r="C79" s="16"/>
      <c r="D79" s="16"/>
      <c r="E79" s="16"/>
      <c r="F79" s="16"/>
      <c r="G79" s="16"/>
      <c r="H79" s="16"/>
      <c r="I79" s="19"/>
      <c r="J79" s="16"/>
      <c r="K79" s="16"/>
      <c r="L79" s="16"/>
      <c r="M79" s="16"/>
    </row>
    <row r="80" spans="1:13" x14ac:dyDescent="0.3">
      <c r="A80" s="16"/>
      <c r="B80" s="16"/>
      <c r="C80" s="16"/>
      <c r="D80" s="16"/>
      <c r="E80" s="16"/>
      <c r="F80" s="16"/>
      <c r="G80" s="16"/>
      <c r="H80" s="16"/>
      <c r="I80" s="19"/>
      <c r="J80" s="16"/>
      <c r="K80" s="16"/>
      <c r="L80" s="16"/>
      <c r="M80" s="16"/>
    </row>
    <row r="81" spans="1:13" x14ac:dyDescent="0.3">
      <c r="A81" s="16"/>
      <c r="B81" s="16"/>
      <c r="C81" s="16"/>
      <c r="D81" s="16"/>
      <c r="E81" s="16"/>
      <c r="F81" s="16"/>
      <c r="G81" s="16"/>
      <c r="H81" s="16"/>
      <c r="I81" s="19"/>
      <c r="J81" s="16"/>
      <c r="K81" s="16"/>
      <c r="L81" s="16"/>
      <c r="M81" s="16"/>
    </row>
    <row r="82" spans="1:13" x14ac:dyDescent="0.3">
      <c r="A82" s="16"/>
      <c r="B82" s="16"/>
      <c r="C82" s="16"/>
      <c r="D82" s="16"/>
      <c r="E82" s="16"/>
      <c r="F82" s="16"/>
      <c r="G82" s="16"/>
      <c r="H82" s="16"/>
      <c r="I82" s="19"/>
      <c r="J82" s="16"/>
      <c r="K82" s="16"/>
      <c r="L82" s="16"/>
      <c r="M82" s="16"/>
    </row>
    <row r="83" spans="1:13" x14ac:dyDescent="0.3">
      <c r="A83" s="16"/>
      <c r="B83" s="16"/>
      <c r="C83" s="16"/>
      <c r="D83" s="16"/>
      <c r="E83" s="16"/>
      <c r="F83" s="16"/>
      <c r="G83" s="16"/>
      <c r="H83" s="16"/>
      <c r="I83" s="19"/>
      <c r="J83" s="16"/>
      <c r="K83" s="16"/>
      <c r="L83" s="16"/>
      <c r="M83" s="16"/>
    </row>
    <row r="84" spans="1:13" x14ac:dyDescent="0.3">
      <c r="A84" s="16"/>
      <c r="B84" s="16"/>
      <c r="C84" s="16"/>
      <c r="D84" s="16"/>
      <c r="E84" s="16"/>
      <c r="F84" s="16"/>
      <c r="G84" s="16"/>
      <c r="H84" s="16"/>
      <c r="I84" s="19"/>
      <c r="J84" s="16"/>
      <c r="K84" s="16"/>
      <c r="L84" s="16"/>
      <c r="M84" s="16"/>
    </row>
    <row r="85" spans="1:13" x14ac:dyDescent="0.3">
      <c r="A85" s="16"/>
      <c r="B85" s="16"/>
      <c r="C85" s="16"/>
      <c r="D85" s="16"/>
      <c r="E85" s="16"/>
      <c r="F85" s="16"/>
      <c r="G85" s="16"/>
      <c r="H85" s="16"/>
      <c r="I85" s="19"/>
      <c r="J85" s="16"/>
      <c r="K85" s="16"/>
      <c r="L85" s="16"/>
      <c r="M85" s="16"/>
    </row>
    <row r="86" spans="1:13" x14ac:dyDescent="0.3">
      <c r="A86" s="16"/>
      <c r="B86" s="16"/>
      <c r="C86" s="16"/>
      <c r="D86" s="16"/>
      <c r="E86" s="16"/>
      <c r="F86" s="16"/>
      <c r="G86" s="16"/>
      <c r="H86" s="16"/>
      <c r="I86" s="19"/>
      <c r="J86" s="16"/>
      <c r="K86" s="16"/>
      <c r="L86" s="16"/>
      <c r="M86" s="16"/>
    </row>
    <row r="87" spans="1:13" x14ac:dyDescent="0.3">
      <c r="A87" s="16"/>
      <c r="B87" s="16"/>
      <c r="C87" s="16"/>
      <c r="D87" s="16"/>
      <c r="E87" s="16"/>
      <c r="F87" s="16"/>
      <c r="G87" s="16"/>
      <c r="H87" s="16"/>
      <c r="I87" s="19"/>
      <c r="J87" s="16"/>
      <c r="K87" s="16"/>
      <c r="L87" s="16"/>
      <c r="M87" s="16"/>
    </row>
    <row r="88" spans="1:13" x14ac:dyDescent="0.3">
      <c r="A88" s="16"/>
      <c r="B88" s="16"/>
      <c r="C88" s="16"/>
      <c r="D88" s="16"/>
      <c r="E88" s="16"/>
      <c r="F88" s="16"/>
      <c r="G88" s="16"/>
      <c r="H88" s="16"/>
      <c r="I88" s="19"/>
      <c r="J88" s="16"/>
      <c r="K88" s="16"/>
      <c r="L88" s="16"/>
      <c r="M88" s="16"/>
    </row>
    <row r="89" spans="1:13" x14ac:dyDescent="0.3">
      <c r="A89" s="16"/>
      <c r="B89" s="16"/>
      <c r="C89" s="16"/>
      <c r="D89" s="16"/>
      <c r="E89" s="16"/>
      <c r="F89" s="16"/>
      <c r="G89" s="16"/>
      <c r="H89" s="16"/>
      <c r="I89" s="19"/>
      <c r="J89" s="16"/>
      <c r="K89" s="16"/>
      <c r="L89" s="16"/>
      <c r="M89" s="16"/>
    </row>
    <row r="90" spans="1:13" x14ac:dyDescent="0.3">
      <c r="A90" s="16"/>
      <c r="B90" s="16"/>
      <c r="C90" s="16"/>
      <c r="D90" s="16"/>
      <c r="E90" s="16"/>
      <c r="F90" s="16"/>
      <c r="G90" s="16"/>
      <c r="H90" s="16"/>
      <c r="I90" s="19"/>
      <c r="J90" s="16"/>
      <c r="K90" s="16"/>
      <c r="L90" s="16"/>
      <c r="M90" s="16"/>
    </row>
    <row r="91" spans="1:13" x14ac:dyDescent="0.3">
      <c r="A91" s="16"/>
      <c r="B91" s="16"/>
      <c r="C91" s="16"/>
      <c r="D91" s="16"/>
      <c r="E91" s="16"/>
      <c r="F91" s="16"/>
      <c r="G91" s="16"/>
      <c r="H91" s="16"/>
      <c r="I91" s="19"/>
      <c r="J91" s="16"/>
      <c r="K91" s="16"/>
      <c r="L91" s="16"/>
      <c r="M91" s="16"/>
    </row>
    <row r="92" spans="1:13" x14ac:dyDescent="0.3">
      <c r="A92" s="16"/>
      <c r="B92" s="16"/>
      <c r="C92" s="16"/>
      <c r="D92" s="16"/>
      <c r="E92" s="16"/>
      <c r="F92" s="16"/>
      <c r="G92" s="16"/>
      <c r="H92" s="16"/>
      <c r="I92" s="19"/>
      <c r="J92" s="16"/>
      <c r="K92" s="16"/>
      <c r="L92" s="16"/>
      <c r="M92" s="16"/>
    </row>
    <row r="93" spans="1:13" x14ac:dyDescent="0.3">
      <c r="A93" s="16"/>
      <c r="B93" s="16"/>
      <c r="C93" s="16"/>
      <c r="D93" s="16"/>
      <c r="E93" s="16"/>
      <c r="F93" s="16"/>
      <c r="G93" s="16"/>
      <c r="H93" s="16"/>
      <c r="I93" s="19"/>
      <c r="J93" s="16"/>
      <c r="K93" s="16"/>
      <c r="L93" s="16"/>
      <c r="M93" s="16"/>
    </row>
    <row r="94" spans="1:13" x14ac:dyDescent="0.3">
      <c r="A94" s="16"/>
      <c r="B94" s="16"/>
      <c r="C94" s="16"/>
      <c r="D94" s="16"/>
      <c r="E94" s="16"/>
      <c r="F94" s="16"/>
      <c r="G94" s="16"/>
      <c r="H94" s="16"/>
      <c r="I94" s="19"/>
      <c r="J94" s="16"/>
      <c r="K94" s="16"/>
      <c r="L94" s="16"/>
      <c r="M94" s="16"/>
    </row>
    <row r="95" spans="1:13" x14ac:dyDescent="0.3">
      <c r="A95" s="16"/>
      <c r="B95" s="16"/>
      <c r="C95" s="16"/>
      <c r="D95" s="16"/>
      <c r="E95" s="16"/>
      <c r="F95" s="16"/>
      <c r="G95" s="16"/>
      <c r="H95" s="16"/>
      <c r="I95" s="19"/>
      <c r="J95" s="16"/>
      <c r="K95" s="16"/>
      <c r="L95" s="16"/>
      <c r="M95" s="16"/>
    </row>
    <row r="96" spans="1:13" x14ac:dyDescent="0.3">
      <c r="A96" s="16"/>
      <c r="B96" s="16"/>
      <c r="C96" s="16"/>
      <c r="D96" s="16"/>
      <c r="E96" s="16"/>
      <c r="F96" s="16"/>
      <c r="G96" s="16"/>
      <c r="H96" s="16"/>
      <c r="I96" s="19"/>
      <c r="J96" s="16"/>
      <c r="K96" s="16"/>
      <c r="L96" s="16"/>
      <c r="M96" s="16"/>
    </row>
    <row r="97" spans="1:13" x14ac:dyDescent="0.3">
      <c r="A97" s="16"/>
      <c r="B97" s="16"/>
      <c r="C97" s="16"/>
      <c r="D97" s="16"/>
      <c r="E97" s="16"/>
      <c r="F97" s="16"/>
      <c r="G97" s="16"/>
      <c r="H97" s="16"/>
      <c r="I97" s="19"/>
      <c r="J97" s="16"/>
      <c r="K97" s="16"/>
      <c r="L97" s="16"/>
      <c r="M97" s="16"/>
    </row>
    <row r="98" spans="1:13" x14ac:dyDescent="0.3">
      <c r="A98" s="16"/>
      <c r="B98" s="16"/>
      <c r="C98" s="16"/>
      <c r="D98" s="16"/>
      <c r="E98" s="16"/>
      <c r="F98" s="16"/>
      <c r="G98" s="16"/>
      <c r="H98" s="16"/>
      <c r="I98" s="19"/>
      <c r="J98" s="16"/>
      <c r="K98" s="16"/>
      <c r="L98" s="16"/>
      <c r="M98" s="16"/>
    </row>
    <row r="99" spans="1:13" x14ac:dyDescent="0.3">
      <c r="A99" s="16"/>
      <c r="B99" s="16"/>
      <c r="C99" s="16"/>
      <c r="D99" s="16"/>
      <c r="E99" s="16"/>
      <c r="F99" s="16"/>
      <c r="G99" s="16"/>
      <c r="H99" s="16"/>
      <c r="I99" s="19"/>
      <c r="J99" s="16"/>
      <c r="K99" s="16"/>
      <c r="L99" s="16"/>
      <c r="M99" s="16"/>
    </row>
    <row r="100" spans="1:13" x14ac:dyDescent="0.3">
      <c r="A100" s="16"/>
      <c r="B100" s="16"/>
      <c r="C100" s="16"/>
      <c r="D100" s="16"/>
      <c r="E100" s="16"/>
      <c r="F100" s="16"/>
      <c r="G100" s="16"/>
      <c r="H100" s="16"/>
      <c r="I100" s="19"/>
      <c r="J100" s="16"/>
      <c r="K100" s="16"/>
      <c r="L100" s="16"/>
      <c r="M100" s="16"/>
    </row>
    <row r="101" spans="1:13" x14ac:dyDescent="0.3">
      <c r="A101" s="16"/>
      <c r="B101" s="16"/>
      <c r="C101" s="16"/>
      <c r="D101" s="16"/>
      <c r="E101" s="16"/>
      <c r="F101" s="16"/>
      <c r="G101" s="16"/>
      <c r="H101" s="16"/>
      <c r="I101" s="19"/>
      <c r="J101" s="16"/>
      <c r="K101" s="16"/>
      <c r="L101" s="16"/>
      <c r="M101" s="16"/>
    </row>
    <row r="102" spans="1:13" x14ac:dyDescent="0.3">
      <c r="A102" s="16"/>
      <c r="B102" s="16"/>
      <c r="C102" s="16"/>
      <c r="D102" s="16"/>
      <c r="E102" s="16"/>
      <c r="F102" s="16"/>
      <c r="G102" s="16"/>
      <c r="H102" s="16"/>
      <c r="I102" s="19"/>
      <c r="J102" s="16"/>
      <c r="K102" s="16"/>
      <c r="L102" s="16"/>
      <c r="M102" s="16"/>
    </row>
  </sheetData>
  <autoFilter ref="A1:M1" xr:uid="{A13338AC-93B9-48A8-834A-4585B49C0C1C}"/>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B6AD4-BE23-41BF-9CBA-21DC6083EE6C}">
  <dimension ref="A1:M94"/>
  <sheetViews>
    <sheetView showGridLines="0" workbookViewId="0">
      <selection activeCell="A2" sqref="A2:M37"/>
    </sheetView>
  </sheetViews>
  <sheetFormatPr defaultRowHeight="14.4" x14ac:dyDescent="0.3"/>
  <cols>
    <col min="1" max="4" width="36.5546875" style="13" bestFit="1" customWidth="1"/>
    <col min="5" max="5" width="9.44140625" style="13" bestFit="1" customWidth="1"/>
    <col min="6" max="8" width="36.5546875" style="13" bestFit="1" customWidth="1"/>
    <col min="9" max="9" width="9.44140625" style="18" bestFit="1" customWidth="1"/>
    <col min="10" max="12" width="36.5546875" style="13" bestFit="1" customWidth="1"/>
    <col min="13" max="13" width="28" style="13" customWidth="1"/>
  </cols>
  <sheetData>
    <row r="1" spans="1:13" s="2" customFormat="1" x14ac:dyDescent="0.3">
      <c r="A1" s="3" t="s">
        <v>0</v>
      </c>
      <c r="B1" s="3" t="s">
        <v>1</v>
      </c>
      <c r="C1" s="3" t="s">
        <v>2</v>
      </c>
      <c r="D1" s="3" t="s">
        <v>3</v>
      </c>
      <c r="E1" s="3" t="s">
        <v>4</v>
      </c>
      <c r="F1" s="3" t="s">
        <v>5</v>
      </c>
      <c r="G1" s="3" t="s">
        <v>6</v>
      </c>
      <c r="H1" s="3" t="s">
        <v>7</v>
      </c>
      <c r="I1" s="14" t="s">
        <v>8</v>
      </c>
      <c r="J1" s="3" t="s">
        <v>9</v>
      </c>
      <c r="K1" s="3" t="s">
        <v>10</v>
      </c>
      <c r="L1" s="3" t="s">
        <v>11</v>
      </c>
      <c r="M1" s="3" t="s">
        <v>12</v>
      </c>
    </row>
    <row r="2" spans="1:13" s="15" customFormat="1" ht="187.2" x14ac:dyDescent="0.3">
      <c r="A2" s="7" t="s">
        <v>12929</v>
      </c>
      <c r="B2" s="7" t="s">
        <v>13071</v>
      </c>
      <c r="C2" s="7" t="s">
        <v>32</v>
      </c>
      <c r="D2" s="7" t="s">
        <v>12954</v>
      </c>
      <c r="E2" s="7" t="s">
        <v>160</v>
      </c>
      <c r="F2" s="7" t="s">
        <v>316</v>
      </c>
      <c r="G2" s="7" t="s">
        <v>12930</v>
      </c>
      <c r="H2" s="7"/>
      <c r="I2" s="11" t="s">
        <v>82</v>
      </c>
      <c r="J2" s="7"/>
      <c r="K2" s="7" t="s">
        <v>13072</v>
      </c>
      <c r="L2" s="7"/>
      <c r="M2" s="7" t="str">
        <f>HYPERLINK("https://ceds.ed.gov/cedselementdetails.aspx?termid=27116")</f>
        <v>https://ceds.ed.gov/cedselementdetails.aspx?termid=27116</v>
      </c>
    </row>
    <row r="3" spans="1:13" s="15" customFormat="1" ht="409.6" x14ac:dyDescent="0.3">
      <c r="A3" s="7" t="s">
        <v>12931</v>
      </c>
      <c r="B3" s="7" t="s">
        <v>13073</v>
      </c>
      <c r="C3" s="7" t="s">
        <v>13480</v>
      </c>
      <c r="D3" s="7" t="s">
        <v>12955</v>
      </c>
      <c r="E3" s="7" t="s">
        <v>160</v>
      </c>
      <c r="F3" s="7"/>
      <c r="G3" s="7" t="s">
        <v>12932</v>
      </c>
      <c r="H3" s="7"/>
      <c r="I3" s="11" t="s">
        <v>83</v>
      </c>
      <c r="J3" s="7"/>
      <c r="K3" s="7" t="s">
        <v>13074</v>
      </c>
      <c r="L3" s="7" t="s">
        <v>84</v>
      </c>
      <c r="M3" s="7" t="str">
        <f>HYPERLINK("https://ceds.ed.gov/cedselementdetails.aspx?termid=26376")</f>
        <v>https://ceds.ed.gov/cedselementdetails.aspx?termid=26376</v>
      </c>
    </row>
    <row r="4" spans="1:13" s="15" customFormat="1" ht="360" x14ac:dyDescent="0.3">
      <c r="A4" s="7" t="s">
        <v>85</v>
      </c>
      <c r="B4" s="7"/>
      <c r="C4" s="7" t="s">
        <v>8286</v>
      </c>
      <c r="D4" s="7" t="s">
        <v>86</v>
      </c>
      <c r="E4" s="7" t="s">
        <v>160</v>
      </c>
      <c r="F4" s="7"/>
      <c r="G4" s="7" t="s">
        <v>12933</v>
      </c>
      <c r="H4" s="7"/>
      <c r="I4" s="11" t="s">
        <v>87</v>
      </c>
      <c r="J4" s="7"/>
      <c r="K4" s="7"/>
      <c r="L4" s="7"/>
      <c r="M4" s="7" t="str">
        <f>HYPERLINK("https://ceds.ed.gov/cedselementdetails.aspx?termid=27243")</f>
        <v>https://ceds.ed.gov/cedselementdetails.aspx?termid=27243</v>
      </c>
    </row>
    <row r="5" spans="1:13" s="15" customFormat="1" ht="72" x14ac:dyDescent="0.3">
      <c r="A5" s="7" t="s">
        <v>153</v>
      </c>
      <c r="B5" s="7" t="s">
        <v>154</v>
      </c>
      <c r="C5" s="7" t="s">
        <v>8292</v>
      </c>
      <c r="D5" s="7" t="s">
        <v>2474</v>
      </c>
      <c r="E5" s="7" t="s">
        <v>160</v>
      </c>
      <c r="F5" s="7"/>
      <c r="G5" s="7" t="s">
        <v>12934</v>
      </c>
      <c r="H5" s="7"/>
      <c r="I5" s="11" t="s">
        <v>156</v>
      </c>
      <c r="J5" s="7"/>
      <c r="K5" s="7" t="s">
        <v>157</v>
      </c>
      <c r="L5" s="7"/>
      <c r="M5" s="7" t="str">
        <f>HYPERLINK("https://ceds.ed.gov/cedselementdetails.aspx?termid=27902")</f>
        <v>https://ceds.ed.gov/cedselementdetails.aspx?termid=27902</v>
      </c>
    </row>
    <row r="6" spans="1:13" s="15" customFormat="1" ht="216" x14ac:dyDescent="0.3">
      <c r="A6" s="7" t="s">
        <v>289</v>
      </c>
      <c r="B6" s="7" t="s">
        <v>290</v>
      </c>
      <c r="C6" s="7" t="s">
        <v>8312</v>
      </c>
      <c r="D6" s="7" t="s">
        <v>12956</v>
      </c>
      <c r="E6" s="7" t="s">
        <v>160</v>
      </c>
      <c r="F6" s="7"/>
      <c r="G6" s="7" t="s">
        <v>12935</v>
      </c>
      <c r="H6" s="7"/>
      <c r="I6" s="11" t="s">
        <v>291</v>
      </c>
      <c r="J6" s="7"/>
      <c r="K6" s="7" t="s">
        <v>292</v>
      </c>
      <c r="L6" s="7"/>
      <c r="M6" s="7" t="str">
        <f>HYPERLINK("https://ceds.ed.gov/cedselementdetails.aspx?termid=26764")</f>
        <v>https://ceds.ed.gov/cedselementdetails.aspx?termid=26764</v>
      </c>
    </row>
    <row r="7" spans="1:13" s="15" customFormat="1" ht="57.6" x14ac:dyDescent="0.3">
      <c r="A7" s="7" t="s">
        <v>13075</v>
      </c>
      <c r="B7" s="7" t="s">
        <v>12936</v>
      </c>
      <c r="C7" s="7" t="s">
        <v>32</v>
      </c>
      <c r="D7" s="7" t="s">
        <v>487</v>
      </c>
      <c r="E7" s="7" t="s">
        <v>160</v>
      </c>
      <c r="F7" s="7"/>
      <c r="G7" s="7" t="s">
        <v>12937</v>
      </c>
      <c r="H7" s="7"/>
      <c r="I7" s="11" t="s">
        <v>488</v>
      </c>
      <c r="J7" s="7"/>
      <c r="K7" s="7" t="s">
        <v>12938</v>
      </c>
      <c r="L7" s="7"/>
      <c r="M7" s="7" t="str">
        <f>HYPERLINK("https://ceds.ed.gov/cedselementdetails.aspx?termid=27136")</f>
        <v>https://ceds.ed.gov/cedselementdetails.aspx?termid=27136</v>
      </c>
    </row>
    <row r="8" spans="1:13" s="15" customFormat="1" ht="28.8" x14ac:dyDescent="0.3">
      <c r="A8" s="7" t="s">
        <v>1347</v>
      </c>
      <c r="B8" s="7"/>
      <c r="C8" s="7" t="s">
        <v>32</v>
      </c>
      <c r="D8" s="7" t="s">
        <v>468</v>
      </c>
      <c r="E8" s="7" t="s">
        <v>160</v>
      </c>
      <c r="F8" s="7" t="s">
        <v>13076</v>
      </c>
      <c r="G8" s="6" t="s">
        <v>12939</v>
      </c>
      <c r="H8" s="7"/>
      <c r="I8" s="11" t="s">
        <v>1348</v>
      </c>
      <c r="J8" s="7"/>
      <c r="K8" s="7"/>
      <c r="L8" s="7" t="s">
        <v>1349</v>
      </c>
      <c r="M8" s="7" t="str">
        <f>HYPERLINK("https://ceds.ed.gov/cedselementdetails.aspx?termid=26367")</f>
        <v>https://ceds.ed.gov/cedselementdetails.aspx?termid=26367</v>
      </c>
    </row>
    <row r="9" spans="1:13" s="15" customFormat="1" ht="388.8" x14ac:dyDescent="0.3">
      <c r="A9" s="7" t="s">
        <v>1887</v>
      </c>
      <c r="B9" s="7" t="s">
        <v>1888</v>
      </c>
      <c r="C9" s="7" t="s">
        <v>8425</v>
      </c>
      <c r="D9" s="7" t="s">
        <v>12957</v>
      </c>
      <c r="E9" s="7" t="s">
        <v>160</v>
      </c>
      <c r="F9" s="7"/>
      <c r="G9" s="7" t="s">
        <v>12935</v>
      </c>
      <c r="H9" s="7" t="s">
        <v>7896</v>
      </c>
      <c r="I9" s="11" t="s">
        <v>1889</v>
      </c>
      <c r="J9" s="7"/>
      <c r="K9" s="7" t="s">
        <v>1890</v>
      </c>
      <c r="L9" s="7"/>
      <c r="M9" s="7" t="str">
        <f>HYPERLINK("https://ceds.ed.gov/cedselementdetails.aspx?termid=27254")</f>
        <v>https://ceds.ed.gov/cedselementdetails.aspx?termid=27254</v>
      </c>
    </row>
    <row r="10" spans="1:13" s="15" customFormat="1" ht="86.4" x14ac:dyDescent="0.3">
      <c r="A10" s="7" t="s">
        <v>1955</v>
      </c>
      <c r="B10" s="7" t="s">
        <v>1956</v>
      </c>
      <c r="C10" s="7" t="s">
        <v>8431</v>
      </c>
      <c r="D10" s="7" t="s">
        <v>1957</v>
      </c>
      <c r="E10" s="7" t="s">
        <v>160</v>
      </c>
      <c r="F10" s="7"/>
      <c r="G10" s="7" t="s">
        <v>12940</v>
      </c>
      <c r="H10" s="7"/>
      <c r="I10" s="11" t="s">
        <v>1958</v>
      </c>
      <c r="J10" s="7"/>
      <c r="K10" s="7" t="s">
        <v>1959</v>
      </c>
      <c r="L10" s="7" t="s">
        <v>214</v>
      </c>
      <c r="M10" s="7" t="str">
        <f>HYPERLINK("https://ceds.ed.gov/cedselementdetails.aspx?termid=27631")</f>
        <v>https://ceds.ed.gov/cedselementdetails.aspx?termid=27631</v>
      </c>
    </row>
    <row r="11" spans="1:13" s="15" customFormat="1" ht="409.6" x14ac:dyDescent="0.3">
      <c r="A11" s="7" t="s">
        <v>2044</v>
      </c>
      <c r="B11" s="7" t="s">
        <v>2045</v>
      </c>
      <c r="C11" s="7" t="s">
        <v>7312</v>
      </c>
      <c r="D11" s="7" t="s">
        <v>12958</v>
      </c>
      <c r="E11" s="7" t="s">
        <v>160</v>
      </c>
      <c r="F11" s="7" t="s">
        <v>2</v>
      </c>
      <c r="G11" s="7" t="s">
        <v>12935</v>
      </c>
      <c r="H11" s="7"/>
      <c r="I11" s="11" t="s">
        <v>2046</v>
      </c>
      <c r="J11" s="7" t="s">
        <v>2047</v>
      </c>
      <c r="K11" s="7" t="s">
        <v>2048</v>
      </c>
      <c r="L11" s="7" t="s">
        <v>42</v>
      </c>
      <c r="M11" s="7" t="str">
        <f>HYPERLINK("https://ceds.ed.gov/cedselementdetails.aspx?termid=26043")</f>
        <v>https://ceds.ed.gov/cedselementdetails.aspx?termid=26043</v>
      </c>
    </row>
    <row r="12" spans="1:13" s="15" customFormat="1" ht="230.4" x14ac:dyDescent="0.3">
      <c r="A12" s="7" t="s">
        <v>2700</v>
      </c>
      <c r="B12" s="7"/>
      <c r="C12" s="7" t="s">
        <v>32</v>
      </c>
      <c r="D12" s="7" t="s">
        <v>12959</v>
      </c>
      <c r="E12" s="7" t="s">
        <v>160</v>
      </c>
      <c r="F12" s="7" t="s">
        <v>13077</v>
      </c>
      <c r="G12" s="7" t="s">
        <v>12939</v>
      </c>
      <c r="H12" s="7"/>
      <c r="I12" s="11" t="s">
        <v>2701</v>
      </c>
      <c r="J12" s="7"/>
      <c r="K12" s="7"/>
      <c r="L12" s="7" t="s">
        <v>1484</v>
      </c>
      <c r="M12" s="7" t="str">
        <f>HYPERLINK("https://ceds.ed.gov/cedselementdetails.aspx?termid=26067")</f>
        <v>https://ceds.ed.gov/cedselementdetails.aspx?termid=26067</v>
      </c>
    </row>
    <row r="13" spans="1:13" s="15" customFormat="1" ht="57.6" x14ac:dyDescent="0.3">
      <c r="A13" s="7" t="s">
        <v>2879</v>
      </c>
      <c r="B13" s="7"/>
      <c r="C13" s="7" t="s">
        <v>32</v>
      </c>
      <c r="D13" s="7" t="s">
        <v>8483</v>
      </c>
      <c r="E13" s="7" t="s">
        <v>160</v>
      </c>
      <c r="F13" s="7"/>
      <c r="G13" s="7" t="s">
        <v>12941</v>
      </c>
      <c r="H13" s="7"/>
      <c r="I13" s="11" t="s">
        <v>2880</v>
      </c>
      <c r="J13" s="7"/>
      <c r="K13" s="7"/>
      <c r="L13" s="7" t="s">
        <v>195</v>
      </c>
      <c r="M13" s="7" t="str">
        <f>HYPERLINK("https://ceds.ed.gov/cedselementdetails.aspx?termid=26070")</f>
        <v>https://ceds.ed.gov/cedselementdetails.aspx?termid=26070</v>
      </c>
    </row>
    <row r="14" spans="1:13" s="15" customFormat="1" ht="144" x14ac:dyDescent="0.3">
      <c r="A14" s="7" t="s">
        <v>2910</v>
      </c>
      <c r="B14" s="7" t="s">
        <v>2911</v>
      </c>
      <c r="C14" s="7" t="s">
        <v>13481</v>
      </c>
      <c r="D14" s="7" t="s">
        <v>12960</v>
      </c>
      <c r="E14" s="7" t="s">
        <v>160</v>
      </c>
      <c r="F14" s="7"/>
      <c r="G14" s="7" t="s">
        <v>12934</v>
      </c>
      <c r="H14" s="7"/>
      <c r="I14" s="11" t="s">
        <v>2912</v>
      </c>
      <c r="J14" s="7"/>
      <c r="K14" s="7" t="s">
        <v>2913</v>
      </c>
      <c r="L14" s="7"/>
      <c r="M14" s="7" t="str">
        <f>HYPERLINK("https://ceds.ed.gov/cedselementdetails.aspx?termid=26071")</f>
        <v>https://ceds.ed.gov/cedselementdetails.aspx?termid=26071</v>
      </c>
    </row>
    <row r="15" spans="1:13" s="15" customFormat="1" ht="360" x14ac:dyDescent="0.3">
      <c r="A15" s="7" t="s">
        <v>3266</v>
      </c>
      <c r="B15" s="7"/>
      <c r="C15" s="7" t="s">
        <v>8523</v>
      </c>
      <c r="D15" s="7" t="s">
        <v>7953</v>
      </c>
      <c r="E15" s="7" t="s">
        <v>160</v>
      </c>
      <c r="F15" s="7"/>
      <c r="G15" s="7" t="s">
        <v>12941</v>
      </c>
      <c r="H15" s="7"/>
      <c r="I15" s="11" t="s">
        <v>3268</v>
      </c>
      <c r="J15" s="7"/>
      <c r="K15" s="7"/>
      <c r="L15" s="7"/>
      <c r="M15" s="7" t="str">
        <f>HYPERLINK("https://ceds.ed.gov/cedselementdetails.aspx?termid=27613")</f>
        <v>https://ceds.ed.gov/cedselementdetails.aspx?termid=27613</v>
      </c>
    </row>
    <row r="16" spans="1:13" s="15" customFormat="1" ht="57.6" x14ac:dyDescent="0.3">
      <c r="A16" s="7" t="s">
        <v>3441</v>
      </c>
      <c r="B16" s="7" t="s">
        <v>13078</v>
      </c>
      <c r="C16" s="7" t="s">
        <v>22</v>
      </c>
      <c r="D16" s="7" t="s">
        <v>3442</v>
      </c>
      <c r="E16" s="7" t="s">
        <v>160</v>
      </c>
      <c r="F16" s="7"/>
      <c r="G16" s="7" t="s">
        <v>12942</v>
      </c>
      <c r="H16" s="7"/>
      <c r="I16" s="11" t="s">
        <v>3443</v>
      </c>
      <c r="J16" s="7"/>
      <c r="K16" s="7"/>
      <c r="L16" s="7"/>
      <c r="M16" s="7" t="str">
        <f>HYPERLINK("https://ceds.ed.gov/cedselementdetails.aspx?termid=27308")</f>
        <v>https://ceds.ed.gov/cedselementdetails.aspx?termid=27308</v>
      </c>
    </row>
    <row r="17" spans="1:13" s="15" customFormat="1" ht="72" x14ac:dyDescent="0.3">
      <c r="A17" s="7" t="s">
        <v>3506</v>
      </c>
      <c r="B17" s="7" t="s">
        <v>3507</v>
      </c>
      <c r="C17" s="7" t="s">
        <v>8556</v>
      </c>
      <c r="D17" s="7" t="s">
        <v>12961</v>
      </c>
      <c r="E17" s="6" t="s">
        <v>160</v>
      </c>
      <c r="F17" s="6"/>
      <c r="G17" s="6" t="s">
        <v>12935</v>
      </c>
      <c r="H17" s="7"/>
      <c r="I17" s="11" t="s">
        <v>3508</v>
      </c>
      <c r="J17" s="7"/>
      <c r="K17" s="7" t="s">
        <v>3509</v>
      </c>
      <c r="L17" s="7"/>
      <c r="M17" s="7" t="str">
        <f>HYPERLINK("https://ceds.ed.gov/cedselementdetails.aspx?termid=27310")</f>
        <v>https://ceds.ed.gov/cedselementdetails.aspx?termid=27310</v>
      </c>
    </row>
    <row r="18" spans="1:13" s="15" customFormat="1" ht="409.6" x14ac:dyDescent="0.3">
      <c r="A18" s="7" t="s">
        <v>3569</v>
      </c>
      <c r="B18" s="7" t="s">
        <v>3570</v>
      </c>
      <c r="C18" s="7" t="s">
        <v>8561</v>
      </c>
      <c r="D18" s="7" t="s">
        <v>12962</v>
      </c>
      <c r="E18" s="7" t="s">
        <v>160</v>
      </c>
      <c r="F18" s="7"/>
      <c r="G18" s="7" t="s">
        <v>12935</v>
      </c>
      <c r="H18" s="7"/>
      <c r="I18" s="11" t="s">
        <v>3571</v>
      </c>
      <c r="J18" s="7"/>
      <c r="K18" s="7" t="s">
        <v>3572</v>
      </c>
      <c r="L18" s="7"/>
      <c r="M18" s="7" t="str">
        <f>HYPERLINK("https://ceds.ed.gov/cedselementdetails.aspx?termid=26222")</f>
        <v>https://ceds.ed.gov/cedselementdetails.aspx?termid=26222</v>
      </c>
    </row>
    <row r="19" spans="1:13" s="15" customFormat="1" ht="144" x14ac:dyDescent="0.3">
      <c r="A19" s="7" t="s">
        <v>4021</v>
      </c>
      <c r="B19" s="7" t="s">
        <v>8050</v>
      </c>
      <c r="C19" s="7" t="s">
        <v>8231</v>
      </c>
      <c r="D19" s="7" t="s">
        <v>12963</v>
      </c>
      <c r="E19" s="7" t="s">
        <v>160</v>
      </c>
      <c r="F19" s="7"/>
      <c r="G19" s="7" t="s">
        <v>12935</v>
      </c>
      <c r="H19" s="7" t="s">
        <v>8051</v>
      </c>
      <c r="I19" s="11" t="s">
        <v>4022</v>
      </c>
      <c r="J19" s="7"/>
      <c r="K19" s="7" t="s">
        <v>4023</v>
      </c>
      <c r="L19" s="7"/>
      <c r="M19" s="7" t="str">
        <f>HYPERLINK("https://ceds.ed.gov/cedselementdetails.aspx?termid=27323")</f>
        <v>https://ceds.ed.gov/cedselementdetails.aspx?termid=27323</v>
      </c>
    </row>
    <row r="20" spans="1:13" s="15" customFormat="1" ht="187.2" x14ac:dyDescent="0.3">
      <c r="A20" s="7" t="s">
        <v>4174</v>
      </c>
      <c r="B20" s="7"/>
      <c r="C20" s="6" t="s">
        <v>32</v>
      </c>
      <c r="D20" s="7" t="s">
        <v>4175</v>
      </c>
      <c r="E20" s="7" t="s">
        <v>160</v>
      </c>
      <c r="F20" s="7" t="s">
        <v>13079</v>
      </c>
      <c r="G20" s="7" t="s">
        <v>12939</v>
      </c>
      <c r="H20" s="7"/>
      <c r="I20" s="11" t="s">
        <v>4176</v>
      </c>
      <c r="J20" s="7"/>
      <c r="K20" s="7"/>
      <c r="L20" s="7"/>
      <c r="M20" s="7" t="str">
        <f>HYPERLINK("https://ceds.ed.gov/cedselementdetails.aspx?termid=26609")</f>
        <v>https://ceds.ed.gov/cedselementdetails.aspx?termid=26609</v>
      </c>
    </row>
    <row r="21" spans="1:13" s="15" customFormat="1" ht="244.8" x14ac:dyDescent="0.3">
      <c r="A21" s="7" t="s">
        <v>4629</v>
      </c>
      <c r="B21" s="7" t="s">
        <v>4630</v>
      </c>
      <c r="C21" s="7" t="s">
        <v>13090</v>
      </c>
      <c r="D21" s="7" t="s">
        <v>8654</v>
      </c>
      <c r="E21" s="7" t="s">
        <v>160</v>
      </c>
      <c r="F21" s="7"/>
      <c r="G21" s="7" t="s">
        <v>12943</v>
      </c>
      <c r="H21" s="7"/>
      <c r="I21" s="11" t="s">
        <v>4631</v>
      </c>
      <c r="J21" s="7"/>
      <c r="K21" s="7" t="s">
        <v>4632</v>
      </c>
      <c r="L21" s="7"/>
      <c r="M21" s="7" t="str">
        <f>HYPERLINK("https://ceds.ed.gov/cedselementdetails.aspx?termid=27202")</f>
        <v>https://ceds.ed.gov/cedselementdetails.aspx?termid=27202</v>
      </c>
    </row>
    <row r="22" spans="1:13" s="15" customFormat="1" ht="259.2" x14ac:dyDescent="0.3">
      <c r="A22" s="7" t="s">
        <v>4671</v>
      </c>
      <c r="B22" s="7" t="s">
        <v>4672</v>
      </c>
      <c r="C22" s="7" t="s">
        <v>13091</v>
      </c>
      <c r="D22" s="7" t="s">
        <v>8661</v>
      </c>
      <c r="E22" s="7" t="s">
        <v>160</v>
      </c>
      <c r="F22" s="7"/>
      <c r="G22" s="7" t="s">
        <v>12944</v>
      </c>
      <c r="H22" s="7"/>
      <c r="I22" s="11" t="s">
        <v>4673</v>
      </c>
      <c r="J22" s="7"/>
      <c r="K22" s="7" t="s">
        <v>4674</v>
      </c>
      <c r="L22" s="7" t="s">
        <v>372</v>
      </c>
      <c r="M22" s="7" t="str">
        <f>HYPERLINK("https://ceds.ed.gov/cedselementdetails.aspx?termid=26320")</f>
        <v>https://ceds.ed.gov/cedselementdetails.aspx?termid=26320</v>
      </c>
    </row>
    <row r="23" spans="1:13" s="15" customFormat="1" ht="172.8" x14ac:dyDescent="0.3">
      <c r="A23" s="7" t="s">
        <v>7444</v>
      </c>
      <c r="B23" s="7" t="s">
        <v>13080</v>
      </c>
      <c r="C23" s="7" t="s">
        <v>8668</v>
      </c>
      <c r="D23" s="7" t="s">
        <v>12964</v>
      </c>
      <c r="E23" s="7" t="s">
        <v>160</v>
      </c>
      <c r="F23" s="7"/>
      <c r="G23" s="7" t="s">
        <v>12945</v>
      </c>
      <c r="H23" s="7" t="s">
        <v>13081</v>
      </c>
      <c r="I23" s="11" t="s">
        <v>7445</v>
      </c>
      <c r="J23" s="7"/>
      <c r="K23" s="7"/>
      <c r="L23" s="7"/>
      <c r="M23" s="7" t="str">
        <f>HYPERLINK("https://ceds.ed.gov/cedselementdetails.aspx?termid=27937")</f>
        <v>https://ceds.ed.gov/cedselementdetails.aspx?termid=27937</v>
      </c>
    </row>
    <row r="24" spans="1:13" s="15" customFormat="1" ht="409.6" x14ac:dyDescent="0.3">
      <c r="A24" s="7" t="s">
        <v>4849</v>
      </c>
      <c r="B24" s="7" t="s">
        <v>13082</v>
      </c>
      <c r="C24" s="7" t="s">
        <v>7313</v>
      </c>
      <c r="D24" s="7" t="s">
        <v>8240</v>
      </c>
      <c r="E24" s="7" t="s">
        <v>160</v>
      </c>
      <c r="F24" s="7"/>
      <c r="G24" s="7" t="s">
        <v>12946</v>
      </c>
      <c r="H24" s="7"/>
      <c r="I24" s="11" t="s">
        <v>4850</v>
      </c>
      <c r="J24" s="7"/>
      <c r="K24" s="7"/>
      <c r="L24" s="7" t="s">
        <v>4851</v>
      </c>
      <c r="M24" s="7" t="str">
        <f>HYPERLINK("https://ceds.ed.gov/cedselementdetails.aspx?termid=26317")</f>
        <v>https://ceds.ed.gov/cedselementdetails.aspx?termid=26317</v>
      </c>
    </row>
    <row r="25" spans="1:13" s="15" customFormat="1" ht="409.6" x14ac:dyDescent="0.3">
      <c r="A25" s="7" t="s">
        <v>4852</v>
      </c>
      <c r="B25" s="7" t="s">
        <v>13083</v>
      </c>
      <c r="C25" s="7" t="s">
        <v>7313</v>
      </c>
      <c r="D25" s="7" t="s">
        <v>8240</v>
      </c>
      <c r="E25" s="7" t="s">
        <v>160</v>
      </c>
      <c r="F25" s="7"/>
      <c r="G25" s="7" t="s">
        <v>12947</v>
      </c>
      <c r="H25" s="7" t="s">
        <v>13084</v>
      </c>
      <c r="I25" s="11" t="s">
        <v>4853</v>
      </c>
      <c r="J25" s="7"/>
      <c r="K25" s="7"/>
      <c r="L25" s="7"/>
      <c r="M25" s="7" t="str">
        <f>HYPERLINK("https://ceds.ed.gov/cedselementdetails.aspx?termid=27618")</f>
        <v>https://ceds.ed.gov/cedselementdetails.aspx?termid=27618</v>
      </c>
    </row>
    <row r="26" spans="1:13" s="15" customFormat="1" ht="409.6" x14ac:dyDescent="0.3">
      <c r="A26" s="7" t="s">
        <v>4854</v>
      </c>
      <c r="B26" s="7" t="s">
        <v>13085</v>
      </c>
      <c r="C26" s="7" t="s">
        <v>8683</v>
      </c>
      <c r="D26" s="7" t="s">
        <v>8240</v>
      </c>
      <c r="E26" s="7" t="s">
        <v>160</v>
      </c>
      <c r="F26" s="7"/>
      <c r="G26" s="7" t="s">
        <v>12948</v>
      </c>
      <c r="H26" s="7" t="s">
        <v>13086</v>
      </c>
      <c r="I26" s="11" t="s">
        <v>4855</v>
      </c>
      <c r="J26" s="7"/>
      <c r="K26" s="7"/>
      <c r="L26" s="7"/>
      <c r="M26" s="7" t="str">
        <f>HYPERLINK("https://ceds.ed.gov/cedselementdetails.aspx?termid=27619")</f>
        <v>https://ceds.ed.gov/cedselementdetails.aspx?termid=27619</v>
      </c>
    </row>
    <row r="27" spans="1:13" s="15" customFormat="1" ht="409.6" x14ac:dyDescent="0.3">
      <c r="A27" s="7" t="s">
        <v>4870</v>
      </c>
      <c r="B27" s="7" t="s">
        <v>4871</v>
      </c>
      <c r="C27" s="7" t="s">
        <v>13092</v>
      </c>
      <c r="D27" s="7" t="s">
        <v>9382</v>
      </c>
      <c r="E27" s="7" t="s">
        <v>160</v>
      </c>
      <c r="F27" s="7"/>
      <c r="G27" s="7" t="s">
        <v>12949</v>
      </c>
      <c r="H27" s="7"/>
      <c r="I27" s="11" t="s">
        <v>4872</v>
      </c>
      <c r="J27" s="7"/>
      <c r="K27" s="7" t="s">
        <v>4873</v>
      </c>
      <c r="L27" s="7" t="s">
        <v>4874</v>
      </c>
      <c r="M27" s="7" t="str">
        <f>HYPERLINK("https://ceds.ed.gov/cedselementdetails.aspx?termid=26087")</f>
        <v>https://ceds.ed.gov/cedselementdetails.aspx?termid=26087</v>
      </c>
    </row>
    <row r="28" spans="1:13" s="15" customFormat="1" ht="57.6" x14ac:dyDescent="0.3">
      <c r="A28" s="7" t="s">
        <v>4875</v>
      </c>
      <c r="B28" s="7" t="s">
        <v>4876</v>
      </c>
      <c r="C28" s="7" t="s">
        <v>8685</v>
      </c>
      <c r="D28" s="7" t="s">
        <v>12965</v>
      </c>
      <c r="E28" s="7" t="s">
        <v>160</v>
      </c>
      <c r="F28" s="7"/>
      <c r="G28" s="7" t="s">
        <v>12935</v>
      </c>
      <c r="H28" s="7"/>
      <c r="I28" s="11" t="s">
        <v>4878</v>
      </c>
      <c r="J28" s="7"/>
      <c r="K28" s="7" t="s">
        <v>4879</v>
      </c>
      <c r="L28" s="7" t="s">
        <v>25</v>
      </c>
      <c r="M28" s="7" t="str">
        <f>HYPERLINK("https://ceds.ed.gov/cedselementdetails.aspx?termid=26482")</f>
        <v>https://ceds.ed.gov/cedselementdetails.aspx?termid=26482</v>
      </c>
    </row>
    <row r="29" spans="1:13" s="15" customFormat="1" ht="57.6" x14ac:dyDescent="0.3">
      <c r="A29" s="7" t="s">
        <v>13087</v>
      </c>
      <c r="B29" s="7" t="s">
        <v>13088</v>
      </c>
      <c r="C29" s="7" t="s">
        <v>22</v>
      </c>
      <c r="D29" s="7" t="s">
        <v>3442</v>
      </c>
      <c r="E29" s="7" t="s">
        <v>160</v>
      </c>
      <c r="F29" s="7"/>
      <c r="G29" s="7" t="s">
        <v>12950</v>
      </c>
      <c r="H29" s="7"/>
      <c r="I29" s="11" t="s">
        <v>5750</v>
      </c>
      <c r="J29" s="7"/>
      <c r="K29" s="7" t="s">
        <v>13089</v>
      </c>
      <c r="L29" s="7"/>
      <c r="M29" s="7" t="str">
        <f>HYPERLINK("https://ceds.ed.gov/cedselementdetails.aspx?termid=27394")</f>
        <v>https://ceds.ed.gov/cedselementdetails.aspx?termid=27394</v>
      </c>
    </row>
    <row r="30" spans="1:13" s="15" customFormat="1" ht="158.4" x14ac:dyDescent="0.3">
      <c r="A30" s="7" t="s">
        <v>5288</v>
      </c>
      <c r="B30" s="7" t="s">
        <v>5289</v>
      </c>
      <c r="C30" s="7" t="s">
        <v>22</v>
      </c>
      <c r="D30" s="7" t="s">
        <v>12966</v>
      </c>
      <c r="E30" s="7" t="s">
        <v>160</v>
      </c>
      <c r="F30" s="7"/>
      <c r="G30" s="7" t="s">
        <v>12935</v>
      </c>
      <c r="H30" s="7"/>
      <c r="I30" s="11" t="s">
        <v>5290</v>
      </c>
      <c r="J30" s="7"/>
      <c r="K30" s="7" t="s">
        <v>5291</v>
      </c>
      <c r="L30" s="7"/>
      <c r="M30" s="7" t="str">
        <f>HYPERLINK("https://ceds.ed.gov/cedselementdetails.aspx?termid=26758")</f>
        <v>https://ceds.ed.gov/cedselementdetails.aspx?termid=26758</v>
      </c>
    </row>
    <row r="31" spans="1:13" s="15" customFormat="1" ht="43.2" x14ac:dyDescent="0.3">
      <c r="A31" s="7" t="s">
        <v>5407</v>
      </c>
      <c r="B31" s="7" t="s">
        <v>5408</v>
      </c>
      <c r="C31" s="7" t="s">
        <v>32</v>
      </c>
      <c r="D31" s="7" t="s">
        <v>12965</v>
      </c>
      <c r="E31" s="7" t="s">
        <v>160</v>
      </c>
      <c r="F31" s="7" t="s">
        <v>305</v>
      </c>
      <c r="G31" s="7" t="s">
        <v>12935</v>
      </c>
      <c r="H31" s="7"/>
      <c r="I31" s="11" t="s">
        <v>5409</v>
      </c>
      <c r="J31" s="7"/>
      <c r="K31" s="7" t="s">
        <v>5410</v>
      </c>
      <c r="L31" s="7"/>
      <c r="M31" s="7" t="str">
        <f>HYPERLINK("https://ceds.ed.gov/cedselementdetails.aspx?termid=26491")</f>
        <v>https://ceds.ed.gov/cedselementdetails.aspx?termid=26491</v>
      </c>
    </row>
    <row r="32" spans="1:13" s="15" customFormat="1" ht="244.8" x14ac:dyDescent="0.3">
      <c r="A32" s="7" t="s">
        <v>5664</v>
      </c>
      <c r="B32" s="7" t="s">
        <v>5665</v>
      </c>
      <c r="C32" s="7" t="s">
        <v>2987</v>
      </c>
      <c r="D32" s="7" t="s">
        <v>12967</v>
      </c>
      <c r="E32" s="7" t="s">
        <v>160</v>
      </c>
      <c r="F32" s="7"/>
      <c r="G32" s="7" t="s">
        <v>12935</v>
      </c>
      <c r="H32" s="7"/>
      <c r="I32" s="11" t="s">
        <v>5666</v>
      </c>
      <c r="J32" s="7"/>
      <c r="K32" s="7" t="s">
        <v>5667</v>
      </c>
      <c r="L32" s="7"/>
      <c r="M32" s="7" t="str">
        <f>HYPERLINK("https://ceds.ed.gov/cedselementdetails.aspx?termid=27908")</f>
        <v>https://ceds.ed.gov/cedselementdetails.aspx?termid=27908</v>
      </c>
    </row>
    <row r="33" spans="1:13" s="15" customFormat="1" ht="230.4" x14ac:dyDescent="0.3">
      <c r="A33" s="7" t="s">
        <v>6057</v>
      </c>
      <c r="B33" s="7" t="s">
        <v>6058</v>
      </c>
      <c r="C33" s="7" t="s">
        <v>32</v>
      </c>
      <c r="D33" s="7" t="s">
        <v>12968</v>
      </c>
      <c r="E33" s="7" t="s">
        <v>160</v>
      </c>
      <c r="F33" s="7" t="s">
        <v>101</v>
      </c>
      <c r="G33" s="7" t="s">
        <v>12935</v>
      </c>
      <c r="H33" s="7"/>
      <c r="I33" s="11" t="s">
        <v>6059</v>
      </c>
      <c r="J33" s="7"/>
      <c r="K33" s="7" t="s">
        <v>6060</v>
      </c>
      <c r="L33" s="7"/>
      <c r="M33" s="7" t="str">
        <f>HYPERLINK("https://ceds.ed.gov/cedselementdetails.aspx?termid=27909")</f>
        <v>https://ceds.ed.gov/cedselementdetails.aspx?termid=27909</v>
      </c>
    </row>
    <row r="34" spans="1:13" s="15" customFormat="1" ht="409.6" x14ac:dyDescent="0.3">
      <c r="A34" s="7" t="s">
        <v>7543</v>
      </c>
      <c r="B34" s="7" t="s">
        <v>7544</v>
      </c>
      <c r="C34" s="7" t="s">
        <v>13093</v>
      </c>
      <c r="D34" s="7" t="s">
        <v>8258</v>
      </c>
      <c r="E34" s="7" t="s">
        <v>160</v>
      </c>
      <c r="F34" s="7"/>
      <c r="G34" s="7" t="s">
        <v>12951</v>
      </c>
      <c r="H34" s="7"/>
      <c r="I34" s="11" t="s">
        <v>7545</v>
      </c>
      <c r="J34" s="7"/>
      <c r="K34" s="7" t="s">
        <v>7543</v>
      </c>
      <c r="L34" s="7"/>
      <c r="M34" s="7" t="str">
        <f>HYPERLINK("https://ceds.ed.gov/cedselementdetails.aspx?termid=27959")</f>
        <v>https://ceds.ed.gov/cedselementdetails.aspx?termid=27959</v>
      </c>
    </row>
    <row r="35" spans="1:13" s="15" customFormat="1" ht="374.4" x14ac:dyDescent="0.3">
      <c r="A35" s="7" t="s">
        <v>6903</v>
      </c>
      <c r="B35" s="7" t="s">
        <v>9323</v>
      </c>
      <c r="C35" s="7" t="s">
        <v>32</v>
      </c>
      <c r="D35" s="7" t="s">
        <v>12969</v>
      </c>
      <c r="E35" s="7" t="s">
        <v>160</v>
      </c>
      <c r="F35" s="7" t="s">
        <v>812</v>
      </c>
      <c r="G35" s="7" t="s">
        <v>12952</v>
      </c>
      <c r="H35" s="7" t="s">
        <v>8158</v>
      </c>
      <c r="I35" s="11" t="s">
        <v>6904</v>
      </c>
      <c r="J35" s="7"/>
      <c r="K35" s="7" t="s">
        <v>6905</v>
      </c>
      <c r="L35" s="7"/>
      <c r="M35" s="7" t="str">
        <f>HYPERLINK("https://ceds.ed.gov/cedselementdetails.aspx?termid=27193")</f>
        <v>https://ceds.ed.gov/cedselementdetails.aspx?termid=27193</v>
      </c>
    </row>
    <row r="36" spans="1:13" s="15" customFormat="1" ht="244.8" x14ac:dyDescent="0.3">
      <c r="A36" s="7" t="s">
        <v>6906</v>
      </c>
      <c r="B36" s="7" t="s">
        <v>9324</v>
      </c>
      <c r="C36" s="7" t="s">
        <v>32</v>
      </c>
      <c r="D36" s="7" t="s">
        <v>12969</v>
      </c>
      <c r="E36" s="7" t="s">
        <v>160</v>
      </c>
      <c r="F36" s="7" t="s">
        <v>812</v>
      </c>
      <c r="G36" s="7" t="s">
        <v>12952</v>
      </c>
      <c r="H36" s="7"/>
      <c r="I36" s="11" t="s">
        <v>6907</v>
      </c>
      <c r="J36" s="7"/>
      <c r="K36" s="7" t="s">
        <v>6908</v>
      </c>
      <c r="L36" s="7"/>
      <c r="M36" s="7" t="str">
        <f>HYPERLINK("https://ceds.ed.gov/cedselementdetails.aspx?termid=27192")</f>
        <v>https://ceds.ed.gov/cedselementdetails.aspx?termid=27192</v>
      </c>
    </row>
    <row r="37" spans="1:13" s="15" customFormat="1" ht="72" x14ac:dyDescent="0.3">
      <c r="A37" s="7" t="s">
        <v>6976</v>
      </c>
      <c r="B37" s="7" t="s">
        <v>6977</v>
      </c>
      <c r="C37" s="7" t="s">
        <v>12970</v>
      </c>
      <c r="D37" s="7" t="s">
        <v>2474</v>
      </c>
      <c r="E37" s="7" t="s">
        <v>160</v>
      </c>
      <c r="F37" s="7"/>
      <c r="G37" s="7" t="s">
        <v>12953</v>
      </c>
      <c r="H37" s="7"/>
      <c r="I37" s="11" t="s">
        <v>6978</v>
      </c>
      <c r="J37" s="7"/>
      <c r="K37" s="7" t="s">
        <v>6979</v>
      </c>
      <c r="L37" s="7"/>
      <c r="M37" s="7" t="str">
        <f>HYPERLINK("https://ceds.ed.gov/cedselementdetails.aspx?termid=27910")</f>
        <v>https://ceds.ed.gov/cedselementdetails.aspx?termid=27910</v>
      </c>
    </row>
    <row r="38" spans="1:13" s="15" customFormat="1" x14ac:dyDescent="0.3">
      <c r="A38" s="7"/>
      <c r="B38" s="7"/>
      <c r="C38" s="7"/>
      <c r="D38" s="7"/>
      <c r="E38" s="7"/>
      <c r="F38" s="7"/>
      <c r="G38" s="7"/>
      <c r="H38" s="7"/>
      <c r="I38" s="11"/>
      <c r="J38" s="7"/>
      <c r="K38" s="7"/>
      <c r="L38" s="7"/>
      <c r="M38" s="7"/>
    </row>
    <row r="39" spans="1:13" s="15" customFormat="1" x14ac:dyDescent="0.3">
      <c r="A39" s="7"/>
      <c r="B39" s="7"/>
      <c r="C39" s="7"/>
      <c r="D39" s="7"/>
      <c r="E39" s="7"/>
      <c r="F39" s="7"/>
      <c r="G39" s="7"/>
      <c r="H39" s="7"/>
      <c r="I39" s="11"/>
      <c r="J39" s="7"/>
      <c r="K39" s="7"/>
      <c r="L39" s="7"/>
      <c r="M39" s="7"/>
    </row>
    <row r="40" spans="1:13" s="15" customFormat="1" x14ac:dyDescent="0.3">
      <c r="A40" s="7"/>
      <c r="B40" s="7"/>
      <c r="C40" s="7"/>
      <c r="D40" s="7"/>
      <c r="E40" s="7"/>
      <c r="F40" s="7"/>
      <c r="G40" s="7"/>
      <c r="H40" s="7"/>
      <c r="I40" s="11"/>
      <c r="J40" s="7"/>
      <c r="K40" s="7"/>
      <c r="L40" s="7"/>
      <c r="M40" s="7"/>
    </row>
    <row r="41" spans="1:13" s="15" customFormat="1" x14ac:dyDescent="0.3">
      <c r="A41" s="7"/>
      <c r="B41" s="7"/>
      <c r="C41" s="7"/>
      <c r="D41" s="7"/>
      <c r="E41" s="7"/>
      <c r="F41" s="7"/>
      <c r="G41" s="7"/>
      <c r="H41" s="7"/>
      <c r="I41" s="11"/>
      <c r="J41" s="7"/>
      <c r="K41" s="7"/>
      <c r="L41" s="7"/>
      <c r="M41" s="7"/>
    </row>
    <row r="42" spans="1:13" s="15" customFormat="1" x14ac:dyDescent="0.3">
      <c r="A42" s="7"/>
      <c r="B42" s="7"/>
      <c r="C42" s="7"/>
      <c r="D42" s="7"/>
      <c r="E42" s="7"/>
      <c r="F42" s="7"/>
      <c r="G42" s="7"/>
      <c r="H42" s="7"/>
      <c r="I42" s="11"/>
      <c r="J42" s="7"/>
      <c r="K42" s="7"/>
      <c r="L42" s="7"/>
      <c r="M42" s="7"/>
    </row>
    <row r="43" spans="1:13" s="15" customFormat="1" x14ac:dyDescent="0.3">
      <c r="A43" s="7"/>
      <c r="B43" s="7"/>
      <c r="C43" s="7"/>
      <c r="D43" s="7"/>
      <c r="E43" s="7"/>
      <c r="F43" s="7"/>
      <c r="G43" s="7"/>
      <c r="H43" s="7"/>
      <c r="I43" s="11"/>
      <c r="J43" s="7"/>
      <c r="K43" s="7"/>
      <c r="L43" s="7"/>
      <c r="M43" s="7"/>
    </row>
    <row r="44" spans="1:13" s="15" customFormat="1" x14ac:dyDescent="0.3">
      <c r="A44" s="7"/>
      <c r="B44" s="7"/>
      <c r="C44" s="7"/>
      <c r="D44" s="7"/>
      <c r="E44" s="7"/>
      <c r="F44" s="7"/>
      <c r="G44" s="7"/>
      <c r="H44" s="7"/>
      <c r="I44" s="11"/>
      <c r="J44" s="7"/>
      <c r="K44" s="7"/>
      <c r="L44" s="7"/>
      <c r="M44" s="7"/>
    </row>
    <row r="45" spans="1:13" s="15" customFormat="1" x14ac:dyDescent="0.3">
      <c r="A45" s="7"/>
      <c r="B45" s="7"/>
      <c r="C45" s="7"/>
      <c r="D45" s="7"/>
      <c r="E45" s="7"/>
      <c r="F45" s="7"/>
      <c r="G45" s="7"/>
      <c r="H45" s="7"/>
      <c r="I45" s="11"/>
      <c r="J45" s="7"/>
      <c r="K45" s="7"/>
      <c r="L45" s="7"/>
      <c r="M45" s="7"/>
    </row>
    <row r="46" spans="1:13" s="15" customFormat="1" x14ac:dyDescent="0.3">
      <c r="A46" s="7"/>
      <c r="B46" s="7"/>
      <c r="C46" s="7"/>
      <c r="D46" s="7"/>
      <c r="E46" s="7"/>
      <c r="F46" s="7"/>
      <c r="G46" s="7"/>
      <c r="H46" s="7"/>
      <c r="I46" s="11"/>
      <c r="J46" s="7"/>
      <c r="K46" s="7"/>
      <c r="L46" s="7"/>
      <c r="M46" s="7"/>
    </row>
    <row r="47" spans="1:13" s="9" customFormat="1" x14ac:dyDescent="0.3">
      <c r="A47" s="6"/>
      <c r="B47" s="6"/>
      <c r="C47" s="6"/>
      <c r="D47" s="6"/>
      <c r="E47" s="6"/>
      <c r="F47" s="6"/>
      <c r="G47" s="6"/>
      <c r="H47" s="6"/>
      <c r="I47" s="12"/>
      <c r="J47" s="6"/>
      <c r="K47" s="6"/>
      <c r="L47" s="6"/>
      <c r="M47" s="6"/>
    </row>
    <row r="48" spans="1:13" s="15" customFormat="1" x14ac:dyDescent="0.3">
      <c r="A48" s="7"/>
      <c r="B48" s="7"/>
      <c r="C48" s="7"/>
      <c r="D48" s="7"/>
      <c r="E48" s="7"/>
      <c r="F48" s="7"/>
      <c r="G48" s="7"/>
      <c r="H48" s="7"/>
      <c r="I48" s="11"/>
      <c r="J48" s="7"/>
      <c r="K48" s="7"/>
      <c r="L48" s="7"/>
      <c r="M48" s="7"/>
    </row>
    <row r="49" spans="1:13" s="15" customFormat="1" x14ac:dyDescent="0.3">
      <c r="A49" s="7"/>
      <c r="B49" s="7"/>
      <c r="C49" s="7"/>
      <c r="D49" s="7"/>
      <c r="E49" s="7"/>
      <c r="F49" s="7"/>
      <c r="G49" s="7"/>
      <c r="H49" s="7"/>
      <c r="I49" s="11"/>
      <c r="J49" s="7"/>
      <c r="K49" s="7"/>
      <c r="L49" s="7"/>
      <c r="M49" s="7"/>
    </row>
    <row r="50" spans="1:13" s="15" customFormat="1" x14ac:dyDescent="0.3">
      <c r="A50" s="7"/>
      <c r="B50" s="7"/>
      <c r="C50" s="7"/>
      <c r="D50" s="7"/>
      <c r="E50" s="7"/>
      <c r="F50" s="7"/>
      <c r="G50" s="7"/>
      <c r="H50" s="7"/>
      <c r="I50" s="11"/>
      <c r="J50" s="7"/>
      <c r="K50" s="7"/>
      <c r="L50" s="7"/>
      <c r="M50" s="7"/>
    </row>
    <row r="51" spans="1:13" s="15" customFormat="1" x14ac:dyDescent="0.3">
      <c r="A51" s="7"/>
      <c r="B51" s="7"/>
      <c r="C51" s="7"/>
      <c r="D51" s="7"/>
      <c r="E51" s="7"/>
      <c r="F51" s="7"/>
      <c r="G51" s="7"/>
      <c r="H51" s="7"/>
      <c r="I51" s="11"/>
      <c r="J51" s="7"/>
      <c r="K51" s="7"/>
      <c r="L51" s="7"/>
      <c r="M51" s="7"/>
    </row>
    <row r="52" spans="1:13" s="9" customFormat="1" x14ac:dyDescent="0.3">
      <c r="A52" s="6"/>
      <c r="B52" s="6"/>
      <c r="C52" s="6"/>
      <c r="D52" s="6"/>
      <c r="E52" s="6"/>
      <c r="F52" s="6"/>
      <c r="G52" s="6"/>
      <c r="H52" s="6"/>
      <c r="I52" s="12"/>
      <c r="J52" s="6"/>
      <c r="K52" s="6"/>
      <c r="L52" s="6"/>
      <c r="M52" s="6"/>
    </row>
    <row r="53" spans="1:13" s="15" customFormat="1" x14ac:dyDescent="0.3">
      <c r="A53" s="7"/>
      <c r="B53" s="7"/>
      <c r="C53" s="7"/>
      <c r="D53" s="7"/>
      <c r="E53" s="7"/>
      <c r="F53" s="7"/>
      <c r="G53" s="7"/>
      <c r="H53" s="8"/>
      <c r="I53" s="11"/>
      <c r="J53" s="7"/>
      <c r="K53" s="7"/>
      <c r="L53" s="7"/>
      <c r="M53" s="7"/>
    </row>
    <row r="54" spans="1:13" s="15" customFormat="1" x14ac:dyDescent="0.3">
      <c r="A54" s="7"/>
      <c r="B54" s="7"/>
      <c r="C54" s="7"/>
      <c r="D54" s="7"/>
      <c r="E54" s="7"/>
      <c r="F54" s="7"/>
      <c r="G54" s="7"/>
      <c r="H54" s="7"/>
      <c r="I54" s="11"/>
      <c r="J54" s="7"/>
      <c r="K54" s="7"/>
      <c r="L54" s="7"/>
      <c r="M54" s="7"/>
    </row>
    <row r="55" spans="1:13" s="15" customFormat="1" x14ac:dyDescent="0.3">
      <c r="A55" s="7"/>
      <c r="B55" s="7"/>
      <c r="C55" s="7"/>
      <c r="D55" s="7"/>
      <c r="E55" s="7"/>
      <c r="F55" s="7"/>
      <c r="G55" s="7"/>
      <c r="H55" s="7"/>
      <c r="I55" s="11"/>
      <c r="J55" s="7"/>
      <c r="K55" s="7"/>
      <c r="L55" s="7"/>
      <c r="M55" s="7"/>
    </row>
    <row r="56" spans="1:13" s="15" customFormat="1" x14ac:dyDescent="0.3">
      <c r="A56" s="7"/>
      <c r="B56" s="7"/>
      <c r="C56" s="7"/>
      <c r="D56" s="7"/>
      <c r="E56" s="7"/>
      <c r="F56" s="7"/>
      <c r="G56" s="7"/>
      <c r="H56" s="7"/>
      <c r="I56" s="11"/>
      <c r="J56" s="7"/>
      <c r="K56" s="7"/>
      <c r="L56" s="7"/>
      <c r="M56" s="7"/>
    </row>
    <row r="57" spans="1:13" s="15" customFormat="1" x14ac:dyDescent="0.3">
      <c r="A57" s="7"/>
      <c r="B57" s="7"/>
      <c r="C57" s="7"/>
      <c r="D57" s="7"/>
      <c r="E57" s="7"/>
      <c r="F57" s="7"/>
      <c r="G57" s="7"/>
      <c r="H57" s="7"/>
      <c r="I57" s="11"/>
      <c r="J57" s="7"/>
      <c r="K57" s="7"/>
      <c r="L57" s="7"/>
      <c r="M57" s="7"/>
    </row>
    <row r="58" spans="1:13" s="15" customFormat="1" x14ac:dyDescent="0.3">
      <c r="A58" s="7"/>
      <c r="B58" s="7"/>
      <c r="C58" s="7"/>
      <c r="D58" s="7"/>
      <c r="E58" s="7"/>
      <c r="F58" s="7"/>
      <c r="G58" s="7"/>
      <c r="H58" s="7"/>
      <c r="I58" s="11"/>
      <c r="J58" s="7"/>
      <c r="K58" s="7"/>
      <c r="L58" s="7"/>
      <c r="M58" s="7"/>
    </row>
    <row r="59" spans="1:13" s="15" customFormat="1" x14ac:dyDescent="0.3">
      <c r="A59" s="7"/>
      <c r="B59" s="7"/>
      <c r="C59" s="7"/>
      <c r="D59" s="7"/>
      <c r="E59" s="7"/>
      <c r="F59" s="7"/>
      <c r="G59" s="7"/>
      <c r="H59" s="7"/>
      <c r="I59" s="11"/>
      <c r="J59" s="7"/>
      <c r="K59" s="7"/>
      <c r="L59" s="7"/>
      <c r="M59" s="7"/>
    </row>
    <row r="60" spans="1:13" s="15" customFormat="1" x14ac:dyDescent="0.3">
      <c r="A60" s="7"/>
      <c r="B60" s="7"/>
      <c r="C60" s="7"/>
      <c r="D60" s="7"/>
      <c r="E60" s="7"/>
      <c r="F60" s="7"/>
      <c r="G60" s="7"/>
      <c r="H60" s="7"/>
      <c r="I60" s="11"/>
      <c r="J60" s="7"/>
      <c r="K60" s="7"/>
      <c r="L60" s="7"/>
      <c r="M60" s="7"/>
    </row>
    <row r="61" spans="1:13" s="15" customFormat="1" x14ac:dyDescent="0.3">
      <c r="A61" s="7"/>
      <c r="B61" s="7"/>
      <c r="C61" s="7"/>
      <c r="D61" s="7"/>
      <c r="E61" s="7"/>
      <c r="F61" s="7"/>
      <c r="G61" s="7"/>
      <c r="H61" s="7"/>
      <c r="I61" s="11"/>
      <c r="J61" s="7"/>
      <c r="K61" s="7"/>
      <c r="L61" s="7"/>
      <c r="M61" s="7"/>
    </row>
    <row r="62" spans="1:13" s="15" customFormat="1" x14ac:dyDescent="0.3">
      <c r="A62" s="7"/>
      <c r="B62" s="7"/>
      <c r="C62" s="7"/>
      <c r="D62" s="7"/>
      <c r="E62" s="7"/>
      <c r="F62" s="7"/>
      <c r="G62" s="7"/>
      <c r="H62" s="7"/>
      <c r="I62" s="11"/>
      <c r="J62" s="7"/>
      <c r="K62" s="7"/>
      <c r="L62" s="7"/>
      <c r="M62" s="7"/>
    </row>
    <row r="63" spans="1:13" s="15" customFormat="1" x14ac:dyDescent="0.3">
      <c r="A63" s="7"/>
      <c r="B63" s="7"/>
      <c r="C63" s="7"/>
      <c r="D63" s="7"/>
      <c r="E63" s="7"/>
      <c r="F63" s="7"/>
      <c r="G63" s="7"/>
      <c r="H63" s="7"/>
      <c r="I63" s="11"/>
      <c r="J63" s="7"/>
      <c r="K63" s="7"/>
      <c r="L63" s="7"/>
      <c r="M63" s="7"/>
    </row>
    <row r="64" spans="1:13" s="15" customFormat="1" x14ac:dyDescent="0.3">
      <c r="A64" s="7"/>
      <c r="B64" s="7"/>
      <c r="C64" s="7"/>
      <c r="D64" s="7"/>
      <c r="E64" s="7"/>
      <c r="F64" s="7"/>
      <c r="G64" s="7"/>
      <c r="H64" s="7"/>
      <c r="I64" s="11"/>
      <c r="J64" s="7"/>
      <c r="K64" s="7"/>
      <c r="L64" s="7"/>
      <c r="M64" s="7"/>
    </row>
    <row r="65" spans="1:13" s="15" customFormat="1" x14ac:dyDescent="0.3">
      <c r="A65" s="7"/>
      <c r="B65" s="7"/>
      <c r="C65" s="7"/>
      <c r="D65" s="7"/>
      <c r="E65" s="7"/>
      <c r="F65" s="7"/>
      <c r="G65" s="7"/>
      <c r="H65" s="7"/>
      <c r="I65" s="11"/>
      <c r="J65" s="7"/>
      <c r="K65" s="7"/>
      <c r="L65" s="7"/>
      <c r="M65" s="7"/>
    </row>
    <row r="66" spans="1:13" s="15" customFormat="1" x14ac:dyDescent="0.3">
      <c r="A66" s="7"/>
      <c r="B66" s="7"/>
      <c r="C66" s="7"/>
      <c r="D66" s="7"/>
      <c r="E66" s="7"/>
      <c r="F66" s="7"/>
      <c r="G66" s="7"/>
      <c r="H66" s="7"/>
      <c r="I66" s="11"/>
      <c r="J66" s="7"/>
      <c r="K66" s="7"/>
      <c r="L66" s="7"/>
      <c r="M66" s="7"/>
    </row>
    <row r="67" spans="1:13" s="15" customFormat="1" x14ac:dyDescent="0.3">
      <c r="A67" s="7"/>
      <c r="B67" s="7"/>
      <c r="C67" s="7"/>
      <c r="D67" s="7"/>
      <c r="E67" s="7"/>
      <c r="F67" s="7"/>
      <c r="G67" s="7"/>
      <c r="H67" s="7"/>
      <c r="I67" s="11"/>
      <c r="J67" s="7"/>
      <c r="K67" s="7"/>
      <c r="L67" s="7"/>
      <c r="M67" s="7"/>
    </row>
    <row r="68" spans="1:13" s="15" customFormat="1" x14ac:dyDescent="0.3">
      <c r="A68" s="7"/>
      <c r="B68" s="7"/>
      <c r="C68" s="7"/>
      <c r="D68" s="7"/>
      <c r="E68" s="7"/>
      <c r="F68" s="7"/>
      <c r="G68" s="7"/>
      <c r="H68" s="7"/>
      <c r="I68" s="11"/>
      <c r="J68" s="7"/>
      <c r="K68" s="7"/>
      <c r="L68" s="7"/>
      <c r="M68" s="7"/>
    </row>
    <row r="69" spans="1:13" s="15" customFormat="1" x14ac:dyDescent="0.3">
      <c r="A69" s="7"/>
      <c r="B69" s="7"/>
      <c r="C69" s="7"/>
      <c r="D69" s="7"/>
      <c r="E69" s="7"/>
      <c r="F69" s="7"/>
      <c r="G69" s="7"/>
      <c r="H69" s="7"/>
      <c r="I69" s="11"/>
      <c r="J69" s="7"/>
      <c r="K69" s="7"/>
      <c r="L69" s="7"/>
      <c r="M69" s="7"/>
    </row>
    <row r="70" spans="1:13" s="15" customFormat="1" x14ac:dyDescent="0.3">
      <c r="A70" s="7"/>
      <c r="B70" s="7"/>
      <c r="C70" s="7"/>
      <c r="D70" s="7"/>
      <c r="E70" s="7"/>
      <c r="F70" s="7"/>
      <c r="G70" s="7"/>
      <c r="H70" s="7"/>
      <c r="I70" s="11"/>
      <c r="J70" s="7"/>
      <c r="K70" s="7"/>
      <c r="L70" s="7"/>
      <c r="M70" s="7"/>
    </row>
    <row r="71" spans="1:13" s="15" customFormat="1" x14ac:dyDescent="0.3">
      <c r="A71" s="7"/>
      <c r="B71" s="7"/>
      <c r="C71" s="7"/>
      <c r="D71" s="7"/>
      <c r="E71" s="7"/>
      <c r="F71" s="7"/>
      <c r="G71" s="7"/>
      <c r="H71" s="7"/>
      <c r="I71" s="11"/>
      <c r="J71" s="7"/>
      <c r="K71" s="7"/>
      <c r="L71" s="7"/>
      <c r="M71" s="7"/>
    </row>
    <row r="72" spans="1:13" s="9" customFormat="1" x14ac:dyDescent="0.3">
      <c r="A72" s="6"/>
      <c r="B72" s="6"/>
      <c r="C72" s="6"/>
      <c r="D72" s="6"/>
      <c r="E72" s="6"/>
      <c r="F72" s="6"/>
      <c r="G72" s="6"/>
      <c r="H72" s="6"/>
      <c r="I72" s="12"/>
      <c r="J72" s="6"/>
      <c r="K72" s="6"/>
      <c r="L72" s="6"/>
      <c r="M72" s="6"/>
    </row>
    <row r="73" spans="1:13" s="15" customFormat="1" x14ac:dyDescent="0.3">
      <c r="A73" s="7"/>
      <c r="B73" s="7"/>
      <c r="C73" s="7"/>
      <c r="D73" s="7"/>
      <c r="E73" s="7"/>
      <c r="F73" s="7"/>
      <c r="G73" s="7"/>
      <c r="H73" s="7"/>
      <c r="I73" s="11"/>
      <c r="J73" s="7"/>
      <c r="K73" s="7"/>
      <c r="L73" s="7"/>
      <c r="M73" s="7"/>
    </row>
    <row r="74" spans="1:13" s="15" customFormat="1" x14ac:dyDescent="0.3">
      <c r="A74" s="7"/>
      <c r="B74" s="7"/>
      <c r="C74" s="7"/>
      <c r="D74" s="7"/>
      <c r="E74" s="7"/>
      <c r="F74" s="7"/>
      <c r="G74" s="7"/>
      <c r="H74" s="7"/>
      <c r="I74" s="11"/>
      <c r="J74" s="7"/>
      <c r="K74" s="7"/>
      <c r="L74" s="7"/>
      <c r="M74" s="7"/>
    </row>
    <row r="75" spans="1:13" s="15" customFormat="1" x14ac:dyDescent="0.3">
      <c r="A75" s="7"/>
      <c r="B75" s="7"/>
      <c r="C75" s="7"/>
      <c r="D75" s="7"/>
      <c r="E75" s="7"/>
      <c r="F75" s="7"/>
      <c r="G75" s="7"/>
      <c r="H75" s="7"/>
      <c r="I75" s="11"/>
      <c r="J75" s="7"/>
      <c r="K75" s="7"/>
      <c r="L75" s="7"/>
      <c r="M75" s="7"/>
    </row>
    <row r="76" spans="1:13" s="15" customFormat="1" x14ac:dyDescent="0.3">
      <c r="A76" s="7"/>
      <c r="B76" s="7"/>
      <c r="C76" s="7"/>
      <c r="D76" s="7"/>
      <c r="E76" s="7"/>
      <c r="F76" s="7"/>
      <c r="G76" s="7"/>
      <c r="H76" s="7"/>
      <c r="I76" s="11"/>
      <c r="J76" s="7"/>
      <c r="K76" s="7"/>
      <c r="L76" s="7"/>
      <c r="M76" s="7"/>
    </row>
    <row r="77" spans="1:13" s="15" customFormat="1" x14ac:dyDescent="0.3">
      <c r="A77" s="7"/>
      <c r="B77" s="7"/>
      <c r="C77" s="7"/>
      <c r="D77" s="7"/>
      <c r="E77" s="7"/>
      <c r="F77" s="7"/>
      <c r="G77" s="7"/>
      <c r="H77" s="7"/>
      <c r="I77" s="11"/>
      <c r="J77" s="7"/>
      <c r="K77" s="7"/>
      <c r="L77" s="7"/>
      <c r="M77" s="7"/>
    </row>
    <row r="78" spans="1:13" s="15" customFormat="1" x14ac:dyDescent="0.3">
      <c r="A78" s="7"/>
      <c r="B78" s="7"/>
      <c r="C78" s="7"/>
      <c r="D78" s="7"/>
      <c r="E78" s="7"/>
      <c r="F78" s="7"/>
      <c r="G78" s="7"/>
      <c r="H78" s="7"/>
      <c r="I78" s="11"/>
      <c r="J78" s="7"/>
      <c r="K78" s="7"/>
      <c r="L78" s="7"/>
      <c r="M78" s="7"/>
    </row>
    <row r="79" spans="1:13" s="15" customFormat="1" x14ac:dyDescent="0.3">
      <c r="A79" s="7"/>
      <c r="B79" s="7"/>
      <c r="C79" s="7"/>
      <c r="D79" s="7"/>
      <c r="E79" s="7"/>
      <c r="F79" s="7"/>
      <c r="G79" s="7"/>
      <c r="H79" s="7"/>
      <c r="I79" s="11"/>
      <c r="J79" s="7"/>
      <c r="K79" s="7"/>
      <c r="L79" s="7"/>
      <c r="M79" s="7"/>
    </row>
    <row r="80" spans="1:13" s="15" customFormat="1" x14ac:dyDescent="0.3">
      <c r="A80" s="7"/>
      <c r="B80" s="7"/>
      <c r="C80" s="7"/>
      <c r="D80" s="7"/>
      <c r="E80" s="7"/>
      <c r="F80" s="7"/>
      <c r="G80" s="7"/>
      <c r="H80" s="7"/>
      <c r="I80" s="11"/>
      <c r="J80" s="7"/>
      <c r="K80" s="7"/>
      <c r="L80" s="7"/>
      <c r="M80" s="7"/>
    </row>
    <row r="81" spans="1:13" s="15" customFormat="1" x14ac:dyDescent="0.3">
      <c r="A81" s="7"/>
      <c r="B81" s="7"/>
      <c r="C81" s="7"/>
      <c r="D81" s="7"/>
      <c r="E81" s="7"/>
      <c r="F81" s="7"/>
      <c r="G81" s="7"/>
      <c r="H81" s="7"/>
      <c r="I81" s="11"/>
      <c r="J81" s="7"/>
      <c r="K81" s="7"/>
      <c r="L81" s="7"/>
      <c r="M81" s="7"/>
    </row>
    <row r="82" spans="1:13" s="15" customFormat="1" x14ac:dyDescent="0.3">
      <c r="A82" s="7"/>
      <c r="B82" s="7"/>
      <c r="C82" s="7"/>
      <c r="D82" s="7"/>
      <c r="E82" s="7"/>
      <c r="F82" s="7"/>
      <c r="G82" s="7"/>
      <c r="H82" s="7"/>
      <c r="I82" s="11"/>
      <c r="J82" s="7"/>
      <c r="K82" s="7"/>
      <c r="L82" s="7"/>
      <c r="M82" s="7"/>
    </row>
    <row r="83" spans="1:13" s="15" customFormat="1" x14ac:dyDescent="0.3">
      <c r="A83" s="7"/>
      <c r="B83" s="7"/>
      <c r="C83" s="7"/>
      <c r="D83" s="7"/>
      <c r="E83" s="7"/>
      <c r="F83" s="7"/>
      <c r="G83" s="7"/>
      <c r="H83" s="7"/>
      <c r="I83" s="11"/>
      <c r="J83" s="7"/>
      <c r="K83" s="7"/>
      <c r="L83" s="7"/>
      <c r="M83" s="7"/>
    </row>
    <row r="84" spans="1:13" s="15" customFormat="1" x14ac:dyDescent="0.3">
      <c r="A84" s="7"/>
      <c r="B84" s="7"/>
      <c r="C84" s="7"/>
      <c r="D84" s="7"/>
      <c r="E84" s="7"/>
      <c r="F84" s="7"/>
      <c r="G84" s="7"/>
      <c r="H84" s="7"/>
      <c r="I84" s="11"/>
      <c r="J84" s="7"/>
      <c r="K84" s="7"/>
      <c r="L84" s="7"/>
      <c r="M84" s="7"/>
    </row>
    <row r="85" spans="1:13" s="15" customFormat="1" x14ac:dyDescent="0.3">
      <c r="A85" s="7"/>
      <c r="B85" s="7"/>
      <c r="C85" s="7"/>
      <c r="D85" s="7"/>
      <c r="E85" s="7"/>
      <c r="F85" s="7"/>
      <c r="G85" s="7"/>
      <c r="H85" s="7"/>
      <c r="I85" s="11"/>
      <c r="J85" s="7"/>
      <c r="K85" s="7"/>
      <c r="L85" s="7"/>
      <c r="M85" s="7"/>
    </row>
    <row r="86" spans="1:13" s="15" customFormat="1" x14ac:dyDescent="0.3">
      <c r="A86" s="7"/>
      <c r="B86" s="7"/>
      <c r="C86" s="7"/>
      <c r="D86" s="7"/>
      <c r="E86" s="7"/>
      <c r="F86" s="7"/>
      <c r="G86" s="7"/>
      <c r="H86" s="7"/>
      <c r="I86" s="11"/>
      <c r="J86" s="7"/>
      <c r="K86" s="7"/>
      <c r="L86" s="7"/>
      <c r="M86" s="7"/>
    </row>
    <row r="87" spans="1:13" s="15" customFormat="1" x14ac:dyDescent="0.3">
      <c r="A87" s="7"/>
      <c r="B87" s="7"/>
      <c r="C87" s="7"/>
      <c r="D87" s="7"/>
      <c r="E87" s="7"/>
      <c r="F87" s="7"/>
      <c r="G87" s="7"/>
      <c r="H87" s="7"/>
      <c r="I87" s="11"/>
      <c r="J87" s="7"/>
      <c r="K87" s="7"/>
      <c r="L87" s="7"/>
      <c r="M87" s="7"/>
    </row>
    <row r="88" spans="1:13" s="15" customFormat="1" x14ac:dyDescent="0.3">
      <c r="A88" s="7"/>
      <c r="B88" s="7"/>
      <c r="C88" s="7"/>
      <c r="D88" s="7"/>
      <c r="E88" s="7"/>
      <c r="F88" s="7"/>
      <c r="G88" s="7"/>
      <c r="H88" s="7"/>
      <c r="I88" s="11"/>
      <c r="J88" s="7"/>
      <c r="K88" s="7"/>
      <c r="L88" s="7"/>
      <c r="M88" s="7"/>
    </row>
    <row r="89" spans="1:13" s="9" customFormat="1" x14ac:dyDescent="0.3">
      <c r="A89" s="6"/>
      <c r="B89" s="6"/>
      <c r="C89" s="6"/>
      <c r="D89" s="6"/>
      <c r="E89" s="6"/>
      <c r="F89" s="6"/>
      <c r="G89" s="6"/>
      <c r="H89" s="6"/>
      <c r="I89" s="12"/>
      <c r="J89" s="6"/>
      <c r="K89" s="6"/>
      <c r="L89" s="6"/>
      <c r="M89" s="6"/>
    </row>
    <row r="90" spans="1:13" s="15" customFormat="1" x14ac:dyDescent="0.3">
      <c r="A90" s="7"/>
      <c r="B90" s="7"/>
      <c r="C90" s="7"/>
      <c r="D90" s="7"/>
      <c r="E90" s="7"/>
      <c r="F90" s="7"/>
      <c r="G90" s="7"/>
      <c r="H90" s="7"/>
      <c r="I90" s="11"/>
      <c r="J90" s="7"/>
      <c r="K90" s="7"/>
      <c r="L90" s="7"/>
      <c r="M90" s="7"/>
    </row>
    <row r="91" spans="1:13" s="15" customFormat="1" x14ac:dyDescent="0.3">
      <c r="A91" s="7"/>
      <c r="B91" s="7"/>
      <c r="C91" s="7"/>
      <c r="D91" s="7"/>
      <c r="E91" s="7"/>
      <c r="F91" s="7"/>
      <c r="G91" s="7"/>
      <c r="H91" s="7"/>
      <c r="I91" s="11"/>
      <c r="J91" s="7"/>
      <c r="K91" s="7"/>
      <c r="L91" s="7"/>
      <c r="M91" s="7"/>
    </row>
    <row r="92" spans="1:13" s="15" customFormat="1" x14ac:dyDescent="0.3">
      <c r="A92" s="7"/>
      <c r="B92" s="7"/>
      <c r="C92" s="7"/>
      <c r="D92" s="7"/>
      <c r="E92" s="7"/>
      <c r="F92" s="7"/>
      <c r="G92" s="7"/>
      <c r="H92" s="7"/>
      <c r="I92" s="11"/>
      <c r="J92" s="7"/>
      <c r="K92" s="7"/>
      <c r="L92" s="7"/>
      <c r="M92" s="7"/>
    </row>
    <row r="93" spans="1:13" s="15" customFormat="1" x14ac:dyDescent="0.3">
      <c r="A93" s="7"/>
      <c r="B93" s="7"/>
      <c r="C93" s="7"/>
      <c r="D93" s="7"/>
      <c r="E93" s="7"/>
      <c r="F93" s="7"/>
      <c r="G93" s="7"/>
      <c r="H93" s="7"/>
      <c r="I93" s="11"/>
      <c r="J93" s="7"/>
      <c r="K93" s="7"/>
      <c r="L93" s="7"/>
      <c r="M93" s="7"/>
    </row>
    <row r="94" spans="1:13" x14ac:dyDescent="0.3">
      <c r="A94" s="16"/>
      <c r="B94" s="16"/>
      <c r="C94" s="16"/>
      <c r="D94" s="16"/>
      <c r="E94" s="16"/>
      <c r="F94" s="16"/>
      <c r="G94" s="16"/>
      <c r="H94" s="16"/>
      <c r="I94" s="19"/>
      <c r="J94" s="16"/>
      <c r="K94" s="16"/>
      <c r="L94" s="16"/>
      <c r="M94" s="16"/>
    </row>
  </sheetData>
  <autoFilter ref="A1:M1" xr:uid="{A13338AC-93B9-48A8-834A-4585B49C0C1C}"/>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EE4F0-0092-4819-9098-DBE5E6583A52}">
  <dimension ref="A1:M1906"/>
  <sheetViews>
    <sheetView showGridLines="0" zoomScaleNormal="100" workbookViewId="0">
      <selection activeCell="A2" sqref="A2:M1906"/>
    </sheetView>
  </sheetViews>
  <sheetFormatPr defaultRowHeight="14.4" x14ac:dyDescent="0.3"/>
  <cols>
    <col min="1" max="3" width="36.5546875" style="13" bestFit="1" customWidth="1"/>
    <col min="4" max="4" width="79.44140625" style="13" bestFit="1" customWidth="1"/>
    <col min="5" max="5" width="9.44140625" style="13" bestFit="1" customWidth="1"/>
    <col min="6" max="8" width="36.5546875" style="13" bestFit="1" customWidth="1"/>
    <col min="9" max="9" width="9.44140625" style="18" bestFit="1" customWidth="1"/>
    <col min="10" max="12" width="36.5546875" style="13" bestFit="1" customWidth="1"/>
    <col min="13" max="13" width="50.88671875" style="13" bestFit="1" customWidth="1"/>
  </cols>
  <sheetData>
    <row r="1" spans="1:13" s="2" customFormat="1" x14ac:dyDescent="0.3">
      <c r="A1" s="5" t="s">
        <v>0</v>
      </c>
      <c r="B1" s="5" t="s">
        <v>1</v>
      </c>
      <c r="C1" s="5" t="s">
        <v>2</v>
      </c>
      <c r="D1" s="5" t="s">
        <v>3</v>
      </c>
      <c r="E1" s="5" t="s">
        <v>4</v>
      </c>
      <c r="F1" s="5" t="s">
        <v>5</v>
      </c>
      <c r="G1" s="5" t="s">
        <v>6</v>
      </c>
      <c r="H1" s="5" t="s">
        <v>7</v>
      </c>
      <c r="I1" s="17" t="s">
        <v>8</v>
      </c>
      <c r="J1" s="5" t="s">
        <v>9</v>
      </c>
      <c r="K1" s="5" t="s">
        <v>10</v>
      </c>
      <c r="L1" s="5" t="s">
        <v>11</v>
      </c>
      <c r="M1" s="5" t="s">
        <v>12</v>
      </c>
    </row>
    <row r="2" spans="1:13" ht="158.4" x14ac:dyDescent="0.3">
      <c r="A2" s="16" t="s">
        <v>20</v>
      </c>
      <c r="B2" s="16" t="s">
        <v>21</v>
      </c>
      <c r="C2" s="16" t="s">
        <v>22</v>
      </c>
      <c r="D2" s="16" t="s">
        <v>8279</v>
      </c>
      <c r="E2" s="16"/>
      <c r="F2" s="16"/>
      <c r="G2" s="16"/>
      <c r="H2" s="16"/>
      <c r="I2" s="19" t="s">
        <v>23</v>
      </c>
      <c r="J2" s="16"/>
      <c r="K2" s="16" t="s">
        <v>24</v>
      </c>
      <c r="L2" s="16" t="s">
        <v>25</v>
      </c>
      <c r="M2" s="16" t="str">
        <f>HYPERLINK("https://ceds.ed.gov/cedselementdetails.aspx?termid=26000")</f>
        <v>https://ceds.ed.gov/cedselementdetails.aspx?termid=26000</v>
      </c>
    </row>
    <row r="3" spans="1:13" ht="259.2" x14ac:dyDescent="0.3">
      <c r="A3" s="16" t="s">
        <v>26</v>
      </c>
      <c r="B3" s="16" t="s">
        <v>7812</v>
      </c>
      <c r="C3" s="16" t="s">
        <v>8280</v>
      </c>
      <c r="D3" s="16" t="s">
        <v>27</v>
      </c>
      <c r="E3" s="16"/>
      <c r="F3" s="16"/>
      <c r="G3" s="16"/>
      <c r="H3" s="16"/>
      <c r="I3" s="19" t="s">
        <v>28</v>
      </c>
      <c r="J3" s="16"/>
      <c r="K3" s="16" t="s">
        <v>29</v>
      </c>
      <c r="L3" s="16"/>
      <c r="M3" s="16" t="str">
        <f>HYPERLINK("https://ceds.ed.gov/cedselementdetails.aspx?termid=26592")</f>
        <v>https://ceds.ed.gov/cedselementdetails.aspx?termid=26592</v>
      </c>
    </row>
    <row r="4" spans="1:13" ht="158.4" x14ac:dyDescent="0.3">
      <c r="A4" s="16" t="s">
        <v>30</v>
      </c>
      <c r="B4" s="16" t="s">
        <v>31</v>
      </c>
      <c r="C4" s="16" t="s">
        <v>32</v>
      </c>
      <c r="D4" s="16" t="s">
        <v>33</v>
      </c>
      <c r="E4" s="16"/>
      <c r="F4" s="16" t="s">
        <v>34</v>
      </c>
      <c r="G4" s="16"/>
      <c r="H4" s="16"/>
      <c r="I4" s="19" t="s">
        <v>35</v>
      </c>
      <c r="J4" s="16"/>
      <c r="K4" s="16" t="s">
        <v>36</v>
      </c>
      <c r="L4" s="16" t="s">
        <v>37</v>
      </c>
      <c r="M4" s="16" t="str">
        <f>HYPERLINK("https://ceds.ed.gov/cedselementdetails.aspx?termid=26001")</f>
        <v>https://ceds.ed.gov/cedselementdetails.aspx?termid=26001</v>
      </c>
    </row>
    <row r="5" spans="1:13" ht="244.8" x14ac:dyDescent="0.3">
      <c r="A5" s="16" t="s">
        <v>38</v>
      </c>
      <c r="B5" s="16" t="s">
        <v>7813</v>
      </c>
      <c r="C5" s="16" t="s">
        <v>8281</v>
      </c>
      <c r="D5" s="16" t="s">
        <v>33</v>
      </c>
      <c r="E5" s="16"/>
      <c r="F5" s="16"/>
      <c r="G5" s="16"/>
      <c r="H5" s="16"/>
      <c r="I5" s="19" t="s">
        <v>40</v>
      </c>
      <c r="J5" s="16"/>
      <c r="K5" s="16" t="s">
        <v>41</v>
      </c>
      <c r="L5" s="16" t="s">
        <v>42</v>
      </c>
      <c r="M5" s="16" t="str">
        <f>HYPERLINK("https://ceds.ed.gov/cedselementdetails.aspx?termid=26002")</f>
        <v>https://ceds.ed.gov/cedselementdetails.aspx?termid=26002</v>
      </c>
    </row>
    <row r="6" spans="1:13" ht="86.4" x14ac:dyDescent="0.3">
      <c r="A6" s="16" t="s">
        <v>43</v>
      </c>
      <c r="B6" s="16" t="s">
        <v>44</v>
      </c>
      <c r="C6" s="16" t="s">
        <v>8282</v>
      </c>
      <c r="D6" s="16" t="s">
        <v>45</v>
      </c>
      <c r="E6" s="16"/>
      <c r="F6" s="16"/>
      <c r="G6" s="16"/>
      <c r="H6" s="16"/>
      <c r="I6" s="19" t="s">
        <v>46</v>
      </c>
      <c r="J6" s="16"/>
      <c r="K6" s="16" t="s">
        <v>47</v>
      </c>
      <c r="L6" s="16"/>
      <c r="M6" s="16" t="str">
        <f>HYPERLINK("https://ceds.ed.gov/cedselementdetails.aspx?termid=27647")</f>
        <v>https://ceds.ed.gov/cedselementdetails.aspx?termid=27647</v>
      </c>
    </row>
    <row r="7" spans="1:13" ht="43.2" x14ac:dyDescent="0.3">
      <c r="A7" s="16" t="s">
        <v>48</v>
      </c>
      <c r="B7" s="16" t="s">
        <v>49</v>
      </c>
      <c r="C7" s="16" t="s">
        <v>32</v>
      </c>
      <c r="D7" s="16" t="s">
        <v>45</v>
      </c>
      <c r="E7" s="16"/>
      <c r="F7" s="16" t="s">
        <v>50</v>
      </c>
      <c r="G7" s="16"/>
      <c r="H7" s="16"/>
      <c r="I7" s="19" t="s">
        <v>51</v>
      </c>
      <c r="J7" s="16"/>
      <c r="K7" s="16" t="s">
        <v>52</v>
      </c>
      <c r="L7" s="16"/>
      <c r="M7" s="16" t="str">
        <f>HYPERLINK("https://ceds.ed.gov/cedselementdetails.aspx?termid=27646")</f>
        <v>https://ceds.ed.gov/cedselementdetails.aspx?termid=27646</v>
      </c>
    </row>
    <row r="8" spans="1:13" ht="158.4" x14ac:dyDescent="0.3">
      <c r="A8" s="16" t="s">
        <v>53</v>
      </c>
      <c r="B8" s="16" t="s">
        <v>54</v>
      </c>
      <c r="C8" s="16" t="s">
        <v>32</v>
      </c>
      <c r="D8" s="16" t="s">
        <v>33</v>
      </c>
      <c r="E8" s="16"/>
      <c r="F8" s="16" t="s">
        <v>55</v>
      </c>
      <c r="G8" s="16"/>
      <c r="H8" s="16"/>
      <c r="I8" s="19" t="s">
        <v>56</v>
      </c>
      <c r="J8" s="16"/>
      <c r="K8" s="16" t="s">
        <v>57</v>
      </c>
      <c r="L8" s="16" t="s">
        <v>58</v>
      </c>
      <c r="M8" s="16" t="str">
        <f>HYPERLINK("https://ceds.ed.gov/cedselementdetails.aspx?termid=26003")</f>
        <v>https://ceds.ed.gov/cedselementdetails.aspx?termid=26003</v>
      </c>
    </row>
    <row r="9" spans="1:13" ht="316.8" x14ac:dyDescent="0.3">
      <c r="A9" s="16" t="s">
        <v>59</v>
      </c>
      <c r="B9" s="16" t="s">
        <v>60</v>
      </c>
      <c r="C9" s="16" t="s">
        <v>8283</v>
      </c>
      <c r="D9" s="16" t="s">
        <v>61</v>
      </c>
      <c r="E9" s="16"/>
      <c r="F9" s="16"/>
      <c r="G9" s="16"/>
      <c r="H9" s="16"/>
      <c r="I9" s="19" t="s">
        <v>62</v>
      </c>
      <c r="J9" s="16"/>
      <c r="K9" s="16" t="s">
        <v>63</v>
      </c>
      <c r="L9" s="16" t="s">
        <v>64</v>
      </c>
      <c r="M9" s="16" t="str">
        <f>HYPERLINK("https://ceds.ed.gov/cedselementdetails.aspx?termid=26004")</f>
        <v>https://ceds.ed.gov/cedselementdetails.aspx?termid=26004</v>
      </c>
    </row>
    <row r="10" spans="1:13" ht="100.8" x14ac:dyDescent="0.3">
      <c r="A10" s="16" t="s">
        <v>65</v>
      </c>
      <c r="B10" s="16" t="s">
        <v>7814</v>
      </c>
      <c r="C10" s="16" t="s">
        <v>8284</v>
      </c>
      <c r="D10" s="16" t="s">
        <v>66</v>
      </c>
      <c r="E10" s="16"/>
      <c r="F10" s="16"/>
      <c r="G10" s="16"/>
      <c r="H10" s="16" t="s">
        <v>7815</v>
      </c>
      <c r="I10" s="19" t="s">
        <v>67</v>
      </c>
      <c r="J10" s="16"/>
      <c r="K10" s="16" t="s">
        <v>68</v>
      </c>
      <c r="L10" s="16" t="s">
        <v>69</v>
      </c>
      <c r="M10" s="16" t="str">
        <f>HYPERLINK("https://ceds.ed.gov/cedselementdetails.aspx?termid=26717")</f>
        <v>https://ceds.ed.gov/cedselementdetails.aspx?termid=26717</v>
      </c>
    </row>
    <row r="11" spans="1:13" ht="144" x14ac:dyDescent="0.3">
      <c r="A11" s="16" t="s">
        <v>70</v>
      </c>
      <c r="B11" s="16" t="s">
        <v>71</v>
      </c>
      <c r="C11" s="16" t="s">
        <v>8285</v>
      </c>
      <c r="D11" s="16" t="s">
        <v>13017</v>
      </c>
      <c r="E11" s="16"/>
      <c r="F11" s="16"/>
      <c r="G11" s="16"/>
      <c r="H11" s="16" t="s">
        <v>72</v>
      </c>
      <c r="I11" s="19" t="s">
        <v>73</v>
      </c>
      <c r="J11" s="16"/>
      <c r="K11" s="16" t="s">
        <v>74</v>
      </c>
      <c r="L11" s="16" t="s">
        <v>75</v>
      </c>
      <c r="M11" s="16" t="str">
        <f>HYPERLINK("https://ceds.ed.gov/cedselementdetails.aspx?termid=26703")</f>
        <v>https://ceds.ed.gov/cedselementdetails.aspx?termid=26703</v>
      </c>
    </row>
    <row r="12" spans="1:13" ht="72" x14ac:dyDescent="0.3">
      <c r="A12" s="16" t="s">
        <v>76</v>
      </c>
      <c r="B12" s="16" t="s">
        <v>77</v>
      </c>
      <c r="C12" s="16" t="s">
        <v>32</v>
      </c>
      <c r="D12" s="16" t="s">
        <v>13017</v>
      </c>
      <c r="E12" s="16"/>
      <c r="F12" s="16" t="s">
        <v>78</v>
      </c>
      <c r="G12" s="16"/>
      <c r="H12" s="16"/>
      <c r="I12" s="19" t="s">
        <v>79</v>
      </c>
      <c r="J12" s="16"/>
      <c r="K12" s="16" t="s">
        <v>80</v>
      </c>
      <c r="L12" s="16" t="s">
        <v>75</v>
      </c>
      <c r="M12" s="16" t="str">
        <f>HYPERLINK("https://ceds.ed.gov/cedselementdetails.aspx?termid=26702")</f>
        <v>https://ceds.ed.gov/cedselementdetails.aspx?termid=26702</v>
      </c>
    </row>
    <row r="13" spans="1:13" ht="86.4" x14ac:dyDescent="0.3">
      <c r="A13" s="16" t="s">
        <v>12634</v>
      </c>
      <c r="B13" s="16" t="s">
        <v>12635</v>
      </c>
      <c r="C13" s="16" t="s">
        <v>12886</v>
      </c>
      <c r="D13" s="16" t="s">
        <v>12887</v>
      </c>
      <c r="E13" s="16" t="s">
        <v>155</v>
      </c>
      <c r="F13" s="16" t="s">
        <v>2</v>
      </c>
      <c r="G13" s="16" t="s">
        <v>12636</v>
      </c>
      <c r="H13" s="16"/>
      <c r="I13" s="19" t="s">
        <v>12637</v>
      </c>
      <c r="J13" s="16"/>
      <c r="K13" s="16" t="s">
        <v>12638</v>
      </c>
      <c r="L13" s="16"/>
      <c r="M13" s="16" t="str">
        <f>HYPERLINK("https://ceds.ed.gov/cedselementdetails.aspx?termid=28148")</f>
        <v>https://ceds.ed.gov/cedselementdetails.aspx?termid=28148</v>
      </c>
    </row>
    <row r="14" spans="1:13" ht="72" x14ac:dyDescent="0.3">
      <c r="A14" s="16" t="s">
        <v>12639</v>
      </c>
      <c r="B14" s="16" t="s">
        <v>12640</v>
      </c>
      <c r="C14" s="16" t="s">
        <v>12888</v>
      </c>
      <c r="D14" s="16" t="s">
        <v>12887</v>
      </c>
      <c r="E14" s="16" t="s">
        <v>155</v>
      </c>
      <c r="F14" s="16" t="s">
        <v>2</v>
      </c>
      <c r="G14" s="16" t="s">
        <v>12636</v>
      </c>
      <c r="H14" s="16"/>
      <c r="I14" s="19" t="s">
        <v>12641</v>
      </c>
      <c r="J14" s="16"/>
      <c r="K14" s="16" t="s">
        <v>12642</v>
      </c>
      <c r="L14" s="16"/>
      <c r="M14" s="16" t="str">
        <f>HYPERLINK("https://ceds.ed.gov/cedselementdetails.aspx?termid=28149")</f>
        <v>https://ceds.ed.gov/cedselementdetails.aspx?termid=28149</v>
      </c>
    </row>
    <row r="15" spans="1:13" ht="72" x14ac:dyDescent="0.3">
      <c r="A15" s="16" t="s">
        <v>12643</v>
      </c>
      <c r="B15" s="16" t="s">
        <v>12644</v>
      </c>
      <c r="C15" s="16" t="s">
        <v>12889</v>
      </c>
      <c r="D15" s="16" t="s">
        <v>12887</v>
      </c>
      <c r="E15" s="16" t="s">
        <v>155</v>
      </c>
      <c r="F15" s="16" t="s">
        <v>2</v>
      </c>
      <c r="G15" s="16" t="s">
        <v>12636</v>
      </c>
      <c r="H15" s="16"/>
      <c r="I15" s="19" t="s">
        <v>12645</v>
      </c>
      <c r="J15" s="16"/>
      <c r="K15" s="16" t="s">
        <v>12646</v>
      </c>
      <c r="L15" s="16"/>
      <c r="M15" s="16" t="str">
        <f>HYPERLINK("https://ceds.ed.gov/cedselementdetails.aspx?termid=28150")</f>
        <v>https://ceds.ed.gov/cedselementdetails.aspx?termid=28150</v>
      </c>
    </row>
    <row r="16" spans="1:13" ht="43.2" x14ac:dyDescent="0.3">
      <c r="A16" s="16" t="s">
        <v>12647</v>
      </c>
      <c r="B16" s="16" t="s">
        <v>12648</v>
      </c>
      <c r="C16" s="16" t="s">
        <v>12890</v>
      </c>
      <c r="D16" s="16" t="s">
        <v>12887</v>
      </c>
      <c r="E16" s="16" t="s">
        <v>155</v>
      </c>
      <c r="F16" s="16" t="s">
        <v>2</v>
      </c>
      <c r="G16" s="16" t="s">
        <v>12636</v>
      </c>
      <c r="H16" s="16"/>
      <c r="I16" s="19" t="s">
        <v>12649</v>
      </c>
      <c r="J16" s="16"/>
      <c r="K16" s="16" t="s">
        <v>12650</v>
      </c>
      <c r="L16" s="16"/>
      <c r="M16" s="16" t="str">
        <f>HYPERLINK("https://ceds.ed.gov/cedselementdetails.aspx?termid=28151")</f>
        <v>https://ceds.ed.gov/cedselementdetails.aspx?termid=28151</v>
      </c>
    </row>
    <row r="17" spans="1:13" ht="43.2" x14ac:dyDescent="0.3">
      <c r="A17" s="16" t="s">
        <v>12651</v>
      </c>
      <c r="B17" s="16" t="s">
        <v>12652</v>
      </c>
      <c r="C17" s="16" t="s">
        <v>7313</v>
      </c>
      <c r="D17" s="16" t="s">
        <v>12887</v>
      </c>
      <c r="E17" s="16" t="s">
        <v>155</v>
      </c>
      <c r="F17" s="16" t="s">
        <v>2</v>
      </c>
      <c r="G17" s="16" t="s">
        <v>12636</v>
      </c>
      <c r="H17" s="16"/>
      <c r="I17" s="19" t="s">
        <v>12653</v>
      </c>
      <c r="J17" s="16"/>
      <c r="K17" s="16" t="s">
        <v>12654</v>
      </c>
      <c r="L17" s="16"/>
      <c r="M17" s="16" t="str">
        <f>HYPERLINK("https://ceds.ed.gov/cedselementdetails.aspx?termid=28152")</f>
        <v>https://ceds.ed.gov/cedselementdetails.aspx?termid=28152</v>
      </c>
    </row>
    <row r="18" spans="1:13" ht="129.6" x14ac:dyDescent="0.3">
      <c r="A18" s="16" t="s">
        <v>12929</v>
      </c>
      <c r="B18" s="16" t="s">
        <v>13071</v>
      </c>
      <c r="C18" s="16" t="s">
        <v>32</v>
      </c>
      <c r="D18" s="16" t="s">
        <v>12954</v>
      </c>
      <c r="E18" s="16" t="s">
        <v>160</v>
      </c>
      <c r="F18" s="16" t="s">
        <v>316</v>
      </c>
      <c r="G18" s="16" t="s">
        <v>12930</v>
      </c>
      <c r="H18" s="16"/>
      <c r="I18" s="19" t="s">
        <v>82</v>
      </c>
      <c r="J18" s="16"/>
      <c r="K18" s="16" t="s">
        <v>13072</v>
      </c>
      <c r="L18" s="16"/>
      <c r="M18" s="16" t="str">
        <f>HYPERLINK("https://ceds.ed.gov/cedselementdetails.aspx?termid=27116")</f>
        <v>https://ceds.ed.gov/cedselementdetails.aspx?termid=27116</v>
      </c>
    </row>
    <row r="19" spans="1:13" ht="57.6" x14ac:dyDescent="0.3">
      <c r="A19" s="16" t="s">
        <v>12655</v>
      </c>
      <c r="B19" s="16" t="s">
        <v>12656</v>
      </c>
      <c r="C19" s="16" t="s">
        <v>12891</v>
      </c>
      <c r="D19" s="16" t="s">
        <v>12887</v>
      </c>
      <c r="E19" s="16" t="s">
        <v>155</v>
      </c>
      <c r="F19" s="16" t="s">
        <v>2</v>
      </c>
      <c r="G19" s="16" t="s">
        <v>12636</v>
      </c>
      <c r="H19" s="16"/>
      <c r="I19" s="19" t="s">
        <v>12657</v>
      </c>
      <c r="J19" s="16"/>
      <c r="K19" s="16" t="s">
        <v>12658</v>
      </c>
      <c r="L19" s="16"/>
      <c r="M19" s="16" t="str">
        <f>HYPERLINK("https://ceds.ed.gov/cedselementdetails.aspx?termid=28153")</f>
        <v>https://ceds.ed.gov/cedselementdetails.aspx?termid=28153</v>
      </c>
    </row>
    <row r="20" spans="1:13" ht="86.4" x14ac:dyDescent="0.3">
      <c r="A20" s="16" t="s">
        <v>12659</v>
      </c>
      <c r="B20" s="16" t="s">
        <v>12660</v>
      </c>
      <c r="C20" s="16" t="s">
        <v>12892</v>
      </c>
      <c r="D20" s="16" t="s">
        <v>12887</v>
      </c>
      <c r="E20" s="16" t="s">
        <v>155</v>
      </c>
      <c r="F20" s="16" t="s">
        <v>2</v>
      </c>
      <c r="G20" s="16" t="s">
        <v>12636</v>
      </c>
      <c r="H20" s="16"/>
      <c r="I20" s="19" t="s">
        <v>12661</v>
      </c>
      <c r="J20" s="16"/>
      <c r="K20" s="16" t="s">
        <v>12662</v>
      </c>
      <c r="L20" s="16"/>
      <c r="M20" s="16" t="str">
        <f>HYPERLINK("https://ceds.ed.gov/cedselementdetails.aspx?termid=28154")</f>
        <v>https://ceds.ed.gov/cedselementdetails.aspx?termid=28154</v>
      </c>
    </row>
    <row r="21" spans="1:13" ht="409.6" x14ac:dyDescent="0.3">
      <c r="A21" s="16" t="s">
        <v>12931</v>
      </c>
      <c r="B21" s="16" t="s">
        <v>13073</v>
      </c>
      <c r="C21" s="16" t="s">
        <v>13480</v>
      </c>
      <c r="D21" s="16" t="s">
        <v>12955</v>
      </c>
      <c r="E21" s="16" t="s">
        <v>160</v>
      </c>
      <c r="F21" s="16"/>
      <c r="G21" s="16" t="s">
        <v>12932</v>
      </c>
      <c r="H21" s="16"/>
      <c r="I21" s="19" t="s">
        <v>83</v>
      </c>
      <c r="J21" s="16"/>
      <c r="K21" s="16" t="s">
        <v>13074</v>
      </c>
      <c r="L21" s="16" t="s">
        <v>84</v>
      </c>
      <c r="M21" s="16" t="str">
        <f>HYPERLINK("https://ceds.ed.gov/cedselementdetails.aspx?termid=26376")</f>
        <v>https://ceds.ed.gov/cedselementdetails.aspx?termid=26376</v>
      </c>
    </row>
    <row r="22" spans="1:13" ht="28.8" x14ac:dyDescent="0.3">
      <c r="A22" s="16" t="s">
        <v>8871</v>
      </c>
      <c r="B22" s="16" t="s">
        <v>8872</v>
      </c>
      <c r="C22" s="16" t="s">
        <v>32</v>
      </c>
      <c r="D22" s="16" t="s">
        <v>12971</v>
      </c>
      <c r="E22" s="16"/>
      <c r="F22" s="16" t="s">
        <v>106</v>
      </c>
      <c r="G22" s="16"/>
      <c r="H22" s="16"/>
      <c r="I22" s="19" t="s">
        <v>8873</v>
      </c>
      <c r="J22" s="16"/>
      <c r="K22" s="16" t="s">
        <v>8874</v>
      </c>
      <c r="L22" s="16"/>
      <c r="M22" s="16" t="str">
        <f>HYPERLINK("https://ceds.ed.gov/cedselementdetails.aspx?termid=27995")</f>
        <v>https://ceds.ed.gov/cedselementdetails.aspx?termid=27995</v>
      </c>
    </row>
    <row r="23" spans="1:13" ht="28.8" x14ac:dyDescent="0.3">
      <c r="A23" s="16" t="s">
        <v>8875</v>
      </c>
      <c r="B23" s="16" t="s">
        <v>8876</v>
      </c>
      <c r="C23" s="16" t="s">
        <v>32</v>
      </c>
      <c r="D23" s="16" t="s">
        <v>12971</v>
      </c>
      <c r="E23" s="16"/>
      <c r="F23" s="16" t="s">
        <v>106</v>
      </c>
      <c r="G23" s="16"/>
      <c r="H23" s="16"/>
      <c r="I23" s="19" t="s">
        <v>8877</v>
      </c>
      <c r="J23" s="16"/>
      <c r="K23" s="16" t="s">
        <v>8878</v>
      </c>
      <c r="L23" s="16"/>
      <c r="M23" s="16" t="str">
        <f>HYPERLINK("https://ceds.ed.gov/cedselementdetails.aspx?termid=27996")</f>
        <v>https://ceds.ed.gov/cedselementdetails.aspx?termid=27996</v>
      </c>
    </row>
    <row r="24" spans="1:13" ht="43.2" x14ac:dyDescent="0.3">
      <c r="A24" s="16" t="s">
        <v>8879</v>
      </c>
      <c r="B24" s="16" t="s">
        <v>8880</v>
      </c>
      <c r="C24" s="16" t="s">
        <v>22</v>
      </c>
      <c r="D24" s="16" t="s">
        <v>13018</v>
      </c>
      <c r="E24" s="16"/>
      <c r="F24" s="16" t="s">
        <v>2</v>
      </c>
      <c r="G24" s="16"/>
      <c r="H24" s="16"/>
      <c r="I24" s="19" t="s">
        <v>8881</v>
      </c>
      <c r="J24" s="16"/>
      <c r="K24" s="16" t="s">
        <v>8882</v>
      </c>
      <c r="L24" s="16"/>
      <c r="M24" s="16" t="str">
        <f>HYPERLINK("https://ceds.ed.gov/cedselementdetails.aspx?termid=27997")</f>
        <v>https://ceds.ed.gov/cedselementdetails.aspx?termid=27997</v>
      </c>
    </row>
    <row r="25" spans="1:13" ht="86.4" x14ac:dyDescent="0.3">
      <c r="A25" s="16" t="s">
        <v>12663</v>
      </c>
      <c r="B25" s="16" t="s">
        <v>12664</v>
      </c>
      <c r="C25" s="16" t="s">
        <v>12893</v>
      </c>
      <c r="D25" s="16" t="s">
        <v>5002</v>
      </c>
      <c r="E25" s="16" t="s">
        <v>155</v>
      </c>
      <c r="F25" s="16" t="s">
        <v>2</v>
      </c>
      <c r="G25" s="16" t="s">
        <v>12636</v>
      </c>
      <c r="H25" s="16"/>
      <c r="I25" s="19" t="s">
        <v>12665</v>
      </c>
      <c r="J25" s="16"/>
      <c r="K25" s="16" t="s">
        <v>12666</v>
      </c>
      <c r="L25" s="16"/>
      <c r="M25" s="16" t="str">
        <f>HYPERLINK("https://ceds.ed.gov/cedselementdetails.aspx?termid=28109")</f>
        <v>https://ceds.ed.gov/cedselementdetails.aspx?termid=28109</v>
      </c>
    </row>
    <row r="26" spans="1:13" ht="57.6" x14ac:dyDescent="0.3">
      <c r="A26" s="16" t="s">
        <v>8883</v>
      </c>
      <c r="B26" s="16" t="s">
        <v>8884</v>
      </c>
      <c r="C26" s="16" t="s">
        <v>2987</v>
      </c>
      <c r="D26" s="16" t="s">
        <v>12971</v>
      </c>
      <c r="E26" s="16"/>
      <c r="F26" s="16" t="s">
        <v>2</v>
      </c>
      <c r="G26" s="16"/>
      <c r="H26" s="16"/>
      <c r="I26" s="19" t="s">
        <v>8885</v>
      </c>
      <c r="J26" s="16"/>
      <c r="K26" s="16" t="s">
        <v>8886</v>
      </c>
      <c r="L26" s="16"/>
      <c r="M26" s="16" t="str">
        <f>HYPERLINK("https://ceds.ed.gov/cedselementdetails.aspx?termid=27998")</f>
        <v>https://ceds.ed.gov/cedselementdetails.aspx?termid=27998</v>
      </c>
    </row>
    <row r="27" spans="1:13" ht="158.4" x14ac:dyDescent="0.3">
      <c r="A27" s="16" t="s">
        <v>8887</v>
      </c>
      <c r="B27" s="16" t="s">
        <v>8888</v>
      </c>
      <c r="C27" s="16" t="s">
        <v>9287</v>
      </c>
      <c r="D27" s="16" t="s">
        <v>13018</v>
      </c>
      <c r="E27" s="16"/>
      <c r="F27" s="16" t="s">
        <v>2</v>
      </c>
      <c r="G27" s="16"/>
      <c r="H27" s="16"/>
      <c r="I27" s="19" t="s">
        <v>8889</v>
      </c>
      <c r="J27" s="16"/>
      <c r="K27" s="16" t="s">
        <v>8890</v>
      </c>
      <c r="L27" s="16"/>
      <c r="M27" s="16" t="str">
        <f>HYPERLINK("https://ceds.ed.gov/cedselementdetails.aspx?termid=27999")</f>
        <v>https://ceds.ed.gov/cedselementdetails.aspx?termid=27999</v>
      </c>
    </row>
    <row r="28" spans="1:13" ht="360" x14ac:dyDescent="0.3">
      <c r="A28" s="16" t="s">
        <v>85</v>
      </c>
      <c r="B28" s="16"/>
      <c r="C28" s="16" t="s">
        <v>8286</v>
      </c>
      <c r="D28" s="16" t="s">
        <v>86</v>
      </c>
      <c r="E28" s="16" t="s">
        <v>160</v>
      </c>
      <c r="F28" s="16"/>
      <c r="G28" s="16" t="s">
        <v>12933</v>
      </c>
      <c r="H28" s="16"/>
      <c r="I28" s="19" t="s">
        <v>87</v>
      </c>
      <c r="J28" s="16"/>
      <c r="K28" s="16"/>
      <c r="L28" s="16"/>
      <c r="M28" s="16" t="str">
        <f>HYPERLINK("https://ceds.ed.gov/cedselementdetails.aspx?termid=27243")</f>
        <v>https://ceds.ed.gov/cedselementdetails.aspx?termid=27243</v>
      </c>
    </row>
    <row r="29" spans="1:13" x14ac:dyDescent="0.3">
      <c r="A29" s="16" t="s">
        <v>88</v>
      </c>
      <c r="B29" s="16" t="s">
        <v>89</v>
      </c>
      <c r="C29" s="16" t="s">
        <v>32</v>
      </c>
      <c r="D29" s="16" t="s">
        <v>90</v>
      </c>
      <c r="E29" s="16"/>
      <c r="F29" s="16" t="s">
        <v>55</v>
      </c>
      <c r="G29" s="16"/>
      <c r="H29" s="16"/>
      <c r="I29" s="19" t="s">
        <v>91</v>
      </c>
      <c r="J29" s="16"/>
      <c r="K29" s="16" t="s">
        <v>92</v>
      </c>
      <c r="L29" s="16"/>
      <c r="M29" s="16" t="str">
        <f>HYPERLINK("https://ceds.ed.gov/cedselementdetails.aspx?termid=26005")</f>
        <v>https://ceds.ed.gov/cedselementdetails.aspx?termid=26005</v>
      </c>
    </row>
    <row r="30" spans="1:13" ht="187.2" x14ac:dyDescent="0.3">
      <c r="A30" s="16" t="s">
        <v>93</v>
      </c>
      <c r="B30" s="16" t="s">
        <v>94</v>
      </c>
      <c r="C30" s="16" t="s">
        <v>8287</v>
      </c>
      <c r="D30" s="16" t="s">
        <v>7816</v>
      </c>
      <c r="E30" s="16"/>
      <c r="F30" s="16"/>
      <c r="G30" s="16"/>
      <c r="H30" s="16" t="s">
        <v>95</v>
      </c>
      <c r="I30" s="19" t="s">
        <v>96</v>
      </c>
      <c r="J30" s="16"/>
      <c r="K30" s="16" t="s">
        <v>97</v>
      </c>
      <c r="L30" s="16" t="s">
        <v>98</v>
      </c>
      <c r="M30" s="16" t="str">
        <f>HYPERLINK("https://ceds.ed.gov/cedselementdetails.aspx?termid=26983")</f>
        <v>https://ceds.ed.gov/cedselementdetails.aspx?termid=26983</v>
      </c>
    </row>
    <row r="31" spans="1:13" ht="43.2" x14ac:dyDescent="0.3">
      <c r="A31" s="16" t="s">
        <v>99</v>
      </c>
      <c r="B31" s="16" t="s">
        <v>100</v>
      </c>
      <c r="C31" s="16" t="s">
        <v>32</v>
      </c>
      <c r="D31" s="16" t="s">
        <v>8288</v>
      </c>
      <c r="E31" s="16"/>
      <c r="F31" s="16" t="s">
        <v>101</v>
      </c>
      <c r="G31" s="16"/>
      <c r="H31" s="16"/>
      <c r="I31" s="19" t="s">
        <v>102</v>
      </c>
      <c r="J31" s="16"/>
      <c r="K31" s="16" t="s">
        <v>103</v>
      </c>
      <c r="L31" s="16"/>
      <c r="M31" s="16" t="str">
        <f>HYPERLINK("https://ceds.ed.gov/cedselementdetails.aspx?termid=27500")</f>
        <v>https://ceds.ed.gov/cedselementdetails.aspx?termid=27500</v>
      </c>
    </row>
    <row r="32" spans="1:13" ht="100.8" x14ac:dyDescent="0.3">
      <c r="A32" s="16" t="s">
        <v>104</v>
      </c>
      <c r="B32" s="16" t="s">
        <v>105</v>
      </c>
      <c r="C32" s="16" t="s">
        <v>32</v>
      </c>
      <c r="D32" s="16" t="s">
        <v>8289</v>
      </c>
      <c r="E32" s="16"/>
      <c r="F32" s="16" t="s">
        <v>106</v>
      </c>
      <c r="G32" s="16"/>
      <c r="H32" s="16"/>
      <c r="I32" s="19" t="s">
        <v>107</v>
      </c>
      <c r="J32" s="16"/>
      <c r="K32" s="16" t="s">
        <v>108</v>
      </c>
      <c r="L32" s="16" t="s">
        <v>98</v>
      </c>
      <c r="M32" s="16" t="str">
        <f>HYPERLINK("https://ceds.ed.gov/cedselementdetails.aspx?termid=26840")</f>
        <v>https://ceds.ed.gov/cedselementdetails.aspx?termid=26840</v>
      </c>
    </row>
    <row r="33" spans="1:13" ht="100.8" x14ac:dyDescent="0.3">
      <c r="A33" s="16" t="s">
        <v>109</v>
      </c>
      <c r="B33" s="16" t="s">
        <v>110</v>
      </c>
      <c r="C33" s="16" t="s">
        <v>32</v>
      </c>
      <c r="D33" s="16" t="s">
        <v>8289</v>
      </c>
      <c r="E33" s="16"/>
      <c r="F33" s="16" t="s">
        <v>106</v>
      </c>
      <c r="G33" s="16"/>
      <c r="H33" s="16"/>
      <c r="I33" s="19" t="s">
        <v>111</v>
      </c>
      <c r="J33" s="16"/>
      <c r="K33" s="16" t="s">
        <v>112</v>
      </c>
      <c r="L33" s="16" t="s">
        <v>98</v>
      </c>
      <c r="M33" s="16" t="str">
        <f>HYPERLINK("https://ceds.ed.gov/cedselementdetails.aspx?termid=26841")</f>
        <v>https://ceds.ed.gov/cedselementdetails.aspx?termid=26841</v>
      </c>
    </row>
    <row r="34" spans="1:13" ht="302.39999999999998" x14ac:dyDescent="0.3">
      <c r="A34" s="16" t="s">
        <v>9312</v>
      </c>
      <c r="B34" s="16" t="s">
        <v>9313</v>
      </c>
      <c r="C34" s="16" t="s">
        <v>9325</v>
      </c>
      <c r="D34" s="16" t="s">
        <v>13019</v>
      </c>
      <c r="E34" s="16"/>
      <c r="F34" s="16"/>
      <c r="G34" s="16"/>
      <c r="H34" s="16"/>
      <c r="I34" s="19" t="s">
        <v>5394</v>
      </c>
      <c r="J34" s="16"/>
      <c r="K34" s="16" t="s">
        <v>9314</v>
      </c>
      <c r="L34" s="16"/>
      <c r="M34" s="16" t="str">
        <f>HYPERLINK("https://ceds.ed.gov/cedselementdetails.aspx?termid=27556")</f>
        <v>https://ceds.ed.gov/cedselementdetails.aspx?termid=27556</v>
      </c>
    </row>
    <row r="35" spans="1:13" ht="72" x14ac:dyDescent="0.3">
      <c r="A35" s="16" t="s">
        <v>113</v>
      </c>
      <c r="B35" s="16" t="s">
        <v>114</v>
      </c>
      <c r="C35" s="16" t="s">
        <v>32</v>
      </c>
      <c r="D35" s="16" t="s">
        <v>115</v>
      </c>
      <c r="E35" s="16"/>
      <c r="F35" s="16" t="s">
        <v>101</v>
      </c>
      <c r="G35" s="16"/>
      <c r="H35" s="16"/>
      <c r="I35" s="19" t="s">
        <v>116</v>
      </c>
      <c r="J35" s="16"/>
      <c r="K35" s="16" t="s">
        <v>117</v>
      </c>
      <c r="L35" s="16"/>
      <c r="M35" s="16" t="str">
        <f>HYPERLINK("https://ceds.ed.gov/cedselementdetails.aspx?termid=27505")</f>
        <v>https://ceds.ed.gov/cedselementdetails.aspx?termid=27505</v>
      </c>
    </row>
    <row r="36" spans="1:13" ht="172.8" x14ac:dyDescent="0.3">
      <c r="A36" s="16" t="s">
        <v>118</v>
      </c>
      <c r="B36" s="16" t="s">
        <v>119</v>
      </c>
      <c r="C36" s="16" t="s">
        <v>32</v>
      </c>
      <c r="D36" s="16" t="s">
        <v>115</v>
      </c>
      <c r="E36" s="16"/>
      <c r="F36" s="16" t="s">
        <v>120</v>
      </c>
      <c r="G36" s="16"/>
      <c r="H36" s="16" t="s">
        <v>7817</v>
      </c>
      <c r="I36" s="19" t="s">
        <v>122</v>
      </c>
      <c r="J36" s="16"/>
      <c r="K36" s="16" t="s">
        <v>123</v>
      </c>
      <c r="L36" s="16" t="s">
        <v>64</v>
      </c>
      <c r="M36" s="16" t="str">
        <f>HYPERLINK("https://ceds.ed.gov/cedselementdetails.aspx?termid=26006")</f>
        <v>https://ceds.ed.gov/cedselementdetails.aspx?termid=26006</v>
      </c>
    </row>
    <row r="37" spans="1:13" ht="72" x14ac:dyDescent="0.3">
      <c r="A37" s="16" t="s">
        <v>125</v>
      </c>
      <c r="B37" s="16" t="s">
        <v>126</v>
      </c>
      <c r="C37" s="16" t="s">
        <v>32</v>
      </c>
      <c r="D37" s="16" t="s">
        <v>115</v>
      </c>
      <c r="E37" s="16"/>
      <c r="F37" s="16" t="s">
        <v>106</v>
      </c>
      <c r="G37" s="16"/>
      <c r="H37" s="16"/>
      <c r="I37" s="19" t="s">
        <v>127</v>
      </c>
      <c r="J37" s="16"/>
      <c r="K37" s="16" t="s">
        <v>128</v>
      </c>
      <c r="L37" s="16" t="s">
        <v>64</v>
      </c>
      <c r="M37" s="16" t="str">
        <f>HYPERLINK("https://ceds.ed.gov/cedselementdetails.aspx?termid=26007")</f>
        <v>https://ceds.ed.gov/cedselementdetails.aspx?termid=26007</v>
      </c>
    </row>
    <row r="38" spans="1:13" ht="72" x14ac:dyDescent="0.3">
      <c r="A38" s="16" t="s">
        <v>129</v>
      </c>
      <c r="B38" s="16" t="s">
        <v>130</v>
      </c>
      <c r="C38" s="16" t="s">
        <v>32</v>
      </c>
      <c r="D38" s="16" t="s">
        <v>115</v>
      </c>
      <c r="E38" s="16"/>
      <c r="F38" s="16" t="s">
        <v>106</v>
      </c>
      <c r="G38" s="16"/>
      <c r="H38" s="16" t="s">
        <v>131</v>
      </c>
      <c r="I38" s="19" t="s">
        <v>132</v>
      </c>
      <c r="J38" s="16"/>
      <c r="K38" s="16" t="s">
        <v>133</v>
      </c>
      <c r="L38" s="16" t="s">
        <v>64</v>
      </c>
      <c r="M38" s="16" t="str">
        <f>HYPERLINK("https://ceds.ed.gov/cedselementdetails.aspx?termid=26008")</f>
        <v>https://ceds.ed.gov/cedselementdetails.aspx?termid=26008</v>
      </c>
    </row>
    <row r="39" spans="1:13" ht="72" x14ac:dyDescent="0.3">
      <c r="A39" s="16" t="s">
        <v>134</v>
      </c>
      <c r="B39" s="16" t="s">
        <v>135</v>
      </c>
      <c r="C39" s="16" t="s">
        <v>32</v>
      </c>
      <c r="D39" s="16" t="s">
        <v>115</v>
      </c>
      <c r="E39" s="16"/>
      <c r="F39" s="16" t="s">
        <v>136</v>
      </c>
      <c r="G39" s="16"/>
      <c r="H39" s="16"/>
      <c r="I39" s="19" t="s">
        <v>137</v>
      </c>
      <c r="J39" s="16"/>
      <c r="K39" s="16" t="s">
        <v>138</v>
      </c>
      <c r="L39" s="16"/>
      <c r="M39" s="16" t="str">
        <f>HYPERLINK("https://ceds.ed.gov/cedselementdetails.aspx?termid=27502")</f>
        <v>https://ceds.ed.gov/cedselementdetails.aspx?termid=27502</v>
      </c>
    </row>
    <row r="40" spans="1:13" ht="86.4" x14ac:dyDescent="0.3">
      <c r="A40" s="16" t="s">
        <v>139</v>
      </c>
      <c r="B40" s="16" t="s">
        <v>140</v>
      </c>
      <c r="C40" s="16" t="s">
        <v>8290</v>
      </c>
      <c r="D40" s="16" t="s">
        <v>115</v>
      </c>
      <c r="E40" s="16"/>
      <c r="F40" s="16"/>
      <c r="G40" s="16"/>
      <c r="H40" s="16"/>
      <c r="I40" s="19" t="s">
        <v>141</v>
      </c>
      <c r="J40" s="16"/>
      <c r="K40" s="16" t="s">
        <v>142</v>
      </c>
      <c r="L40" s="16"/>
      <c r="M40" s="16" t="str">
        <f>HYPERLINK("https://ceds.ed.gov/cedselementdetails.aspx?termid=27503")</f>
        <v>https://ceds.ed.gov/cedselementdetails.aspx?termid=27503</v>
      </c>
    </row>
    <row r="41" spans="1:13" ht="72" x14ac:dyDescent="0.3">
      <c r="A41" s="16" t="s">
        <v>143</v>
      </c>
      <c r="B41" s="16" t="s">
        <v>144</v>
      </c>
      <c r="C41" s="16" t="s">
        <v>32</v>
      </c>
      <c r="D41" s="16" t="s">
        <v>115</v>
      </c>
      <c r="E41" s="16"/>
      <c r="F41" s="16" t="s">
        <v>145</v>
      </c>
      <c r="G41" s="16"/>
      <c r="H41" s="16"/>
      <c r="I41" s="19" t="s">
        <v>146</v>
      </c>
      <c r="J41" s="16"/>
      <c r="K41" s="16" t="s">
        <v>147</v>
      </c>
      <c r="L41" s="16" t="s">
        <v>64</v>
      </c>
      <c r="M41" s="16" t="str">
        <f>HYPERLINK("https://ceds.ed.gov/cedselementdetails.aspx?termid=26009")</f>
        <v>https://ceds.ed.gov/cedselementdetails.aspx?termid=26009</v>
      </c>
    </row>
    <row r="42" spans="1:13" ht="43.2" x14ac:dyDescent="0.3">
      <c r="A42" s="16" t="s">
        <v>12667</v>
      </c>
      <c r="B42" s="16" t="s">
        <v>12668</v>
      </c>
      <c r="C42" s="16" t="s">
        <v>32</v>
      </c>
      <c r="D42" s="16" t="s">
        <v>12887</v>
      </c>
      <c r="E42" s="16" t="s">
        <v>155</v>
      </c>
      <c r="F42" s="16" t="s">
        <v>316</v>
      </c>
      <c r="G42" s="16" t="s">
        <v>12636</v>
      </c>
      <c r="H42" s="16"/>
      <c r="I42" s="19" t="s">
        <v>12669</v>
      </c>
      <c r="J42" s="16"/>
      <c r="K42" s="16" t="s">
        <v>12670</v>
      </c>
      <c r="L42" s="16"/>
      <c r="M42" s="16" t="str">
        <f>HYPERLINK("https://ceds.ed.gov/cedselementdetails.aspx?termid=28123")</f>
        <v>https://ceds.ed.gov/cedselementdetails.aspx?termid=28123</v>
      </c>
    </row>
    <row r="43" spans="1:13" ht="57.6" x14ac:dyDescent="0.3">
      <c r="A43" s="16" t="s">
        <v>12671</v>
      </c>
      <c r="B43" s="16" t="s">
        <v>12672</v>
      </c>
      <c r="C43" s="16" t="s">
        <v>12894</v>
      </c>
      <c r="D43" s="16" t="s">
        <v>12887</v>
      </c>
      <c r="E43" s="16" t="s">
        <v>155</v>
      </c>
      <c r="F43" s="16" t="s">
        <v>2</v>
      </c>
      <c r="G43" s="16" t="s">
        <v>12636</v>
      </c>
      <c r="H43" s="16"/>
      <c r="I43" s="19" t="s">
        <v>12673</v>
      </c>
      <c r="J43" s="16"/>
      <c r="K43" s="16" t="s">
        <v>12674</v>
      </c>
      <c r="L43" s="16"/>
      <c r="M43" s="16" t="str">
        <f>HYPERLINK("https://ceds.ed.gov/cedselementdetails.aspx?termid=28124")</f>
        <v>https://ceds.ed.gov/cedselementdetails.aspx?termid=28124</v>
      </c>
    </row>
    <row r="44" spans="1:13" ht="216" x14ac:dyDescent="0.3">
      <c r="A44" s="16" t="s">
        <v>148</v>
      </c>
      <c r="B44" s="16" t="s">
        <v>149</v>
      </c>
      <c r="C44" s="16" t="s">
        <v>8291</v>
      </c>
      <c r="D44" s="16" t="s">
        <v>150</v>
      </c>
      <c r="E44" s="16"/>
      <c r="F44" s="16"/>
      <c r="G44" s="16"/>
      <c r="H44" s="16"/>
      <c r="I44" s="19" t="s">
        <v>151</v>
      </c>
      <c r="J44" s="16"/>
      <c r="K44" s="16" t="s">
        <v>152</v>
      </c>
      <c r="L44" s="16"/>
      <c r="M44" s="16" t="str">
        <f>HYPERLINK("https://ceds.ed.gov/cedselementdetails.aspx?termid=26589")</f>
        <v>https://ceds.ed.gov/cedselementdetails.aspx?termid=26589</v>
      </c>
    </row>
    <row r="45" spans="1:13" ht="72" x14ac:dyDescent="0.3">
      <c r="A45" s="16" t="s">
        <v>153</v>
      </c>
      <c r="B45" s="16" t="s">
        <v>154</v>
      </c>
      <c r="C45" s="16" t="s">
        <v>8292</v>
      </c>
      <c r="D45" s="16" t="s">
        <v>2474</v>
      </c>
      <c r="E45" s="16" t="s">
        <v>160</v>
      </c>
      <c r="F45" s="16"/>
      <c r="G45" s="16" t="s">
        <v>12934</v>
      </c>
      <c r="H45" s="16"/>
      <c r="I45" s="19" t="s">
        <v>156</v>
      </c>
      <c r="J45" s="16"/>
      <c r="K45" s="16" t="s">
        <v>157</v>
      </c>
      <c r="L45" s="16"/>
      <c r="M45" s="16" t="str">
        <f>HYPERLINK("https://ceds.ed.gov/cedselementdetails.aspx?termid=27902")</f>
        <v>https://ceds.ed.gov/cedselementdetails.aspx?termid=27902</v>
      </c>
    </row>
    <row r="46" spans="1:13" ht="409.6" x14ac:dyDescent="0.3">
      <c r="A46" s="16" t="s">
        <v>158</v>
      </c>
      <c r="B46" s="16" t="s">
        <v>159</v>
      </c>
      <c r="C46" s="16" t="s">
        <v>32</v>
      </c>
      <c r="D46" s="16" t="s">
        <v>13020</v>
      </c>
      <c r="E46" s="16"/>
      <c r="F46" s="16" t="s">
        <v>145</v>
      </c>
      <c r="G46" s="16"/>
      <c r="H46" s="16"/>
      <c r="I46" s="19" t="s">
        <v>161</v>
      </c>
      <c r="J46" s="16"/>
      <c r="K46" s="16" t="s">
        <v>162</v>
      </c>
      <c r="L46" s="16" t="s">
        <v>163</v>
      </c>
      <c r="M46" s="16" t="str">
        <f>HYPERLINK("https://ceds.ed.gov/cedselementdetails.aspx?termid=26019")</f>
        <v>https://ceds.ed.gov/cedselementdetails.aspx?termid=26019</v>
      </c>
    </row>
    <row r="47" spans="1:13" ht="409.6" x14ac:dyDescent="0.3">
      <c r="A47" s="16" t="s">
        <v>164</v>
      </c>
      <c r="B47" s="16" t="s">
        <v>165</v>
      </c>
      <c r="C47" s="16" t="s">
        <v>32</v>
      </c>
      <c r="D47" s="16" t="s">
        <v>13020</v>
      </c>
      <c r="E47" s="16"/>
      <c r="F47" s="16" t="s">
        <v>81</v>
      </c>
      <c r="G47" s="16"/>
      <c r="H47" s="16"/>
      <c r="I47" s="19" t="s">
        <v>166</v>
      </c>
      <c r="J47" s="16"/>
      <c r="K47" s="16" t="s">
        <v>167</v>
      </c>
      <c r="L47" s="16" t="s">
        <v>163</v>
      </c>
      <c r="M47" s="16" t="str">
        <f>HYPERLINK("https://ceds.ed.gov/cedselementdetails.aspx?termid=26040")</f>
        <v>https://ceds.ed.gov/cedselementdetails.aspx?termid=26040</v>
      </c>
    </row>
    <row r="48" spans="1:13" ht="409.6" x14ac:dyDescent="0.3">
      <c r="A48" s="16" t="s">
        <v>168</v>
      </c>
      <c r="B48" s="16" t="s">
        <v>169</v>
      </c>
      <c r="C48" s="16" t="s">
        <v>32</v>
      </c>
      <c r="D48" s="16" t="s">
        <v>13021</v>
      </c>
      <c r="E48" s="16"/>
      <c r="F48" s="16" t="s">
        <v>81</v>
      </c>
      <c r="G48" s="16"/>
      <c r="H48" s="16"/>
      <c r="I48" s="19" t="s">
        <v>170</v>
      </c>
      <c r="J48" s="16"/>
      <c r="K48" s="16" t="s">
        <v>171</v>
      </c>
      <c r="L48" s="16" t="s">
        <v>163</v>
      </c>
      <c r="M48" s="16" t="str">
        <f>HYPERLINK("https://ceds.ed.gov/cedselementdetails.aspx?termid=26190")</f>
        <v>https://ceds.ed.gov/cedselementdetails.aspx?termid=26190</v>
      </c>
    </row>
    <row r="49" spans="1:13" ht="409.6" x14ac:dyDescent="0.3">
      <c r="A49" s="16" t="s">
        <v>172</v>
      </c>
      <c r="B49" s="16" t="s">
        <v>173</v>
      </c>
      <c r="C49" s="16" t="s">
        <v>32</v>
      </c>
      <c r="D49" s="16" t="s">
        <v>13020</v>
      </c>
      <c r="E49" s="16"/>
      <c r="F49" s="16" t="s">
        <v>174</v>
      </c>
      <c r="G49" s="16"/>
      <c r="H49" s="16"/>
      <c r="I49" s="19" t="s">
        <v>175</v>
      </c>
      <c r="J49" s="16"/>
      <c r="K49" s="16" t="s">
        <v>176</v>
      </c>
      <c r="L49" s="16" t="s">
        <v>163</v>
      </c>
      <c r="M49" s="16" t="str">
        <f>HYPERLINK("https://ceds.ed.gov/cedselementdetails.aspx?termid=26214")</f>
        <v>https://ceds.ed.gov/cedselementdetails.aspx?termid=26214</v>
      </c>
    </row>
    <row r="50" spans="1:13" ht="409.6" x14ac:dyDescent="0.3">
      <c r="A50" s="16" t="s">
        <v>177</v>
      </c>
      <c r="B50" s="16" t="s">
        <v>178</v>
      </c>
      <c r="C50" s="16" t="s">
        <v>32</v>
      </c>
      <c r="D50" s="16" t="s">
        <v>9349</v>
      </c>
      <c r="E50" s="16"/>
      <c r="F50" s="16" t="s">
        <v>179</v>
      </c>
      <c r="G50" s="16"/>
      <c r="H50" s="16"/>
      <c r="I50" s="19" t="s">
        <v>180</v>
      </c>
      <c r="J50" s="16"/>
      <c r="K50" s="16" t="s">
        <v>181</v>
      </c>
      <c r="L50" s="16" t="s">
        <v>163</v>
      </c>
      <c r="M50" s="16" t="str">
        <f>HYPERLINK("https://ceds.ed.gov/cedselementdetails.aspx?termid=26269")</f>
        <v>https://ceds.ed.gov/cedselementdetails.aspx?termid=26269</v>
      </c>
    </row>
    <row r="51" spans="1:13" ht="244.8" x14ac:dyDescent="0.3">
      <c r="A51" s="16" t="s">
        <v>182</v>
      </c>
      <c r="B51" s="16" t="s">
        <v>183</v>
      </c>
      <c r="C51" s="16" t="s">
        <v>8293</v>
      </c>
      <c r="D51" s="16" t="s">
        <v>8294</v>
      </c>
      <c r="E51" s="16"/>
      <c r="F51" s="16" t="s">
        <v>81</v>
      </c>
      <c r="G51" s="16"/>
      <c r="H51" s="16"/>
      <c r="I51" s="19" t="s">
        <v>184</v>
      </c>
      <c r="J51" s="16"/>
      <c r="K51" s="16" t="s">
        <v>185</v>
      </c>
      <c r="L51" s="16" t="s">
        <v>186</v>
      </c>
      <c r="M51" s="16" t="str">
        <f>HYPERLINK("https://ceds.ed.gov/cedselementdetails.aspx?termid=26358")</f>
        <v>https://ceds.ed.gov/cedselementdetails.aspx?termid=26358</v>
      </c>
    </row>
    <row r="52" spans="1:13" ht="388.8" x14ac:dyDescent="0.3">
      <c r="A52" s="16" t="s">
        <v>187</v>
      </c>
      <c r="B52" s="16" t="s">
        <v>188</v>
      </c>
      <c r="C52" s="16" t="s">
        <v>8205</v>
      </c>
      <c r="D52" s="16" t="s">
        <v>13022</v>
      </c>
      <c r="E52" s="16"/>
      <c r="F52" s="16" t="s">
        <v>81</v>
      </c>
      <c r="G52" s="16"/>
      <c r="H52" s="16"/>
      <c r="I52" s="19" t="s">
        <v>189</v>
      </c>
      <c r="J52" s="16"/>
      <c r="K52" s="16" t="s">
        <v>190</v>
      </c>
      <c r="L52" s="16" t="s">
        <v>64</v>
      </c>
      <c r="M52" s="16" t="str">
        <f>HYPERLINK("https://ceds.ed.gov/cedselementdetails.aspx?termid=26644")</f>
        <v>https://ceds.ed.gov/cedselementdetails.aspx?termid=26644</v>
      </c>
    </row>
    <row r="53" spans="1:13" ht="216" x14ac:dyDescent="0.3">
      <c r="A53" s="16" t="s">
        <v>191</v>
      </c>
      <c r="B53" s="16" t="s">
        <v>192</v>
      </c>
      <c r="C53" s="16" t="s">
        <v>8295</v>
      </c>
      <c r="D53" s="16" t="s">
        <v>8296</v>
      </c>
      <c r="E53" s="16"/>
      <c r="F53" s="16" t="s">
        <v>81</v>
      </c>
      <c r="G53" s="16"/>
      <c r="H53" s="16"/>
      <c r="I53" s="19" t="s">
        <v>193</v>
      </c>
      <c r="J53" s="16"/>
      <c r="K53" s="16" t="s">
        <v>194</v>
      </c>
      <c r="L53" s="16" t="s">
        <v>195</v>
      </c>
      <c r="M53" s="16" t="str">
        <f>HYPERLINK("https://ceds.ed.gov/cedselementdetails.aspx?termid=26698")</f>
        <v>https://ceds.ed.gov/cedselementdetails.aspx?termid=26698</v>
      </c>
    </row>
    <row r="54" spans="1:13" ht="43.2" x14ac:dyDescent="0.3">
      <c r="A54" s="16" t="s">
        <v>196</v>
      </c>
      <c r="B54" s="16" t="s">
        <v>197</v>
      </c>
      <c r="C54" s="16" t="s">
        <v>22</v>
      </c>
      <c r="D54" s="16" t="s">
        <v>198</v>
      </c>
      <c r="E54" s="16"/>
      <c r="F54" s="16"/>
      <c r="G54" s="16"/>
      <c r="H54" s="16"/>
      <c r="I54" s="19" t="s">
        <v>199</v>
      </c>
      <c r="J54" s="16" t="s">
        <v>200</v>
      </c>
      <c r="K54" s="16" t="s">
        <v>201</v>
      </c>
      <c r="L54" s="16" t="s">
        <v>202</v>
      </c>
      <c r="M54" s="16" t="str">
        <f>HYPERLINK("https://ceds.ed.gov/cedselementdetails.aspx?termid=26433")</f>
        <v>https://ceds.ed.gov/cedselementdetails.aspx?termid=26433</v>
      </c>
    </row>
    <row r="55" spans="1:13" ht="43.2" x14ac:dyDescent="0.3">
      <c r="A55" s="16" t="s">
        <v>203</v>
      </c>
      <c r="B55" s="16" t="s">
        <v>204</v>
      </c>
      <c r="C55" s="16" t="s">
        <v>32</v>
      </c>
      <c r="D55" s="16" t="s">
        <v>198</v>
      </c>
      <c r="E55" s="16"/>
      <c r="F55" s="16" t="s">
        <v>106</v>
      </c>
      <c r="G55" s="16"/>
      <c r="H55" s="16"/>
      <c r="I55" s="19" t="s">
        <v>205</v>
      </c>
      <c r="J55" s="16" t="s">
        <v>206</v>
      </c>
      <c r="K55" s="16" t="s">
        <v>207</v>
      </c>
      <c r="L55" s="16" t="s">
        <v>202</v>
      </c>
      <c r="M55" s="16" t="str">
        <f>HYPERLINK("https://ceds.ed.gov/cedselementdetails.aspx?termid=26434")</f>
        <v>https://ceds.ed.gov/cedselementdetails.aspx?termid=26434</v>
      </c>
    </row>
    <row r="56" spans="1:13" ht="72" x14ac:dyDescent="0.3">
      <c r="A56" s="16" t="s">
        <v>208</v>
      </c>
      <c r="B56" s="16" t="s">
        <v>209</v>
      </c>
      <c r="C56" s="16" t="s">
        <v>8297</v>
      </c>
      <c r="D56" s="16" t="s">
        <v>210</v>
      </c>
      <c r="E56" s="16"/>
      <c r="F56" s="16"/>
      <c r="G56" s="16"/>
      <c r="H56" s="16"/>
      <c r="I56" s="19" t="s">
        <v>211</v>
      </c>
      <c r="J56" s="16" t="s">
        <v>212</v>
      </c>
      <c r="K56" s="16" t="s">
        <v>213</v>
      </c>
      <c r="L56" s="16" t="s">
        <v>214</v>
      </c>
      <c r="M56" s="16" t="str">
        <f>HYPERLINK("https://ceds.ed.gov/cedselementdetails.aspx?termid=26011")</f>
        <v>https://ceds.ed.gov/cedselementdetails.aspx?termid=26011</v>
      </c>
    </row>
    <row r="57" spans="1:13" ht="273.60000000000002" x14ac:dyDescent="0.3">
      <c r="A57" s="16" t="s">
        <v>7818</v>
      </c>
      <c r="B57" s="16" t="s">
        <v>7819</v>
      </c>
      <c r="C57" s="16" t="s">
        <v>32</v>
      </c>
      <c r="D57" s="16" t="s">
        <v>9350</v>
      </c>
      <c r="E57" s="16"/>
      <c r="F57" s="16" t="s">
        <v>136</v>
      </c>
      <c r="G57" s="16"/>
      <c r="H57" s="16"/>
      <c r="I57" s="19" t="s">
        <v>8174</v>
      </c>
      <c r="J57" s="16"/>
      <c r="K57" s="16" t="s">
        <v>7820</v>
      </c>
      <c r="L57" s="16"/>
      <c r="M57" s="16" t="str">
        <f>HYPERLINK("https://ceds.ed.gov/cedselementdetails.aspx?termid=27972")</f>
        <v>https://ceds.ed.gov/cedselementdetails.aspx?termid=27972</v>
      </c>
    </row>
    <row r="58" spans="1:13" ht="273.60000000000002" x14ac:dyDescent="0.3">
      <c r="A58" s="16" t="s">
        <v>7821</v>
      </c>
      <c r="B58" s="16" t="s">
        <v>7822</v>
      </c>
      <c r="C58" s="16" t="s">
        <v>8197</v>
      </c>
      <c r="D58" s="16" t="s">
        <v>9350</v>
      </c>
      <c r="E58" s="16"/>
      <c r="F58" s="16" t="s">
        <v>2</v>
      </c>
      <c r="G58" s="16"/>
      <c r="H58" s="16"/>
      <c r="I58" s="19" t="s">
        <v>8175</v>
      </c>
      <c r="J58" s="16"/>
      <c r="K58" s="16" t="s">
        <v>7823</v>
      </c>
      <c r="L58" s="16"/>
      <c r="M58" s="16" t="str">
        <f>HYPERLINK("https://ceds.ed.gov/cedselementdetails.aspx?termid=27973")</f>
        <v>https://ceds.ed.gov/cedselementdetails.aspx?termid=27973</v>
      </c>
    </row>
    <row r="59" spans="1:13" ht="409.6" x14ac:dyDescent="0.3">
      <c r="A59" s="16" t="s">
        <v>8891</v>
      </c>
      <c r="B59" s="16" t="s">
        <v>8892</v>
      </c>
      <c r="C59" s="16" t="s">
        <v>9427</v>
      </c>
      <c r="D59" s="16" t="s">
        <v>3161</v>
      </c>
      <c r="E59" s="16"/>
      <c r="F59" s="16" t="s">
        <v>2</v>
      </c>
      <c r="G59" s="16"/>
      <c r="H59" s="16" t="s">
        <v>8893</v>
      </c>
      <c r="I59" s="19" t="s">
        <v>8894</v>
      </c>
      <c r="J59" s="16"/>
      <c r="K59" s="16" t="s">
        <v>8895</v>
      </c>
      <c r="L59" s="16"/>
      <c r="M59" s="16" t="str">
        <f>HYPERLINK("https://ceds.ed.gov/cedselementdetails.aspx?termid=28000")</f>
        <v>https://ceds.ed.gov/cedselementdetails.aspx?termid=28000</v>
      </c>
    </row>
    <row r="60" spans="1:13" ht="100.8" x14ac:dyDescent="0.3">
      <c r="A60" s="16" t="s">
        <v>215</v>
      </c>
      <c r="B60" s="16" t="s">
        <v>216</v>
      </c>
      <c r="C60" s="16" t="s">
        <v>8206</v>
      </c>
      <c r="D60" s="16" t="s">
        <v>9351</v>
      </c>
      <c r="E60" s="16"/>
      <c r="F60" s="16"/>
      <c r="G60" s="16"/>
      <c r="H60" s="16"/>
      <c r="I60" s="19" t="s">
        <v>218</v>
      </c>
      <c r="J60" s="16"/>
      <c r="K60" s="16" t="s">
        <v>219</v>
      </c>
      <c r="L60" s="16"/>
      <c r="M60" s="16" t="str">
        <f>HYPERLINK("https://ceds.ed.gov/cedselementdetails.aspx?termid=26012")</f>
        <v>https://ceds.ed.gov/cedselementdetails.aspx?termid=26012</v>
      </c>
    </row>
    <row r="61" spans="1:13" ht="115.2" x14ac:dyDescent="0.3">
      <c r="A61" s="16" t="s">
        <v>220</v>
      </c>
      <c r="B61" s="16" t="s">
        <v>221</v>
      </c>
      <c r="C61" s="16" t="s">
        <v>8298</v>
      </c>
      <c r="D61" s="16" t="s">
        <v>7824</v>
      </c>
      <c r="E61" s="16"/>
      <c r="F61" s="16"/>
      <c r="G61" s="16"/>
      <c r="H61" s="16" t="s">
        <v>222</v>
      </c>
      <c r="I61" s="19" t="s">
        <v>223</v>
      </c>
      <c r="J61" s="16"/>
      <c r="K61" s="16" t="s">
        <v>224</v>
      </c>
      <c r="L61" s="16" t="s">
        <v>98</v>
      </c>
      <c r="M61" s="16" t="str">
        <f>HYPERLINK("https://ceds.ed.gov/cedselementdetails.aspx?termid=26984")</f>
        <v>https://ceds.ed.gov/cedselementdetails.aspx?termid=26984</v>
      </c>
    </row>
    <row r="62" spans="1:13" ht="86.4" x14ac:dyDescent="0.3">
      <c r="A62" s="16" t="s">
        <v>225</v>
      </c>
      <c r="B62" s="16" t="s">
        <v>226</v>
      </c>
      <c r="C62" s="16" t="s">
        <v>8299</v>
      </c>
      <c r="D62" s="16" t="s">
        <v>227</v>
      </c>
      <c r="E62" s="16"/>
      <c r="F62" s="16"/>
      <c r="G62" s="16"/>
      <c r="H62" s="16"/>
      <c r="I62" s="19" t="s">
        <v>228</v>
      </c>
      <c r="J62" s="16"/>
      <c r="K62" s="16" t="s">
        <v>229</v>
      </c>
      <c r="L62" s="16" t="s">
        <v>230</v>
      </c>
      <c r="M62" s="16" t="str">
        <f>HYPERLINK("https://ceds.ed.gov/cedselementdetails.aspx?termid=27558")</f>
        <v>https://ceds.ed.gov/cedselementdetails.aspx?termid=27558</v>
      </c>
    </row>
    <row r="63" spans="1:13" ht="316.8" x14ac:dyDescent="0.3">
      <c r="A63" s="16" t="s">
        <v>231</v>
      </c>
      <c r="B63" s="16" t="s">
        <v>232</v>
      </c>
      <c r="C63" s="16" t="s">
        <v>8300</v>
      </c>
      <c r="D63" s="16" t="s">
        <v>227</v>
      </c>
      <c r="E63" s="16"/>
      <c r="F63" s="16"/>
      <c r="G63" s="16"/>
      <c r="H63" s="16"/>
      <c r="I63" s="19" t="s">
        <v>233</v>
      </c>
      <c r="J63" s="16"/>
      <c r="K63" s="16" t="s">
        <v>234</v>
      </c>
      <c r="L63" s="16" t="s">
        <v>230</v>
      </c>
      <c r="M63" s="16" t="str">
        <f>HYPERLINK("https://ceds.ed.gov/cedselementdetails.aspx?termid=27559")</f>
        <v>https://ceds.ed.gov/cedselementdetails.aspx?termid=27559</v>
      </c>
    </row>
    <row r="64" spans="1:13" ht="129.6" x14ac:dyDescent="0.3">
      <c r="A64" s="16" t="s">
        <v>235</v>
      </c>
      <c r="B64" s="16" t="s">
        <v>236</v>
      </c>
      <c r="C64" s="16" t="s">
        <v>8301</v>
      </c>
      <c r="D64" s="16" t="s">
        <v>237</v>
      </c>
      <c r="E64" s="16"/>
      <c r="F64" s="16"/>
      <c r="G64" s="16"/>
      <c r="H64" s="16" t="s">
        <v>7825</v>
      </c>
      <c r="I64" s="19" t="s">
        <v>238</v>
      </c>
      <c r="J64" s="16"/>
      <c r="K64" s="16" t="s">
        <v>239</v>
      </c>
      <c r="L64" s="16" t="s">
        <v>240</v>
      </c>
      <c r="M64" s="16" t="str">
        <f>HYPERLINK("https://ceds.ed.gov/cedselementdetails.aspx?termid=26736")</f>
        <v>https://ceds.ed.gov/cedselementdetails.aspx?termid=26736</v>
      </c>
    </row>
    <row r="65" spans="1:13" ht="144" x14ac:dyDescent="0.3">
      <c r="A65" s="16" t="s">
        <v>241</v>
      </c>
      <c r="B65" s="16" t="s">
        <v>7314</v>
      </c>
      <c r="C65" s="16" t="s">
        <v>8302</v>
      </c>
      <c r="D65" s="16" t="s">
        <v>8303</v>
      </c>
      <c r="E65" s="16"/>
      <c r="F65" s="16"/>
      <c r="G65" s="16"/>
      <c r="H65" s="16"/>
      <c r="I65" s="19" t="s">
        <v>242</v>
      </c>
      <c r="J65" s="16"/>
      <c r="K65" s="16" t="s">
        <v>243</v>
      </c>
      <c r="L65" s="16"/>
      <c r="M65" s="16" t="str">
        <f>HYPERLINK("https://ceds.ed.gov/cedselementdetails.aspx?termid=26775")</f>
        <v>https://ceds.ed.gov/cedselementdetails.aspx?termid=26775</v>
      </c>
    </row>
    <row r="66" spans="1:13" ht="115.2" x14ac:dyDescent="0.3">
      <c r="A66" s="16" t="s">
        <v>7315</v>
      </c>
      <c r="B66" s="16" t="s">
        <v>7316</v>
      </c>
      <c r="C66" s="16" t="s">
        <v>2987</v>
      </c>
      <c r="D66" s="16" t="s">
        <v>246</v>
      </c>
      <c r="E66" s="16"/>
      <c r="F66" s="16"/>
      <c r="G66" s="16"/>
      <c r="H66" s="16"/>
      <c r="I66" s="19" t="s">
        <v>7317</v>
      </c>
      <c r="J66" s="16"/>
      <c r="K66" s="16" t="s">
        <v>7318</v>
      </c>
      <c r="L66" s="16"/>
      <c r="M66" s="16" t="str">
        <f>HYPERLINK("https://ceds.ed.gov/cedselementdetails.aspx?termid=27912")</f>
        <v>https://ceds.ed.gov/cedselementdetails.aspx?termid=27912</v>
      </c>
    </row>
    <row r="67" spans="1:13" ht="86.4" x14ac:dyDescent="0.3">
      <c r="A67" s="16" t="s">
        <v>7319</v>
      </c>
      <c r="B67" s="16" t="s">
        <v>7320</v>
      </c>
      <c r="C67" s="16" t="s">
        <v>2987</v>
      </c>
      <c r="D67" s="16" t="s">
        <v>246</v>
      </c>
      <c r="E67" s="16"/>
      <c r="F67" s="16"/>
      <c r="G67" s="16"/>
      <c r="H67" s="16"/>
      <c r="I67" s="19" t="s">
        <v>7321</v>
      </c>
      <c r="J67" s="16"/>
      <c r="K67" s="16" t="s">
        <v>7322</v>
      </c>
      <c r="L67" s="16"/>
      <c r="M67" s="16" t="str">
        <f>HYPERLINK("https://ceds.ed.gov/cedselementdetails.aspx?termid=27913")</f>
        <v>https://ceds.ed.gov/cedselementdetails.aspx?termid=27913</v>
      </c>
    </row>
    <row r="68" spans="1:13" ht="129.6" x14ac:dyDescent="0.3">
      <c r="A68" s="16" t="s">
        <v>7323</v>
      </c>
      <c r="B68" s="16" t="s">
        <v>7324</v>
      </c>
      <c r="C68" s="16" t="s">
        <v>2987</v>
      </c>
      <c r="D68" s="16" t="s">
        <v>246</v>
      </c>
      <c r="E68" s="16"/>
      <c r="F68" s="16"/>
      <c r="G68" s="16"/>
      <c r="H68" s="16"/>
      <c r="I68" s="19" t="s">
        <v>7325</v>
      </c>
      <c r="J68" s="16"/>
      <c r="K68" s="16" t="s">
        <v>7326</v>
      </c>
      <c r="L68" s="16"/>
      <c r="M68" s="16" t="str">
        <f>HYPERLINK("https://ceds.ed.gov/cedselementdetails.aspx?termid=27914")</f>
        <v>https://ceds.ed.gov/cedselementdetails.aspx?termid=27914</v>
      </c>
    </row>
    <row r="69" spans="1:13" ht="100.8" x14ac:dyDescent="0.3">
      <c r="A69" s="16" t="s">
        <v>244</v>
      </c>
      <c r="B69" s="16" t="s">
        <v>245</v>
      </c>
      <c r="C69" s="16" t="s">
        <v>8304</v>
      </c>
      <c r="D69" s="16" t="s">
        <v>246</v>
      </c>
      <c r="E69" s="16"/>
      <c r="F69" s="16"/>
      <c r="G69" s="16"/>
      <c r="H69" s="16"/>
      <c r="I69" s="19" t="s">
        <v>247</v>
      </c>
      <c r="J69" s="16"/>
      <c r="K69" s="16" t="s">
        <v>248</v>
      </c>
      <c r="L69" s="16"/>
      <c r="M69" s="16" t="str">
        <f>HYPERLINK("https://ceds.ed.gov/cedselementdetails.aspx?termid=26765")</f>
        <v>https://ceds.ed.gov/cedselementdetails.aspx?termid=26765</v>
      </c>
    </row>
    <row r="70" spans="1:13" ht="100.8" x14ac:dyDescent="0.3">
      <c r="A70" s="16" t="s">
        <v>249</v>
      </c>
      <c r="B70" s="16" t="s">
        <v>250</v>
      </c>
      <c r="C70" s="16" t="s">
        <v>8305</v>
      </c>
      <c r="D70" s="16" t="s">
        <v>246</v>
      </c>
      <c r="E70" s="16"/>
      <c r="F70" s="16"/>
      <c r="G70" s="16"/>
      <c r="H70" s="16"/>
      <c r="I70" s="19" t="s">
        <v>251</v>
      </c>
      <c r="J70" s="16"/>
      <c r="K70" s="16" t="s">
        <v>252</v>
      </c>
      <c r="L70" s="16"/>
      <c r="M70" s="16" t="str">
        <f>HYPERLINK("https://ceds.ed.gov/cedselementdetails.aspx?termid=26768")</f>
        <v>https://ceds.ed.gov/cedselementdetails.aspx?termid=26768</v>
      </c>
    </row>
    <row r="71" spans="1:13" ht="72" x14ac:dyDescent="0.3">
      <c r="A71" s="16" t="s">
        <v>253</v>
      </c>
      <c r="B71" s="16" t="s">
        <v>254</v>
      </c>
      <c r="C71" s="16" t="s">
        <v>32</v>
      </c>
      <c r="D71" s="16" t="s">
        <v>246</v>
      </c>
      <c r="E71" s="16"/>
      <c r="F71" s="16" t="s">
        <v>106</v>
      </c>
      <c r="G71" s="16"/>
      <c r="H71" s="16"/>
      <c r="I71" s="19" t="s">
        <v>255</v>
      </c>
      <c r="J71" s="16"/>
      <c r="K71" s="16" t="s">
        <v>256</v>
      </c>
      <c r="L71" s="16"/>
      <c r="M71" s="16" t="str">
        <f>HYPERLINK("https://ceds.ed.gov/cedselementdetails.aspx?termid=26769")</f>
        <v>https://ceds.ed.gov/cedselementdetails.aspx?termid=26769</v>
      </c>
    </row>
    <row r="72" spans="1:13" ht="259.2" x14ac:dyDescent="0.3">
      <c r="A72" s="16" t="s">
        <v>7327</v>
      </c>
      <c r="B72" s="16" t="s">
        <v>7328</v>
      </c>
      <c r="C72" s="16" t="s">
        <v>8306</v>
      </c>
      <c r="D72" s="16" t="s">
        <v>246</v>
      </c>
      <c r="E72" s="16"/>
      <c r="F72" s="16"/>
      <c r="G72" s="16"/>
      <c r="H72" s="16"/>
      <c r="I72" s="19" t="s">
        <v>7329</v>
      </c>
      <c r="J72" s="16"/>
      <c r="K72" s="16" t="s">
        <v>7330</v>
      </c>
      <c r="L72" s="16"/>
      <c r="M72" s="16" t="str">
        <f>HYPERLINK("https://ceds.ed.gov/cedselementdetails.aspx?termid=27915")</f>
        <v>https://ceds.ed.gov/cedselementdetails.aspx?termid=27915</v>
      </c>
    </row>
    <row r="73" spans="1:13" ht="187.2" x14ac:dyDescent="0.3">
      <c r="A73" s="16" t="s">
        <v>257</v>
      </c>
      <c r="B73" s="16" t="s">
        <v>258</v>
      </c>
      <c r="C73" s="16" t="s">
        <v>8307</v>
      </c>
      <c r="D73" s="16" t="s">
        <v>259</v>
      </c>
      <c r="E73" s="16"/>
      <c r="F73" s="16"/>
      <c r="G73" s="16"/>
      <c r="H73" s="16"/>
      <c r="I73" s="19" t="s">
        <v>260</v>
      </c>
      <c r="J73" s="16"/>
      <c r="K73" s="16" t="s">
        <v>261</v>
      </c>
      <c r="L73" s="16"/>
      <c r="M73" s="16" t="str">
        <f>HYPERLINK("https://ceds.ed.gov/cedselementdetails.aspx?termid=26779")</f>
        <v>https://ceds.ed.gov/cedselementdetails.aspx?termid=26779</v>
      </c>
    </row>
    <row r="74" spans="1:13" ht="244.8" x14ac:dyDescent="0.3">
      <c r="A74" s="16" t="s">
        <v>262</v>
      </c>
      <c r="B74" s="16" t="s">
        <v>263</v>
      </c>
      <c r="C74" s="16" t="s">
        <v>8308</v>
      </c>
      <c r="D74" s="16" t="s">
        <v>264</v>
      </c>
      <c r="E74" s="16"/>
      <c r="F74" s="16"/>
      <c r="G74" s="16"/>
      <c r="H74" s="16"/>
      <c r="I74" s="19" t="s">
        <v>265</v>
      </c>
      <c r="J74" s="16"/>
      <c r="K74" s="16" t="s">
        <v>266</v>
      </c>
      <c r="L74" s="16"/>
      <c r="M74" s="16" t="str">
        <f>HYPERLINK("https://ceds.ed.gov/cedselementdetails.aspx?termid=26778")</f>
        <v>https://ceds.ed.gov/cedselementdetails.aspx?termid=26778</v>
      </c>
    </row>
    <row r="75" spans="1:13" ht="172.8" x14ac:dyDescent="0.3">
      <c r="A75" s="16" t="s">
        <v>267</v>
      </c>
      <c r="B75" s="16" t="s">
        <v>268</v>
      </c>
      <c r="C75" s="16" t="s">
        <v>32</v>
      </c>
      <c r="D75" s="16" t="s">
        <v>264</v>
      </c>
      <c r="E75" s="16"/>
      <c r="F75" s="16" t="s">
        <v>120</v>
      </c>
      <c r="G75" s="16"/>
      <c r="H75" s="16" t="s">
        <v>7817</v>
      </c>
      <c r="I75" s="19" t="s">
        <v>269</v>
      </c>
      <c r="J75" s="16"/>
      <c r="K75" s="16" t="s">
        <v>270</v>
      </c>
      <c r="L75" s="16"/>
      <c r="M75" s="16" t="str">
        <f>HYPERLINK("https://ceds.ed.gov/cedselementdetails.aspx?termid=26777")</f>
        <v>https://ceds.ed.gov/cedselementdetails.aspx?termid=26777</v>
      </c>
    </row>
    <row r="76" spans="1:13" ht="230.4" x14ac:dyDescent="0.3">
      <c r="A76" s="16" t="s">
        <v>271</v>
      </c>
      <c r="B76" s="16" t="s">
        <v>272</v>
      </c>
      <c r="C76" s="16" t="s">
        <v>8309</v>
      </c>
      <c r="D76" s="16" t="s">
        <v>246</v>
      </c>
      <c r="E76" s="16"/>
      <c r="F76" s="16"/>
      <c r="G76" s="16"/>
      <c r="H76" s="16" t="s">
        <v>273</v>
      </c>
      <c r="I76" s="19" t="s">
        <v>274</v>
      </c>
      <c r="J76" s="16"/>
      <c r="K76" s="16" t="s">
        <v>275</v>
      </c>
      <c r="L76" s="16"/>
      <c r="M76" s="16" t="str">
        <f>HYPERLINK("https://ceds.ed.gov/cedselementdetails.aspx?termid=26766")</f>
        <v>https://ceds.ed.gov/cedselementdetails.aspx?termid=26766</v>
      </c>
    </row>
    <row r="77" spans="1:13" ht="201.6" x14ac:dyDescent="0.3">
      <c r="A77" s="16" t="s">
        <v>276</v>
      </c>
      <c r="B77" s="16" t="s">
        <v>277</v>
      </c>
      <c r="C77" s="16" t="s">
        <v>8310</v>
      </c>
      <c r="D77" s="16" t="s">
        <v>278</v>
      </c>
      <c r="E77" s="16"/>
      <c r="F77" s="16"/>
      <c r="G77" s="16"/>
      <c r="H77" s="16"/>
      <c r="I77" s="19" t="s">
        <v>279</v>
      </c>
      <c r="J77" s="16"/>
      <c r="K77" s="16" t="s">
        <v>280</v>
      </c>
      <c r="L77" s="16"/>
      <c r="M77" s="16" t="str">
        <f>HYPERLINK("https://ceds.ed.gov/cedselementdetails.aspx?termid=26770")</f>
        <v>https://ceds.ed.gov/cedselementdetails.aspx?termid=26770</v>
      </c>
    </row>
    <row r="78" spans="1:13" ht="72" x14ac:dyDescent="0.3">
      <c r="A78" s="16" t="s">
        <v>281</v>
      </c>
      <c r="B78" s="16" t="s">
        <v>282</v>
      </c>
      <c r="C78" s="16" t="s">
        <v>8311</v>
      </c>
      <c r="D78" s="16" t="s">
        <v>278</v>
      </c>
      <c r="E78" s="16"/>
      <c r="F78" s="16"/>
      <c r="G78" s="16"/>
      <c r="H78" s="16"/>
      <c r="I78" s="19" t="s">
        <v>283</v>
      </c>
      <c r="J78" s="16"/>
      <c r="K78" s="16" t="s">
        <v>284</v>
      </c>
      <c r="L78" s="16"/>
      <c r="M78" s="16" t="str">
        <f>HYPERLINK("https://ceds.ed.gov/cedselementdetails.aspx?termid=26771")</f>
        <v>https://ceds.ed.gov/cedselementdetails.aspx?termid=26771</v>
      </c>
    </row>
    <row r="79" spans="1:13" ht="216" x14ac:dyDescent="0.3">
      <c r="A79" s="16" t="s">
        <v>285</v>
      </c>
      <c r="B79" s="16" t="s">
        <v>286</v>
      </c>
      <c r="C79" s="16" t="s">
        <v>8312</v>
      </c>
      <c r="D79" s="16" t="s">
        <v>246</v>
      </c>
      <c r="E79" s="16"/>
      <c r="F79" s="16"/>
      <c r="G79" s="16"/>
      <c r="H79" s="16"/>
      <c r="I79" s="19" t="s">
        <v>287</v>
      </c>
      <c r="J79" s="16"/>
      <c r="K79" s="16" t="s">
        <v>288</v>
      </c>
      <c r="L79" s="16"/>
      <c r="M79" s="16" t="str">
        <f>HYPERLINK("https://ceds.ed.gov/cedselementdetails.aspx?termid=26763")</f>
        <v>https://ceds.ed.gov/cedselementdetails.aspx?termid=26763</v>
      </c>
    </row>
    <row r="80" spans="1:13" ht="216" x14ac:dyDescent="0.3">
      <c r="A80" s="16" t="s">
        <v>289</v>
      </c>
      <c r="B80" s="16" t="s">
        <v>290</v>
      </c>
      <c r="C80" s="16" t="s">
        <v>8312</v>
      </c>
      <c r="D80" s="16" t="s">
        <v>12956</v>
      </c>
      <c r="E80" s="16" t="s">
        <v>160</v>
      </c>
      <c r="F80" s="16"/>
      <c r="G80" s="16" t="s">
        <v>12935</v>
      </c>
      <c r="H80" s="16"/>
      <c r="I80" s="19" t="s">
        <v>291</v>
      </c>
      <c r="J80" s="16"/>
      <c r="K80" s="16" t="s">
        <v>292</v>
      </c>
      <c r="L80" s="16"/>
      <c r="M80" s="16" t="str">
        <f>HYPERLINK("https://ceds.ed.gov/cedselementdetails.aspx?termid=26764")</f>
        <v>https://ceds.ed.gov/cedselementdetails.aspx?termid=26764</v>
      </c>
    </row>
    <row r="81" spans="1:13" ht="409.6" x14ac:dyDescent="0.3">
      <c r="A81" s="16" t="s">
        <v>293</v>
      </c>
      <c r="B81" s="16" t="s">
        <v>7826</v>
      </c>
      <c r="C81" s="16" t="s">
        <v>8313</v>
      </c>
      <c r="D81" s="16" t="s">
        <v>294</v>
      </c>
      <c r="E81" s="16"/>
      <c r="F81" s="16" t="s">
        <v>145</v>
      </c>
      <c r="G81" s="16"/>
      <c r="H81" s="16"/>
      <c r="I81" s="19" t="s">
        <v>295</v>
      </c>
      <c r="J81" s="16" t="s">
        <v>296</v>
      </c>
      <c r="K81" s="16" t="s">
        <v>297</v>
      </c>
      <c r="L81" s="16"/>
      <c r="M81" s="16" t="str">
        <f>HYPERLINK("https://ceds.ed.gov/cedselementdetails.aspx?termid=27244")</f>
        <v>https://ceds.ed.gov/cedselementdetails.aspx?termid=27244</v>
      </c>
    </row>
    <row r="82" spans="1:13" ht="57.6" x14ac:dyDescent="0.3">
      <c r="A82" s="16" t="s">
        <v>298</v>
      </c>
      <c r="B82" s="16" t="s">
        <v>299</v>
      </c>
      <c r="C82" s="16" t="s">
        <v>22</v>
      </c>
      <c r="D82" s="16" t="s">
        <v>217</v>
      </c>
      <c r="E82" s="16"/>
      <c r="F82" s="16"/>
      <c r="G82" s="16"/>
      <c r="H82" s="16"/>
      <c r="I82" s="19" t="s">
        <v>300</v>
      </c>
      <c r="J82" s="16" t="s">
        <v>301</v>
      </c>
      <c r="K82" s="16" t="s">
        <v>302</v>
      </c>
      <c r="L82" s="16" t="s">
        <v>25</v>
      </c>
      <c r="M82" s="16" t="str">
        <f>HYPERLINK("https://ceds.ed.gov/cedselementdetails.aspx?termid=26017")</f>
        <v>https://ceds.ed.gov/cedselementdetails.aspx?termid=26017</v>
      </c>
    </row>
    <row r="83" spans="1:13" ht="72" x14ac:dyDescent="0.3">
      <c r="A83" s="16" t="s">
        <v>303</v>
      </c>
      <c r="B83" s="16" t="s">
        <v>7827</v>
      </c>
      <c r="C83" s="16" t="s">
        <v>32</v>
      </c>
      <c r="D83" s="16" t="s">
        <v>304</v>
      </c>
      <c r="E83" s="16"/>
      <c r="F83" s="16" t="s">
        <v>305</v>
      </c>
      <c r="G83" s="16"/>
      <c r="H83" s="16"/>
      <c r="I83" s="19" t="s">
        <v>306</v>
      </c>
      <c r="J83" s="16" t="s">
        <v>307</v>
      </c>
      <c r="K83" s="16" t="s">
        <v>308</v>
      </c>
      <c r="L83" s="16" t="s">
        <v>58</v>
      </c>
      <c r="M83" s="16" t="str">
        <f>HYPERLINK("https://ceds.ed.gov/cedselementdetails.aspx?termid=26018")</f>
        <v>https://ceds.ed.gov/cedselementdetails.aspx?termid=26018</v>
      </c>
    </row>
    <row r="84" spans="1:13" ht="172.8" x14ac:dyDescent="0.3">
      <c r="A84" s="16" t="s">
        <v>309</v>
      </c>
      <c r="B84" s="16" t="s">
        <v>310</v>
      </c>
      <c r="C84" s="16" t="s">
        <v>32</v>
      </c>
      <c r="D84" s="16" t="s">
        <v>311</v>
      </c>
      <c r="E84" s="16"/>
      <c r="F84" s="16" t="s">
        <v>120</v>
      </c>
      <c r="G84" s="16"/>
      <c r="H84" s="16" t="s">
        <v>7817</v>
      </c>
      <c r="I84" s="19" t="s">
        <v>312</v>
      </c>
      <c r="J84" s="16"/>
      <c r="K84" s="16" t="s">
        <v>313</v>
      </c>
      <c r="L84" s="16"/>
      <c r="M84" s="16" t="str">
        <f>HYPERLINK("https://ceds.ed.gov/cedselementdetails.aspx?termid=27246")</f>
        <v>https://ceds.ed.gov/cedselementdetails.aspx?termid=27246</v>
      </c>
    </row>
    <row r="85" spans="1:13" ht="129.6" x14ac:dyDescent="0.3">
      <c r="A85" s="16" t="s">
        <v>12675</v>
      </c>
      <c r="B85" s="16" t="s">
        <v>12676</v>
      </c>
      <c r="C85" s="16" t="s">
        <v>12891</v>
      </c>
      <c r="D85" s="16" t="s">
        <v>4442</v>
      </c>
      <c r="E85" s="16" t="s">
        <v>155</v>
      </c>
      <c r="F85" s="16" t="s">
        <v>2</v>
      </c>
      <c r="G85" s="16" t="s">
        <v>12636</v>
      </c>
      <c r="H85" s="16" t="s">
        <v>12677</v>
      </c>
      <c r="I85" s="19" t="s">
        <v>12678</v>
      </c>
      <c r="J85" s="16"/>
      <c r="K85" s="16" t="s">
        <v>12679</v>
      </c>
      <c r="L85" s="16"/>
      <c r="M85" s="16" t="str">
        <f>HYPERLINK("https://ceds.ed.gov/cedselementdetails.aspx?termid=28105")</f>
        <v>https://ceds.ed.gov/cedselementdetails.aspx?termid=28105</v>
      </c>
    </row>
    <row r="86" spans="1:13" ht="43.2" x14ac:dyDescent="0.3">
      <c r="A86" s="16" t="s">
        <v>314</v>
      </c>
      <c r="B86" s="16" t="s">
        <v>315</v>
      </c>
      <c r="C86" s="16" t="s">
        <v>32</v>
      </c>
      <c r="D86" s="16" t="s">
        <v>8314</v>
      </c>
      <c r="E86" s="16"/>
      <c r="F86" s="16" t="s">
        <v>316</v>
      </c>
      <c r="G86" s="16"/>
      <c r="H86" s="16"/>
      <c r="I86" s="19" t="s">
        <v>317</v>
      </c>
      <c r="J86" s="16"/>
      <c r="K86" s="16" t="s">
        <v>318</v>
      </c>
      <c r="L86" s="16"/>
      <c r="M86" s="16" t="str">
        <f>HYPERLINK("https://ceds.ed.gov/cedselementdetails.aspx?termid=27247")</f>
        <v>https://ceds.ed.gov/cedselementdetails.aspx?termid=27247</v>
      </c>
    </row>
    <row r="87" spans="1:13" ht="43.2" x14ac:dyDescent="0.3">
      <c r="A87" s="16" t="s">
        <v>319</v>
      </c>
      <c r="B87" s="16" t="s">
        <v>320</v>
      </c>
      <c r="C87" s="16" t="s">
        <v>8315</v>
      </c>
      <c r="D87" s="16" t="s">
        <v>8314</v>
      </c>
      <c r="E87" s="16"/>
      <c r="F87" s="16"/>
      <c r="G87" s="16"/>
      <c r="H87" s="16"/>
      <c r="I87" s="19" t="s">
        <v>321</v>
      </c>
      <c r="J87" s="16"/>
      <c r="K87" s="16" t="s">
        <v>322</v>
      </c>
      <c r="L87" s="16"/>
      <c r="M87" s="16" t="str">
        <f>HYPERLINK("https://ceds.ed.gov/cedselementdetails.aspx?termid=27248")</f>
        <v>https://ceds.ed.gov/cedselementdetails.aspx?termid=27248</v>
      </c>
    </row>
    <row r="88" spans="1:13" ht="409.6" x14ac:dyDescent="0.3">
      <c r="A88" s="16" t="s">
        <v>323</v>
      </c>
      <c r="B88" s="16" t="s">
        <v>324</v>
      </c>
      <c r="C88" s="16" t="s">
        <v>8316</v>
      </c>
      <c r="D88" s="16" t="s">
        <v>8314</v>
      </c>
      <c r="E88" s="16"/>
      <c r="F88" s="16"/>
      <c r="G88" s="16"/>
      <c r="H88" s="16" t="s">
        <v>325</v>
      </c>
      <c r="I88" s="19" t="s">
        <v>326</v>
      </c>
      <c r="J88" s="16"/>
      <c r="K88" s="16" t="s">
        <v>327</v>
      </c>
      <c r="L88" s="16"/>
      <c r="M88" s="16" t="str">
        <f>HYPERLINK("https://ceds.ed.gov/cedselementdetails.aspx?termid=27249")</f>
        <v>https://ceds.ed.gov/cedselementdetails.aspx?termid=27249</v>
      </c>
    </row>
    <row r="89" spans="1:13" ht="57.6" x14ac:dyDescent="0.3">
      <c r="A89" s="16" t="s">
        <v>328</v>
      </c>
      <c r="B89" s="16" t="s">
        <v>329</v>
      </c>
      <c r="C89" s="16" t="s">
        <v>22</v>
      </c>
      <c r="D89" s="16" t="s">
        <v>198</v>
      </c>
      <c r="E89" s="16"/>
      <c r="F89" s="16"/>
      <c r="G89" s="16"/>
      <c r="H89" s="16"/>
      <c r="I89" s="19" t="s">
        <v>330</v>
      </c>
      <c r="J89" s="16" t="s">
        <v>331</v>
      </c>
      <c r="K89" s="16" t="s">
        <v>332</v>
      </c>
      <c r="L89" s="16" t="s">
        <v>214</v>
      </c>
      <c r="M89" s="16" t="str">
        <f>HYPERLINK("https://ceds.ed.gov/cedselementdetails.aspx?termid=26014")</f>
        <v>https://ceds.ed.gov/cedselementdetails.aspx?termid=26014</v>
      </c>
    </row>
    <row r="90" spans="1:13" ht="43.2" x14ac:dyDescent="0.3">
      <c r="A90" s="16" t="s">
        <v>333</v>
      </c>
      <c r="B90" s="16" t="s">
        <v>334</v>
      </c>
      <c r="C90" s="16" t="s">
        <v>32</v>
      </c>
      <c r="D90" s="16" t="s">
        <v>335</v>
      </c>
      <c r="E90" s="16"/>
      <c r="F90" s="16" t="s">
        <v>81</v>
      </c>
      <c r="G90" s="16"/>
      <c r="H90" s="16"/>
      <c r="I90" s="19" t="s">
        <v>336</v>
      </c>
      <c r="J90" s="16"/>
      <c r="K90" s="16" t="s">
        <v>337</v>
      </c>
      <c r="L90" s="16"/>
      <c r="M90" s="16" t="str">
        <f>HYPERLINK("https://ceds.ed.gov/cedselementdetails.aspx?termid=26591")</f>
        <v>https://ceds.ed.gov/cedselementdetails.aspx?termid=26591</v>
      </c>
    </row>
    <row r="91" spans="1:13" ht="144" x14ac:dyDescent="0.3">
      <c r="A91" s="16" t="s">
        <v>12680</v>
      </c>
      <c r="B91" s="16" t="s">
        <v>12681</v>
      </c>
      <c r="C91" s="16" t="s">
        <v>12895</v>
      </c>
      <c r="D91" s="16" t="s">
        <v>12887</v>
      </c>
      <c r="E91" s="16" t="s">
        <v>155</v>
      </c>
      <c r="F91" s="16" t="s">
        <v>2</v>
      </c>
      <c r="G91" s="16" t="s">
        <v>12636</v>
      </c>
      <c r="H91" s="16"/>
      <c r="I91" s="19" t="s">
        <v>12682</v>
      </c>
      <c r="J91" s="16"/>
      <c r="K91" s="16" t="s">
        <v>12683</v>
      </c>
      <c r="L91" s="16"/>
      <c r="M91" s="16" t="str">
        <f>HYPERLINK("https://ceds.ed.gov/cedselementdetails.aspx?termid=28125")</f>
        <v>https://ceds.ed.gov/cedselementdetails.aspx?termid=28125</v>
      </c>
    </row>
    <row r="92" spans="1:13" ht="57.6" x14ac:dyDescent="0.3">
      <c r="A92" s="16" t="s">
        <v>338</v>
      </c>
      <c r="B92" s="16" t="s">
        <v>339</v>
      </c>
      <c r="C92" s="16" t="s">
        <v>8317</v>
      </c>
      <c r="D92" s="16" t="s">
        <v>340</v>
      </c>
      <c r="E92" s="16"/>
      <c r="F92" s="16"/>
      <c r="G92" s="16"/>
      <c r="H92" s="16"/>
      <c r="I92" s="19" t="s">
        <v>341</v>
      </c>
      <c r="J92" s="16"/>
      <c r="K92" s="16" t="s">
        <v>342</v>
      </c>
      <c r="L92" s="16" t="s">
        <v>343</v>
      </c>
      <c r="M92" s="16" t="str">
        <f>HYPERLINK("https://ceds.ed.gov/cedselementdetails.aspx?termid=26751")</f>
        <v>https://ceds.ed.gov/cedselementdetails.aspx?termid=26751</v>
      </c>
    </row>
    <row r="93" spans="1:13" ht="100.8" x14ac:dyDescent="0.3">
      <c r="A93" s="16" t="s">
        <v>344</v>
      </c>
      <c r="B93" s="16" t="s">
        <v>345</v>
      </c>
      <c r="C93" s="16" t="s">
        <v>8318</v>
      </c>
      <c r="D93" s="16" t="s">
        <v>217</v>
      </c>
      <c r="E93" s="16"/>
      <c r="F93" s="16"/>
      <c r="G93" s="16"/>
      <c r="H93" s="16"/>
      <c r="I93" s="19" t="s">
        <v>346</v>
      </c>
      <c r="J93" s="16"/>
      <c r="K93" s="16" t="s">
        <v>347</v>
      </c>
      <c r="L93" s="16" t="s">
        <v>25</v>
      </c>
      <c r="M93" s="16" t="str">
        <f>HYPERLINK("https://ceds.ed.gov/cedselementdetails.aspx?termid=26015")</f>
        <v>https://ceds.ed.gov/cedselementdetails.aspx?termid=26015</v>
      </c>
    </row>
    <row r="94" spans="1:13" ht="244.8" x14ac:dyDescent="0.3">
      <c r="A94" s="16" t="s">
        <v>348</v>
      </c>
      <c r="B94" s="16" t="s">
        <v>349</v>
      </c>
      <c r="C94" s="16" t="s">
        <v>8319</v>
      </c>
      <c r="D94" s="16" t="s">
        <v>8320</v>
      </c>
      <c r="E94" s="16"/>
      <c r="F94" s="16"/>
      <c r="G94" s="16"/>
      <c r="H94" s="16" t="s">
        <v>7828</v>
      </c>
      <c r="I94" s="19" t="s">
        <v>350</v>
      </c>
      <c r="J94" s="16" t="s">
        <v>351</v>
      </c>
      <c r="K94" s="16" t="s">
        <v>352</v>
      </c>
      <c r="L94" s="16" t="s">
        <v>353</v>
      </c>
      <c r="M94" s="16" t="str">
        <f>HYPERLINK("https://ceds.ed.gov/cedselementdetails.aspx?termid=26655")</f>
        <v>https://ceds.ed.gov/cedselementdetails.aspx?termid=26655</v>
      </c>
    </row>
    <row r="95" spans="1:13" ht="43.2" x14ac:dyDescent="0.3">
      <c r="A95" s="16" t="s">
        <v>354</v>
      </c>
      <c r="B95" s="16" t="s">
        <v>355</v>
      </c>
      <c r="C95" s="16" t="s">
        <v>32</v>
      </c>
      <c r="D95" s="16" t="s">
        <v>9352</v>
      </c>
      <c r="E95" s="16"/>
      <c r="F95" s="16" t="s">
        <v>305</v>
      </c>
      <c r="G95" s="16"/>
      <c r="H95" s="16" t="s">
        <v>356</v>
      </c>
      <c r="I95" s="19" t="s">
        <v>357</v>
      </c>
      <c r="J95" s="16"/>
      <c r="K95" s="16" t="s">
        <v>358</v>
      </c>
      <c r="L95" s="16" t="s">
        <v>69</v>
      </c>
      <c r="M95" s="16" t="str">
        <f>HYPERLINK("https://ceds.ed.gov/cedselementdetails.aspx?termid=26722")</f>
        <v>https://ceds.ed.gov/cedselementdetails.aspx?termid=26722</v>
      </c>
    </row>
    <row r="96" spans="1:13" ht="57.6" x14ac:dyDescent="0.3">
      <c r="A96" s="16" t="s">
        <v>12684</v>
      </c>
      <c r="B96" s="16" t="s">
        <v>12685</v>
      </c>
      <c r="C96" s="16" t="s">
        <v>32</v>
      </c>
      <c r="D96" s="16" t="s">
        <v>7934</v>
      </c>
      <c r="E96" s="16" t="s">
        <v>155</v>
      </c>
      <c r="F96" s="16" t="s">
        <v>106</v>
      </c>
      <c r="G96" s="16" t="s">
        <v>12636</v>
      </c>
      <c r="H96" s="16"/>
      <c r="I96" s="19" t="s">
        <v>12686</v>
      </c>
      <c r="J96" s="16"/>
      <c r="K96" s="16" t="s">
        <v>12687</v>
      </c>
      <c r="L96" s="16"/>
      <c r="M96" s="16" t="str">
        <f>HYPERLINK("https://ceds.ed.gov/cedselementdetails.aspx?termid=28106")</f>
        <v>https://ceds.ed.gov/cedselementdetails.aspx?termid=28106</v>
      </c>
    </row>
    <row r="97" spans="1:13" ht="28.8" x14ac:dyDescent="0.3">
      <c r="A97" s="16" t="s">
        <v>359</v>
      </c>
      <c r="B97" s="16" t="s">
        <v>360</v>
      </c>
      <c r="C97" s="16" t="s">
        <v>32</v>
      </c>
      <c r="D97" s="16" t="s">
        <v>361</v>
      </c>
      <c r="E97" s="16"/>
      <c r="F97" s="16" t="s">
        <v>136</v>
      </c>
      <c r="G97" s="16"/>
      <c r="H97" s="16"/>
      <c r="I97" s="19" t="s">
        <v>362</v>
      </c>
      <c r="J97" s="16"/>
      <c r="K97" s="16" t="s">
        <v>363</v>
      </c>
      <c r="L97" s="16"/>
      <c r="M97" s="16" t="str">
        <f>HYPERLINK("https://ceds.ed.gov/cedselementdetails.aspx?termid=27504")</f>
        <v>https://ceds.ed.gov/cedselementdetails.aspx?termid=27504</v>
      </c>
    </row>
    <row r="98" spans="1:13" ht="43.2" x14ac:dyDescent="0.3">
      <c r="A98" s="16" t="s">
        <v>364</v>
      </c>
      <c r="B98" s="16" t="s">
        <v>365</v>
      </c>
      <c r="C98" s="16" t="s">
        <v>22</v>
      </c>
      <c r="D98" s="16" t="s">
        <v>198</v>
      </c>
      <c r="E98" s="16"/>
      <c r="F98" s="16"/>
      <c r="G98" s="16"/>
      <c r="H98" s="16"/>
      <c r="I98" s="19" t="s">
        <v>366</v>
      </c>
      <c r="J98" s="16" t="s">
        <v>367</v>
      </c>
      <c r="K98" s="16" t="s">
        <v>368</v>
      </c>
      <c r="L98" s="16" t="s">
        <v>202</v>
      </c>
      <c r="M98" s="16" t="str">
        <f>HYPERLINK("https://ceds.ed.gov/cedselementdetails.aspx?termid=26432")</f>
        <v>https://ceds.ed.gov/cedselementdetails.aspx?termid=26432</v>
      </c>
    </row>
    <row r="99" spans="1:13" ht="273.60000000000002" x14ac:dyDescent="0.3">
      <c r="A99" s="16" t="s">
        <v>369</v>
      </c>
      <c r="B99" s="16" t="s">
        <v>7829</v>
      </c>
      <c r="C99" s="16" t="s">
        <v>32</v>
      </c>
      <c r="D99" s="16" t="s">
        <v>8321</v>
      </c>
      <c r="E99" s="16"/>
      <c r="F99" s="16" t="s">
        <v>106</v>
      </c>
      <c r="G99" s="16"/>
      <c r="H99" s="16"/>
      <c r="I99" s="19" t="s">
        <v>370</v>
      </c>
      <c r="J99" s="16"/>
      <c r="K99" s="16" t="s">
        <v>371</v>
      </c>
      <c r="L99" s="16" t="s">
        <v>372</v>
      </c>
      <c r="M99" s="16" t="str">
        <f>HYPERLINK("https://ceds.ed.gov/cedselementdetails.aspx?termid=26323")</f>
        <v>https://ceds.ed.gov/cedselementdetails.aspx?termid=26323</v>
      </c>
    </row>
    <row r="100" spans="1:13" ht="244.8" x14ac:dyDescent="0.3">
      <c r="A100" s="16" t="s">
        <v>373</v>
      </c>
      <c r="B100" s="16" t="s">
        <v>374</v>
      </c>
      <c r="C100" s="16" t="s">
        <v>8319</v>
      </c>
      <c r="D100" s="16" t="s">
        <v>8320</v>
      </c>
      <c r="E100" s="16"/>
      <c r="F100" s="16"/>
      <c r="G100" s="16"/>
      <c r="H100" s="16" t="s">
        <v>7828</v>
      </c>
      <c r="I100" s="19" t="s">
        <v>375</v>
      </c>
      <c r="J100" s="16" t="s">
        <v>376</v>
      </c>
      <c r="K100" s="16" t="s">
        <v>373</v>
      </c>
      <c r="L100" s="16" t="s">
        <v>353</v>
      </c>
      <c r="M100" s="16" t="str">
        <f>HYPERLINK("https://ceds.ed.gov/cedselementdetails.aspx?termid=26656")</f>
        <v>https://ceds.ed.gov/cedselementdetails.aspx?termid=26656</v>
      </c>
    </row>
    <row r="101" spans="1:13" ht="302.39999999999998" x14ac:dyDescent="0.3">
      <c r="A101" s="16" t="s">
        <v>377</v>
      </c>
      <c r="B101" s="16" t="s">
        <v>378</v>
      </c>
      <c r="C101" s="16" t="s">
        <v>8322</v>
      </c>
      <c r="D101" s="16" t="s">
        <v>379</v>
      </c>
      <c r="E101" s="16"/>
      <c r="F101" s="16"/>
      <c r="G101" s="16"/>
      <c r="H101" s="16"/>
      <c r="I101" s="19" t="s">
        <v>380</v>
      </c>
      <c r="J101" s="16"/>
      <c r="K101" s="16" t="s">
        <v>381</v>
      </c>
      <c r="L101" s="16" t="s">
        <v>382</v>
      </c>
      <c r="M101" s="16" t="str">
        <f>HYPERLINK("https://ceds.ed.gov/cedselementdetails.aspx?termid=26021")</f>
        <v>https://ceds.ed.gov/cedselementdetails.aspx?termid=26021</v>
      </c>
    </row>
    <row r="102" spans="1:13" ht="216" x14ac:dyDescent="0.3">
      <c r="A102" s="16" t="s">
        <v>383</v>
      </c>
      <c r="B102" s="16" t="s">
        <v>384</v>
      </c>
      <c r="C102" s="16" t="s">
        <v>8323</v>
      </c>
      <c r="D102" s="16" t="s">
        <v>385</v>
      </c>
      <c r="E102" s="16"/>
      <c r="F102" s="16"/>
      <c r="G102" s="16"/>
      <c r="H102" s="16"/>
      <c r="I102" s="19" t="s">
        <v>386</v>
      </c>
      <c r="J102" s="16"/>
      <c r="K102" s="16" t="s">
        <v>387</v>
      </c>
      <c r="L102" s="16" t="s">
        <v>84</v>
      </c>
      <c r="M102" s="16" t="str">
        <f>HYPERLINK("https://ceds.ed.gov/cedselementdetails.aspx?termid=26374")</f>
        <v>https://ceds.ed.gov/cedselementdetails.aspx?termid=26374</v>
      </c>
    </row>
    <row r="103" spans="1:13" ht="72" x14ac:dyDescent="0.3">
      <c r="A103" s="16" t="s">
        <v>388</v>
      </c>
      <c r="B103" s="16" t="s">
        <v>389</v>
      </c>
      <c r="C103" s="16" t="s">
        <v>32</v>
      </c>
      <c r="D103" s="16" t="s">
        <v>390</v>
      </c>
      <c r="E103" s="16"/>
      <c r="F103" s="16" t="s">
        <v>145</v>
      </c>
      <c r="G103" s="16"/>
      <c r="H103" s="16" t="s">
        <v>7830</v>
      </c>
      <c r="I103" s="19" t="s">
        <v>391</v>
      </c>
      <c r="J103" s="16"/>
      <c r="K103" s="16" t="s">
        <v>392</v>
      </c>
      <c r="L103" s="16"/>
      <c r="M103" s="16" t="str">
        <f>HYPERLINK("https://ceds.ed.gov/cedselementdetails.aspx?termid=26968")</f>
        <v>https://ceds.ed.gov/cedselementdetails.aspx?termid=26968</v>
      </c>
    </row>
    <row r="104" spans="1:13" ht="43.2" x14ac:dyDescent="0.3">
      <c r="A104" s="16" t="s">
        <v>393</v>
      </c>
      <c r="B104" s="16" t="s">
        <v>394</v>
      </c>
      <c r="C104" s="16" t="s">
        <v>32</v>
      </c>
      <c r="D104" s="16" t="s">
        <v>390</v>
      </c>
      <c r="E104" s="16"/>
      <c r="F104" s="16" t="s">
        <v>81</v>
      </c>
      <c r="G104" s="16"/>
      <c r="H104" s="16"/>
      <c r="I104" s="19" t="s">
        <v>395</v>
      </c>
      <c r="J104" s="16"/>
      <c r="K104" s="16" t="s">
        <v>396</v>
      </c>
      <c r="L104" s="16"/>
      <c r="M104" s="16" t="str">
        <f>HYPERLINK("https://ceds.ed.gov/cedselementdetails.aspx?termid=26962")</f>
        <v>https://ceds.ed.gov/cedselementdetails.aspx?termid=26962</v>
      </c>
    </row>
    <row r="105" spans="1:13" ht="43.2" x14ac:dyDescent="0.3">
      <c r="A105" s="16" t="s">
        <v>397</v>
      </c>
      <c r="B105" s="16" t="s">
        <v>398</v>
      </c>
      <c r="C105" s="16" t="s">
        <v>32</v>
      </c>
      <c r="D105" s="16" t="s">
        <v>390</v>
      </c>
      <c r="E105" s="16"/>
      <c r="F105" s="16" t="s">
        <v>106</v>
      </c>
      <c r="G105" s="16"/>
      <c r="H105" s="16"/>
      <c r="I105" s="19" t="s">
        <v>399</v>
      </c>
      <c r="J105" s="16"/>
      <c r="K105" s="16" t="s">
        <v>400</v>
      </c>
      <c r="L105" s="16"/>
      <c r="M105" s="16" t="str">
        <f>HYPERLINK("https://ceds.ed.gov/cedselementdetails.aspx?termid=26965")</f>
        <v>https://ceds.ed.gov/cedselementdetails.aspx?termid=26965</v>
      </c>
    </row>
    <row r="106" spans="1:13" ht="43.2" x14ac:dyDescent="0.3">
      <c r="A106" s="16" t="s">
        <v>401</v>
      </c>
      <c r="B106" s="16" t="s">
        <v>402</v>
      </c>
      <c r="C106" s="16" t="s">
        <v>32</v>
      </c>
      <c r="D106" s="16" t="s">
        <v>390</v>
      </c>
      <c r="E106" s="16"/>
      <c r="F106" s="16" t="s">
        <v>403</v>
      </c>
      <c r="G106" s="16"/>
      <c r="H106" s="16"/>
      <c r="I106" s="19" t="s">
        <v>404</v>
      </c>
      <c r="J106" s="16"/>
      <c r="K106" s="16" t="s">
        <v>405</v>
      </c>
      <c r="L106" s="16"/>
      <c r="M106" s="16" t="str">
        <f>HYPERLINK("https://ceds.ed.gov/cedselementdetails.aspx?termid=26966")</f>
        <v>https://ceds.ed.gov/cedselementdetails.aspx?termid=26966</v>
      </c>
    </row>
    <row r="107" spans="1:13" x14ac:dyDescent="0.3">
      <c r="A107" s="16" t="s">
        <v>406</v>
      </c>
      <c r="B107" s="16" t="s">
        <v>407</v>
      </c>
      <c r="C107" s="16" t="s">
        <v>32</v>
      </c>
      <c r="D107" s="16" t="s">
        <v>390</v>
      </c>
      <c r="E107" s="16"/>
      <c r="F107" s="16" t="s">
        <v>81</v>
      </c>
      <c r="G107" s="16"/>
      <c r="H107" s="16"/>
      <c r="I107" s="19" t="s">
        <v>408</v>
      </c>
      <c r="J107" s="16"/>
      <c r="K107" s="16" t="s">
        <v>409</v>
      </c>
      <c r="L107" s="16"/>
      <c r="M107" s="16" t="str">
        <f>HYPERLINK("https://ceds.ed.gov/cedselementdetails.aspx?termid=26978")</f>
        <v>https://ceds.ed.gov/cedselementdetails.aspx?termid=26978</v>
      </c>
    </row>
    <row r="108" spans="1:13" ht="28.8" x14ac:dyDescent="0.3">
      <c r="A108" s="16" t="s">
        <v>410</v>
      </c>
      <c r="B108" s="16" t="s">
        <v>411</v>
      </c>
      <c r="C108" s="16" t="s">
        <v>32</v>
      </c>
      <c r="D108" s="16" t="s">
        <v>390</v>
      </c>
      <c r="E108" s="16"/>
      <c r="F108" s="16" t="s">
        <v>145</v>
      </c>
      <c r="G108" s="16"/>
      <c r="H108" s="16"/>
      <c r="I108" s="19" t="s">
        <v>412</v>
      </c>
      <c r="J108" s="16"/>
      <c r="K108" s="16" t="s">
        <v>413</v>
      </c>
      <c r="L108" s="16"/>
      <c r="M108" s="16" t="str">
        <f>HYPERLINK("https://ceds.ed.gov/cedselementdetails.aspx?termid=26967")</f>
        <v>https://ceds.ed.gov/cedselementdetails.aspx?termid=26967</v>
      </c>
    </row>
    <row r="109" spans="1:13" ht="43.2" x14ac:dyDescent="0.3">
      <c r="A109" s="16" t="s">
        <v>414</v>
      </c>
      <c r="B109" s="16" t="s">
        <v>415</v>
      </c>
      <c r="C109" s="16" t="s">
        <v>32</v>
      </c>
      <c r="D109" s="16" t="s">
        <v>390</v>
      </c>
      <c r="E109" s="16"/>
      <c r="F109" s="16" t="s">
        <v>101</v>
      </c>
      <c r="G109" s="16"/>
      <c r="H109" s="16"/>
      <c r="I109" s="19" t="s">
        <v>416</v>
      </c>
      <c r="J109" s="16"/>
      <c r="K109" s="16" t="s">
        <v>417</v>
      </c>
      <c r="L109" s="16"/>
      <c r="M109" s="16" t="str">
        <f>HYPERLINK("https://ceds.ed.gov/cedselementdetails.aspx?termid=27506")</f>
        <v>https://ceds.ed.gov/cedselementdetails.aspx?termid=27506</v>
      </c>
    </row>
    <row r="110" spans="1:13" ht="43.2" x14ac:dyDescent="0.3">
      <c r="A110" s="16" t="s">
        <v>418</v>
      </c>
      <c r="B110" s="16" t="s">
        <v>419</v>
      </c>
      <c r="C110" s="16" t="s">
        <v>32</v>
      </c>
      <c r="D110" s="16" t="s">
        <v>390</v>
      </c>
      <c r="E110" s="16"/>
      <c r="F110" s="16" t="s">
        <v>106</v>
      </c>
      <c r="G110" s="16"/>
      <c r="H110" s="16"/>
      <c r="I110" s="19" t="s">
        <v>420</v>
      </c>
      <c r="J110" s="16"/>
      <c r="K110" s="16" t="s">
        <v>421</v>
      </c>
      <c r="L110" s="16"/>
      <c r="M110" s="16" t="str">
        <f>HYPERLINK("https://ceds.ed.gov/cedselementdetails.aspx?termid=26963")</f>
        <v>https://ceds.ed.gov/cedselementdetails.aspx?termid=26963</v>
      </c>
    </row>
    <row r="111" spans="1:13" ht="43.2" x14ac:dyDescent="0.3">
      <c r="A111" s="16" t="s">
        <v>422</v>
      </c>
      <c r="B111" s="16" t="s">
        <v>423</v>
      </c>
      <c r="C111" s="16" t="s">
        <v>32</v>
      </c>
      <c r="D111" s="16" t="s">
        <v>390</v>
      </c>
      <c r="E111" s="16"/>
      <c r="F111" s="16" t="s">
        <v>403</v>
      </c>
      <c r="G111" s="16"/>
      <c r="H111" s="16"/>
      <c r="I111" s="19" t="s">
        <v>424</v>
      </c>
      <c r="J111" s="16"/>
      <c r="K111" s="16" t="s">
        <v>425</v>
      </c>
      <c r="L111" s="16"/>
      <c r="M111" s="16" t="str">
        <f>HYPERLINK("https://ceds.ed.gov/cedselementdetails.aspx?termid=26964")</f>
        <v>https://ceds.ed.gov/cedselementdetails.aspx?termid=26964</v>
      </c>
    </row>
    <row r="112" spans="1:13" ht="28.8" x14ac:dyDescent="0.3">
      <c r="A112" s="16" t="s">
        <v>426</v>
      </c>
      <c r="B112" s="16" t="s">
        <v>427</v>
      </c>
      <c r="C112" s="16" t="s">
        <v>32</v>
      </c>
      <c r="D112" s="16" t="s">
        <v>428</v>
      </c>
      <c r="E112" s="16"/>
      <c r="F112" s="16" t="s">
        <v>316</v>
      </c>
      <c r="G112" s="16"/>
      <c r="H112" s="16"/>
      <c r="I112" s="19" t="s">
        <v>429</v>
      </c>
      <c r="J112" s="16"/>
      <c r="K112" s="16" t="s">
        <v>430</v>
      </c>
      <c r="L112" s="16"/>
      <c r="M112" s="16" t="str">
        <f>HYPERLINK("https://ceds.ed.gov/cedselementdetails.aspx?termid=27154")</f>
        <v>https://ceds.ed.gov/cedselementdetails.aspx?termid=27154</v>
      </c>
    </row>
    <row r="113" spans="1:13" ht="43.2" x14ac:dyDescent="0.3">
      <c r="A113" s="16" t="s">
        <v>431</v>
      </c>
      <c r="B113" s="16" t="s">
        <v>432</v>
      </c>
      <c r="C113" s="16" t="s">
        <v>32</v>
      </c>
      <c r="D113" s="16" t="s">
        <v>428</v>
      </c>
      <c r="E113" s="16"/>
      <c r="F113" s="16" t="s">
        <v>50</v>
      </c>
      <c r="G113" s="16"/>
      <c r="H113" s="16"/>
      <c r="I113" s="19" t="s">
        <v>433</v>
      </c>
      <c r="J113" s="16"/>
      <c r="K113" s="16" t="s">
        <v>434</v>
      </c>
      <c r="L113" s="16"/>
      <c r="M113" s="16" t="str">
        <f>HYPERLINK("https://ceds.ed.gov/cedselementdetails.aspx?termid=27155")</f>
        <v>https://ceds.ed.gov/cedselementdetails.aspx?termid=27155</v>
      </c>
    </row>
    <row r="114" spans="1:13" ht="28.8" x14ac:dyDescent="0.3">
      <c r="A114" s="16" t="s">
        <v>435</v>
      </c>
      <c r="B114" s="16" t="s">
        <v>436</v>
      </c>
      <c r="C114" s="16" t="s">
        <v>32</v>
      </c>
      <c r="D114" s="16" t="s">
        <v>428</v>
      </c>
      <c r="E114" s="16"/>
      <c r="F114" s="16" t="s">
        <v>316</v>
      </c>
      <c r="G114" s="16"/>
      <c r="H114" s="16"/>
      <c r="I114" s="19" t="s">
        <v>437</v>
      </c>
      <c r="J114" s="16"/>
      <c r="K114" s="16" t="s">
        <v>438</v>
      </c>
      <c r="L114" s="16"/>
      <c r="M114" s="16" t="str">
        <f>HYPERLINK("https://ceds.ed.gov/cedselementdetails.aspx?termid=27153")</f>
        <v>https://ceds.ed.gov/cedselementdetails.aspx?termid=27153</v>
      </c>
    </row>
    <row r="115" spans="1:13" ht="172.8" x14ac:dyDescent="0.3">
      <c r="A115" s="16" t="s">
        <v>439</v>
      </c>
      <c r="B115" s="16" t="s">
        <v>440</v>
      </c>
      <c r="C115" s="16" t="s">
        <v>32</v>
      </c>
      <c r="D115" s="16" t="s">
        <v>428</v>
      </c>
      <c r="E115" s="16"/>
      <c r="F115" s="16" t="s">
        <v>120</v>
      </c>
      <c r="G115" s="16"/>
      <c r="H115" s="16" t="s">
        <v>7817</v>
      </c>
      <c r="I115" s="19" t="s">
        <v>441</v>
      </c>
      <c r="J115" s="16"/>
      <c r="K115" s="16" t="s">
        <v>442</v>
      </c>
      <c r="L115" s="16"/>
      <c r="M115" s="16" t="str">
        <f>HYPERLINK("https://ceds.ed.gov/cedselementdetails.aspx?termid=27149")</f>
        <v>https://ceds.ed.gov/cedselementdetails.aspx?termid=27149</v>
      </c>
    </row>
    <row r="116" spans="1:13" ht="86.4" x14ac:dyDescent="0.3">
      <c r="A116" s="16" t="s">
        <v>443</v>
      </c>
      <c r="B116" s="16" t="s">
        <v>444</v>
      </c>
      <c r="C116" s="16" t="s">
        <v>8324</v>
      </c>
      <c r="D116" s="16" t="s">
        <v>428</v>
      </c>
      <c r="E116" s="16"/>
      <c r="F116" s="16"/>
      <c r="G116" s="16"/>
      <c r="H116" s="16"/>
      <c r="I116" s="19" t="s">
        <v>445</v>
      </c>
      <c r="J116" s="16"/>
      <c r="K116" s="16" t="s">
        <v>446</v>
      </c>
      <c r="L116" s="16"/>
      <c r="M116" s="16" t="str">
        <f>HYPERLINK("https://ceds.ed.gov/cedselementdetails.aspx?termid=27150")</f>
        <v>https://ceds.ed.gov/cedselementdetails.aspx?termid=27150</v>
      </c>
    </row>
    <row r="117" spans="1:13" x14ac:dyDescent="0.3">
      <c r="A117" s="16" t="s">
        <v>447</v>
      </c>
      <c r="B117" s="16" t="s">
        <v>448</v>
      </c>
      <c r="C117" s="16" t="s">
        <v>32</v>
      </c>
      <c r="D117" s="16" t="s">
        <v>428</v>
      </c>
      <c r="E117" s="16"/>
      <c r="F117" s="16" t="s">
        <v>145</v>
      </c>
      <c r="G117" s="16"/>
      <c r="H117" s="16"/>
      <c r="I117" s="19" t="s">
        <v>449</v>
      </c>
      <c r="J117" s="16"/>
      <c r="K117" s="16" t="s">
        <v>450</v>
      </c>
      <c r="L117" s="16"/>
      <c r="M117" s="16" t="str">
        <f>HYPERLINK("https://ceds.ed.gov/cedselementdetails.aspx?termid=27151")</f>
        <v>https://ceds.ed.gov/cedselementdetails.aspx?termid=27151</v>
      </c>
    </row>
    <row r="118" spans="1:13" ht="28.8" x14ac:dyDescent="0.3">
      <c r="A118" s="16" t="s">
        <v>451</v>
      </c>
      <c r="B118" s="16" t="s">
        <v>452</v>
      </c>
      <c r="C118" s="16" t="s">
        <v>32</v>
      </c>
      <c r="D118" s="16" t="s">
        <v>428</v>
      </c>
      <c r="E118" s="16"/>
      <c r="F118" s="16" t="s">
        <v>145</v>
      </c>
      <c r="G118" s="16"/>
      <c r="H118" s="16"/>
      <c r="I118" s="19" t="s">
        <v>453</v>
      </c>
      <c r="J118" s="16"/>
      <c r="K118" s="16" t="s">
        <v>454</v>
      </c>
      <c r="L118" s="16"/>
      <c r="M118" s="16" t="str">
        <f>HYPERLINK("https://ceds.ed.gov/cedselementdetails.aspx?termid=27152")</f>
        <v>https://ceds.ed.gov/cedselementdetails.aspx?termid=27152</v>
      </c>
    </row>
    <row r="119" spans="1:13" ht="28.8" x14ac:dyDescent="0.3">
      <c r="A119" s="16" t="s">
        <v>455</v>
      </c>
      <c r="B119" s="16" t="s">
        <v>456</v>
      </c>
      <c r="C119" s="16" t="s">
        <v>32</v>
      </c>
      <c r="D119" s="16" t="s">
        <v>428</v>
      </c>
      <c r="E119" s="16"/>
      <c r="F119" s="16" t="s">
        <v>106</v>
      </c>
      <c r="G119" s="16"/>
      <c r="H119" s="16"/>
      <c r="I119" s="19" t="s">
        <v>457</v>
      </c>
      <c r="J119" s="16"/>
      <c r="K119" s="16" t="s">
        <v>458</v>
      </c>
      <c r="L119" s="16"/>
      <c r="M119" s="16" t="str">
        <f>HYPERLINK("https://ceds.ed.gov/cedselementdetails.aspx?termid=27148")</f>
        <v>https://ceds.ed.gov/cedselementdetails.aspx?termid=27148</v>
      </c>
    </row>
    <row r="120" spans="1:13" ht="409.6" x14ac:dyDescent="0.3">
      <c r="A120" s="16" t="s">
        <v>459</v>
      </c>
      <c r="B120" s="16" t="s">
        <v>7831</v>
      </c>
      <c r="C120" s="16" t="s">
        <v>8325</v>
      </c>
      <c r="D120" s="16" t="s">
        <v>428</v>
      </c>
      <c r="E120" s="16"/>
      <c r="F120" s="16"/>
      <c r="G120" s="16"/>
      <c r="H120" s="16" t="s">
        <v>7832</v>
      </c>
      <c r="I120" s="19" t="s">
        <v>460</v>
      </c>
      <c r="J120" s="16"/>
      <c r="K120" s="16" t="s">
        <v>461</v>
      </c>
      <c r="L120" s="16"/>
      <c r="M120" s="16" t="str">
        <f>HYPERLINK("https://ceds.ed.gov/cedselementdetails.aspx?termid=27147")</f>
        <v>https://ceds.ed.gov/cedselementdetails.aspx?termid=27147</v>
      </c>
    </row>
    <row r="121" spans="1:13" ht="115.2" x14ac:dyDescent="0.3">
      <c r="A121" s="16" t="s">
        <v>462</v>
      </c>
      <c r="B121" s="16" t="s">
        <v>463</v>
      </c>
      <c r="C121" s="16" t="s">
        <v>32</v>
      </c>
      <c r="D121" s="16" t="s">
        <v>428</v>
      </c>
      <c r="E121" s="16"/>
      <c r="F121" s="16" t="s">
        <v>81</v>
      </c>
      <c r="G121" s="16"/>
      <c r="H121" s="16" t="s">
        <v>7833</v>
      </c>
      <c r="I121" s="19" t="s">
        <v>464</v>
      </c>
      <c r="J121" s="16"/>
      <c r="K121" s="16" t="s">
        <v>465</v>
      </c>
      <c r="L121" s="16"/>
      <c r="M121" s="16" t="str">
        <f>HYPERLINK("https://ceds.ed.gov/cedselementdetails.aspx?termid=27146")</f>
        <v>https://ceds.ed.gov/cedselementdetails.aspx?termid=27146</v>
      </c>
    </row>
    <row r="122" spans="1:13" ht="115.2" x14ac:dyDescent="0.3">
      <c r="A122" s="16" t="s">
        <v>12688</v>
      </c>
      <c r="B122" s="16" t="s">
        <v>12689</v>
      </c>
      <c r="C122" s="16" t="s">
        <v>12896</v>
      </c>
      <c r="D122" s="16" t="s">
        <v>12887</v>
      </c>
      <c r="E122" s="16" t="s">
        <v>155</v>
      </c>
      <c r="F122" s="16" t="s">
        <v>2</v>
      </c>
      <c r="G122" s="16" t="s">
        <v>12636</v>
      </c>
      <c r="H122" s="16"/>
      <c r="I122" s="19" t="s">
        <v>12690</v>
      </c>
      <c r="J122" s="16"/>
      <c r="K122" s="16" t="s">
        <v>12691</v>
      </c>
      <c r="L122" s="16"/>
      <c r="M122" s="16" t="str">
        <f>HYPERLINK("https://ceds.ed.gov/cedselementdetails.aspx?termid=28155")</f>
        <v>https://ceds.ed.gov/cedselementdetails.aspx?termid=28155</v>
      </c>
    </row>
    <row r="123" spans="1:13" ht="144" x14ac:dyDescent="0.3">
      <c r="A123" s="16" t="s">
        <v>466</v>
      </c>
      <c r="B123" s="16" t="s">
        <v>467</v>
      </c>
      <c r="C123" s="16" t="s">
        <v>8326</v>
      </c>
      <c r="D123" s="16" t="s">
        <v>468</v>
      </c>
      <c r="E123" s="16"/>
      <c r="F123" s="16"/>
      <c r="G123" s="16"/>
      <c r="H123" s="16"/>
      <c r="I123" s="19" t="s">
        <v>469</v>
      </c>
      <c r="J123" s="16"/>
      <c r="K123" s="16" t="s">
        <v>470</v>
      </c>
      <c r="L123" s="16" t="s">
        <v>471</v>
      </c>
      <c r="M123" s="16" t="str">
        <f>HYPERLINK("https://ceds.ed.gov/cedselementdetails.aspx?termid=26598")</f>
        <v>https://ceds.ed.gov/cedselementdetails.aspx?termid=26598</v>
      </c>
    </row>
    <row r="124" spans="1:13" ht="273.60000000000002" x14ac:dyDescent="0.3">
      <c r="A124" s="16" t="s">
        <v>472</v>
      </c>
      <c r="B124" s="16" t="s">
        <v>473</v>
      </c>
      <c r="C124" s="16" t="s">
        <v>8327</v>
      </c>
      <c r="D124" s="16" t="s">
        <v>8328</v>
      </c>
      <c r="E124" s="16"/>
      <c r="F124" s="16"/>
      <c r="G124" s="16"/>
      <c r="H124" s="16" t="s">
        <v>7834</v>
      </c>
      <c r="I124" s="19" t="s">
        <v>474</v>
      </c>
      <c r="J124" s="16"/>
      <c r="K124" s="16" t="s">
        <v>475</v>
      </c>
      <c r="L124" s="16" t="s">
        <v>476</v>
      </c>
      <c r="M124" s="16" t="str">
        <f>HYPERLINK("https://ceds.ed.gov/cedselementdetails.aspx?termid=27003")</f>
        <v>https://ceds.ed.gov/cedselementdetails.aspx?termid=27003</v>
      </c>
    </row>
    <row r="125" spans="1:13" ht="43.2" x14ac:dyDescent="0.3">
      <c r="A125" s="16" t="s">
        <v>12692</v>
      </c>
      <c r="B125" s="16" t="s">
        <v>12693</v>
      </c>
      <c r="C125" s="16" t="s">
        <v>32</v>
      </c>
      <c r="D125" s="16" t="s">
        <v>12887</v>
      </c>
      <c r="E125" s="16" t="s">
        <v>155</v>
      </c>
      <c r="F125" s="16" t="s">
        <v>305</v>
      </c>
      <c r="G125" s="16" t="s">
        <v>12636</v>
      </c>
      <c r="H125" s="16"/>
      <c r="I125" s="19" t="s">
        <v>12694</v>
      </c>
      <c r="J125" s="16"/>
      <c r="K125" s="16" t="s">
        <v>12695</v>
      </c>
      <c r="L125" s="16"/>
      <c r="M125" s="16" t="str">
        <f>HYPERLINK("https://ceds.ed.gov/cedselementdetails.aspx?termid=28136")</f>
        <v>https://ceds.ed.gov/cedselementdetails.aspx?termid=28136</v>
      </c>
    </row>
    <row r="126" spans="1:13" ht="72" x14ac:dyDescent="0.3">
      <c r="A126" s="16" t="s">
        <v>12696</v>
      </c>
      <c r="B126" s="16" t="s">
        <v>12697</v>
      </c>
      <c r="C126" s="16" t="s">
        <v>12897</v>
      </c>
      <c r="D126" s="16" t="s">
        <v>12887</v>
      </c>
      <c r="E126" s="16" t="s">
        <v>155</v>
      </c>
      <c r="F126" s="16" t="s">
        <v>2</v>
      </c>
      <c r="G126" s="16" t="s">
        <v>12636</v>
      </c>
      <c r="H126" s="16"/>
      <c r="I126" s="19" t="s">
        <v>12698</v>
      </c>
      <c r="J126" s="16"/>
      <c r="K126" s="16" t="s">
        <v>12699</v>
      </c>
      <c r="L126" s="16"/>
      <c r="M126" s="16" t="str">
        <f>HYPERLINK("https://ceds.ed.gov/cedselementdetails.aspx?termid=28137")</f>
        <v>https://ceds.ed.gov/cedselementdetails.aspx?termid=28137</v>
      </c>
    </row>
    <row r="127" spans="1:13" ht="57.6" x14ac:dyDescent="0.3">
      <c r="A127" s="16" t="s">
        <v>477</v>
      </c>
      <c r="B127" s="16" t="s">
        <v>478</v>
      </c>
      <c r="C127" s="16" t="s">
        <v>32</v>
      </c>
      <c r="D127" s="16" t="s">
        <v>479</v>
      </c>
      <c r="E127" s="16"/>
      <c r="F127" s="16" t="s">
        <v>81</v>
      </c>
      <c r="G127" s="16"/>
      <c r="H127" s="16" t="s">
        <v>480</v>
      </c>
      <c r="I127" s="19" t="s">
        <v>481</v>
      </c>
      <c r="J127" s="16"/>
      <c r="K127" s="16" t="s">
        <v>482</v>
      </c>
      <c r="L127" s="16"/>
      <c r="M127" s="16" t="str">
        <f>HYPERLINK("https://ceds.ed.gov/cedselementdetails.aspx?termid=26934")</f>
        <v>https://ceds.ed.gov/cedselementdetails.aspx?termid=26934</v>
      </c>
    </row>
    <row r="128" spans="1:13" ht="86.4" x14ac:dyDescent="0.3">
      <c r="A128" s="16" t="s">
        <v>483</v>
      </c>
      <c r="B128" s="16" t="s">
        <v>484</v>
      </c>
      <c r="C128" s="16" t="s">
        <v>32</v>
      </c>
      <c r="D128" s="16" t="s">
        <v>479</v>
      </c>
      <c r="E128" s="16"/>
      <c r="F128" s="16" t="s">
        <v>145</v>
      </c>
      <c r="G128" s="16"/>
      <c r="H128" s="16"/>
      <c r="I128" s="19" t="s">
        <v>485</v>
      </c>
      <c r="J128" s="16"/>
      <c r="K128" s="16" t="s">
        <v>486</v>
      </c>
      <c r="L128" s="16"/>
      <c r="M128" s="16" t="str">
        <f>HYPERLINK("https://ceds.ed.gov/cedselementdetails.aspx?termid=26933")</f>
        <v>https://ceds.ed.gov/cedselementdetails.aspx?termid=26933</v>
      </c>
    </row>
    <row r="129" spans="1:13" ht="57.6" x14ac:dyDescent="0.3">
      <c r="A129" s="16" t="s">
        <v>13075</v>
      </c>
      <c r="B129" s="16" t="s">
        <v>12936</v>
      </c>
      <c r="C129" s="16" t="s">
        <v>32</v>
      </c>
      <c r="D129" s="16" t="s">
        <v>487</v>
      </c>
      <c r="E129" s="16" t="s">
        <v>160</v>
      </c>
      <c r="F129" s="16"/>
      <c r="G129" s="16" t="s">
        <v>12937</v>
      </c>
      <c r="H129" s="16"/>
      <c r="I129" s="19" t="s">
        <v>488</v>
      </c>
      <c r="J129" s="16"/>
      <c r="K129" s="16" t="s">
        <v>12938</v>
      </c>
      <c r="L129" s="16"/>
      <c r="M129" s="16" t="str">
        <f>HYPERLINK("https://ceds.ed.gov/cedselementdetails.aspx?termid=27136")</f>
        <v>https://ceds.ed.gov/cedselementdetails.aspx?termid=27136</v>
      </c>
    </row>
    <row r="130" spans="1:13" ht="43.2" x14ac:dyDescent="0.3">
      <c r="A130" s="16" t="s">
        <v>489</v>
      </c>
      <c r="B130" s="16" t="s">
        <v>490</v>
      </c>
      <c r="C130" s="16" t="s">
        <v>22</v>
      </c>
      <c r="D130" s="16" t="s">
        <v>487</v>
      </c>
      <c r="E130" s="16"/>
      <c r="F130" s="16"/>
      <c r="G130" s="16"/>
      <c r="H130" s="16"/>
      <c r="I130" s="19" t="s">
        <v>491</v>
      </c>
      <c r="J130" s="16"/>
      <c r="K130" s="16" t="s">
        <v>492</v>
      </c>
      <c r="L130" s="16"/>
      <c r="M130" s="16" t="str">
        <f>HYPERLINK("https://ceds.ed.gov/cedselementdetails.aspx?termid=27507")</f>
        <v>https://ceds.ed.gov/cedselementdetails.aspx?termid=27507</v>
      </c>
    </row>
    <row r="131" spans="1:13" ht="244.8" x14ac:dyDescent="0.3">
      <c r="A131" s="16" t="s">
        <v>493</v>
      </c>
      <c r="B131" s="16" t="s">
        <v>494</v>
      </c>
      <c r="C131" s="16" t="s">
        <v>32</v>
      </c>
      <c r="D131" s="16" t="s">
        <v>495</v>
      </c>
      <c r="E131" s="16"/>
      <c r="F131" s="16" t="s">
        <v>120</v>
      </c>
      <c r="G131" s="16"/>
      <c r="H131" s="16" t="s">
        <v>7835</v>
      </c>
      <c r="I131" s="19" t="s">
        <v>497</v>
      </c>
      <c r="J131" s="16"/>
      <c r="K131" s="16" t="s">
        <v>498</v>
      </c>
      <c r="L131" s="16"/>
      <c r="M131" s="16" t="str">
        <f>HYPERLINK("https://ceds.ed.gov/cedselementdetails.aspx?termid=27508")</f>
        <v>https://ceds.ed.gov/cedselementdetails.aspx?termid=27508</v>
      </c>
    </row>
    <row r="132" spans="1:13" ht="57.6" x14ac:dyDescent="0.3">
      <c r="A132" s="16" t="s">
        <v>499</v>
      </c>
      <c r="B132" s="16" t="s">
        <v>500</v>
      </c>
      <c r="C132" s="16" t="s">
        <v>32</v>
      </c>
      <c r="D132" s="16" t="s">
        <v>487</v>
      </c>
      <c r="E132" s="16"/>
      <c r="F132" s="16" t="s">
        <v>120</v>
      </c>
      <c r="G132" s="16"/>
      <c r="H132" s="16" t="s">
        <v>496</v>
      </c>
      <c r="I132" s="19" t="s">
        <v>501</v>
      </c>
      <c r="J132" s="16"/>
      <c r="K132" s="16" t="s">
        <v>502</v>
      </c>
      <c r="L132" s="16"/>
      <c r="M132" s="16" t="str">
        <f>HYPERLINK("https://ceds.ed.gov/cedselementdetails.aspx?termid=27509")</f>
        <v>https://ceds.ed.gov/cedselementdetails.aspx?termid=27509</v>
      </c>
    </row>
    <row r="133" spans="1:13" ht="115.2" x14ac:dyDescent="0.3">
      <c r="A133" s="16" t="s">
        <v>503</v>
      </c>
      <c r="B133" s="16" t="s">
        <v>504</v>
      </c>
      <c r="C133" s="16" t="s">
        <v>32</v>
      </c>
      <c r="D133" s="16" t="s">
        <v>487</v>
      </c>
      <c r="E133" s="16"/>
      <c r="F133" s="16" t="s">
        <v>120</v>
      </c>
      <c r="G133" s="16"/>
      <c r="H133" s="16" t="s">
        <v>7836</v>
      </c>
      <c r="I133" s="19" t="s">
        <v>505</v>
      </c>
      <c r="J133" s="16"/>
      <c r="K133" s="16" t="s">
        <v>506</v>
      </c>
      <c r="L133" s="16"/>
      <c r="M133" s="16" t="str">
        <f>HYPERLINK("https://ceds.ed.gov/cedselementdetails.aspx?termid=27510")</f>
        <v>https://ceds.ed.gov/cedselementdetails.aspx?termid=27510</v>
      </c>
    </row>
    <row r="134" spans="1:13" ht="57.6" x14ac:dyDescent="0.3">
      <c r="A134" s="16" t="s">
        <v>507</v>
      </c>
      <c r="B134" s="16" t="s">
        <v>508</v>
      </c>
      <c r="C134" s="16" t="s">
        <v>32</v>
      </c>
      <c r="D134" s="16" t="s">
        <v>487</v>
      </c>
      <c r="E134" s="16"/>
      <c r="F134" s="16" t="s">
        <v>106</v>
      </c>
      <c r="G134" s="16"/>
      <c r="H134" s="16" t="s">
        <v>131</v>
      </c>
      <c r="I134" s="19" t="s">
        <v>509</v>
      </c>
      <c r="J134" s="16"/>
      <c r="K134" s="16" t="s">
        <v>510</v>
      </c>
      <c r="L134" s="16"/>
      <c r="M134" s="16" t="str">
        <f>HYPERLINK("https://ceds.ed.gov/cedselementdetails.aspx?termid=27138")</f>
        <v>https://ceds.ed.gov/cedselementdetails.aspx?termid=27138</v>
      </c>
    </row>
    <row r="135" spans="1:13" ht="129.6" x14ac:dyDescent="0.3">
      <c r="A135" s="16" t="s">
        <v>511</v>
      </c>
      <c r="B135" s="16" t="s">
        <v>512</v>
      </c>
      <c r="C135" s="16" t="s">
        <v>32</v>
      </c>
      <c r="D135" s="16" t="s">
        <v>487</v>
      </c>
      <c r="E135" s="16"/>
      <c r="F135" s="16" t="s">
        <v>120</v>
      </c>
      <c r="G135" s="16"/>
      <c r="H135" s="16"/>
      <c r="I135" s="19" t="s">
        <v>513</v>
      </c>
      <c r="J135" s="16"/>
      <c r="K135" s="16" t="s">
        <v>514</v>
      </c>
      <c r="L135" s="16" t="s">
        <v>515</v>
      </c>
      <c r="M135" s="16" t="str">
        <f>HYPERLINK("https://ceds.ed.gov/cedselementdetails.aspx?termid=26024")</f>
        <v>https://ceds.ed.gov/cedselementdetails.aspx?termid=26024</v>
      </c>
    </row>
    <row r="136" spans="1:13" ht="43.2" x14ac:dyDescent="0.3">
      <c r="A136" s="16" t="s">
        <v>516</v>
      </c>
      <c r="B136" s="16" t="s">
        <v>517</v>
      </c>
      <c r="C136" s="16" t="s">
        <v>32</v>
      </c>
      <c r="D136" s="16" t="s">
        <v>518</v>
      </c>
      <c r="E136" s="16"/>
      <c r="F136" s="16" t="s">
        <v>81</v>
      </c>
      <c r="G136" s="16"/>
      <c r="H136" s="16"/>
      <c r="I136" s="19" t="s">
        <v>519</v>
      </c>
      <c r="J136" s="16"/>
      <c r="K136" s="16" t="s">
        <v>520</v>
      </c>
      <c r="L136" s="16" t="s">
        <v>84</v>
      </c>
      <c r="M136" s="16" t="str">
        <f>HYPERLINK("https://ceds.ed.gov/cedselementdetails.aspx?termid=26365")</f>
        <v>https://ceds.ed.gov/cedselementdetails.aspx?termid=26365</v>
      </c>
    </row>
    <row r="137" spans="1:13" ht="28.8" x14ac:dyDescent="0.3">
      <c r="A137" s="16" t="s">
        <v>521</v>
      </c>
      <c r="B137" s="16" t="s">
        <v>522</v>
      </c>
      <c r="C137" s="16" t="s">
        <v>32</v>
      </c>
      <c r="D137" s="16" t="s">
        <v>487</v>
      </c>
      <c r="E137" s="16"/>
      <c r="F137" s="16" t="s">
        <v>316</v>
      </c>
      <c r="G137" s="16"/>
      <c r="H137" s="16"/>
      <c r="I137" s="19" t="s">
        <v>523</v>
      </c>
      <c r="J137" s="16"/>
      <c r="K137" s="16" t="s">
        <v>524</v>
      </c>
      <c r="L137" s="16"/>
      <c r="M137" s="16" t="str">
        <f>HYPERLINK("https://ceds.ed.gov/cedselementdetails.aspx?termid=27139")</f>
        <v>https://ceds.ed.gov/cedselementdetails.aspx?termid=27139</v>
      </c>
    </row>
    <row r="138" spans="1:13" ht="115.2" x14ac:dyDescent="0.3">
      <c r="A138" s="16" t="s">
        <v>525</v>
      </c>
      <c r="B138" s="16" t="s">
        <v>526</v>
      </c>
      <c r="C138" s="16" t="s">
        <v>32</v>
      </c>
      <c r="D138" s="16" t="s">
        <v>527</v>
      </c>
      <c r="E138" s="16"/>
      <c r="F138" s="16" t="s">
        <v>120</v>
      </c>
      <c r="G138" s="16"/>
      <c r="H138" s="16" t="s">
        <v>7836</v>
      </c>
      <c r="I138" s="19" t="s">
        <v>528</v>
      </c>
      <c r="J138" s="16"/>
      <c r="K138" s="16" t="s">
        <v>529</v>
      </c>
      <c r="L138" s="16"/>
      <c r="M138" s="16" t="str">
        <f>HYPERLINK("https://ceds.ed.gov/cedselementdetails.aspx?termid=26981")</f>
        <v>https://ceds.ed.gov/cedselementdetails.aspx?termid=26981</v>
      </c>
    </row>
    <row r="139" spans="1:13" ht="172.8" x14ac:dyDescent="0.3">
      <c r="A139" s="16" t="s">
        <v>530</v>
      </c>
      <c r="B139" s="16" t="s">
        <v>12972</v>
      </c>
      <c r="C139" s="16" t="s">
        <v>32</v>
      </c>
      <c r="D139" s="16" t="s">
        <v>527</v>
      </c>
      <c r="E139" s="16"/>
      <c r="F139" s="16" t="s">
        <v>120</v>
      </c>
      <c r="G139" s="16"/>
      <c r="H139" s="16" t="s">
        <v>7817</v>
      </c>
      <c r="I139" s="19" t="s">
        <v>531</v>
      </c>
      <c r="J139" s="16"/>
      <c r="K139" s="16" t="s">
        <v>532</v>
      </c>
      <c r="L139" s="16"/>
      <c r="M139" s="16" t="str">
        <f>HYPERLINK("https://ceds.ed.gov/cedselementdetails.aspx?termid=27142")</f>
        <v>https://ceds.ed.gov/cedselementdetails.aspx?termid=27142</v>
      </c>
    </row>
    <row r="140" spans="1:13" ht="43.2" x14ac:dyDescent="0.3">
      <c r="A140" s="16" t="s">
        <v>533</v>
      </c>
      <c r="B140" s="16" t="s">
        <v>534</v>
      </c>
      <c r="C140" s="16" t="s">
        <v>22</v>
      </c>
      <c r="D140" s="16" t="s">
        <v>535</v>
      </c>
      <c r="E140" s="16"/>
      <c r="F140" s="16"/>
      <c r="G140" s="16"/>
      <c r="H140" s="16"/>
      <c r="I140" s="19" t="s">
        <v>536</v>
      </c>
      <c r="J140" s="16"/>
      <c r="K140" s="16" t="s">
        <v>537</v>
      </c>
      <c r="L140" s="16"/>
      <c r="M140" s="16" t="str">
        <f>HYPERLINK("https://ceds.ed.gov/cedselementdetails.aspx?termid=27511")</f>
        <v>https://ceds.ed.gov/cedselementdetails.aspx?termid=27511</v>
      </c>
    </row>
    <row r="141" spans="1:13" ht="129.6" x14ac:dyDescent="0.3">
      <c r="A141" s="16" t="s">
        <v>538</v>
      </c>
      <c r="B141" s="16" t="s">
        <v>539</v>
      </c>
      <c r="C141" s="16" t="s">
        <v>22</v>
      </c>
      <c r="D141" s="16" t="s">
        <v>527</v>
      </c>
      <c r="E141" s="16"/>
      <c r="F141" s="16"/>
      <c r="G141" s="16"/>
      <c r="H141" s="16"/>
      <c r="I141" s="19" t="s">
        <v>540</v>
      </c>
      <c r="J141" s="16"/>
      <c r="K141" s="16" t="s">
        <v>541</v>
      </c>
      <c r="L141" s="16"/>
      <c r="M141" s="16" t="str">
        <f>HYPERLINK("https://ceds.ed.gov/cedselementdetails.aspx?termid=27145")</f>
        <v>https://ceds.ed.gov/cedselementdetails.aspx?termid=27145</v>
      </c>
    </row>
    <row r="142" spans="1:13" ht="43.2" x14ac:dyDescent="0.3">
      <c r="A142" s="16" t="s">
        <v>542</v>
      </c>
      <c r="B142" s="16" t="s">
        <v>543</v>
      </c>
      <c r="C142" s="16" t="s">
        <v>22</v>
      </c>
      <c r="D142" s="16" t="s">
        <v>527</v>
      </c>
      <c r="E142" s="16"/>
      <c r="F142" s="16"/>
      <c r="G142" s="16"/>
      <c r="H142" s="16"/>
      <c r="I142" s="19" t="s">
        <v>544</v>
      </c>
      <c r="J142" s="16"/>
      <c r="K142" s="16" t="s">
        <v>545</v>
      </c>
      <c r="L142" s="16"/>
      <c r="M142" s="16" t="str">
        <f>HYPERLINK("https://ceds.ed.gov/cedselementdetails.aspx?termid=27144")</f>
        <v>https://ceds.ed.gov/cedselementdetails.aspx?termid=27144</v>
      </c>
    </row>
    <row r="143" spans="1:13" ht="43.2" x14ac:dyDescent="0.3">
      <c r="A143" s="16" t="s">
        <v>546</v>
      </c>
      <c r="B143" s="16" t="s">
        <v>547</v>
      </c>
      <c r="C143" s="16" t="s">
        <v>32</v>
      </c>
      <c r="D143" s="16" t="s">
        <v>527</v>
      </c>
      <c r="E143" s="16"/>
      <c r="F143" s="16" t="s">
        <v>136</v>
      </c>
      <c r="G143" s="16"/>
      <c r="H143" s="16"/>
      <c r="I143" s="19" t="s">
        <v>548</v>
      </c>
      <c r="J143" s="16"/>
      <c r="K143" s="16" t="s">
        <v>549</v>
      </c>
      <c r="L143" s="16"/>
      <c r="M143" s="16" t="str">
        <f>HYPERLINK("https://ceds.ed.gov/cedselementdetails.aspx?termid=26980")</f>
        <v>https://ceds.ed.gov/cedselementdetails.aspx?termid=26980</v>
      </c>
    </row>
    <row r="144" spans="1:13" ht="43.2" x14ac:dyDescent="0.3">
      <c r="A144" s="16" t="s">
        <v>550</v>
      </c>
      <c r="B144" s="16" t="s">
        <v>551</v>
      </c>
      <c r="C144" s="16" t="s">
        <v>32</v>
      </c>
      <c r="D144" s="16" t="s">
        <v>527</v>
      </c>
      <c r="E144" s="16"/>
      <c r="F144" s="16" t="s">
        <v>403</v>
      </c>
      <c r="G144" s="16"/>
      <c r="H144" s="16"/>
      <c r="I144" s="19" t="s">
        <v>552</v>
      </c>
      <c r="J144" s="16"/>
      <c r="K144" s="16" t="s">
        <v>553</v>
      </c>
      <c r="L144" s="16"/>
      <c r="M144" s="16" t="str">
        <f>HYPERLINK("https://ceds.ed.gov/cedselementdetails.aspx?termid=27143")</f>
        <v>https://ceds.ed.gov/cedselementdetails.aspx?termid=27143</v>
      </c>
    </row>
    <row r="145" spans="1:13" ht="28.8" x14ac:dyDescent="0.3">
      <c r="A145" s="16" t="s">
        <v>554</v>
      </c>
      <c r="B145" s="16" t="s">
        <v>555</v>
      </c>
      <c r="C145" s="16" t="s">
        <v>32</v>
      </c>
      <c r="D145" s="16" t="s">
        <v>527</v>
      </c>
      <c r="E145" s="16"/>
      <c r="F145" s="16" t="s">
        <v>81</v>
      </c>
      <c r="G145" s="16"/>
      <c r="H145" s="16"/>
      <c r="I145" s="19" t="s">
        <v>556</v>
      </c>
      <c r="J145" s="16"/>
      <c r="K145" s="16" t="s">
        <v>557</v>
      </c>
      <c r="L145" s="16"/>
      <c r="M145" s="16" t="str">
        <f>HYPERLINK("https://ceds.ed.gov/cedselementdetails.aspx?termid=27140")</f>
        <v>https://ceds.ed.gov/cedselementdetails.aspx?termid=27140</v>
      </c>
    </row>
    <row r="146" spans="1:13" ht="57.6" x14ac:dyDescent="0.3">
      <c r="A146" s="16" t="s">
        <v>558</v>
      </c>
      <c r="B146" s="16" t="s">
        <v>559</v>
      </c>
      <c r="C146" s="16" t="s">
        <v>22</v>
      </c>
      <c r="D146" s="16" t="s">
        <v>468</v>
      </c>
      <c r="E146" s="16"/>
      <c r="F146" s="16"/>
      <c r="G146" s="16"/>
      <c r="H146" s="16"/>
      <c r="I146" s="19" t="s">
        <v>560</v>
      </c>
      <c r="J146" s="16"/>
      <c r="K146" s="16" t="s">
        <v>561</v>
      </c>
      <c r="L146" s="16"/>
      <c r="M146" s="16" t="str">
        <f>HYPERLINK("https://ceds.ed.gov/cedselementdetails.aspx?termid=27181")</f>
        <v>https://ceds.ed.gov/cedselementdetails.aspx?termid=27181</v>
      </c>
    </row>
    <row r="147" spans="1:13" ht="129.6" x14ac:dyDescent="0.3">
      <c r="A147" s="16" t="s">
        <v>562</v>
      </c>
      <c r="B147" s="16" t="s">
        <v>563</v>
      </c>
      <c r="C147" s="16" t="s">
        <v>32</v>
      </c>
      <c r="D147" s="16" t="s">
        <v>564</v>
      </c>
      <c r="E147" s="16"/>
      <c r="F147" s="16" t="s">
        <v>136</v>
      </c>
      <c r="G147" s="16"/>
      <c r="H147" s="16"/>
      <c r="I147" s="19" t="s">
        <v>565</v>
      </c>
      <c r="J147" s="16"/>
      <c r="K147" s="16" t="s">
        <v>566</v>
      </c>
      <c r="L147" s="16"/>
      <c r="M147" s="16" t="str">
        <f>HYPERLINK("https://ceds.ed.gov/cedselementdetails.aspx?termid=27013")</f>
        <v>https://ceds.ed.gov/cedselementdetails.aspx?termid=27013</v>
      </c>
    </row>
    <row r="148" spans="1:13" ht="72" x14ac:dyDescent="0.3">
      <c r="A148" s="16" t="s">
        <v>567</v>
      </c>
      <c r="B148" s="16" t="s">
        <v>568</v>
      </c>
      <c r="C148" s="16" t="s">
        <v>32</v>
      </c>
      <c r="D148" s="16" t="s">
        <v>564</v>
      </c>
      <c r="E148" s="16"/>
      <c r="F148" s="16" t="s">
        <v>136</v>
      </c>
      <c r="G148" s="16"/>
      <c r="H148" s="16"/>
      <c r="I148" s="19" t="s">
        <v>569</v>
      </c>
      <c r="J148" s="16"/>
      <c r="K148" s="16" t="s">
        <v>570</v>
      </c>
      <c r="L148" s="16"/>
      <c r="M148" s="16" t="str">
        <f>HYPERLINK("https://ceds.ed.gov/cedselementdetails.aspx?termid=27014")</f>
        <v>https://ceds.ed.gov/cedselementdetails.aspx?termid=27014</v>
      </c>
    </row>
    <row r="149" spans="1:13" ht="86.4" x14ac:dyDescent="0.3">
      <c r="A149" s="16" t="s">
        <v>571</v>
      </c>
      <c r="B149" s="16" t="s">
        <v>572</v>
      </c>
      <c r="C149" s="16" t="s">
        <v>32</v>
      </c>
      <c r="D149" s="16" t="s">
        <v>564</v>
      </c>
      <c r="E149" s="16"/>
      <c r="F149" s="16" t="s">
        <v>136</v>
      </c>
      <c r="G149" s="16"/>
      <c r="H149" s="16"/>
      <c r="I149" s="19" t="s">
        <v>573</v>
      </c>
      <c r="J149" s="16"/>
      <c r="K149" s="16" t="s">
        <v>574</v>
      </c>
      <c r="L149" s="16"/>
      <c r="M149" s="16" t="str">
        <f>HYPERLINK("https://ceds.ed.gov/cedselementdetails.aspx?termid=27015")</f>
        <v>https://ceds.ed.gov/cedselementdetails.aspx?termid=27015</v>
      </c>
    </row>
    <row r="150" spans="1:13" ht="43.2" x14ac:dyDescent="0.3">
      <c r="A150" s="16" t="s">
        <v>575</v>
      </c>
      <c r="B150" s="16" t="s">
        <v>7837</v>
      </c>
      <c r="C150" s="16" t="s">
        <v>32</v>
      </c>
      <c r="D150" s="16" t="s">
        <v>468</v>
      </c>
      <c r="E150" s="16"/>
      <c r="F150" s="16" t="s">
        <v>305</v>
      </c>
      <c r="G150" s="16"/>
      <c r="H150" s="16"/>
      <c r="I150" s="19" t="s">
        <v>576</v>
      </c>
      <c r="J150" s="16"/>
      <c r="K150" s="16" t="s">
        <v>577</v>
      </c>
      <c r="L150" s="16"/>
      <c r="M150" s="16" t="str">
        <f>HYPERLINK("https://ceds.ed.gov/cedselementdetails.aspx?termid=27180")</f>
        <v>https://ceds.ed.gov/cedselementdetails.aspx?termid=27180</v>
      </c>
    </row>
    <row r="151" spans="1:13" ht="28.8" x14ac:dyDescent="0.3">
      <c r="A151" s="16" t="s">
        <v>578</v>
      </c>
      <c r="B151" s="16" t="s">
        <v>579</v>
      </c>
      <c r="C151" s="16" t="s">
        <v>32</v>
      </c>
      <c r="D151" s="16" t="s">
        <v>487</v>
      </c>
      <c r="E151" s="16"/>
      <c r="F151" s="16" t="s">
        <v>81</v>
      </c>
      <c r="G151" s="16"/>
      <c r="H151" s="16"/>
      <c r="I151" s="19" t="s">
        <v>580</v>
      </c>
      <c r="J151" s="16"/>
      <c r="K151" s="16" t="s">
        <v>581</v>
      </c>
      <c r="L151" s="16"/>
      <c r="M151" s="16" t="str">
        <f>HYPERLINK("https://ceds.ed.gov/cedselementdetails.aspx?termid=27134")</f>
        <v>https://ceds.ed.gov/cedselementdetails.aspx?termid=27134</v>
      </c>
    </row>
    <row r="152" spans="1:13" ht="115.2" x14ac:dyDescent="0.3">
      <c r="A152" s="16" t="s">
        <v>582</v>
      </c>
      <c r="B152" s="16" t="s">
        <v>583</v>
      </c>
      <c r="C152" s="16" t="s">
        <v>32</v>
      </c>
      <c r="D152" s="16" t="s">
        <v>479</v>
      </c>
      <c r="E152" s="16"/>
      <c r="F152" s="16" t="s">
        <v>120</v>
      </c>
      <c r="G152" s="16"/>
      <c r="H152" s="16" t="s">
        <v>7836</v>
      </c>
      <c r="I152" s="19" t="s">
        <v>584</v>
      </c>
      <c r="J152" s="16"/>
      <c r="K152" s="16" t="s">
        <v>585</v>
      </c>
      <c r="L152" s="16"/>
      <c r="M152" s="16" t="str">
        <f>HYPERLINK("https://ceds.ed.gov/cedselementdetails.aspx?termid=26982")</f>
        <v>https://ceds.ed.gov/cedselementdetails.aspx?termid=26982</v>
      </c>
    </row>
    <row r="153" spans="1:13" ht="144" x14ac:dyDescent="0.3">
      <c r="A153" s="16" t="s">
        <v>586</v>
      </c>
      <c r="B153" s="16" t="s">
        <v>587</v>
      </c>
      <c r="C153" s="16" t="s">
        <v>8329</v>
      </c>
      <c r="D153" s="16" t="s">
        <v>13023</v>
      </c>
      <c r="E153" s="16"/>
      <c r="F153" s="16"/>
      <c r="G153" s="16"/>
      <c r="H153" s="16"/>
      <c r="I153" s="19" t="s">
        <v>588</v>
      </c>
      <c r="J153" s="16"/>
      <c r="K153" s="16" t="s">
        <v>589</v>
      </c>
      <c r="L153" s="16" t="s">
        <v>590</v>
      </c>
      <c r="M153" s="16" t="str">
        <f>HYPERLINK("https://ceds.ed.gov/cedselementdetails.aspx?termid=26158")</f>
        <v>https://ceds.ed.gov/cedselementdetails.aspx?termid=26158</v>
      </c>
    </row>
    <row r="154" spans="1:13" ht="172.8" x14ac:dyDescent="0.3">
      <c r="A154" s="16" t="s">
        <v>591</v>
      </c>
      <c r="B154" s="16" t="s">
        <v>7838</v>
      </c>
      <c r="C154" s="16" t="s">
        <v>32</v>
      </c>
      <c r="D154" s="16" t="s">
        <v>13023</v>
      </c>
      <c r="E154" s="16"/>
      <c r="F154" s="16" t="s">
        <v>747</v>
      </c>
      <c r="G154" s="16"/>
      <c r="H154" s="16" t="s">
        <v>7817</v>
      </c>
      <c r="I154" s="19" t="s">
        <v>592</v>
      </c>
      <c r="J154" s="16"/>
      <c r="K154" s="16" t="s">
        <v>593</v>
      </c>
      <c r="L154" s="16" t="s">
        <v>594</v>
      </c>
      <c r="M154" s="16" t="str">
        <f>HYPERLINK("https://ceds.ed.gov/cedselementdetails.aspx?termid=26152")</f>
        <v>https://ceds.ed.gov/cedselementdetails.aspx?termid=26152</v>
      </c>
    </row>
    <row r="155" spans="1:13" ht="43.2" x14ac:dyDescent="0.3">
      <c r="A155" s="16" t="s">
        <v>595</v>
      </c>
      <c r="B155" s="16" t="s">
        <v>596</v>
      </c>
      <c r="C155" s="16" t="s">
        <v>22</v>
      </c>
      <c r="D155" s="16" t="s">
        <v>597</v>
      </c>
      <c r="E155" s="16"/>
      <c r="F155" s="16"/>
      <c r="G155" s="16"/>
      <c r="H155" s="16"/>
      <c r="I155" s="19" t="s">
        <v>598</v>
      </c>
      <c r="J155" s="16"/>
      <c r="K155" s="16" t="s">
        <v>599</v>
      </c>
      <c r="L155" s="16"/>
      <c r="M155" s="16" t="str">
        <f>HYPERLINK("https://ceds.ed.gov/cedselementdetails.aspx?termid=27111")</f>
        <v>https://ceds.ed.gov/cedselementdetails.aspx?termid=27111</v>
      </c>
    </row>
    <row r="156" spans="1:13" ht="28.8" x14ac:dyDescent="0.3">
      <c r="A156" s="16" t="s">
        <v>600</v>
      </c>
      <c r="B156" s="16" t="s">
        <v>601</v>
      </c>
      <c r="C156" s="16" t="s">
        <v>32</v>
      </c>
      <c r="D156" s="16" t="s">
        <v>602</v>
      </c>
      <c r="E156" s="16"/>
      <c r="F156" s="16" t="s">
        <v>403</v>
      </c>
      <c r="G156" s="16"/>
      <c r="H156" s="16"/>
      <c r="I156" s="19" t="s">
        <v>603</v>
      </c>
      <c r="J156" s="16"/>
      <c r="K156" s="16" t="s">
        <v>604</v>
      </c>
      <c r="L156" s="16" t="s">
        <v>605</v>
      </c>
      <c r="M156" s="16" t="str">
        <f>HYPERLINK("https://ceds.ed.gov/cedselementdetails.aspx?termid=26395")</f>
        <v>https://ceds.ed.gov/cedselementdetails.aspx?termid=26395</v>
      </c>
    </row>
    <row r="157" spans="1:13" ht="172.8" x14ac:dyDescent="0.3">
      <c r="A157" s="16" t="s">
        <v>606</v>
      </c>
      <c r="B157" s="16" t="s">
        <v>607</v>
      </c>
      <c r="C157" s="16" t="s">
        <v>32</v>
      </c>
      <c r="D157" s="16" t="s">
        <v>597</v>
      </c>
      <c r="E157" s="16"/>
      <c r="F157" s="16" t="s">
        <v>316</v>
      </c>
      <c r="G157" s="16"/>
      <c r="H157" s="16"/>
      <c r="I157" s="19" t="s">
        <v>608</v>
      </c>
      <c r="J157" s="16"/>
      <c r="K157" s="16" t="s">
        <v>609</v>
      </c>
      <c r="L157" s="16"/>
      <c r="M157" s="16" t="str">
        <f>HYPERLINK("https://ceds.ed.gov/cedselementdetails.aspx?termid=27110")</f>
        <v>https://ceds.ed.gov/cedselementdetails.aspx?termid=27110</v>
      </c>
    </row>
    <row r="158" spans="1:13" ht="129.6" x14ac:dyDescent="0.3">
      <c r="A158" s="16" t="s">
        <v>610</v>
      </c>
      <c r="B158" s="16" t="s">
        <v>611</v>
      </c>
      <c r="C158" s="16" t="s">
        <v>32</v>
      </c>
      <c r="D158" s="16" t="s">
        <v>597</v>
      </c>
      <c r="E158" s="16"/>
      <c r="F158" s="16" t="s">
        <v>316</v>
      </c>
      <c r="G158" s="16"/>
      <c r="H158" s="16"/>
      <c r="I158" s="19" t="s">
        <v>612</v>
      </c>
      <c r="J158" s="16"/>
      <c r="K158" s="16" t="s">
        <v>613</v>
      </c>
      <c r="L158" s="16"/>
      <c r="M158" s="16" t="str">
        <f>HYPERLINK("https://ceds.ed.gov/cedselementdetails.aspx?termid=27109")</f>
        <v>https://ceds.ed.gov/cedselementdetails.aspx?termid=27109</v>
      </c>
    </row>
    <row r="159" spans="1:13" ht="100.8" x14ac:dyDescent="0.3">
      <c r="A159" s="16" t="s">
        <v>614</v>
      </c>
      <c r="B159" s="16" t="s">
        <v>7839</v>
      </c>
      <c r="C159" s="16" t="s">
        <v>32</v>
      </c>
      <c r="D159" s="16" t="s">
        <v>597</v>
      </c>
      <c r="E159" s="16"/>
      <c r="F159" s="16" t="s">
        <v>316</v>
      </c>
      <c r="G159" s="16"/>
      <c r="H159" s="16"/>
      <c r="I159" s="19" t="s">
        <v>615</v>
      </c>
      <c r="J159" s="16"/>
      <c r="K159" s="16" t="s">
        <v>616</v>
      </c>
      <c r="L159" s="16"/>
      <c r="M159" s="16" t="str">
        <f>HYPERLINK("https://ceds.ed.gov/cedselementdetails.aspx?termid=27106")</f>
        <v>https://ceds.ed.gov/cedselementdetails.aspx?termid=27106</v>
      </c>
    </row>
    <row r="160" spans="1:13" ht="72" x14ac:dyDescent="0.3">
      <c r="A160" s="16" t="s">
        <v>617</v>
      </c>
      <c r="B160" s="16" t="s">
        <v>7840</v>
      </c>
      <c r="C160" s="16" t="s">
        <v>32</v>
      </c>
      <c r="D160" s="16" t="s">
        <v>597</v>
      </c>
      <c r="E160" s="16"/>
      <c r="F160" s="16" t="s">
        <v>316</v>
      </c>
      <c r="G160" s="16"/>
      <c r="H160" s="16"/>
      <c r="I160" s="19" t="s">
        <v>618</v>
      </c>
      <c r="J160" s="16"/>
      <c r="K160" s="16" t="s">
        <v>619</v>
      </c>
      <c r="L160" s="16"/>
      <c r="M160" s="16" t="str">
        <f>HYPERLINK("https://ceds.ed.gov/cedselementdetails.aspx?termid=27105")</f>
        <v>https://ceds.ed.gov/cedselementdetails.aspx?termid=27105</v>
      </c>
    </row>
    <row r="161" spans="1:13" ht="158.4" x14ac:dyDescent="0.3">
      <c r="A161" s="16" t="s">
        <v>620</v>
      </c>
      <c r="B161" s="16" t="s">
        <v>621</v>
      </c>
      <c r="C161" s="16" t="s">
        <v>32</v>
      </c>
      <c r="D161" s="16" t="s">
        <v>597</v>
      </c>
      <c r="E161" s="16"/>
      <c r="F161" s="16" t="s">
        <v>50</v>
      </c>
      <c r="G161" s="16"/>
      <c r="H161" s="16"/>
      <c r="I161" s="19" t="s">
        <v>622</v>
      </c>
      <c r="J161" s="16"/>
      <c r="K161" s="16" t="s">
        <v>623</v>
      </c>
      <c r="L161" s="16"/>
      <c r="M161" s="16" t="str">
        <f>HYPERLINK("https://ceds.ed.gov/cedselementdetails.aspx?termid=27103")</f>
        <v>https://ceds.ed.gov/cedselementdetails.aspx?termid=27103</v>
      </c>
    </row>
    <row r="162" spans="1:13" ht="158.4" x14ac:dyDescent="0.3">
      <c r="A162" s="16" t="s">
        <v>624</v>
      </c>
      <c r="B162" s="16" t="s">
        <v>625</v>
      </c>
      <c r="C162" s="16" t="s">
        <v>32</v>
      </c>
      <c r="D162" s="16" t="s">
        <v>597</v>
      </c>
      <c r="E162" s="16"/>
      <c r="F162" s="16" t="s">
        <v>316</v>
      </c>
      <c r="G162" s="16"/>
      <c r="H162" s="16"/>
      <c r="I162" s="19" t="s">
        <v>626</v>
      </c>
      <c r="J162" s="16"/>
      <c r="K162" s="16" t="s">
        <v>627</v>
      </c>
      <c r="L162" s="16"/>
      <c r="M162" s="16" t="str">
        <f>HYPERLINK("https://ceds.ed.gov/cedselementdetails.aspx?termid=27104")</f>
        <v>https://ceds.ed.gov/cedselementdetails.aspx?termid=27104</v>
      </c>
    </row>
    <row r="163" spans="1:13" ht="158.4" x14ac:dyDescent="0.3">
      <c r="A163" s="16" t="s">
        <v>628</v>
      </c>
      <c r="B163" s="16" t="s">
        <v>7841</v>
      </c>
      <c r="C163" s="16" t="s">
        <v>32</v>
      </c>
      <c r="D163" s="16" t="s">
        <v>597</v>
      </c>
      <c r="E163" s="16"/>
      <c r="F163" s="16" t="s">
        <v>316</v>
      </c>
      <c r="G163" s="16"/>
      <c r="H163" s="16"/>
      <c r="I163" s="19" t="s">
        <v>629</v>
      </c>
      <c r="J163" s="16"/>
      <c r="K163" s="16" t="s">
        <v>630</v>
      </c>
      <c r="L163" s="16"/>
      <c r="M163" s="16" t="str">
        <f>HYPERLINK("https://ceds.ed.gov/cedselementdetails.aspx?termid=27107")</f>
        <v>https://ceds.ed.gov/cedselementdetails.aspx?termid=27107</v>
      </c>
    </row>
    <row r="164" spans="1:13" ht="144" x14ac:dyDescent="0.3">
      <c r="A164" s="16" t="s">
        <v>631</v>
      </c>
      <c r="B164" s="16" t="s">
        <v>632</v>
      </c>
      <c r="C164" s="16" t="s">
        <v>32</v>
      </c>
      <c r="D164" s="16" t="s">
        <v>597</v>
      </c>
      <c r="E164" s="16"/>
      <c r="F164" s="16" t="s">
        <v>316</v>
      </c>
      <c r="G164" s="16"/>
      <c r="H164" s="16"/>
      <c r="I164" s="19" t="s">
        <v>633</v>
      </c>
      <c r="J164" s="16"/>
      <c r="K164" s="16" t="s">
        <v>634</v>
      </c>
      <c r="L164" s="16"/>
      <c r="M164" s="16" t="str">
        <f>HYPERLINK("https://ceds.ed.gov/cedselementdetails.aspx?termid=27108")</f>
        <v>https://ceds.ed.gov/cedselementdetails.aspx?termid=27108</v>
      </c>
    </row>
    <row r="165" spans="1:13" ht="172.8" x14ac:dyDescent="0.3">
      <c r="A165" s="16" t="s">
        <v>635</v>
      </c>
      <c r="B165" s="16" t="s">
        <v>636</v>
      </c>
      <c r="C165" s="16" t="s">
        <v>32</v>
      </c>
      <c r="D165" s="16" t="s">
        <v>602</v>
      </c>
      <c r="E165" s="16"/>
      <c r="F165" s="16" t="s">
        <v>120</v>
      </c>
      <c r="G165" s="16"/>
      <c r="H165" s="16" t="s">
        <v>7817</v>
      </c>
      <c r="I165" s="19" t="s">
        <v>637</v>
      </c>
      <c r="J165" s="16"/>
      <c r="K165" s="16" t="s">
        <v>638</v>
      </c>
      <c r="L165" s="16"/>
      <c r="M165" s="16" t="str">
        <f>HYPERLINK("https://ceds.ed.gov/cedselementdetails.aspx?termid=27132")</f>
        <v>https://ceds.ed.gov/cedselementdetails.aspx?termid=27132</v>
      </c>
    </row>
    <row r="166" spans="1:13" ht="43.2" x14ac:dyDescent="0.3">
      <c r="A166" s="16" t="s">
        <v>639</v>
      </c>
      <c r="B166" s="16" t="s">
        <v>640</v>
      </c>
      <c r="C166" s="16" t="s">
        <v>32</v>
      </c>
      <c r="D166" s="16" t="s">
        <v>602</v>
      </c>
      <c r="E166" s="16"/>
      <c r="F166" s="16" t="s">
        <v>145</v>
      </c>
      <c r="G166" s="16"/>
      <c r="H166" s="16"/>
      <c r="I166" s="19" t="s">
        <v>641</v>
      </c>
      <c r="J166" s="16"/>
      <c r="K166" s="16" t="s">
        <v>642</v>
      </c>
      <c r="L166" s="16"/>
      <c r="M166" s="16" t="str">
        <f>HYPERLINK("https://ceds.ed.gov/cedselementdetails.aspx?termid=27133")</f>
        <v>https://ceds.ed.gov/cedselementdetails.aspx?termid=27133</v>
      </c>
    </row>
    <row r="167" spans="1:13" ht="86.4" x14ac:dyDescent="0.3">
      <c r="A167" s="16" t="s">
        <v>643</v>
      </c>
      <c r="B167" s="16" t="s">
        <v>644</v>
      </c>
      <c r="C167" s="16" t="s">
        <v>32</v>
      </c>
      <c r="D167" s="16" t="s">
        <v>361</v>
      </c>
      <c r="E167" s="16"/>
      <c r="F167" s="16" t="s">
        <v>316</v>
      </c>
      <c r="G167" s="16"/>
      <c r="H167" s="16"/>
      <c r="I167" s="19" t="s">
        <v>645</v>
      </c>
      <c r="J167" s="16"/>
      <c r="K167" s="16" t="s">
        <v>646</v>
      </c>
      <c r="L167" s="16"/>
      <c r="M167" s="16" t="str">
        <f>HYPERLINK("https://ceds.ed.gov/cedselementdetails.aspx?termid=27100")</f>
        <v>https://ceds.ed.gov/cedselementdetails.aspx?termid=27100</v>
      </c>
    </row>
    <row r="168" spans="1:13" ht="115.2" x14ac:dyDescent="0.3">
      <c r="A168" s="16" t="s">
        <v>647</v>
      </c>
      <c r="B168" s="16" t="s">
        <v>648</v>
      </c>
      <c r="C168" s="16" t="s">
        <v>32</v>
      </c>
      <c r="D168" s="16" t="s">
        <v>361</v>
      </c>
      <c r="E168" s="16"/>
      <c r="F168" s="16" t="s">
        <v>316</v>
      </c>
      <c r="G168" s="16"/>
      <c r="H168" s="16"/>
      <c r="I168" s="19" t="s">
        <v>649</v>
      </c>
      <c r="J168" s="16"/>
      <c r="K168" s="16" t="s">
        <v>650</v>
      </c>
      <c r="L168" s="16"/>
      <c r="M168" s="16" t="str">
        <f>HYPERLINK("https://ceds.ed.gov/cedselementdetails.aspx?termid=27090")</f>
        <v>https://ceds.ed.gov/cedselementdetails.aspx?termid=27090</v>
      </c>
    </row>
    <row r="169" spans="1:13" ht="86.4" x14ac:dyDescent="0.3">
      <c r="A169" s="16" t="s">
        <v>651</v>
      </c>
      <c r="B169" s="16" t="s">
        <v>7842</v>
      </c>
      <c r="C169" s="16" t="s">
        <v>32</v>
      </c>
      <c r="D169" s="16" t="s">
        <v>652</v>
      </c>
      <c r="E169" s="16"/>
      <c r="F169" s="16" t="s">
        <v>316</v>
      </c>
      <c r="G169" s="16"/>
      <c r="H169" s="16"/>
      <c r="I169" s="19" t="s">
        <v>653</v>
      </c>
      <c r="J169" s="16"/>
      <c r="K169" s="16" t="s">
        <v>654</v>
      </c>
      <c r="L169" s="16"/>
      <c r="M169" s="16" t="str">
        <f>HYPERLINK("https://ceds.ed.gov/cedselementdetails.aspx?termid=27079")</f>
        <v>https://ceds.ed.gov/cedselementdetails.aspx?termid=27079</v>
      </c>
    </row>
    <row r="170" spans="1:13" ht="129.6" x14ac:dyDescent="0.3">
      <c r="A170" s="16" t="s">
        <v>655</v>
      </c>
      <c r="B170" s="16" t="s">
        <v>656</v>
      </c>
      <c r="C170" s="16" t="s">
        <v>32</v>
      </c>
      <c r="D170" s="16" t="s">
        <v>361</v>
      </c>
      <c r="E170" s="16"/>
      <c r="F170" s="16" t="s">
        <v>316</v>
      </c>
      <c r="G170" s="16"/>
      <c r="H170" s="16"/>
      <c r="I170" s="19" t="s">
        <v>657</v>
      </c>
      <c r="J170" s="16"/>
      <c r="K170" s="16" t="s">
        <v>658</v>
      </c>
      <c r="L170" s="16"/>
      <c r="M170" s="16" t="str">
        <f>HYPERLINK("https://ceds.ed.gov/cedselementdetails.aspx?termid=27080")</f>
        <v>https://ceds.ed.gov/cedselementdetails.aspx?termid=27080</v>
      </c>
    </row>
    <row r="171" spans="1:13" ht="187.2" x14ac:dyDescent="0.3">
      <c r="A171" s="16" t="s">
        <v>659</v>
      </c>
      <c r="B171" s="16" t="s">
        <v>660</v>
      </c>
      <c r="C171" s="16" t="s">
        <v>32</v>
      </c>
      <c r="D171" s="16" t="s">
        <v>361</v>
      </c>
      <c r="E171" s="16"/>
      <c r="F171" s="16" t="s">
        <v>316</v>
      </c>
      <c r="G171" s="16"/>
      <c r="H171" s="16"/>
      <c r="I171" s="19" t="s">
        <v>661</v>
      </c>
      <c r="J171" s="16"/>
      <c r="K171" s="16" t="s">
        <v>662</v>
      </c>
      <c r="L171" s="16"/>
      <c r="M171" s="16" t="str">
        <f>HYPERLINK("https://ceds.ed.gov/cedselementdetails.aspx?termid=27098")</f>
        <v>https://ceds.ed.gov/cedselementdetails.aspx?termid=27098</v>
      </c>
    </row>
    <row r="172" spans="1:13" ht="57.6" x14ac:dyDescent="0.3">
      <c r="A172" s="16" t="s">
        <v>663</v>
      </c>
      <c r="B172" s="16" t="s">
        <v>664</v>
      </c>
      <c r="C172" s="16" t="s">
        <v>32</v>
      </c>
      <c r="D172" s="16" t="s">
        <v>361</v>
      </c>
      <c r="E172" s="16"/>
      <c r="F172" s="16" t="s">
        <v>316</v>
      </c>
      <c r="G172" s="16"/>
      <c r="H172" s="16"/>
      <c r="I172" s="19" t="s">
        <v>665</v>
      </c>
      <c r="J172" s="16"/>
      <c r="K172" s="16" t="s">
        <v>666</v>
      </c>
      <c r="L172" s="16"/>
      <c r="M172" s="16" t="str">
        <f>HYPERLINK("https://ceds.ed.gov/cedselementdetails.aspx?termid=27097")</f>
        <v>https://ceds.ed.gov/cedselementdetails.aspx?termid=27097</v>
      </c>
    </row>
    <row r="173" spans="1:13" ht="115.2" x14ac:dyDescent="0.3">
      <c r="A173" s="16" t="s">
        <v>667</v>
      </c>
      <c r="B173" s="16" t="s">
        <v>668</v>
      </c>
      <c r="C173" s="16" t="s">
        <v>32</v>
      </c>
      <c r="D173" s="16" t="s">
        <v>361</v>
      </c>
      <c r="E173" s="16"/>
      <c r="F173" s="16" t="s">
        <v>316</v>
      </c>
      <c r="G173" s="16"/>
      <c r="H173" s="16"/>
      <c r="I173" s="19" t="s">
        <v>669</v>
      </c>
      <c r="J173" s="16"/>
      <c r="K173" s="16" t="s">
        <v>670</v>
      </c>
      <c r="L173" s="16"/>
      <c r="M173" s="16" t="str">
        <f>HYPERLINK("https://ceds.ed.gov/cedselementdetails.aspx?termid=27081")</f>
        <v>https://ceds.ed.gov/cedselementdetails.aspx?termid=27081</v>
      </c>
    </row>
    <row r="174" spans="1:13" ht="374.4" x14ac:dyDescent="0.3">
      <c r="A174" s="16" t="s">
        <v>671</v>
      </c>
      <c r="B174" s="16" t="s">
        <v>672</v>
      </c>
      <c r="C174" s="16" t="s">
        <v>32</v>
      </c>
      <c r="D174" s="16" t="s">
        <v>361</v>
      </c>
      <c r="E174" s="16"/>
      <c r="F174" s="16" t="s">
        <v>316</v>
      </c>
      <c r="G174" s="16"/>
      <c r="H174" s="16"/>
      <c r="I174" s="19" t="s">
        <v>673</v>
      </c>
      <c r="J174" s="16"/>
      <c r="K174" s="16" t="s">
        <v>674</v>
      </c>
      <c r="L174" s="16"/>
      <c r="M174" s="16" t="str">
        <f>HYPERLINK("https://ceds.ed.gov/cedselementdetails.aspx?termid=27083")</f>
        <v>https://ceds.ed.gov/cedselementdetails.aspx?termid=27083</v>
      </c>
    </row>
    <row r="175" spans="1:13" ht="201.6" x14ac:dyDescent="0.3">
      <c r="A175" s="16" t="s">
        <v>675</v>
      </c>
      <c r="B175" s="16" t="s">
        <v>676</v>
      </c>
      <c r="C175" s="16" t="s">
        <v>32</v>
      </c>
      <c r="D175" s="16" t="s">
        <v>361</v>
      </c>
      <c r="E175" s="16"/>
      <c r="F175" s="16" t="s">
        <v>316</v>
      </c>
      <c r="G175" s="16"/>
      <c r="H175" s="16"/>
      <c r="I175" s="19" t="s">
        <v>677</v>
      </c>
      <c r="J175" s="16"/>
      <c r="K175" s="16" t="s">
        <v>678</v>
      </c>
      <c r="L175" s="16"/>
      <c r="M175" s="16" t="str">
        <f>HYPERLINK("https://ceds.ed.gov/cedselementdetails.aspx?termid=27085")</f>
        <v>https://ceds.ed.gov/cedselementdetails.aspx?termid=27085</v>
      </c>
    </row>
    <row r="176" spans="1:13" ht="201.6" x14ac:dyDescent="0.3">
      <c r="A176" s="16" t="s">
        <v>679</v>
      </c>
      <c r="B176" s="16" t="s">
        <v>680</v>
      </c>
      <c r="C176" s="16" t="s">
        <v>32</v>
      </c>
      <c r="D176" s="16" t="s">
        <v>361</v>
      </c>
      <c r="E176" s="16"/>
      <c r="F176" s="16" t="s">
        <v>316</v>
      </c>
      <c r="G176" s="16"/>
      <c r="H176" s="16"/>
      <c r="I176" s="19" t="s">
        <v>681</v>
      </c>
      <c r="J176" s="16"/>
      <c r="K176" s="16" t="s">
        <v>682</v>
      </c>
      <c r="L176" s="16"/>
      <c r="M176" s="16" t="str">
        <f>HYPERLINK("https://ceds.ed.gov/cedselementdetails.aspx?termid=27084")</f>
        <v>https://ceds.ed.gov/cedselementdetails.aspx?termid=27084</v>
      </c>
    </row>
    <row r="177" spans="1:13" ht="187.2" x14ac:dyDescent="0.3">
      <c r="A177" s="16" t="s">
        <v>683</v>
      </c>
      <c r="B177" s="16" t="s">
        <v>684</v>
      </c>
      <c r="C177" s="16" t="s">
        <v>32</v>
      </c>
      <c r="D177" s="16" t="s">
        <v>361</v>
      </c>
      <c r="E177" s="16"/>
      <c r="F177" s="16" t="s">
        <v>316</v>
      </c>
      <c r="G177" s="16"/>
      <c r="H177" s="16"/>
      <c r="I177" s="19" t="s">
        <v>685</v>
      </c>
      <c r="J177" s="16"/>
      <c r="K177" s="16" t="s">
        <v>686</v>
      </c>
      <c r="L177" s="16"/>
      <c r="M177" s="16" t="str">
        <f>HYPERLINK("https://ceds.ed.gov/cedselementdetails.aspx?termid=27093")</f>
        <v>https://ceds.ed.gov/cedselementdetails.aspx?termid=27093</v>
      </c>
    </row>
    <row r="178" spans="1:13" ht="115.2" x14ac:dyDescent="0.3">
      <c r="A178" s="16" t="s">
        <v>687</v>
      </c>
      <c r="B178" s="16" t="s">
        <v>688</v>
      </c>
      <c r="C178" s="16" t="s">
        <v>32</v>
      </c>
      <c r="D178" s="16" t="s">
        <v>361</v>
      </c>
      <c r="E178" s="16"/>
      <c r="F178" s="16" t="s">
        <v>316</v>
      </c>
      <c r="G178" s="16"/>
      <c r="H178" s="16"/>
      <c r="I178" s="19" t="s">
        <v>689</v>
      </c>
      <c r="J178" s="16"/>
      <c r="K178" s="16" t="s">
        <v>690</v>
      </c>
      <c r="L178" s="16"/>
      <c r="M178" s="16" t="str">
        <f>HYPERLINK("https://ceds.ed.gov/cedselementdetails.aspx?termid=27091")</f>
        <v>https://ceds.ed.gov/cedselementdetails.aspx?termid=27091</v>
      </c>
    </row>
    <row r="179" spans="1:13" ht="144" x14ac:dyDescent="0.3">
      <c r="A179" s="16" t="s">
        <v>691</v>
      </c>
      <c r="B179" s="16" t="s">
        <v>692</v>
      </c>
      <c r="C179" s="16" t="s">
        <v>32</v>
      </c>
      <c r="D179" s="16" t="s">
        <v>361</v>
      </c>
      <c r="E179" s="16"/>
      <c r="F179" s="16" t="s">
        <v>316</v>
      </c>
      <c r="G179" s="16"/>
      <c r="H179" s="16"/>
      <c r="I179" s="19" t="s">
        <v>693</v>
      </c>
      <c r="J179" s="16"/>
      <c r="K179" s="16" t="s">
        <v>694</v>
      </c>
      <c r="L179" s="16"/>
      <c r="M179" s="16" t="str">
        <f>HYPERLINK("https://ceds.ed.gov/cedselementdetails.aspx?termid=27082")</f>
        <v>https://ceds.ed.gov/cedselementdetails.aspx?termid=27082</v>
      </c>
    </row>
    <row r="180" spans="1:13" ht="129.6" x14ac:dyDescent="0.3">
      <c r="A180" s="16" t="s">
        <v>695</v>
      </c>
      <c r="B180" s="16" t="s">
        <v>696</v>
      </c>
      <c r="C180" s="16" t="s">
        <v>32</v>
      </c>
      <c r="D180" s="16" t="s">
        <v>361</v>
      </c>
      <c r="E180" s="16"/>
      <c r="F180" s="16" t="s">
        <v>316</v>
      </c>
      <c r="G180" s="16"/>
      <c r="H180" s="16"/>
      <c r="I180" s="19" t="s">
        <v>697</v>
      </c>
      <c r="J180" s="16"/>
      <c r="K180" s="16" t="s">
        <v>698</v>
      </c>
      <c r="L180" s="16"/>
      <c r="M180" s="16" t="str">
        <f>HYPERLINK("https://ceds.ed.gov/cedselementdetails.aspx?termid=27092")</f>
        <v>https://ceds.ed.gov/cedselementdetails.aspx?termid=27092</v>
      </c>
    </row>
    <row r="181" spans="1:13" ht="172.8" x14ac:dyDescent="0.3">
      <c r="A181" s="16" t="s">
        <v>699</v>
      </c>
      <c r="B181" s="16" t="s">
        <v>700</v>
      </c>
      <c r="C181" s="16" t="s">
        <v>32</v>
      </c>
      <c r="D181" s="16" t="s">
        <v>361</v>
      </c>
      <c r="E181" s="16"/>
      <c r="F181" s="16" t="s">
        <v>316</v>
      </c>
      <c r="G181" s="16"/>
      <c r="H181" s="16"/>
      <c r="I181" s="19" t="s">
        <v>701</v>
      </c>
      <c r="J181" s="16"/>
      <c r="K181" s="16" t="s">
        <v>702</v>
      </c>
      <c r="L181" s="16"/>
      <c r="M181" s="16" t="str">
        <f>HYPERLINK("https://ceds.ed.gov/cedselementdetails.aspx?termid=27094")</f>
        <v>https://ceds.ed.gov/cedselementdetails.aspx?termid=27094</v>
      </c>
    </row>
    <row r="182" spans="1:13" ht="187.2" x14ac:dyDescent="0.3">
      <c r="A182" s="16" t="s">
        <v>703</v>
      </c>
      <c r="B182" s="16" t="s">
        <v>704</v>
      </c>
      <c r="C182" s="16" t="s">
        <v>32</v>
      </c>
      <c r="D182" s="16" t="s">
        <v>361</v>
      </c>
      <c r="E182" s="16"/>
      <c r="F182" s="16" t="s">
        <v>316</v>
      </c>
      <c r="G182" s="16"/>
      <c r="H182" s="16"/>
      <c r="I182" s="19" t="s">
        <v>705</v>
      </c>
      <c r="J182" s="16"/>
      <c r="K182" s="16" t="s">
        <v>706</v>
      </c>
      <c r="L182" s="16"/>
      <c r="M182" s="16" t="str">
        <f>HYPERLINK("https://ceds.ed.gov/cedselementdetails.aspx?termid=27095")</f>
        <v>https://ceds.ed.gov/cedselementdetails.aspx?termid=27095</v>
      </c>
    </row>
    <row r="183" spans="1:13" ht="216" x14ac:dyDescent="0.3">
      <c r="A183" s="16" t="s">
        <v>707</v>
      </c>
      <c r="B183" s="16" t="s">
        <v>708</v>
      </c>
      <c r="C183" s="16" t="s">
        <v>32</v>
      </c>
      <c r="D183" s="16" t="s">
        <v>361</v>
      </c>
      <c r="E183" s="16"/>
      <c r="F183" s="16" t="s">
        <v>316</v>
      </c>
      <c r="G183" s="16"/>
      <c r="H183" s="16"/>
      <c r="I183" s="19" t="s">
        <v>709</v>
      </c>
      <c r="J183" s="16"/>
      <c r="K183" s="16" t="s">
        <v>710</v>
      </c>
      <c r="L183" s="16"/>
      <c r="M183" s="16" t="str">
        <f>HYPERLINK("https://ceds.ed.gov/cedselementdetails.aspx?termid=27088")</f>
        <v>https://ceds.ed.gov/cedselementdetails.aspx?termid=27088</v>
      </c>
    </row>
    <row r="184" spans="1:13" ht="172.8" x14ac:dyDescent="0.3">
      <c r="A184" s="16" t="s">
        <v>711</v>
      </c>
      <c r="B184" s="16" t="s">
        <v>712</v>
      </c>
      <c r="C184" s="16" t="s">
        <v>32</v>
      </c>
      <c r="D184" s="16" t="s">
        <v>361</v>
      </c>
      <c r="E184" s="16"/>
      <c r="F184" s="16" t="s">
        <v>316</v>
      </c>
      <c r="G184" s="16"/>
      <c r="H184" s="16"/>
      <c r="I184" s="19" t="s">
        <v>713</v>
      </c>
      <c r="J184" s="16"/>
      <c r="K184" s="16" t="s">
        <v>714</v>
      </c>
      <c r="L184" s="16"/>
      <c r="M184" s="16" t="str">
        <f>HYPERLINK("https://ceds.ed.gov/cedselementdetails.aspx?termid=27087")</f>
        <v>https://ceds.ed.gov/cedselementdetails.aspx?termid=27087</v>
      </c>
    </row>
    <row r="185" spans="1:13" ht="115.2" x14ac:dyDescent="0.3">
      <c r="A185" s="16" t="s">
        <v>715</v>
      </c>
      <c r="B185" s="16" t="s">
        <v>716</v>
      </c>
      <c r="C185" s="16" t="s">
        <v>32</v>
      </c>
      <c r="D185" s="16" t="s">
        <v>361</v>
      </c>
      <c r="E185" s="16"/>
      <c r="F185" s="16" t="s">
        <v>316</v>
      </c>
      <c r="G185" s="16"/>
      <c r="H185" s="16"/>
      <c r="I185" s="19" t="s">
        <v>717</v>
      </c>
      <c r="J185" s="16"/>
      <c r="K185" s="16" t="s">
        <v>718</v>
      </c>
      <c r="L185" s="16"/>
      <c r="M185" s="16" t="str">
        <f>HYPERLINK("https://ceds.ed.gov/cedselementdetails.aspx?termid=27089")</f>
        <v>https://ceds.ed.gov/cedselementdetails.aspx?termid=27089</v>
      </c>
    </row>
    <row r="186" spans="1:13" ht="57.6" x14ac:dyDescent="0.3">
      <c r="A186" s="16" t="s">
        <v>719</v>
      </c>
      <c r="B186" s="16" t="s">
        <v>720</v>
      </c>
      <c r="C186" s="16" t="s">
        <v>32</v>
      </c>
      <c r="D186" s="16" t="s">
        <v>602</v>
      </c>
      <c r="E186" s="16"/>
      <c r="F186" s="16" t="s">
        <v>316</v>
      </c>
      <c r="G186" s="16"/>
      <c r="H186" s="16"/>
      <c r="I186" s="19" t="s">
        <v>721</v>
      </c>
      <c r="J186" s="16"/>
      <c r="K186" s="16" t="s">
        <v>722</v>
      </c>
      <c r="L186" s="16"/>
      <c r="M186" s="16" t="str">
        <f>HYPERLINK("https://ceds.ed.gov/cedselementdetails.aspx?termid=27233")</f>
        <v>https://ceds.ed.gov/cedselementdetails.aspx?termid=27233</v>
      </c>
    </row>
    <row r="187" spans="1:13" ht="115.2" x14ac:dyDescent="0.3">
      <c r="A187" s="16" t="s">
        <v>723</v>
      </c>
      <c r="B187" s="16" t="s">
        <v>724</v>
      </c>
      <c r="C187" s="16" t="s">
        <v>32</v>
      </c>
      <c r="D187" s="16" t="s">
        <v>361</v>
      </c>
      <c r="E187" s="16"/>
      <c r="F187" s="16" t="s">
        <v>316</v>
      </c>
      <c r="G187" s="16"/>
      <c r="H187" s="16"/>
      <c r="I187" s="19" t="s">
        <v>725</v>
      </c>
      <c r="J187" s="16"/>
      <c r="K187" s="16" t="s">
        <v>726</v>
      </c>
      <c r="L187" s="16"/>
      <c r="M187" s="16" t="str">
        <f>HYPERLINK("https://ceds.ed.gov/cedselementdetails.aspx?termid=27096")</f>
        <v>https://ceds.ed.gov/cedselementdetails.aspx?termid=27096</v>
      </c>
    </row>
    <row r="188" spans="1:13" ht="100.8" x14ac:dyDescent="0.3">
      <c r="A188" s="16" t="s">
        <v>727</v>
      </c>
      <c r="B188" s="16" t="s">
        <v>728</v>
      </c>
      <c r="C188" s="16" t="s">
        <v>32</v>
      </c>
      <c r="D188" s="16" t="s">
        <v>361</v>
      </c>
      <c r="E188" s="16"/>
      <c r="F188" s="16" t="s">
        <v>316</v>
      </c>
      <c r="G188" s="16"/>
      <c r="H188" s="16"/>
      <c r="I188" s="19" t="s">
        <v>729</v>
      </c>
      <c r="J188" s="16"/>
      <c r="K188" s="16" t="s">
        <v>730</v>
      </c>
      <c r="L188" s="16"/>
      <c r="M188" s="16" t="str">
        <f>HYPERLINK("https://ceds.ed.gov/cedselementdetails.aspx?termid=27099")</f>
        <v>https://ceds.ed.gov/cedselementdetails.aspx?termid=27099</v>
      </c>
    </row>
    <row r="189" spans="1:13" ht="360" x14ac:dyDescent="0.3">
      <c r="A189" s="16" t="s">
        <v>731</v>
      </c>
      <c r="B189" s="16" t="s">
        <v>732</v>
      </c>
      <c r="C189" s="16" t="s">
        <v>8330</v>
      </c>
      <c r="D189" s="16" t="s">
        <v>733</v>
      </c>
      <c r="E189" s="16"/>
      <c r="F189" s="16"/>
      <c r="G189" s="16"/>
      <c r="H189" s="16"/>
      <c r="I189" s="19" t="s">
        <v>734</v>
      </c>
      <c r="J189" s="16"/>
      <c r="K189" s="16" t="s">
        <v>735</v>
      </c>
      <c r="L189" s="16" t="s">
        <v>605</v>
      </c>
      <c r="M189" s="16" t="str">
        <f>HYPERLINK("https://ceds.ed.gov/cedselementdetails.aspx?termid=26384")</f>
        <v>https://ceds.ed.gov/cedselementdetails.aspx?termid=26384</v>
      </c>
    </row>
    <row r="190" spans="1:13" ht="28.8" x14ac:dyDescent="0.3">
      <c r="A190" s="16" t="s">
        <v>736</v>
      </c>
      <c r="B190" s="16" t="s">
        <v>737</v>
      </c>
      <c r="C190" s="16" t="s">
        <v>32</v>
      </c>
      <c r="D190" s="16" t="s">
        <v>733</v>
      </c>
      <c r="E190" s="16"/>
      <c r="F190" s="16" t="s">
        <v>81</v>
      </c>
      <c r="G190" s="16"/>
      <c r="H190" s="16"/>
      <c r="I190" s="19" t="s">
        <v>738</v>
      </c>
      <c r="J190" s="16"/>
      <c r="K190" s="16" t="s">
        <v>739</v>
      </c>
      <c r="L190" s="16"/>
      <c r="M190" s="16" t="str">
        <f>HYPERLINK("https://ceds.ed.gov/cedselementdetails.aspx?termid=26685")</f>
        <v>https://ceds.ed.gov/cedselementdetails.aspx?termid=26685</v>
      </c>
    </row>
    <row r="191" spans="1:13" ht="43.2" x14ac:dyDescent="0.3">
      <c r="A191" s="16" t="s">
        <v>740</v>
      </c>
      <c r="B191" s="16" t="s">
        <v>741</v>
      </c>
      <c r="C191" s="16" t="s">
        <v>32</v>
      </c>
      <c r="D191" s="16" t="s">
        <v>602</v>
      </c>
      <c r="E191" s="16"/>
      <c r="F191" s="16" t="s">
        <v>742</v>
      </c>
      <c r="G191" s="16"/>
      <c r="H191" s="16"/>
      <c r="I191" s="19" t="s">
        <v>743</v>
      </c>
      <c r="J191" s="16"/>
      <c r="K191" s="16" t="s">
        <v>744</v>
      </c>
      <c r="L191" s="16" t="s">
        <v>605</v>
      </c>
      <c r="M191" s="16" t="str">
        <f>HYPERLINK("https://ceds.ed.gov/cedselementdetails.aspx?termid=26383")</f>
        <v>https://ceds.ed.gov/cedselementdetails.aspx?termid=26383</v>
      </c>
    </row>
    <row r="192" spans="1:13" ht="28.8" x14ac:dyDescent="0.3">
      <c r="A192" s="16" t="s">
        <v>745</v>
      </c>
      <c r="B192" s="16" t="s">
        <v>746</v>
      </c>
      <c r="C192" s="16" t="s">
        <v>32</v>
      </c>
      <c r="D192" s="16" t="s">
        <v>602</v>
      </c>
      <c r="E192" s="16"/>
      <c r="F192" s="16" t="s">
        <v>747</v>
      </c>
      <c r="G192" s="16"/>
      <c r="H192" s="16"/>
      <c r="I192" s="19" t="s">
        <v>748</v>
      </c>
      <c r="J192" s="16"/>
      <c r="K192" s="16" t="s">
        <v>749</v>
      </c>
      <c r="L192" s="16" t="s">
        <v>605</v>
      </c>
      <c r="M192" s="16" t="str">
        <f>HYPERLINK("https://ceds.ed.gov/cedselementdetails.aspx?termid=26390")</f>
        <v>https://ceds.ed.gov/cedselementdetails.aspx?termid=26390</v>
      </c>
    </row>
    <row r="193" spans="1:13" ht="172.8" x14ac:dyDescent="0.3">
      <c r="A193" s="16" t="s">
        <v>750</v>
      </c>
      <c r="B193" s="16" t="s">
        <v>751</v>
      </c>
      <c r="C193" s="16" t="s">
        <v>32</v>
      </c>
      <c r="D193" s="16" t="s">
        <v>602</v>
      </c>
      <c r="E193" s="16"/>
      <c r="F193" s="16" t="s">
        <v>120</v>
      </c>
      <c r="G193" s="16"/>
      <c r="H193" s="16" t="s">
        <v>7817</v>
      </c>
      <c r="I193" s="19" t="s">
        <v>752</v>
      </c>
      <c r="J193" s="16"/>
      <c r="K193" s="16" t="s">
        <v>753</v>
      </c>
      <c r="L193" s="16" t="s">
        <v>605</v>
      </c>
      <c r="M193" s="16" t="str">
        <f>HYPERLINK("https://ceds.ed.gov/cedselementdetails.aspx?termid=26623")</f>
        <v>https://ceds.ed.gov/cedselementdetails.aspx?termid=26623</v>
      </c>
    </row>
    <row r="194" spans="1:13" ht="409.6" x14ac:dyDescent="0.3">
      <c r="A194" s="16" t="s">
        <v>754</v>
      </c>
      <c r="B194" s="16" t="s">
        <v>755</v>
      </c>
      <c r="C194" s="16" t="s">
        <v>8331</v>
      </c>
      <c r="D194" s="16" t="s">
        <v>361</v>
      </c>
      <c r="E194" s="16"/>
      <c r="F194" s="16"/>
      <c r="G194" s="16"/>
      <c r="H194" s="16"/>
      <c r="I194" s="19" t="s">
        <v>756</v>
      </c>
      <c r="J194" s="16"/>
      <c r="K194" s="16" t="s">
        <v>757</v>
      </c>
      <c r="L194" s="16"/>
      <c r="M194" s="16" t="str">
        <f>HYPERLINK("https://ceds.ed.gov/cedselementdetails.aspx?termid=27117")</f>
        <v>https://ceds.ed.gov/cedselementdetails.aspx?termid=27117</v>
      </c>
    </row>
    <row r="195" spans="1:13" ht="57.6" x14ac:dyDescent="0.3">
      <c r="A195" s="16" t="s">
        <v>758</v>
      </c>
      <c r="B195" s="16" t="s">
        <v>759</v>
      </c>
      <c r="C195" s="16" t="s">
        <v>22</v>
      </c>
      <c r="D195" s="16" t="s">
        <v>602</v>
      </c>
      <c r="E195" s="16"/>
      <c r="F195" s="16"/>
      <c r="G195" s="16"/>
      <c r="H195" s="16"/>
      <c r="I195" s="19" t="s">
        <v>760</v>
      </c>
      <c r="J195" s="16"/>
      <c r="K195" s="16" t="s">
        <v>761</v>
      </c>
      <c r="L195" s="16"/>
      <c r="M195" s="16" t="str">
        <f>HYPERLINK("https://ceds.ed.gov/cedselementdetails.aspx?termid=27227")</f>
        <v>https://ceds.ed.gov/cedselementdetails.aspx?termid=27227</v>
      </c>
    </row>
    <row r="196" spans="1:13" ht="28.8" x14ac:dyDescent="0.3">
      <c r="A196" s="16" t="s">
        <v>762</v>
      </c>
      <c r="B196" s="16" t="s">
        <v>763</v>
      </c>
      <c r="C196" s="16" t="s">
        <v>32</v>
      </c>
      <c r="D196" s="16" t="s">
        <v>602</v>
      </c>
      <c r="E196" s="16"/>
      <c r="F196" s="16" t="s">
        <v>136</v>
      </c>
      <c r="G196" s="16"/>
      <c r="H196" s="16"/>
      <c r="I196" s="19" t="s">
        <v>764</v>
      </c>
      <c r="J196" s="16"/>
      <c r="K196" s="16" t="s">
        <v>765</v>
      </c>
      <c r="L196" s="16"/>
      <c r="M196" s="16" t="str">
        <f>HYPERLINK("https://ceds.ed.gov/cedselementdetails.aspx?termid=26683")</f>
        <v>https://ceds.ed.gov/cedselementdetails.aspx?termid=26683</v>
      </c>
    </row>
    <row r="197" spans="1:13" ht="28.8" x14ac:dyDescent="0.3">
      <c r="A197" s="16" t="s">
        <v>766</v>
      </c>
      <c r="B197" s="16" t="s">
        <v>767</v>
      </c>
      <c r="C197" s="16" t="s">
        <v>32</v>
      </c>
      <c r="D197" s="16" t="s">
        <v>602</v>
      </c>
      <c r="E197" s="16"/>
      <c r="F197" s="16" t="s">
        <v>136</v>
      </c>
      <c r="G197" s="16"/>
      <c r="H197" s="16"/>
      <c r="I197" s="19" t="s">
        <v>768</v>
      </c>
      <c r="J197" s="16"/>
      <c r="K197" s="16" t="s">
        <v>769</v>
      </c>
      <c r="L197" s="16"/>
      <c r="M197" s="16" t="str">
        <f>HYPERLINK("https://ceds.ed.gov/cedselementdetails.aspx?termid=26684")</f>
        <v>https://ceds.ed.gov/cedselementdetails.aspx?termid=26684</v>
      </c>
    </row>
    <row r="198" spans="1:13" ht="43.2" x14ac:dyDescent="0.3">
      <c r="A198" s="16" t="s">
        <v>770</v>
      </c>
      <c r="B198" s="16" t="s">
        <v>771</v>
      </c>
      <c r="C198" s="16" t="s">
        <v>22</v>
      </c>
      <c r="D198" s="16" t="s">
        <v>772</v>
      </c>
      <c r="E198" s="16"/>
      <c r="F198" s="16"/>
      <c r="G198" s="16"/>
      <c r="H198" s="16"/>
      <c r="I198" s="19" t="s">
        <v>773</v>
      </c>
      <c r="J198" s="16"/>
      <c r="K198" s="16" t="s">
        <v>774</v>
      </c>
      <c r="L198" s="16"/>
      <c r="M198" s="16" t="str">
        <f>HYPERLINK("https://ceds.ed.gov/cedselementdetails.aspx?termid=27183")</f>
        <v>https://ceds.ed.gov/cedselementdetails.aspx?termid=27183</v>
      </c>
    </row>
    <row r="199" spans="1:13" ht="100.8" x14ac:dyDescent="0.3">
      <c r="A199" s="16" t="s">
        <v>775</v>
      </c>
      <c r="B199" s="16" t="s">
        <v>776</v>
      </c>
      <c r="C199" s="16" t="s">
        <v>32</v>
      </c>
      <c r="D199" s="16" t="s">
        <v>772</v>
      </c>
      <c r="E199" s="16"/>
      <c r="F199" s="16" t="s">
        <v>101</v>
      </c>
      <c r="G199" s="16"/>
      <c r="H199" s="16" t="s">
        <v>7843</v>
      </c>
      <c r="I199" s="19" t="s">
        <v>777</v>
      </c>
      <c r="J199" s="16"/>
      <c r="K199" s="16" t="s">
        <v>778</v>
      </c>
      <c r="L199" s="16" t="s">
        <v>779</v>
      </c>
      <c r="M199" s="16" t="str">
        <f>HYPERLINK("https://ceds.ed.gov/cedselementdetails.aspx?termid=26904")</f>
        <v>https://ceds.ed.gov/cedselementdetails.aspx?termid=26904</v>
      </c>
    </row>
    <row r="200" spans="1:13" ht="57.6" x14ac:dyDescent="0.3">
      <c r="A200" s="16" t="s">
        <v>780</v>
      </c>
      <c r="B200" s="16" t="s">
        <v>781</v>
      </c>
      <c r="C200" s="16" t="s">
        <v>32</v>
      </c>
      <c r="D200" s="16" t="s">
        <v>772</v>
      </c>
      <c r="E200" s="16"/>
      <c r="F200" s="16" t="s">
        <v>316</v>
      </c>
      <c r="G200" s="16"/>
      <c r="H200" s="16"/>
      <c r="I200" s="19" t="s">
        <v>782</v>
      </c>
      <c r="J200" s="16"/>
      <c r="K200" s="16" t="s">
        <v>783</v>
      </c>
      <c r="L200" s="16"/>
      <c r="M200" s="16" t="str">
        <f>HYPERLINK("https://ceds.ed.gov/cedselementdetails.aspx?termid=27235")</f>
        <v>https://ceds.ed.gov/cedselementdetails.aspx?termid=27235</v>
      </c>
    </row>
    <row r="201" spans="1:13" ht="43.2" x14ac:dyDescent="0.3">
      <c r="A201" s="16" t="s">
        <v>784</v>
      </c>
      <c r="B201" s="16" t="s">
        <v>785</v>
      </c>
      <c r="C201" s="16" t="s">
        <v>32</v>
      </c>
      <c r="D201" s="16" t="s">
        <v>772</v>
      </c>
      <c r="E201" s="16"/>
      <c r="F201" s="16" t="s">
        <v>305</v>
      </c>
      <c r="G201" s="16"/>
      <c r="H201" s="16"/>
      <c r="I201" s="19" t="s">
        <v>786</v>
      </c>
      <c r="J201" s="16"/>
      <c r="K201" s="16" t="s">
        <v>787</v>
      </c>
      <c r="L201" s="16"/>
      <c r="M201" s="16" t="str">
        <f>HYPERLINK("https://ceds.ed.gov/cedselementdetails.aspx?termid=26905")</f>
        <v>https://ceds.ed.gov/cedselementdetails.aspx?termid=26905</v>
      </c>
    </row>
    <row r="202" spans="1:13" ht="43.2" x14ac:dyDescent="0.3">
      <c r="A202" s="16" t="s">
        <v>788</v>
      </c>
      <c r="B202" s="16" t="s">
        <v>789</v>
      </c>
      <c r="C202" s="16" t="s">
        <v>32</v>
      </c>
      <c r="D202" s="16" t="s">
        <v>772</v>
      </c>
      <c r="E202" s="16"/>
      <c r="F202" s="16" t="s">
        <v>101</v>
      </c>
      <c r="G202" s="16"/>
      <c r="H202" s="16"/>
      <c r="I202" s="19" t="s">
        <v>790</v>
      </c>
      <c r="J202" s="16"/>
      <c r="K202" s="16" t="s">
        <v>791</v>
      </c>
      <c r="L202" s="16"/>
      <c r="M202" s="16" t="str">
        <f>HYPERLINK("https://ceds.ed.gov/cedselementdetails.aspx?termid=26908")</f>
        <v>https://ceds.ed.gov/cedselementdetails.aspx?termid=26908</v>
      </c>
    </row>
    <row r="203" spans="1:13" ht="43.2" x14ac:dyDescent="0.3">
      <c r="A203" s="16" t="s">
        <v>792</v>
      </c>
      <c r="B203" s="16" t="s">
        <v>793</v>
      </c>
      <c r="C203" s="16" t="s">
        <v>22</v>
      </c>
      <c r="D203" s="16" t="s">
        <v>602</v>
      </c>
      <c r="E203" s="16"/>
      <c r="F203" s="16"/>
      <c r="G203" s="16"/>
      <c r="H203" s="16"/>
      <c r="I203" s="19" t="s">
        <v>794</v>
      </c>
      <c r="J203" s="16"/>
      <c r="K203" s="16" t="s">
        <v>795</v>
      </c>
      <c r="L203" s="16"/>
      <c r="M203" s="16" t="str">
        <f>HYPERLINK("https://ceds.ed.gov/cedselementdetails.aspx?termid=27229")</f>
        <v>https://ceds.ed.gov/cedselementdetails.aspx?termid=27229</v>
      </c>
    </row>
    <row r="204" spans="1:13" ht="43.2" x14ac:dyDescent="0.3">
      <c r="A204" s="16" t="s">
        <v>796</v>
      </c>
      <c r="B204" s="16" t="s">
        <v>797</v>
      </c>
      <c r="C204" s="16" t="s">
        <v>32</v>
      </c>
      <c r="D204" s="16" t="s">
        <v>798</v>
      </c>
      <c r="E204" s="16"/>
      <c r="F204" s="16" t="s">
        <v>81</v>
      </c>
      <c r="G204" s="16"/>
      <c r="H204" s="16" t="s">
        <v>799</v>
      </c>
      <c r="I204" s="19" t="s">
        <v>800</v>
      </c>
      <c r="J204" s="16"/>
      <c r="K204" s="16" t="s">
        <v>801</v>
      </c>
      <c r="L204" s="16" t="s">
        <v>605</v>
      </c>
      <c r="M204" s="16" t="str">
        <f>HYPERLINK("https://ceds.ed.gov/cedselementdetails.aspx?termid=26397")</f>
        <v>https://ceds.ed.gov/cedselementdetails.aspx?termid=26397</v>
      </c>
    </row>
    <row r="205" spans="1:13" ht="28.8" x14ac:dyDescent="0.3">
      <c r="A205" s="16" t="s">
        <v>802</v>
      </c>
      <c r="B205" s="16" t="s">
        <v>803</v>
      </c>
      <c r="C205" s="16" t="s">
        <v>32</v>
      </c>
      <c r="D205" s="16" t="s">
        <v>798</v>
      </c>
      <c r="E205" s="16"/>
      <c r="F205" s="16" t="s">
        <v>747</v>
      </c>
      <c r="G205" s="16"/>
      <c r="H205" s="16"/>
      <c r="I205" s="19" t="s">
        <v>804</v>
      </c>
      <c r="J205" s="16"/>
      <c r="K205" s="16" t="s">
        <v>805</v>
      </c>
      <c r="L205" s="16" t="s">
        <v>605</v>
      </c>
      <c r="M205" s="16" t="str">
        <f>HYPERLINK("https://ceds.ed.gov/cedselementdetails.aspx?termid=26385")</f>
        <v>https://ceds.ed.gov/cedselementdetails.aspx?termid=26385</v>
      </c>
    </row>
    <row r="206" spans="1:13" ht="57.6" x14ac:dyDescent="0.3">
      <c r="A206" s="16" t="s">
        <v>806</v>
      </c>
      <c r="B206" s="16" t="s">
        <v>807</v>
      </c>
      <c r="C206" s="16" t="s">
        <v>32</v>
      </c>
      <c r="D206" s="16" t="s">
        <v>798</v>
      </c>
      <c r="E206" s="16"/>
      <c r="F206" s="16" t="s">
        <v>101</v>
      </c>
      <c r="G206" s="16"/>
      <c r="H206" s="16"/>
      <c r="I206" s="19" t="s">
        <v>808</v>
      </c>
      <c r="J206" s="16"/>
      <c r="K206" s="16" t="s">
        <v>809</v>
      </c>
      <c r="L206" s="16" t="s">
        <v>779</v>
      </c>
      <c r="M206" s="16" t="str">
        <f>HYPERLINK("https://ceds.ed.gov/cedselementdetails.aspx?termid=26891")</f>
        <v>https://ceds.ed.gov/cedselementdetails.aspx?termid=26891</v>
      </c>
    </row>
    <row r="207" spans="1:13" ht="43.2" x14ac:dyDescent="0.3">
      <c r="A207" s="16" t="s">
        <v>810</v>
      </c>
      <c r="B207" s="16" t="s">
        <v>811</v>
      </c>
      <c r="C207" s="16" t="s">
        <v>32</v>
      </c>
      <c r="D207" s="16" t="s">
        <v>798</v>
      </c>
      <c r="E207" s="16"/>
      <c r="F207" s="16" t="s">
        <v>812</v>
      </c>
      <c r="G207" s="16"/>
      <c r="H207" s="16"/>
      <c r="I207" s="19" t="s">
        <v>813</v>
      </c>
      <c r="J207" s="16"/>
      <c r="K207" s="16" t="s">
        <v>814</v>
      </c>
      <c r="L207" s="16"/>
      <c r="M207" s="16" t="str">
        <f>HYPERLINK("https://ceds.ed.gov/cedselementdetails.aspx?termid=27512")</f>
        <v>https://ceds.ed.gov/cedselementdetails.aspx?termid=27512</v>
      </c>
    </row>
    <row r="208" spans="1:13" ht="43.2" x14ac:dyDescent="0.3">
      <c r="A208" s="16" t="s">
        <v>815</v>
      </c>
      <c r="B208" s="16" t="s">
        <v>7844</v>
      </c>
      <c r="C208" s="16" t="s">
        <v>32</v>
      </c>
      <c r="D208" s="16" t="s">
        <v>798</v>
      </c>
      <c r="E208" s="16"/>
      <c r="F208" s="16" t="s">
        <v>816</v>
      </c>
      <c r="G208" s="16"/>
      <c r="H208" s="16"/>
      <c r="I208" s="19" t="s">
        <v>817</v>
      </c>
      <c r="J208" s="16"/>
      <c r="K208" s="16" t="s">
        <v>818</v>
      </c>
      <c r="L208" s="16" t="s">
        <v>605</v>
      </c>
      <c r="M208" s="16" t="str">
        <f>HYPERLINK("https://ceds.ed.gov/cedselementdetails.aspx?termid=26394")</f>
        <v>https://ceds.ed.gov/cedselementdetails.aspx?termid=26394</v>
      </c>
    </row>
    <row r="209" spans="1:13" ht="100.8" x14ac:dyDescent="0.3">
      <c r="A209" s="16" t="s">
        <v>819</v>
      </c>
      <c r="B209" s="16" t="s">
        <v>820</v>
      </c>
      <c r="C209" s="16" t="s">
        <v>32</v>
      </c>
      <c r="D209" s="16" t="s">
        <v>798</v>
      </c>
      <c r="E209" s="16"/>
      <c r="F209" s="16" t="s">
        <v>816</v>
      </c>
      <c r="G209" s="16"/>
      <c r="H209" s="16" t="s">
        <v>7845</v>
      </c>
      <c r="I209" s="19" t="s">
        <v>821</v>
      </c>
      <c r="J209" s="16"/>
      <c r="K209" s="16" t="s">
        <v>822</v>
      </c>
      <c r="L209" s="16"/>
      <c r="M209" s="16" t="str">
        <f>HYPERLINK("https://ceds.ed.gov/cedselementdetails.aspx?termid=26958")</f>
        <v>https://ceds.ed.gov/cedselementdetails.aspx?termid=26958</v>
      </c>
    </row>
    <row r="210" spans="1:13" ht="115.2" x14ac:dyDescent="0.3">
      <c r="A210" s="16" t="s">
        <v>823</v>
      </c>
      <c r="B210" s="16" t="s">
        <v>7846</v>
      </c>
      <c r="C210" s="16" t="s">
        <v>32</v>
      </c>
      <c r="D210" s="16" t="s">
        <v>798</v>
      </c>
      <c r="E210" s="16"/>
      <c r="F210" s="16" t="s">
        <v>305</v>
      </c>
      <c r="G210" s="16"/>
      <c r="H210" s="16"/>
      <c r="I210" s="19" t="s">
        <v>824</v>
      </c>
      <c r="J210" s="16"/>
      <c r="K210" s="16" t="s">
        <v>825</v>
      </c>
      <c r="L210" s="16"/>
      <c r="M210" s="16" t="str">
        <f>HYPERLINK("https://ceds.ed.gov/cedselementdetails.aspx?termid=26956")</f>
        <v>https://ceds.ed.gov/cedselementdetails.aspx?termid=26956</v>
      </c>
    </row>
    <row r="211" spans="1:13" ht="129.6" x14ac:dyDescent="0.3">
      <c r="A211" s="16" t="s">
        <v>826</v>
      </c>
      <c r="B211" s="16" t="s">
        <v>827</v>
      </c>
      <c r="C211" s="16" t="s">
        <v>22</v>
      </c>
      <c r="D211" s="16" t="s">
        <v>798</v>
      </c>
      <c r="E211" s="16"/>
      <c r="F211" s="16"/>
      <c r="G211" s="16"/>
      <c r="H211" s="16" t="s">
        <v>7847</v>
      </c>
      <c r="I211" s="19" t="s">
        <v>828</v>
      </c>
      <c r="J211" s="16"/>
      <c r="K211" s="16" t="s">
        <v>829</v>
      </c>
      <c r="L211" s="16"/>
      <c r="M211" s="16" t="str">
        <f>HYPERLINK("https://ceds.ed.gov/cedselementdetails.aspx?termid=26957")</f>
        <v>https://ceds.ed.gov/cedselementdetails.aspx?termid=26957</v>
      </c>
    </row>
    <row r="212" spans="1:13" ht="115.2" x14ac:dyDescent="0.3">
      <c r="A212" s="16" t="s">
        <v>830</v>
      </c>
      <c r="B212" s="16" t="s">
        <v>7848</v>
      </c>
      <c r="C212" s="16" t="s">
        <v>22</v>
      </c>
      <c r="D212" s="16" t="s">
        <v>798</v>
      </c>
      <c r="E212" s="16"/>
      <c r="F212" s="16"/>
      <c r="G212" s="16"/>
      <c r="H212" s="16"/>
      <c r="I212" s="19" t="s">
        <v>831</v>
      </c>
      <c r="J212" s="16"/>
      <c r="K212" s="16" t="s">
        <v>832</v>
      </c>
      <c r="L212" s="16"/>
      <c r="M212" s="16" t="str">
        <f>HYPERLINK("https://ceds.ed.gov/cedselementdetails.aspx?termid=26955")</f>
        <v>https://ceds.ed.gov/cedselementdetails.aspx?termid=26955</v>
      </c>
    </row>
    <row r="213" spans="1:13" ht="86.4" x14ac:dyDescent="0.3">
      <c r="A213" s="16" t="s">
        <v>833</v>
      </c>
      <c r="B213" s="16" t="s">
        <v>834</v>
      </c>
      <c r="C213" s="16" t="s">
        <v>8332</v>
      </c>
      <c r="D213" s="16" t="s">
        <v>798</v>
      </c>
      <c r="E213" s="16"/>
      <c r="F213" s="16"/>
      <c r="G213" s="16"/>
      <c r="H213" s="16"/>
      <c r="I213" s="19" t="s">
        <v>835</v>
      </c>
      <c r="J213" s="16"/>
      <c r="K213" s="16" t="s">
        <v>836</v>
      </c>
      <c r="L213" s="16"/>
      <c r="M213" s="16" t="str">
        <f>HYPERLINK("https://ceds.ed.gov/cedselementdetails.aspx?termid=27513")</f>
        <v>https://ceds.ed.gov/cedselementdetails.aspx?termid=27513</v>
      </c>
    </row>
    <row r="214" spans="1:13" ht="28.8" x14ac:dyDescent="0.3">
      <c r="A214" s="16" t="s">
        <v>837</v>
      </c>
      <c r="B214" s="16" t="s">
        <v>838</v>
      </c>
      <c r="C214" s="16" t="s">
        <v>32</v>
      </c>
      <c r="D214" s="16" t="s">
        <v>798</v>
      </c>
      <c r="E214" s="16"/>
      <c r="F214" s="16" t="s">
        <v>145</v>
      </c>
      <c r="G214" s="16"/>
      <c r="H214" s="16"/>
      <c r="I214" s="19" t="s">
        <v>839</v>
      </c>
      <c r="J214" s="16"/>
      <c r="K214" s="16" t="s">
        <v>840</v>
      </c>
      <c r="L214" s="16" t="s">
        <v>779</v>
      </c>
      <c r="M214" s="16" t="str">
        <f>HYPERLINK("https://ceds.ed.gov/cedselementdetails.aspx?termid=26700")</f>
        <v>https://ceds.ed.gov/cedselementdetails.aspx?termid=26700</v>
      </c>
    </row>
    <row r="215" spans="1:13" ht="129.6" x14ac:dyDescent="0.3">
      <c r="A215" s="16" t="s">
        <v>841</v>
      </c>
      <c r="B215" s="16" t="s">
        <v>842</v>
      </c>
      <c r="C215" s="16" t="s">
        <v>32</v>
      </c>
      <c r="D215" s="16" t="s">
        <v>602</v>
      </c>
      <c r="E215" s="16"/>
      <c r="F215" s="16" t="s">
        <v>101</v>
      </c>
      <c r="G215" s="16"/>
      <c r="H215" s="16" t="s">
        <v>843</v>
      </c>
      <c r="I215" s="19" t="s">
        <v>844</v>
      </c>
      <c r="J215" s="16"/>
      <c r="K215" s="16" t="s">
        <v>845</v>
      </c>
      <c r="L215" s="16"/>
      <c r="M215" s="16" t="str">
        <f>HYPERLINK("https://ceds.ed.gov/cedselementdetails.aspx?termid=26970")</f>
        <v>https://ceds.ed.gov/cedselementdetails.aspx?termid=26970</v>
      </c>
    </row>
    <row r="216" spans="1:13" ht="28.8" x14ac:dyDescent="0.3">
      <c r="A216" s="16" t="s">
        <v>846</v>
      </c>
      <c r="B216" s="16" t="s">
        <v>847</v>
      </c>
      <c r="C216" s="16" t="s">
        <v>32</v>
      </c>
      <c r="D216" s="16" t="s">
        <v>798</v>
      </c>
      <c r="E216" s="16"/>
      <c r="F216" s="16" t="s">
        <v>106</v>
      </c>
      <c r="G216" s="16"/>
      <c r="H216" s="16"/>
      <c r="I216" s="19" t="s">
        <v>848</v>
      </c>
      <c r="J216" s="16"/>
      <c r="K216" s="16" t="s">
        <v>849</v>
      </c>
      <c r="L216" s="16"/>
      <c r="M216" s="16" t="str">
        <f>HYPERLINK("https://ceds.ed.gov/cedselementdetails.aspx?termid=26960")</f>
        <v>https://ceds.ed.gov/cedselementdetails.aspx?termid=26960</v>
      </c>
    </row>
    <row r="217" spans="1:13" ht="28.8" x14ac:dyDescent="0.3">
      <c r="A217" s="16" t="s">
        <v>850</v>
      </c>
      <c r="B217" s="16" t="s">
        <v>851</v>
      </c>
      <c r="C217" s="16" t="s">
        <v>32</v>
      </c>
      <c r="D217" s="16" t="s">
        <v>798</v>
      </c>
      <c r="E217" s="16"/>
      <c r="F217" s="16" t="s">
        <v>816</v>
      </c>
      <c r="G217" s="16"/>
      <c r="H217" s="16"/>
      <c r="I217" s="19" t="s">
        <v>852</v>
      </c>
      <c r="J217" s="16"/>
      <c r="K217" s="16" t="s">
        <v>853</v>
      </c>
      <c r="L217" s="16"/>
      <c r="M217" s="16" t="str">
        <f>HYPERLINK("https://ceds.ed.gov/cedselementdetails.aspx?termid=26959")</f>
        <v>https://ceds.ed.gov/cedselementdetails.aspx?termid=26959</v>
      </c>
    </row>
    <row r="218" spans="1:13" ht="172.8" x14ac:dyDescent="0.3">
      <c r="A218" s="16" t="s">
        <v>854</v>
      </c>
      <c r="B218" s="16" t="s">
        <v>855</v>
      </c>
      <c r="C218" s="16" t="s">
        <v>8333</v>
      </c>
      <c r="D218" s="16" t="s">
        <v>798</v>
      </c>
      <c r="E218" s="16"/>
      <c r="F218" s="16"/>
      <c r="G218" s="16"/>
      <c r="H218" s="16"/>
      <c r="I218" s="19" t="s">
        <v>856</v>
      </c>
      <c r="J218" s="16"/>
      <c r="K218" s="16" t="s">
        <v>857</v>
      </c>
      <c r="L218" s="16" t="s">
        <v>605</v>
      </c>
      <c r="M218" s="16" t="str">
        <f>HYPERLINK("https://ceds.ed.gov/cedselementdetails.aspx?termid=26396")</f>
        <v>https://ceds.ed.gov/cedselementdetails.aspx?termid=26396</v>
      </c>
    </row>
    <row r="219" spans="1:13" ht="144" x14ac:dyDescent="0.3">
      <c r="A219" s="16" t="s">
        <v>858</v>
      </c>
      <c r="B219" s="16" t="s">
        <v>7849</v>
      </c>
      <c r="C219" s="16" t="s">
        <v>32</v>
      </c>
      <c r="D219" s="16" t="s">
        <v>859</v>
      </c>
      <c r="E219" s="16"/>
      <c r="F219" s="16" t="s">
        <v>136</v>
      </c>
      <c r="G219" s="16"/>
      <c r="H219" s="16"/>
      <c r="I219" s="19" t="s">
        <v>860</v>
      </c>
      <c r="J219" s="16"/>
      <c r="K219" s="16" t="s">
        <v>861</v>
      </c>
      <c r="L219" s="16"/>
      <c r="M219" s="16" t="str">
        <f>HYPERLINK("https://ceds.ed.gov/cedselementdetails.aspx?termid=27230")</f>
        <v>https://ceds.ed.gov/cedselementdetails.aspx?termid=27230</v>
      </c>
    </row>
    <row r="220" spans="1:13" ht="86.4" x14ac:dyDescent="0.3">
      <c r="A220" s="16" t="s">
        <v>862</v>
      </c>
      <c r="B220" s="16" t="s">
        <v>863</v>
      </c>
      <c r="C220" s="16" t="s">
        <v>8334</v>
      </c>
      <c r="D220" s="16" t="s">
        <v>859</v>
      </c>
      <c r="E220" s="16"/>
      <c r="F220" s="16"/>
      <c r="G220" s="16"/>
      <c r="H220" s="16"/>
      <c r="I220" s="19" t="s">
        <v>864</v>
      </c>
      <c r="J220" s="16"/>
      <c r="K220" s="16" t="s">
        <v>865</v>
      </c>
      <c r="L220" s="16"/>
      <c r="M220" s="16" t="str">
        <f>HYPERLINK("https://ceds.ed.gov/cedselementdetails.aspx?termid=27232")</f>
        <v>https://ceds.ed.gov/cedselementdetails.aspx?termid=27232</v>
      </c>
    </row>
    <row r="221" spans="1:13" ht="28.8" x14ac:dyDescent="0.3">
      <c r="A221" s="16" t="s">
        <v>866</v>
      </c>
      <c r="B221" s="16" t="s">
        <v>867</v>
      </c>
      <c r="C221" s="16" t="s">
        <v>32</v>
      </c>
      <c r="D221" s="16" t="s">
        <v>859</v>
      </c>
      <c r="E221" s="16"/>
      <c r="F221" s="16" t="s">
        <v>136</v>
      </c>
      <c r="G221" s="16"/>
      <c r="H221" s="16"/>
      <c r="I221" s="19" t="s">
        <v>868</v>
      </c>
      <c r="J221" s="16"/>
      <c r="K221" s="16" t="s">
        <v>869</v>
      </c>
      <c r="L221" s="16"/>
      <c r="M221" s="16" t="str">
        <f>HYPERLINK("https://ceds.ed.gov/cedselementdetails.aspx?termid=27231")</f>
        <v>https://ceds.ed.gov/cedselementdetails.aspx?termid=27231</v>
      </c>
    </row>
    <row r="222" spans="1:13" ht="100.8" x14ac:dyDescent="0.3">
      <c r="A222" s="16" t="s">
        <v>870</v>
      </c>
      <c r="B222" s="16" t="s">
        <v>871</v>
      </c>
      <c r="C222" s="16" t="s">
        <v>32</v>
      </c>
      <c r="D222" s="16" t="s">
        <v>859</v>
      </c>
      <c r="E222" s="16"/>
      <c r="F222" s="16" t="s">
        <v>136</v>
      </c>
      <c r="G222" s="16"/>
      <c r="H222" s="16"/>
      <c r="I222" s="19" t="s">
        <v>872</v>
      </c>
      <c r="J222" s="16"/>
      <c r="K222" s="16" t="s">
        <v>873</v>
      </c>
      <c r="L222" s="16"/>
      <c r="M222" s="16" t="str">
        <f>HYPERLINK("https://ceds.ed.gov/cedselementdetails.aspx?termid=27217")</f>
        <v>https://ceds.ed.gov/cedselementdetails.aspx?termid=27217</v>
      </c>
    </row>
    <row r="223" spans="1:13" ht="72" x14ac:dyDescent="0.3">
      <c r="A223" s="16" t="s">
        <v>874</v>
      </c>
      <c r="B223" s="16" t="s">
        <v>7850</v>
      </c>
      <c r="C223" s="16" t="s">
        <v>32</v>
      </c>
      <c r="D223" s="16" t="s">
        <v>859</v>
      </c>
      <c r="E223" s="16"/>
      <c r="F223" s="16" t="s">
        <v>136</v>
      </c>
      <c r="G223" s="16"/>
      <c r="H223" s="16"/>
      <c r="I223" s="19" t="s">
        <v>875</v>
      </c>
      <c r="J223" s="16"/>
      <c r="K223" s="16" t="s">
        <v>876</v>
      </c>
      <c r="L223" s="16"/>
      <c r="M223" s="16" t="str">
        <f>HYPERLINK("https://ceds.ed.gov/cedselementdetails.aspx?termid=27218")</f>
        <v>https://ceds.ed.gov/cedselementdetails.aspx?termid=27218</v>
      </c>
    </row>
    <row r="224" spans="1:13" ht="115.2" x14ac:dyDescent="0.3">
      <c r="A224" s="16" t="s">
        <v>877</v>
      </c>
      <c r="B224" s="16" t="s">
        <v>878</v>
      </c>
      <c r="C224" s="16" t="s">
        <v>32</v>
      </c>
      <c r="D224" s="16" t="s">
        <v>859</v>
      </c>
      <c r="E224" s="16"/>
      <c r="F224" s="16" t="s">
        <v>136</v>
      </c>
      <c r="G224" s="16"/>
      <c r="H224" s="16"/>
      <c r="I224" s="19" t="s">
        <v>879</v>
      </c>
      <c r="J224" s="16"/>
      <c r="K224" s="16" t="s">
        <v>880</v>
      </c>
      <c r="L224" s="16"/>
      <c r="M224" s="16" t="str">
        <f>HYPERLINK("https://ceds.ed.gov/cedselementdetails.aspx?termid=27220")</f>
        <v>https://ceds.ed.gov/cedselementdetails.aspx?termid=27220</v>
      </c>
    </row>
    <row r="225" spans="1:13" ht="86.4" x14ac:dyDescent="0.3">
      <c r="A225" s="16" t="s">
        <v>881</v>
      </c>
      <c r="B225" s="16" t="s">
        <v>7851</v>
      </c>
      <c r="C225" s="16" t="s">
        <v>32</v>
      </c>
      <c r="D225" s="16" t="s">
        <v>859</v>
      </c>
      <c r="E225" s="16"/>
      <c r="F225" s="16" t="s">
        <v>136</v>
      </c>
      <c r="G225" s="16"/>
      <c r="H225" s="16"/>
      <c r="I225" s="19" t="s">
        <v>882</v>
      </c>
      <c r="J225" s="16"/>
      <c r="K225" s="16" t="s">
        <v>883</v>
      </c>
      <c r="L225" s="16"/>
      <c r="M225" s="16" t="str">
        <f>HYPERLINK("https://ceds.ed.gov/cedselementdetails.aspx?termid=27221")</f>
        <v>https://ceds.ed.gov/cedselementdetails.aspx?termid=27221</v>
      </c>
    </row>
    <row r="226" spans="1:13" ht="86.4" x14ac:dyDescent="0.3">
      <c r="A226" s="16" t="s">
        <v>884</v>
      </c>
      <c r="B226" s="16" t="s">
        <v>7852</v>
      </c>
      <c r="C226" s="16" t="s">
        <v>32</v>
      </c>
      <c r="D226" s="16" t="s">
        <v>859</v>
      </c>
      <c r="E226" s="16"/>
      <c r="F226" s="16" t="s">
        <v>136</v>
      </c>
      <c r="G226" s="16"/>
      <c r="H226" s="16"/>
      <c r="I226" s="19" t="s">
        <v>885</v>
      </c>
      <c r="J226" s="16"/>
      <c r="K226" s="16" t="s">
        <v>886</v>
      </c>
      <c r="L226" s="16"/>
      <c r="M226" s="16" t="str">
        <f>HYPERLINK("https://ceds.ed.gov/cedselementdetails.aspx?termid=27222")</f>
        <v>https://ceds.ed.gov/cedselementdetails.aspx?termid=27222</v>
      </c>
    </row>
    <row r="227" spans="1:13" ht="86.4" x14ac:dyDescent="0.3">
      <c r="A227" s="16" t="s">
        <v>887</v>
      </c>
      <c r="B227" s="16" t="s">
        <v>7853</v>
      </c>
      <c r="C227" s="16" t="s">
        <v>32</v>
      </c>
      <c r="D227" s="16" t="s">
        <v>859</v>
      </c>
      <c r="E227" s="16"/>
      <c r="F227" s="16" t="s">
        <v>136</v>
      </c>
      <c r="G227" s="16"/>
      <c r="H227" s="16"/>
      <c r="I227" s="19" t="s">
        <v>888</v>
      </c>
      <c r="J227" s="16"/>
      <c r="K227" s="16" t="s">
        <v>889</v>
      </c>
      <c r="L227" s="16"/>
      <c r="M227" s="16" t="str">
        <f>HYPERLINK("https://ceds.ed.gov/cedselementdetails.aspx?termid=27223")</f>
        <v>https://ceds.ed.gov/cedselementdetails.aspx?termid=27223</v>
      </c>
    </row>
    <row r="228" spans="1:13" ht="86.4" x14ac:dyDescent="0.3">
      <c r="A228" s="16" t="s">
        <v>890</v>
      </c>
      <c r="B228" s="16" t="s">
        <v>7854</v>
      </c>
      <c r="C228" s="16" t="s">
        <v>32</v>
      </c>
      <c r="D228" s="16" t="s">
        <v>859</v>
      </c>
      <c r="E228" s="16"/>
      <c r="F228" s="16" t="s">
        <v>136</v>
      </c>
      <c r="G228" s="16"/>
      <c r="H228" s="16"/>
      <c r="I228" s="19" t="s">
        <v>891</v>
      </c>
      <c r="J228" s="16"/>
      <c r="K228" s="16" t="s">
        <v>892</v>
      </c>
      <c r="L228" s="16"/>
      <c r="M228" s="16" t="str">
        <f>HYPERLINK("https://ceds.ed.gov/cedselementdetails.aspx?termid=27224")</f>
        <v>https://ceds.ed.gov/cedselementdetails.aspx?termid=27224</v>
      </c>
    </row>
    <row r="229" spans="1:13" ht="86.4" x14ac:dyDescent="0.3">
      <c r="A229" s="16" t="s">
        <v>893</v>
      </c>
      <c r="B229" s="16" t="s">
        <v>7855</v>
      </c>
      <c r="C229" s="16" t="s">
        <v>32</v>
      </c>
      <c r="D229" s="16" t="s">
        <v>859</v>
      </c>
      <c r="E229" s="16"/>
      <c r="F229" s="16" t="s">
        <v>136</v>
      </c>
      <c r="G229" s="16"/>
      <c r="H229" s="16"/>
      <c r="I229" s="19" t="s">
        <v>894</v>
      </c>
      <c r="J229" s="16"/>
      <c r="K229" s="16" t="s">
        <v>895</v>
      </c>
      <c r="L229" s="16"/>
      <c r="M229" s="16" t="str">
        <f>HYPERLINK("https://ceds.ed.gov/cedselementdetails.aspx?termid=27225")</f>
        <v>https://ceds.ed.gov/cedselementdetails.aspx?termid=27225</v>
      </c>
    </row>
    <row r="230" spans="1:13" ht="86.4" x14ac:dyDescent="0.3">
      <c r="A230" s="16" t="s">
        <v>896</v>
      </c>
      <c r="B230" s="16" t="s">
        <v>7856</v>
      </c>
      <c r="C230" s="16" t="s">
        <v>32</v>
      </c>
      <c r="D230" s="16" t="s">
        <v>859</v>
      </c>
      <c r="E230" s="16"/>
      <c r="F230" s="16" t="s">
        <v>136</v>
      </c>
      <c r="G230" s="16"/>
      <c r="H230" s="16"/>
      <c r="I230" s="19" t="s">
        <v>897</v>
      </c>
      <c r="J230" s="16"/>
      <c r="K230" s="16" t="s">
        <v>898</v>
      </c>
      <c r="L230" s="16"/>
      <c r="M230" s="16" t="str">
        <f>HYPERLINK("https://ceds.ed.gov/cedselementdetails.aspx?termid=27226")</f>
        <v>https://ceds.ed.gov/cedselementdetails.aspx?termid=27226</v>
      </c>
    </row>
    <row r="231" spans="1:13" ht="115.2" x14ac:dyDescent="0.3">
      <c r="A231" s="16" t="s">
        <v>899</v>
      </c>
      <c r="B231" s="16" t="s">
        <v>900</v>
      </c>
      <c r="C231" s="16" t="s">
        <v>8335</v>
      </c>
      <c r="D231" s="16" t="s">
        <v>859</v>
      </c>
      <c r="E231" s="16"/>
      <c r="F231" s="16"/>
      <c r="G231" s="16"/>
      <c r="H231" s="16"/>
      <c r="I231" s="19" t="s">
        <v>901</v>
      </c>
      <c r="J231" s="16"/>
      <c r="K231" s="16" t="s">
        <v>902</v>
      </c>
      <c r="L231" s="16"/>
      <c r="M231" s="16" t="str">
        <f>HYPERLINK("https://ceds.ed.gov/cedselementdetails.aspx?termid=27219")</f>
        <v>https://ceds.ed.gov/cedselementdetails.aspx?termid=27219</v>
      </c>
    </row>
    <row r="232" spans="1:13" ht="43.2" x14ac:dyDescent="0.3">
      <c r="A232" s="16" t="s">
        <v>903</v>
      </c>
      <c r="B232" s="16" t="s">
        <v>12973</v>
      </c>
      <c r="C232" s="16" t="s">
        <v>32</v>
      </c>
      <c r="D232" s="16" t="s">
        <v>859</v>
      </c>
      <c r="E232" s="16"/>
      <c r="F232" s="16" t="s">
        <v>136</v>
      </c>
      <c r="G232" s="16"/>
      <c r="H232" s="16"/>
      <c r="I232" s="19" t="s">
        <v>904</v>
      </c>
      <c r="J232" s="16"/>
      <c r="K232" s="16" t="s">
        <v>905</v>
      </c>
      <c r="L232" s="16"/>
      <c r="M232" s="16" t="str">
        <f>HYPERLINK("https://ceds.ed.gov/cedselementdetails.aspx?termid=27228")</f>
        <v>https://ceds.ed.gov/cedselementdetails.aspx?termid=27228</v>
      </c>
    </row>
    <row r="233" spans="1:13" ht="28.8" x14ac:dyDescent="0.3">
      <c r="A233" s="16" t="s">
        <v>906</v>
      </c>
      <c r="B233" s="16" t="s">
        <v>12974</v>
      </c>
      <c r="C233" s="16" t="s">
        <v>32</v>
      </c>
      <c r="D233" s="16" t="s">
        <v>798</v>
      </c>
      <c r="E233" s="16"/>
      <c r="F233" s="16" t="s">
        <v>101</v>
      </c>
      <c r="G233" s="16"/>
      <c r="H233" s="16"/>
      <c r="I233" s="19" t="s">
        <v>907</v>
      </c>
      <c r="J233" s="16"/>
      <c r="K233" s="16" t="s">
        <v>908</v>
      </c>
      <c r="L233" s="16" t="s">
        <v>779</v>
      </c>
      <c r="M233" s="16" t="str">
        <f>HYPERLINK("https://ceds.ed.gov/cedselementdetails.aspx?termid=27069")</f>
        <v>https://ceds.ed.gov/cedselementdetails.aspx?termid=27069</v>
      </c>
    </row>
    <row r="234" spans="1:13" ht="43.2" x14ac:dyDescent="0.3">
      <c r="A234" s="16" t="s">
        <v>909</v>
      </c>
      <c r="B234" s="16" t="s">
        <v>7857</v>
      </c>
      <c r="C234" s="16" t="s">
        <v>32</v>
      </c>
      <c r="D234" s="16" t="s">
        <v>597</v>
      </c>
      <c r="E234" s="16"/>
      <c r="F234" s="16" t="s">
        <v>316</v>
      </c>
      <c r="G234" s="16"/>
      <c r="H234" s="16" t="s">
        <v>910</v>
      </c>
      <c r="I234" s="19" t="s">
        <v>911</v>
      </c>
      <c r="J234" s="16"/>
      <c r="K234" s="16" t="s">
        <v>912</v>
      </c>
      <c r="L234" s="16"/>
      <c r="M234" s="16" t="str">
        <f>HYPERLINK("https://ceds.ed.gov/cedselementdetails.aspx?termid=27250")</f>
        <v>https://ceds.ed.gov/cedselementdetails.aspx?termid=27250</v>
      </c>
    </row>
    <row r="235" spans="1:13" ht="43.2" x14ac:dyDescent="0.3">
      <c r="A235" s="16" t="s">
        <v>913</v>
      </c>
      <c r="B235" s="16" t="s">
        <v>914</v>
      </c>
      <c r="C235" s="16" t="s">
        <v>32</v>
      </c>
      <c r="D235" s="16" t="s">
        <v>602</v>
      </c>
      <c r="E235" s="16"/>
      <c r="F235" s="16" t="s">
        <v>316</v>
      </c>
      <c r="G235" s="16"/>
      <c r="H235" s="16"/>
      <c r="I235" s="19" t="s">
        <v>915</v>
      </c>
      <c r="J235" s="16"/>
      <c r="K235" s="16" t="s">
        <v>916</v>
      </c>
      <c r="L235" s="16" t="s">
        <v>605</v>
      </c>
      <c r="M235" s="16" t="str">
        <f>HYPERLINK("https://ceds.ed.gov/cedselementdetails.aspx?termid=26392")</f>
        <v>https://ceds.ed.gov/cedselementdetails.aspx?termid=26392</v>
      </c>
    </row>
    <row r="236" spans="1:13" ht="72" x14ac:dyDescent="0.3">
      <c r="A236" s="16" t="s">
        <v>917</v>
      </c>
      <c r="B236" s="16" t="s">
        <v>7858</v>
      </c>
      <c r="C236" s="16" t="s">
        <v>32</v>
      </c>
      <c r="D236" s="16" t="s">
        <v>602</v>
      </c>
      <c r="E236" s="16"/>
      <c r="F236" s="16" t="s">
        <v>316</v>
      </c>
      <c r="G236" s="16"/>
      <c r="H236" s="16"/>
      <c r="I236" s="19" t="s">
        <v>918</v>
      </c>
      <c r="J236" s="16"/>
      <c r="K236" s="16" t="s">
        <v>919</v>
      </c>
      <c r="L236" s="16"/>
      <c r="M236" s="16" t="str">
        <f>HYPERLINK("https://ceds.ed.gov/cedselementdetails.aspx?termid=27234")</f>
        <v>https://ceds.ed.gov/cedselementdetails.aspx?termid=27234</v>
      </c>
    </row>
    <row r="237" spans="1:13" ht="288" x14ac:dyDescent="0.3">
      <c r="A237" s="16" t="s">
        <v>920</v>
      </c>
      <c r="B237" s="16" t="s">
        <v>921</v>
      </c>
      <c r="C237" s="16" t="s">
        <v>8336</v>
      </c>
      <c r="D237" s="16" t="s">
        <v>602</v>
      </c>
      <c r="E237" s="16"/>
      <c r="F237" s="16"/>
      <c r="G237" s="16"/>
      <c r="H237" s="16"/>
      <c r="I237" s="19" t="s">
        <v>922</v>
      </c>
      <c r="J237" s="16"/>
      <c r="K237" s="16" t="s">
        <v>923</v>
      </c>
      <c r="L237" s="16"/>
      <c r="M237" s="16" t="str">
        <f>HYPERLINK("https://ceds.ed.gov/cedselementdetails.aspx?termid=26907")</f>
        <v>https://ceds.ed.gov/cedselementdetails.aspx?termid=26907</v>
      </c>
    </row>
    <row r="238" spans="1:13" ht="57.6" x14ac:dyDescent="0.3">
      <c r="A238" s="16" t="s">
        <v>924</v>
      </c>
      <c r="B238" s="16" t="s">
        <v>925</v>
      </c>
      <c r="C238" s="16" t="s">
        <v>32</v>
      </c>
      <c r="D238" s="16" t="s">
        <v>602</v>
      </c>
      <c r="E238" s="16"/>
      <c r="F238" s="16" t="s">
        <v>81</v>
      </c>
      <c r="G238" s="16"/>
      <c r="H238" s="16"/>
      <c r="I238" s="19" t="s">
        <v>926</v>
      </c>
      <c r="J238" s="16"/>
      <c r="K238" s="16" t="s">
        <v>927</v>
      </c>
      <c r="L238" s="16"/>
      <c r="M238" s="16" t="str">
        <f>HYPERLINK("https://ceds.ed.gov/cedselementdetails.aspx?termid=26906")</f>
        <v>https://ceds.ed.gov/cedselementdetails.aspx?termid=26906</v>
      </c>
    </row>
    <row r="239" spans="1:13" ht="302.39999999999998" x14ac:dyDescent="0.3">
      <c r="A239" s="16" t="s">
        <v>928</v>
      </c>
      <c r="B239" s="16" t="s">
        <v>929</v>
      </c>
      <c r="C239" s="16" t="s">
        <v>8337</v>
      </c>
      <c r="D239" s="16" t="s">
        <v>602</v>
      </c>
      <c r="E239" s="16"/>
      <c r="F239" s="16"/>
      <c r="G239" s="16"/>
      <c r="H239" s="16"/>
      <c r="I239" s="19" t="s">
        <v>930</v>
      </c>
      <c r="J239" s="16"/>
      <c r="K239" s="16" t="s">
        <v>931</v>
      </c>
      <c r="L239" s="16" t="s">
        <v>605</v>
      </c>
      <c r="M239" s="16" t="str">
        <f>HYPERLINK("https://ceds.ed.gov/cedselementdetails.aspx?termid=26382")</f>
        <v>https://ceds.ed.gov/cedselementdetails.aspx?termid=26382</v>
      </c>
    </row>
    <row r="240" spans="1:13" ht="115.2" x14ac:dyDescent="0.3">
      <c r="A240" s="16" t="s">
        <v>932</v>
      </c>
      <c r="B240" s="16" t="s">
        <v>933</v>
      </c>
      <c r="C240" s="16" t="s">
        <v>7313</v>
      </c>
      <c r="D240" s="16" t="s">
        <v>487</v>
      </c>
      <c r="E240" s="16"/>
      <c r="F240" s="16"/>
      <c r="G240" s="16"/>
      <c r="H240" s="16" t="s">
        <v>7859</v>
      </c>
      <c r="I240" s="19" t="s">
        <v>934</v>
      </c>
      <c r="J240" s="16"/>
      <c r="K240" s="16" t="s">
        <v>935</v>
      </c>
      <c r="L240" s="16"/>
      <c r="M240" s="16" t="str">
        <f>HYPERLINK("https://ceds.ed.gov/cedselementdetails.aspx?termid=27073")</f>
        <v>https://ceds.ed.gov/cedselementdetails.aspx?termid=27073</v>
      </c>
    </row>
    <row r="241" spans="1:13" ht="360" x14ac:dyDescent="0.3">
      <c r="A241" s="16" t="s">
        <v>936</v>
      </c>
      <c r="B241" s="16" t="s">
        <v>937</v>
      </c>
      <c r="C241" s="16" t="s">
        <v>8207</v>
      </c>
      <c r="D241" s="16" t="s">
        <v>8208</v>
      </c>
      <c r="E241" s="16"/>
      <c r="F241" s="16"/>
      <c r="G241" s="16"/>
      <c r="H241" s="16"/>
      <c r="I241" s="19" t="s">
        <v>938</v>
      </c>
      <c r="J241" s="16"/>
      <c r="K241" s="16" t="s">
        <v>939</v>
      </c>
      <c r="L241" s="16" t="s">
        <v>940</v>
      </c>
      <c r="M241" s="16" t="str">
        <f>HYPERLINK("https://ceds.ed.gov/cedselementdetails.aspx?termid=26177")</f>
        <v>https://ceds.ed.gov/cedselementdetails.aspx?termid=26177</v>
      </c>
    </row>
    <row r="242" spans="1:13" ht="86.4" x14ac:dyDescent="0.3">
      <c r="A242" s="16" t="s">
        <v>941</v>
      </c>
      <c r="B242" s="16" t="s">
        <v>942</v>
      </c>
      <c r="C242" s="16" t="s">
        <v>8338</v>
      </c>
      <c r="D242" s="16" t="s">
        <v>943</v>
      </c>
      <c r="E242" s="16"/>
      <c r="F242" s="16"/>
      <c r="G242" s="16"/>
      <c r="H242" s="16"/>
      <c r="I242" s="19" t="s">
        <v>944</v>
      </c>
      <c r="J242" s="16"/>
      <c r="K242" s="16" t="s">
        <v>945</v>
      </c>
      <c r="L242" s="16"/>
      <c r="M242" s="16" t="str">
        <f>HYPERLINK("https://ceds.ed.gov/cedselementdetails.aspx?termid=27045")</f>
        <v>https://ceds.ed.gov/cedselementdetails.aspx?termid=27045</v>
      </c>
    </row>
    <row r="243" spans="1:13" ht="43.2" x14ac:dyDescent="0.3">
      <c r="A243" s="16" t="s">
        <v>946</v>
      </c>
      <c r="B243" s="16" t="s">
        <v>947</v>
      </c>
      <c r="C243" s="16" t="s">
        <v>32</v>
      </c>
      <c r="D243" s="16" t="s">
        <v>948</v>
      </c>
      <c r="E243" s="16"/>
      <c r="F243" s="16" t="s">
        <v>949</v>
      </c>
      <c r="G243" s="16"/>
      <c r="H243" s="16"/>
      <c r="I243" s="19" t="s">
        <v>950</v>
      </c>
      <c r="J243" s="16"/>
      <c r="K243" s="16" t="s">
        <v>951</v>
      </c>
      <c r="L243" s="16"/>
      <c r="M243" s="16" t="str">
        <f>HYPERLINK("https://ceds.ed.gov/cedselementdetails.aspx?termid=27059")</f>
        <v>https://ceds.ed.gov/cedselementdetails.aspx?termid=27059</v>
      </c>
    </row>
    <row r="244" spans="1:13" ht="43.2" x14ac:dyDescent="0.3">
      <c r="A244" s="16" t="s">
        <v>952</v>
      </c>
      <c r="B244" s="16" t="s">
        <v>953</v>
      </c>
      <c r="C244" s="16" t="s">
        <v>32</v>
      </c>
      <c r="D244" s="16" t="s">
        <v>954</v>
      </c>
      <c r="E244" s="16"/>
      <c r="F244" s="16" t="s">
        <v>955</v>
      </c>
      <c r="G244" s="16"/>
      <c r="H244" s="16"/>
      <c r="I244" s="19" t="s">
        <v>956</v>
      </c>
      <c r="J244" s="16"/>
      <c r="K244" s="16" t="s">
        <v>957</v>
      </c>
      <c r="L244" s="16"/>
      <c r="M244" s="16" t="str">
        <f>HYPERLINK("https://ceds.ed.gov/cedselementdetails.aspx?termid=27040")</f>
        <v>https://ceds.ed.gov/cedselementdetails.aspx?termid=27040</v>
      </c>
    </row>
    <row r="245" spans="1:13" ht="43.2" x14ac:dyDescent="0.3">
      <c r="A245" s="16" t="s">
        <v>958</v>
      </c>
      <c r="B245" s="16" t="s">
        <v>959</v>
      </c>
      <c r="C245" s="16" t="s">
        <v>8339</v>
      </c>
      <c r="D245" s="16" t="s">
        <v>954</v>
      </c>
      <c r="E245" s="16"/>
      <c r="F245" s="16"/>
      <c r="G245" s="16"/>
      <c r="H245" s="16"/>
      <c r="I245" s="19" t="s">
        <v>960</v>
      </c>
      <c r="J245" s="16"/>
      <c r="K245" s="16" t="s">
        <v>961</v>
      </c>
      <c r="L245" s="16"/>
      <c r="M245" s="16" t="str">
        <f>HYPERLINK("https://ceds.ed.gov/cedselementdetails.aspx?termid=27035")</f>
        <v>https://ceds.ed.gov/cedselementdetails.aspx?termid=27035</v>
      </c>
    </row>
    <row r="246" spans="1:13" ht="100.8" x14ac:dyDescent="0.3">
      <c r="A246" s="16" t="s">
        <v>962</v>
      </c>
      <c r="B246" s="16" t="s">
        <v>963</v>
      </c>
      <c r="C246" s="16" t="s">
        <v>8340</v>
      </c>
      <c r="D246" s="16" t="s">
        <v>954</v>
      </c>
      <c r="E246" s="16"/>
      <c r="F246" s="16"/>
      <c r="G246" s="16"/>
      <c r="H246" s="16"/>
      <c r="I246" s="19" t="s">
        <v>964</v>
      </c>
      <c r="J246" s="16"/>
      <c r="K246" s="16" t="s">
        <v>965</v>
      </c>
      <c r="L246" s="16"/>
      <c r="M246" s="16" t="str">
        <f>HYPERLINK("https://ceds.ed.gov/cedselementdetails.aspx?termid=27038")</f>
        <v>https://ceds.ed.gov/cedselementdetails.aspx?termid=27038</v>
      </c>
    </row>
    <row r="247" spans="1:13" ht="57.6" x14ac:dyDescent="0.3">
      <c r="A247" s="16" t="s">
        <v>966</v>
      </c>
      <c r="B247" s="16" t="s">
        <v>967</v>
      </c>
      <c r="C247" s="16" t="s">
        <v>8341</v>
      </c>
      <c r="D247" s="16" t="s">
        <v>954</v>
      </c>
      <c r="E247" s="16"/>
      <c r="F247" s="16"/>
      <c r="G247" s="16"/>
      <c r="H247" s="16"/>
      <c r="I247" s="19" t="s">
        <v>968</v>
      </c>
      <c r="J247" s="16"/>
      <c r="K247" s="16" t="s">
        <v>969</v>
      </c>
      <c r="L247" s="16"/>
      <c r="M247" s="16" t="str">
        <f>HYPERLINK("https://ceds.ed.gov/cedselementdetails.aspx?termid=27041")</f>
        <v>https://ceds.ed.gov/cedselementdetails.aspx?termid=27041</v>
      </c>
    </row>
    <row r="248" spans="1:13" ht="57.6" x14ac:dyDescent="0.3">
      <c r="A248" s="16" t="s">
        <v>970</v>
      </c>
      <c r="B248" s="16" t="s">
        <v>971</v>
      </c>
      <c r="C248" s="16" t="s">
        <v>22</v>
      </c>
      <c r="D248" s="16" t="s">
        <v>943</v>
      </c>
      <c r="E248" s="16"/>
      <c r="F248" s="16"/>
      <c r="G248" s="16"/>
      <c r="H248" s="16"/>
      <c r="I248" s="19" t="s">
        <v>972</v>
      </c>
      <c r="J248" s="16"/>
      <c r="K248" s="16" t="s">
        <v>973</v>
      </c>
      <c r="L248" s="16"/>
      <c r="M248" s="16" t="str">
        <f>HYPERLINK("https://ceds.ed.gov/cedselementdetails.aspx?termid=27050")</f>
        <v>https://ceds.ed.gov/cedselementdetails.aspx?termid=27050</v>
      </c>
    </row>
    <row r="249" spans="1:13" ht="43.2" x14ac:dyDescent="0.3">
      <c r="A249" s="16" t="s">
        <v>974</v>
      </c>
      <c r="B249" s="16" t="s">
        <v>975</v>
      </c>
      <c r="C249" s="16" t="s">
        <v>32</v>
      </c>
      <c r="D249" s="16" t="s">
        <v>948</v>
      </c>
      <c r="E249" s="16"/>
      <c r="F249" s="16" t="s">
        <v>949</v>
      </c>
      <c r="G249" s="16"/>
      <c r="H249" s="16"/>
      <c r="I249" s="19" t="s">
        <v>976</v>
      </c>
      <c r="J249" s="16"/>
      <c r="K249" s="16" t="s">
        <v>977</v>
      </c>
      <c r="L249" s="16"/>
      <c r="M249" s="16" t="str">
        <f>HYPERLINK("https://ceds.ed.gov/cedselementdetails.aspx?termid=27058")</f>
        <v>https://ceds.ed.gov/cedselementdetails.aspx?termid=27058</v>
      </c>
    </row>
    <row r="250" spans="1:13" ht="72" x14ac:dyDescent="0.3">
      <c r="A250" s="16" t="s">
        <v>978</v>
      </c>
      <c r="B250" s="16" t="s">
        <v>979</v>
      </c>
      <c r="C250" s="16" t="s">
        <v>8342</v>
      </c>
      <c r="D250" s="16" t="s">
        <v>943</v>
      </c>
      <c r="E250" s="16"/>
      <c r="F250" s="16"/>
      <c r="G250" s="16"/>
      <c r="H250" s="16"/>
      <c r="I250" s="19" t="s">
        <v>980</v>
      </c>
      <c r="J250" s="16"/>
      <c r="K250" s="16" t="s">
        <v>981</v>
      </c>
      <c r="L250" s="16"/>
      <c r="M250" s="16" t="str">
        <f>HYPERLINK("https://ceds.ed.gov/cedselementdetails.aspx?termid=27026")</f>
        <v>https://ceds.ed.gov/cedselementdetails.aspx?termid=27026</v>
      </c>
    </row>
    <row r="251" spans="1:13" ht="57.6" x14ac:dyDescent="0.3">
      <c r="A251" s="16" t="s">
        <v>982</v>
      </c>
      <c r="B251" s="16" t="s">
        <v>983</v>
      </c>
      <c r="C251" s="16" t="s">
        <v>8343</v>
      </c>
      <c r="D251" s="16" t="s">
        <v>948</v>
      </c>
      <c r="E251" s="16"/>
      <c r="F251" s="16"/>
      <c r="G251" s="16"/>
      <c r="H251" s="16"/>
      <c r="I251" s="19" t="s">
        <v>984</v>
      </c>
      <c r="J251" s="16"/>
      <c r="K251" s="16" t="s">
        <v>985</v>
      </c>
      <c r="L251" s="16"/>
      <c r="M251" s="16" t="str">
        <f>HYPERLINK("https://ceds.ed.gov/cedselementdetails.aspx?termid=27060")</f>
        <v>https://ceds.ed.gov/cedselementdetails.aspx?termid=27060</v>
      </c>
    </row>
    <row r="252" spans="1:13" ht="57.6" x14ac:dyDescent="0.3">
      <c r="A252" s="16" t="s">
        <v>986</v>
      </c>
      <c r="B252" s="16" t="s">
        <v>987</v>
      </c>
      <c r="C252" s="16" t="s">
        <v>22</v>
      </c>
      <c r="D252" s="16" t="s">
        <v>954</v>
      </c>
      <c r="E252" s="16"/>
      <c r="F252" s="16"/>
      <c r="G252" s="16"/>
      <c r="H252" s="16"/>
      <c r="I252" s="19" t="s">
        <v>988</v>
      </c>
      <c r="J252" s="16"/>
      <c r="K252" s="16" t="s">
        <v>989</v>
      </c>
      <c r="L252" s="16"/>
      <c r="M252" s="16" t="str">
        <f>HYPERLINK("https://ceds.ed.gov/cedselementdetails.aspx?termid=27033")</f>
        <v>https://ceds.ed.gov/cedselementdetails.aspx?termid=27033</v>
      </c>
    </row>
    <row r="253" spans="1:13" ht="115.2" x14ac:dyDescent="0.3">
      <c r="A253" s="16" t="s">
        <v>990</v>
      </c>
      <c r="B253" s="16" t="s">
        <v>991</v>
      </c>
      <c r="C253" s="16" t="s">
        <v>7313</v>
      </c>
      <c r="D253" s="16" t="s">
        <v>943</v>
      </c>
      <c r="E253" s="16"/>
      <c r="F253" s="16"/>
      <c r="G253" s="16"/>
      <c r="H253" s="16" t="s">
        <v>7859</v>
      </c>
      <c r="I253" s="19" t="s">
        <v>992</v>
      </c>
      <c r="J253" s="16"/>
      <c r="K253" s="16" t="s">
        <v>993</v>
      </c>
      <c r="L253" s="16"/>
      <c r="M253" s="16" t="str">
        <f>HYPERLINK("https://ceds.ed.gov/cedselementdetails.aspx?termid=27042")</f>
        <v>https://ceds.ed.gov/cedselementdetails.aspx?termid=27042</v>
      </c>
    </row>
    <row r="254" spans="1:13" ht="115.2" x14ac:dyDescent="0.3">
      <c r="A254" s="16" t="s">
        <v>994</v>
      </c>
      <c r="B254" s="16" t="s">
        <v>995</v>
      </c>
      <c r="C254" s="16" t="s">
        <v>7313</v>
      </c>
      <c r="D254" s="16" t="s">
        <v>943</v>
      </c>
      <c r="E254" s="16"/>
      <c r="F254" s="16"/>
      <c r="G254" s="16"/>
      <c r="H254" s="16" t="s">
        <v>7859</v>
      </c>
      <c r="I254" s="19" t="s">
        <v>996</v>
      </c>
      <c r="J254" s="16"/>
      <c r="K254" s="16" t="s">
        <v>997</v>
      </c>
      <c r="L254" s="16"/>
      <c r="M254" s="16" t="str">
        <f>HYPERLINK("https://ceds.ed.gov/cedselementdetails.aspx?termid=27043")</f>
        <v>https://ceds.ed.gov/cedselementdetails.aspx?termid=27043</v>
      </c>
    </row>
    <row r="255" spans="1:13" ht="115.2" x14ac:dyDescent="0.3">
      <c r="A255" s="16" t="s">
        <v>998</v>
      </c>
      <c r="B255" s="16" t="s">
        <v>999</v>
      </c>
      <c r="C255" s="16" t="s">
        <v>7313</v>
      </c>
      <c r="D255" s="16" t="s">
        <v>1000</v>
      </c>
      <c r="E255" s="16"/>
      <c r="F255" s="16"/>
      <c r="G255" s="16"/>
      <c r="H255" s="16" t="s">
        <v>7859</v>
      </c>
      <c r="I255" s="19" t="s">
        <v>1001</v>
      </c>
      <c r="J255" s="16"/>
      <c r="K255" s="16" t="s">
        <v>1002</v>
      </c>
      <c r="L255" s="16"/>
      <c r="M255" s="16" t="str">
        <f>HYPERLINK("https://ceds.ed.gov/cedselementdetails.aspx?termid=27025")</f>
        <v>https://ceds.ed.gov/cedselementdetails.aspx?termid=27025</v>
      </c>
    </row>
    <row r="256" spans="1:13" ht="57.6" x14ac:dyDescent="0.3">
      <c r="A256" s="16" t="s">
        <v>1003</v>
      </c>
      <c r="B256" s="16" t="s">
        <v>1004</v>
      </c>
      <c r="C256" s="16" t="s">
        <v>32</v>
      </c>
      <c r="D256" s="16" t="s">
        <v>954</v>
      </c>
      <c r="E256" s="16"/>
      <c r="F256" s="16" t="s">
        <v>949</v>
      </c>
      <c r="G256" s="16"/>
      <c r="H256" s="16"/>
      <c r="I256" s="19" t="s">
        <v>1005</v>
      </c>
      <c r="J256" s="16"/>
      <c r="K256" s="16" t="s">
        <v>1006</v>
      </c>
      <c r="L256" s="16"/>
      <c r="M256" s="16" t="str">
        <f>HYPERLINK("https://ceds.ed.gov/cedselementdetails.aspx?termid=27056")</f>
        <v>https://ceds.ed.gov/cedselementdetails.aspx?termid=27056</v>
      </c>
    </row>
    <row r="257" spans="1:13" ht="72" x14ac:dyDescent="0.3">
      <c r="A257" s="16" t="s">
        <v>1007</v>
      </c>
      <c r="B257" s="16" t="s">
        <v>1008</v>
      </c>
      <c r="C257" s="16" t="s">
        <v>8344</v>
      </c>
      <c r="D257" s="16" t="s">
        <v>954</v>
      </c>
      <c r="E257" s="16"/>
      <c r="F257" s="16"/>
      <c r="G257" s="16"/>
      <c r="H257" s="16"/>
      <c r="I257" s="19" t="s">
        <v>1009</v>
      </c>
      <c r="J257" s="16"/>
      <c r="K257" s="16" t="s">
        <v>1010</v>
      </c>
      <c r="L257" s="16"/>
      <c r="M257" s="16" t="str">
        <f>HYPERLINK("https://ceds.ed.gov/cedselementdetails.aspx?termid=27029")</f>
        <v>https://ceds.ed.gov/cedselementdetails.aspx?termid=27029</v>
      </c>
    </row>
    <row r="258" spans="1:13" ht="57.6" x14ac:dyDescent="0.3">
      <c r="A258" s="16" t="s">
        <v>1011</v>
      </c>
      <c r="B258" s="16" t="s">
        <v>1012</v>
      </c>
      <c r="C258" s="16" t="s">
        <v>32</v>
      </c>
      <c r="D258" s="16" t="s">
        <v>954</v>
      </c>
      <c r="E258" s="16"/>
      <c r="F258" s="16" t="s">
        <v>955</v>
      </c>
      <c r="G258" s="16"/>
      <c r="H258" s="16"/>
      <c r="I258" s="19" t="s">
        <v>1013</v>
      </c>
      <c r="J258" s="16"/>
      <c r="K258" s="16" t="s">
        <v>1014</v>
      </c>
      <c r="L258" s="16"/>
      <c r="M258" s="16" t="str">
        <f>HYPERLINK("https://ceds.ed.gov/cedselementdetails.aspx?termid=27034")</f>
        <v>https://ceds.ed.gov/cedselementdetails.aspx?termid=27034</v>
      </c>
    </row>
    <row r="259" spans="1:13" ht="57.6" x14ac:dyDescent="0.3">
      <c r="A259" s="16" t="s">
        <v>1015</v>
      </c>
      <c r="B259" s="16" t="s">
        <v>7860</v>
      </c>
      <c r="C259" s="16" t="s">
        <v>8345</v>
      </c>
      <c r="D259" s="16" t="s">
        <v>954</v>
      </c>
      <c r="E259" s="16"/>
      <c r="F259" s="16"/>
      <c r="G259" s="16"/>
      <c r="H259" s="16"/>
      <c r="I259" s="19" t="s">
        <v>1016</v>
      </c>
      <c r="J259" s="16"/>
      <c r="K259" s="16" t="s">
        <v>1017</v>
      </c>
      <c r="L259" s="16"/>
      <c r="M259" s="16" t="str">
        <f>HYPERLINK("https://ceds.ed.gov/cedselementdetails.aspx?termid=27051")</f>
        <v>https://ceds.ed.gov/cedselementdetails.aspx?termid=27051</v>
      </c>
    </row>
    <row r="260" spans="1:13" ht="43.2" x14ac:dyDescent="0.3">
      <c r="A260" s="16" t="s">
        <v>1018</v>
      </c>
      <c r="B260" s="16" t="s">
        <v>1019</v>
      </c>
      <c r="C260" s="16" t="s">
        <v>32</v>
      </c>
      <c r="D260" s="16" t="s">
        <v>954</v>
      </c>
      <c r="E260" s="16"/>
      <c r="F260" s="16" t="s">
        <v>305</v>
      </c>
      <c r="G260" s="16"/>
      <c r="H260" s="16"/>
      <c r="I260" s="19" t="s">
        <v>1020</v>
      </c>
      <c r="J260" s="16"/>
      <c r="K260" s="16" t="s">
        <v>1021</v>
      </c>
      <c r="L260" s="16"/>
      <c r="M260" s="16" t="str">
        <f>HYPERLINK("https://ceds.ed.gov/cedselementdetails.aspx?termid=27037")</f>
        <v>https://ceds.ed.gov/cedselementdetails.aspx?termid=27037</v>
      </c>
    </row>
    <row r="261" spans="1:13" ht="43.2" x14ac:dyDescent="0.3">
      <c r="A261" s="16" t="s">
        <v>1022</v>
      </c>
      <c r="B261" s="16" t="s">
        <v>1023</v>
      </c>
      <c r="C261" s="16" t="s">
        <v>8346</v>
      </c>
      <c r="D261" s="16" t="s">
        <v>954</v>
      </c>
      <c r="E261" s="16"/>
      <c r="F261" s="16"/>
      <c r="G261" s="16"/>
      <c r="H261" s="16"/>
      <c r="I261" s="19" t="s">
        <v>1024</v>
      </c>
      <c r="J261" s="16"/>
      <c r="K261" s="16" t="s">
        <v>1025</v>
      </c>
      <c r="L261" s="16"/>
      <c r="M261" s="16" t="str">
        <f>HYPERLINK("https://ceds.ed.gov/cedselementdetails.aspx?termid=27036")</f>
        <v>https://ceds.ed.gov/cedselementdetails.aspx?termid=27036</v>
      </c>
    </row>
    <row r="262" spans="1:13" ht="43.2" x14ac:dyDescent="0.3">
      <c r="A262" s="16" t="s">
        <v>1026</v>
      </c>
      <c r="B262" s="16" t="s">
        <v>1027</v>
      </c>
      <c r="C262" s="16" t="s">
        <v>32</v>
      </c>
      <c r="D262" s="16" t="s">
        <v>948</v>
      </c>
      <c r="E262" s="16"/>
      <c r="F262" s="16" t="s">
        <v>949</v>
      </c>
      <c r="G262" s="16"/>
      <c r="H262" s="16"/>
      <c r="I262" s="19" t="s">
        <v>1028</v>
      </c>
      <c r="J262" s="16"/>
      <c r="K262" s="16" t="s">
        <v>1029</v>
      </c>
      <c r="L262" s="16"/>
      <c r="M262" s="16" t="str">
        <f>HYPERLINK("https://ceds.ed.gov/cedselementdetails.aspx?termid=27057")</f>
        <v>https://ceds.ed.gov/cedselementdetails.aspx?termid=27057</v>
      </c>
    </row>
    <row r="263" spans="1:13" ht="43.2" x14ac:dyDescent="0.3">
      <c r="A263" s="16" t="s">
        <v>1030</v>
      </c>
      <c r="B263" s="16" t="s">
        <v>1031</v>
      </c>
      <c r="C263" s="16" t="s">
        <v>32</v>
      </c>
      <c r="D263" s="16" t="s">
        <v>954</v>
      </c>
      <c r="E263" s="16"/>
      <c r="F263" s="16" t="s">
        <v>955</v>
      </c>
      <c r="G263" s="16"/>
      <c r="H263" s="16"/>
      <c r="I263" s="19" t="s">
        <v>1032</v>
      </c>
      <c r="J263" s="16"/>
      <c r="K263" s="16" t="s">
        <v>1033</v>
      </c>
      <c r="L263" s="16"/>
      <c r="M263" s="16" t="str">
        <f>HYPERLINK("https://ceds.ed.gov/cedselementdetails.aspx?termid=27031")</f>
        <v>https://ceds.ed.gov/cedselementdetails.aspx?termid=27031</v>
      </c>
    </row>
    <row r="264" spans="1:13" ht="57.6" x14ac:dyDescent="0.3">
      <c r="A264" s="16" t="s">
        <v>1034</v>
      </c>
      <c r="B264" s="16" t="s">
        <v>1035</v>
      </c>
      <c r="C264" s="16" t="s">
        <v>22</v>
      </c>
      <c r="D264" s="16" t="s">
        <v>954</v>
      </c>
      <c r="E264" s="16"/>
      <c r="F264" s="16"/>
      <c r="G264" s="16"/>
      <c r="H264" s="16"/>
      <c r="I264" s="19" t="s">
        <v>1036</v>
      </c>
      <c r="J264" s="16"/>
      <c r="K264" s="16" t="s">
        <v>1037</v>
      </c>
      <c r="L264" s="16"/>
      <c r="M264" s="16" t="str">
        <f>HYPERLINK("https://ceds.ed.gov/cedselementdetails.aspx?termid=27048")</f>
        <v>https://ceds.ed.gov/cedselementdetails.aspx?termid=27048</v>
      </c>
    </row>
    <row r="265" spans="1:13" ht="43.2" x14ac:dyDescent="0.3">
      <c r="A265" s="16" t="s">
        <v>1038</v>
      </c>
      <c r="B265" s="16" t="s">
        <v>1039</v>
      </c>
      <c r="C265" s="16" t="s">
        <v>8347</v>
      </c>
      <c r="D265" s="16" t="s">
        <v>954</v>
      </c>
      <c r="E265" s="16"/>
      <c r="F265" s="16"/>
      <c r="G265" s="16"/>
      <c r="H265" s="16"/>
      <c r="I265" s="19" t="s">
        <v>1040</v>
      </c>
      <c r="J265" s="16"/>
      <c r="K265" s="16" t="s">
        <v>1041</v>
      </c>
      <c r="L265" s="16"/>
      <c r="M265" s="16" t="str">
        <f>HYPERLINK("https://ceds.ed.gov/cedselementdetails.aspx?termid=27044")</f>
        <v>https://ceds.ed.gov/cedselementdetails.aspx?termid=27044</v>
      </c>
    </row>
    <row r="266" spans="1:13" ht="86.4" x14ac:dyDescent="0.3">
      <c r="A266" s="16" t="s">
        <v>1042</v>
      </c>
      <c r="B266" s="16" t="s">
        <v>1043</v>
      </c>
      <c r="C266" s="16" t="s">
        <v>32</v>
      </c>
      <c r="D266" s="16" t="s">
        <v>954</v>
      </c>
      <c r="E266" s="16"/>
      <c r="F266" s="16" t="s">
        <v>50</v>
      </c>
      <c r="G266" s="16"/>
      <c r="H266" s="16"/>
      <c r="I266" s="19" t="s">
        <v>1044</v>
      </c>
      <c r="J266" s="16"/>
      <c r="K266" s="16" t="s">
        <v>1045</v>
      </c>
      <c r="L266" s="16"/>
      <c r="M266" s="16" t="str">
        <f>HYPERLINK("https://ceds.ed.gov/cedselementdetails.aspx?termid=27053")</f>
        <v>https://ceds.ed.gov/cedselementdetails.aspx?termid=27053</v>
      </c>
    </row>
    <row r="267" spans="1:13" ht="43.2" x14ac:dyDescent="0.3">
      <c r="A267" s="16" t="s">
        <v>1046</v>
      </c>
      <c r="B267" s="16" t="s">
        <v>1047</v>
      </c>
      <c r="C267" s="16" t="s">
        <v>32</v>
      </c>
      <c r="D267" s="16" t="s">
        <v>954</v>
      </c>
      <c r="E267" s="16"/>
      <c r="F267" s="16" t="s">
        <v>305</v>
      </c>
      <c r="G267" s="16"/>
      <c r="H267" s="16"/>
      <c r="I267" s="19" t="s">
        <v>1048</v>
      </c>
      <c r="J267" s="16"/>
      <c r="K267" s="16" t="s">
        <v>1049</v>
      </c>
      <c r="L267" s="16"/>
      <c r="M267" s="16" t="str">
        <f>HYPERLINK("https://ceds.ed.gov/cedselementdetails.aspx?termid=27030")</f>
        <v>https://ceds.ed.gov/cedselementdetails.aspx?termid=27030</v>
      </c>
    </row>
    <row r="268" spans="1:13" ht="43.2" x14ac:dyDescent="0.3">
      <c r="A268" s="16" t="s">
        <v>1050</v>
      </c>
      <c r="B268" s="16" t="s">
        <v>1051</v>
      </c>
      <c r="C268" s="16" t="s">
        <v>8348</v>
      </c>
      <c r="D268" s="16" t="s">
        <v>954</v>
      </c>
      <c r="E268" s="16"/>
      <c r="F268" s="16"/>
      <c r="G268" s="16"/>
      <c r="H268" s="16"/>
      <c r="I268" s="19" t="s">
        <v>1052</v>
      </c>
      <c r="J268" s="16"/>
      <c r="K268" s="16" t="s">
        <v>1053</v>
      </c>
      <c r="L268" s="16"/>
      <c r="M268" s="16" t="str">
        <f>HYPERLINK("https://ceds.ed.gov/cedselementdetails.aspx?termid=27046")</f>
        <v>https://ceds.ed.gov/cedselementdetails.aspx?termid=27046</v>
      </c>
    </row>
    <row r="269" spans="1:13" ht="158.4" x14ac:dyDescent="0.3">
      <c r="A269" s="16" t="s">
        <v>1054</v>
      </c>
      <c r="B269" s="16" t="s">
        <v>1055</v>
      </c>
      <c r="C269" s="16" t="s">
        <v>8349</v>
      </c>
      <c r="D269" s="16" t="s">
        <v>943</v>
      </c>
      <c r="E269" s="16"/>
      <c r="F269" s="16"/>
      <c r="G269" s="16"/>
      <c r="H269" s="16"/>
      <c r="I269" s="19" t="s">
        <v>1056</v>
      </c>
      <c r="J269" s="16"/>
      <c r="K269" s="16" t="s">
        <v>1057</v>
      </c>
      <c r="L269" s="16"/>
      <c r="M269" s="16" t="str">
        <f>HYPERLINK("https://ceds.ed.gov/cedselementdetails.aspx?termid=27027")</f>
        <v>https://ceds.ed.gov/cedselementdetails.aspx?termid=27027</v>
      </c>
    </row>
    <row r="270" spans="1:13" ht="86.4" x14ac:dyDescent="0.3">
      <c r="A270" s="16" t="s">
        <v>1058</v>
      </c>
      <c r="B270" s="16" t="s">
        <v>7861</v>
      </c>
      <c r="C270" s="16" t="s">
        <v>32</v>
      </c>
      <c r="D270" s="16" t="s">
        <v>954</v>
      </c>
      <c r="E270" s="16"/>
      <c r="F270" s="16" t="s">
        <v>316</v>
      </c>
      <c r="G270" s="16"/>
      <c r="H270" s="16"/>
      <c r="I270" s="19" t="s">
        <v>1059</v>
      </c>
      <c r="J270" s="16"/>
      <c r="K270" s="16" t="s">
        <v>1060</v>
      </c>
      <c r="L270" s="16"/>
      <c r="M270" s="16" t="str">
        <f>HYPERLINK("https://ceds.ed.gov/cedselementdetails.aspx?termid=27052")</f>
        <v>https://ceds.ed.gov/cedselementdetails.aspx?termid=27052</v>
      </c>
    </row>
    <row r="271" spans="1:13" ht="100.8" x14ac:dyDescent="0.3">
      <c r="A271" s="16" t="s">
        <v>1061</v>
      </c>
      <c r="B271" s="16" t="s">
        <v>7862</v>
      </c>
      <c r="C271" s="16" t="s">
        <v>32</v>
      </c>
      <c r="D271" s="16" t="s">
        <v>1062</v>
      </c>
      <c r="E271" s="16"/>
      <c r="F271" s="16" t="s">
        <v>1063</v>
      </c>
      <c r="G271" s="16"/>
      <c r="H271" s="16"/>
      <c r="I271" s="19" t="s">
        <v>1064</v>
      </c>
      <c r="J271" s="16"/>
      <c r="K271" s="16" t="s">
        <v>1065</v>
      </c>
      <c r="L271" s="16"/>
      <c r="M271" s="16" t="str">
        <f>HYPERLINK("https://ceds.ed.gov/cedselementdetails.aspx?termid=27055")</f>
        <v>https://ceds.ed.gov/cedselementdetails.aspx?termid=27055</v>
      </c>
    </row>
    <row r="272" spans="1:13" ht="28.8" x14ac:dyDescent="0.3">
      <c r="A272" s="16" t="s">
        <v>1066</v>
      </c>
      <c r="B272" s="16" t="s">
        <v>1067</v>
      </c>
      <c r="C272" s="16" t="s">
        <v>32</v>
      </c>
      <c r="D272" s="16" t="s">
        <v>1000</v>
      </c>
      <c r="E272" s="16"/>
      <c r="F272" s="16" t="s">
        <v>316</v>
      </c>
      <c r="G272" s="16"/>
      <c r="H272" s="16"/>
      <c r="I272" s="19" t="s">
        <v>1068</v>
      </c>
      <c r="J272" s="16"/>
      <c r="K272" s="16" t="s">
        <v>1069</v>
      </c>
      <c r="L272" s="16"/>
      <c r="M272" s="16" t="str">
        <f>HYPERLINK("https://ceds.ed.gov/cedselementdetails.aspx?termid=27101")</f>
        <v>https://ceds.ed.gov/cedselementdetails.aspx?termid=27101</v>
      </c>
    </row>
    <row r="273" spans="1:13" ht="72" x14ac:dyDescent="0.3">
      <c r="A273" s="16" t="s">
        <v>1070</v>
      </c>
      <c r="B273" s="16" t="s">
        <v>1071</v>
      </c>
      <c r="C273" s="16" t="s">
        <v>8350</v>
      </c>
      <c r="D273" s="16" t="s">
        <v>954</v>
      </c>
      <c r="E273" s="16"/>
      <c r="F273" s="16"/>
      <c r="G273" s="16"/>
      <c r="H273" s="16"/>
      <c r="I273" s="19" t="s">
        <v>1072</v>
      </c>
      <c r="J273" s="16"/>
      <c r="K273" s="16" t="s">
        <v>1073</v>
      </c>
      <c r="L273" s="16"/>
      <c r="M273" s="16" t="str">
        <f>HYPERLINK("https://ceds.ed.gov/cedselementdetails.aspx?termid=27028")</f>
        <v>https://ceds.ed.gov/cedselementdetails.aspx?termid=27028</v>
      </c>
    </row>
    <row r="274" spans="1:13" ht="72" x14ac:dyDescent="0.3">
      <c r="A274" s="16" t="s">
        <v>1074</v>
      </c>
      <c r="B274" s="16" t="s">
        <v>1075</v>
      </c>
      <c r="C274" s="16" t="s">
        <v>8351</v>
      </c>
      <c r="D274" s="16" t="s">
        <v>943</v>
      </c>
      <c r="E274" s="16"/>
      <c r="F274" s="16"/>
      <c r="G274" s="16"/>
      <c r="H274" s="16"/>
      <c r="I274" s="19" t="s">
        <v>1076</v>
      </c>
      <c r="J274" s="16"/>
      <c r="K274" s="16" t="s">
        <v>1077</v>
      </c>
      <c r="L274" s="16"/>
      <c r="M274" s="16" t="str">
        <f>HYPERLINK("https://ceds.ed.gov/cedselementdetails.aspx?termid=27049")</f>
        <v>https://ceds.ed.gov/cedselementdetails.aspx?termid=27049</v>
      </c>
    </row>
    <row r="275" spans="1:13" ht="43.2" x14ac:dyDescent="0.3">
      <c r="A275" s="16" t="s">
        <v>1078</v>
      </c>
      <c r="B275" s="16" t="s">
        <v>1079</v>
      </c>
      <c r="C275" s="16" t="s">
        <v>32</v>
      </c>
      <c r="D275" s="16" t="s">
        <v>954</v>
      </c>
      <c r="E275" s="16"/>
      <c r="F275" s="16" t="s">
        <v>955</v>
      </c>
      <c r="G275" s="16"/>
      <c r="H275" s="16"/>
      <c r="I275" s="19" t="s">
        <v>1080</v>
      </c>
      <c r="J275" s="16"/>
      <c r="K275" s="16" t="s">
        <v>1081</v>
      </c>
      <c r="L275" s="16"/>
      <c r="M275" s="16" t="str">
        <f>HYPERLINK("https://ceds.ed.gov/cedselementdetails.aspx?termid=27032")</f>
        <v>https://ceds.ed.gov/cedselementdetails.aspx?termid=27032</v>
      </c>
    </row>
    <row r="276" spans="1:13" ht="28.8" x14ac:dyDescent="0.3">
      <c r="A276" s="16" t="s">
        <v>1082</v>
      </c>
      <c r="B276" s="16" t="s">
        <v>1083</v>
      </c>
      <c r="C276" s="16" t="s">
        <v>32</v>
      </c>
      <c r="D276" s="16" t="s">
        <v>479</v>
      </c>
      <c r="E276" s="16"/>
      <c r="F276" s="16" t="s">
        <v>747</v>
      </c>
      <c r="G276" s="16"/>
      <c r="H276" s="16"/>
      <c r="I276" s="19" t="s">
        <v>1084</v>
      </c>
      <c r="J276" s="16"/>
      <c r="K276" s="16" t="s">
        <v>1085</v>
      </c>
      <c r="L276" s="16" t="s">
        <v>605</v>
      </c>
      <c r="M276" s="16" t="str">
        <f>HYPERLINK("https://ceds.ed.gov/cedselementdetails.aspx?termid=26373")</f>
        <v>https://ceds.ed.gov/cedselementdetails.aspx?termid=26373</v>
      </c>
    </row>
    <row r="277" spans="1:13" ht="28.8" x14ac:dyDescent="0.3">
      <c r="A277" s="16" t="s">
        <v>1086</v>
      </c>
      <c r="B277" s="16" t="s">
        <v>1087</v>
      </c>
      <c r="C277" s="16" t="s">
        <v>32</v>
      </c>
      <c r="D277" s="16" t="s">
        <v>1088</v>
      </c>
      <c r="E277" s="16"/>
      <c r="F277" s="16" t="s">
        <v>101</v>
      </c>
      <c r="G277" s="16"/>
      <c r="H277" s="16"/>
      <c r="I277" s="19" t="s">
        <v>1089</v>
      </c>
      <c r="J277" s="16"/>
      <c r="K277" s="16" t="s">
        <v>1090</v>
      </c>
      <c r="L277" s="16"/>
      <c r="M277" s="16" t="str">
        <f>HYPERLINK("https://ceds.ed.gov/cedselementdetails.aspx?termid=27514")</f>
        <v>https://ceds.ed.gov/cedselementdetails.aspx?termid=27514</v>
      </c>
    </row>
    <row r="278" spans="1:13" ht="43.2" x14ac:dyDescent="0.3">
      <c r="A278" s="16" t="s">
        <v>1091</v>
      </c>
      <c r="B278" s="16" t="s">
        <v>1092</v>
      </c>
      <c r="C278" s="16" t="s">
        <v>32</v>
      </c>
      <c r="D278" s="16" t="s">
        <v>1088</v>
      </c>
      <c r="E278" s="16"/>
      <c r="F278" s="16" t="s">
        <v>101</v>
      </c>
      <c r="G278" s="16"/>
      <c r="H278" s="16" t="s">
        <v>1093</v>
      </c>
      <c r="I278" s="19" t="s">
        <v>1094</v>
      </c>
      <c r="J278" s="16"/>
      <c r="K278" s="16" t="s">
        <v>1095</v>
      </c>
      <c r="L278" s="16"/>
      <c r="M278" s="16" t="str">
        <f>HYPERLINK("https://ceds.ed.gov/cedselementdetails.aspx?termid=27006")</f>
        <v>https://ceds.ed.gov/cedselementdetails.aspx?termid=27006</v>
      </c>
    </row>
    <row r="279" spans="1:13" ht="115.2" x14ac:dyDescent="0.3">
      <c r="A279" s="16" t="s">
        <v>1096</v>
      </c>
      <c r="B279" s="16" t="s">
        <v>1097</v>
      </c>
      <c r="C279" s="16" t="s">
        <v>32</v>
      </c>
      <c r="D279" s="16" t="s">
        <v>1088</v>
      </c>
      <c r="E279" s="16"/>
      <c r="F279" s="16" t="s">
        <v>120</v>
      </c>
      <c r="G279" s="16"/>
      <c r="H279" s="16" t="s">
        <v>7836</v>
      </c>
      <c r="I279" s="19" t="s">
        <v>1098</v>
      </c>
      <c r="J279" s="16"/>
      <c r="K279" s="16" t="s">
        <v>1099</v>
      </c>
      <c r="L279" s="16"/>
      <c r="M279" s="16" t="str">
        <f>HYPERLINK("https://ceds.ed.gov/cedselementdetails.aspx?termid=27515")</f>
        <v>https://ceds.ed.gov/cedselementdetails.aspx?termid=27515</v>
      </c>
    </row>
    <row r="280" spans="1:13" ht="115.2" x14ac:dyDescent="0.3">
      <c r="A280" s="16" t="s">
        <v>1100</v>
      </c>
      <c r="B280" s="16" t="s">
        <v>1101</v>
      </c>
      <c r="C280" s="16" t="s">
        <v>7313</v>
      </c>
      <c r="D280" s="16" t="s">
        <v>1088</v>
      </c>
      <c r="E280" s="16"/>
      <c r="F280" s="16"/>
      <c r="G280" s="16"/>
      <c r="H280" s="16" t="s">
        <v>7859</v>
      </c>
      <c r="I280" s="19" t="s">
        <v>1102</v>
      </c>
      <c r="J280" s="16"/>
      <c r="K280" s="16" t="s">
        <v>1103</v>
      </c>
      <c r="L280" s="16" t="s">
        <v>84</v>
      </c>
      <c r="M280" s="16" t="str">
        <f>HYPERLINK("https://ceds.ed.gov/cedselementdetails.aspx?termid=26370")</f>
        <v>https://ceds.ed.gov/cedselementdetails.aspx?termid=26370</v>
      </c>
    </row>
    <row r="281" spans="1:13" ht="115.2" x14ac:dyDescent="0.3">
      <c r="A281" s="16" t="s">
        <v>1104</v>
      </c>
      <c r="B281" s="16" t="s">
        <v>1105</v>
      </c>
      <c r="C281" s="16" t="s">
        <v>8352</v>
      </c>
      <c r="D281" s="16" t="s">
        <v>1106</v>
      </c>
      <c r="E281" s="16"/>
      <c r="F281" s="16"/>
      <c r="G281" s="16"/>
      <c r="H281" s="16"/>
      <c r="I281" s="19" t="s">
        <v>1107</v>
      </c>
      <c r="J281" s="16"/>
      <c r="K281" s="16" t="s">
        <v>1108</v>
      </c>
      <c r="L281" s="16" t="s">
        <v>605</v>
      </c>
      <c r="M281" s="16" t="str">
        <f>HYPERLINK("https://ceds.ed.gov/cedselementdetails.aspx?termid=26377")</f>
        <v>https://ceds.ed.gov/cedselementdetails.aspx?termid=26377</v>
      </c>
    </row>
    <row r="282" spans="1:13" ht="115.2" x14ac:dyDescent="0.3">
      <c r="A282" s="16" t="s">
        <v>1109</v>
      </c>
      <c r="B282" s="16" t="s">
        <v>7863</v>
      </c>
      <c r="C282" s="16" t="s">
        <v>32</v>
      </c>
      <c r="D282" s="16" t="s">
        <v>1088</v>
      </c>
      <c r="E282" s="16"/>
      <c r="F282" s="16" t="s">
        <v>50</v>
      </c>
      <c r="G282" s="16"/>
      <c r="H282" s="16" t="s">
        <v>7864</v>
      </c>
      <c r="I282" s="19" t="s">
        <v>1110</v>
      </c>
      <c r="J282" s="16"/>
      <c r="K282" s="16" t="s">
        <v>1111</v>
      </c>
      <c r="L282" s="16"/>
      <c r="M282" s="16" t="str">
        <f>HYPERLINK("https://ceds.ed.gov/cedselementdetails.aspx?termid=27112")</f>
        <v>https://ceds.ed.gov/cedselementdetails.aspx?termid=27112</v>
      </c>
    </row>
    <row r="283" spans="1:13" ht="72" x14ac:dyDescent="0.3">
      <c r="A283" s="16" t="s">
        <v>1112</v>
      </c>
      <c r="B283" s="16" t="s">
        <v>1113</v>
      </c>
      <c r="C283" s="16" t="s">
        <v>32</v>
      </c>
      <c r="D283" s="16" t="s">
        <v>1088</v>
      </c>
      <c r="E283" s="16"/>
      <c r="F283" s="16" t="s">
        <v>316</v>
      </c>
      <c r="G283" s="16"/>
      <c r="H283" s="16"/>
      <c r="I283" s="19" t="s">
        <v>1114</v>
      </c>
      <c r="J283" s="16"/>
      <c r="K283" s="16" t="s">
        <v>1115</v>
      </c>
      <c r="L283" s="16"/>
      <c r="M283" s="16" t="str">
        <f>HYPERLINK("https://ceds.ed.gov/cedselementdetails.aspx?termid=27102")</f>
        <v>https://ceds.ed.gov/cedselementdetails.aspx?termid=27102</v>
      </c>
    </row>
    <row r="284" spans="1:13" ht="43.2" x14ac:dyDescent="0.3">
      <c r="A284" s="16" t="s">
        <v>1116</v>
      </c>
      <c r="B284" s="16" t="s">
        <v>7865</v>
      </c>
      <c r="C284" s="16" t="s">
        <v>32</v>
      </c>
      <c r="D284" s="16" t="s">
        <v>1088</v>
      </c>
      <c r="E284" s="16"/>
      <c r="F284" s="16" t="s">
        <v>81</v>
      </c>
      <c r="G284" s="16"/>
      <c r="H284" s="16"/>
      <c r="I284" s="19" t="s">
        <v>1117</v>
      </c>
      <c r="J284" s="16"/>
      <c r="K284" s="16" t="s">
        <v>1118</v>
      </c>
      <c r="L284" s="16" t="s">
        <v>84</v>
      </c>
      <c r="M284" s="16" t="str">
        <f>HYPERLINK("https://ceds.ed.gov/cedselementdetails.aspx?termid=26398")</f>
        <v>https://ceds.ed.gov/cedselementdetails.aspx?termid=26398</v>
      </c>
    </row>
    <row r="285" spans="1:13" ht="72" x14ac:dyDescent="0.3">
      <c r="A285" s="16" t="s">
        <v>1119</v>
      </c>
      <c r="B285" s="16" t="s">
        <v>1120</v>
      </c>
      <c r="C285" s="16" t="s">
        <v>32</v>
      </c>
      <c r="D285" s="16" t="s">
        <v>1121</v>
      </c>
      <c r="E285" s="16"/>
      <c r="F285" s="16" t="s">
        <v>316</v>
      </c>
      <c r="G285" s="16"/>
      <c r="H285" s="16"/>
      <c r="I285" s="19" t="s">
        <v>1122</v>
      </c>
      <c r="J285" s="16"/>
      <c r="K285" s="16" t="s">
        <v>1123</v>
      </c>
      <c r="L285" s="16"/>
      <c r="M285" s="16" t="str">
        <f>HYPERLINK("https://ceds.ed.gov/cedselementdetails.aspx?termid=27184")</f>
        <v>https://ceds.ed.gov/cedselementdetails.aspx?termid=27184</v>
      </c>
    </row>
    <row r="286" spans="1:13" ht="172.8" x14ac:dyDescent="0.3">
      <c r="A286" s="16" t="s">
        <v>1124</v>
      </c>
      <c r="B286" s="16" t="s">
        <v>1125</v>
      </c>
      <c r="C286" s="16" t="s">
        <v>32</v>
      </c>
      <c r="D286" s="16" t="s">
        <v>1121</v>
      </c>
      <c r="E286" s="16"/>
      <c r="F286" s="16" t="s">
        <v>120</v>
      </c>
      <c r="G286" s="16"/>
      <c r="H286" s="16" t="s">
        <v>7817</v>
      </c>
      <c r="I286" s="19" t="s">
        <v>1126</v>
      </c>
      <c r="J286" s="16"/>
      <c r="K286" s="16" t="s">
        <v>1127</v>
      </c>
      <c r="L286" s="16" t="s">
        <v>779</v>
      </c>
      <c r="M286" s="16" t="str">
        <f>HYPERLINK("https://ceds.ed.gov/cedselementdetails.aspx?termid=26693")</f>
        <v>https://ceds.ed.gov/cedselementdetails.aspx?termid=26693</v>
      </c>
    </row>
    <row r="287" spans="1:13" ht="72" x14ac:dyDescent="0.3">
      <c r="A287" s="16" t="s">
        <v>1128</v>
      </c>
      <c r="B287" s="16" t="s">
        <v>1129</v>
      </c>
      <c r="C287" s="16" t="s">
        <v>32</v>
      </c>
      <c r="D287" s="16" t="s">
        <v>1121</v>
      </c>
      <c r="E287" s="16"/>
      <c r="F287" s="16" t="s">
        <v>1130</v>
      </c>
      <c r="G287" s="16"/>
      <c r="H287" s="16"/>
      <c r="I287" s="19" t="s">
        <v>1131</v>
      </c>
      <c r="J287" s="16"/>
      <c r="K287" s="16" t="s">
        <v>1132</v>
      </c>
      <c r="L287" s="16" t="s">
        <v>779</v>
      </c>
      <c r="M287" s="16" t="str">
        <f>HYPERLINK("https://ceds.ed.gov/cedselementdetails.aspx?termid=26694")</f>
        <v>https://ceds.ed.gov/cedselementdetails.aspx?termid=26694</v>
      </c>
    </row>
    <row r="288" spans="1:13" ht="72" x14ac:dyDescent="0.3">
      <c r="A288" s="16" t="s">
        <v>1133</v>
      </c>
      <c r="B288" s="16" t="s">
        <v>1134</v>
      </c>
      <c r="C288" s="16" t="s">
        <v>32</v>
      </c>
      <c r="D288" s="16" t="s">
        <v>1121</v>
      </c>
      <c r="E288" s="16"/>
      <c r="F288" s="16" t="s">
        <v>81</v>
      </c>
      <c r="G288" s="16"/>
      <c r="H288" s="16"/>
      <c r="I288" s="19" t="s">
        <v>1135</v>
      </c>
      <c r="J288" s="16"/>
      <c r="K288" s="16" t="s">
        <v>1136</v>
      </c>
      <c r="L288" s="16" t="s">
        <v>84</v>
      </c>
      <c r="M288" s="16" t="str">
        <f>HYPERLINK("https://ceds.ed.gov/cedselementdetails.aspx?termid=26408")</f>
        <v>https://ceds.ed.gov/cedselementdetails.aspx?termid=26408</v>
      </c>
    </row>
    <row r="289" spans="1:13" ht="409.6" x14ac:dyDescent="0.3">
      <c r="A289" s="16" t="s">
        <v>1137</v>
      </c>
      <c r="B289" s="16" t="s">
        <v>1138</v>
      </c>
      <c r="C289" s="16" t="s">
        <v>8353</v>
      </c>
      <c r="D289" s="16" t="s">
        <v>1121</v>
      </c>
      <c r="E289" s="16"/>
      <c r="F289" s="16" t="s">
        <v>81</v>
      </c>
      <c r="G289" s="16"/>
      <c r="H289" s="16"/>
      <c r="I289" s="19" t="s">
        <v>1139</v>
      </c>
      <c r="J289" s="16"/>
      <c r="K289" s="16" t="s">
        <v>1140</v>
      </c>
      <c r="L289" s="16" t="s">
        <v>84</v>
      </c>
      <c r="M289" s="16" t="str">
        <f>HYPERLINK("https://ceds.ed.gov/cedselementdetails.aspx?termid=26407")</f>
        <v>https://ceds.ed.gov/cedselementdetails.aspx?termid=26407</v>
      </c>
    </row>
    <row r="290" spans="1:13" ht="72" x14ac:dyDescent="0.3">
      <c r="A290" s="16" t="s">
        <v>1141</v>
      </c>
      <c r="B290" s="16" t="s">
        <v>1142</v>
      </c>
      <c r="C290" s="16" t="s">
        <v>32</v>
      </c>
      <c r="D290" s="16" t="s">
        <v>1121</v>
      </c>
      <c r="E290" s="16"/>
      <c r="F290" s="16" t="s">
        <v>81</v>
      </c>
      <c r="G290" s="16"/>
      <c r="H290" s="16"/>
      <c r="I290" s="19" t="s">
        <v>1143</v>
      </c>
      <c r="J290" s="16"/>
      <c r="K290" s="16" t="s">
        <v>1144</v>
      </c>
      <c r="L290" s="16" t="s">
        <v>84</v>
      </c>
      <c r="M290" s="16" t="str">
        <f>HYPERLINK("https://ceds.ed.gov/cedselementdetails.aspx?termid=26409")</f>
        <v>https://ceds.ed.gov/cedselementdetails.aspx?termid=26409</v>
      </c>
    </row>
    <row r="291" spans="1:13" ht="43.2" x14ac:dyDescent="0.3">
      <c r="A291" s="16" t="s">
        <v>1145</v>
      </c>
      <c r="B291" s="16" t="s">
        <v>1146</v>
      </c>
      <c r="C291" s="16" t="s">
        <v>22</v>
      </c>
      <c r="D291" s="16" t="s">
        <v>1000</v>
      </c>
      <c r="E291" s="16"/>
      <c r="F291" s="16"/>
      <c r="G291" s="16"/>
      <c r="H291" s="16" t="s">
        <v>1147</v>
      </c>
      <c r="I291" s="19" t="s">
        <v>1148</v>
      </c>
      <c r="J291" s="16"/>
      <c r="K291" s="16" t="s">
        <v>1149</v>
      </c>
      <c r="L291" s="16"/>
      <c r="M291" s="16" t="str">
        <f>HYPERLINK("https://ceds.ed.gov/cedselementdetails.aspx?termid=27008")</f>
        <v>https://ceds.ed.gov/cedselementdetails.aspx?termid=27008</v>
      </c>
    </row>
    <row r="292" spans="1:13" ht="43.2" x14ac:dyDescent="0.3">
      <c r="A292" s="16" t="s">
        <v>1150</v>
      </c>
      <c r="B292" s="16" t="s">
        <v>1151</v>
      </c>
      <c r="C292" s="16" t="s">
        <v>22</v>
      </c>
      <c r="D292" s="16" t="s">
        <v>1000</v>
      </c>
      <c r="E292" s="16"/>
      <c r="F292" s="16"/>
      <c r="G292" s="16"/>
      <c r="H292" s="16" t="s">
        <v>1147</v>
      </c>
      <c r="I292" s="19" t="s">
        <v>1152</v>
      </c>
      <c r="J292" s="16"/>
      <c r="K292" s="16" t="s">
        <v>1153</v>
      </c>
      <c r="L292" s="16"/>
      <c r="M292" s="16" t="str">
        <f>HYPERLINK("https://ceds.ed.gov/cedselementdetails.aspx?termid=27007")</f>
        <v>https://ceds.ed.gov/cedselementdetails.aspx?termid=27007</v>
      </c>
    </row>
    <row r="293" spans="1:13" ht="28.8" x14ac:dyDescent="0.3">
      <c r="A293" s="16" t="s">
        <v>1154</v>
      </c>
      <c r="B293" s="16" t="s">
        <v>1155</v>
      </c>
      <c r="C293" s="16" t="s">
        <v>32</v>
      </c>
      <c r="D293" s="16" t="s">
        <v>479</v>
      </c>
      <c r="E293" s="16"/>
      <c r="F293" s="16" t="s">
        <v>81</v>
      </c>
      <c r="G293" s="16"/>
      <c r="H293" s="16" t="s">
        <v>1156</v>
      </c>
      <c r="I293" s="19" t="s">
        <v>1157</v>
      </c>
      <c r="J293" s="16"/>
      <c r="K293" s="16" t="s">
        <v>1158</v>
      </c>
      <c r="L293" s="16"/>
      <c r="M293" s="16" t="str">
        <f>HYPERLINK("https://ceds.ed.gov/cedselementdetails.aspx?termid=27009")</f>
        <v>https://ceds.ed.gov/cedselementdetails.aspx?termid=27009</v>
      </c>
    </row>
    <row r="294" spans="1:13" ht="360" x14ac:dyDescent="0.3">
      <c r="A294" s="16" t="s">
        <v>1159</v>
      </c>
      <c r="B294" s="16" t="s">
        <v>1160</v>
      </c>
      <c r="C294" s="16" t="s">
        <v>8354</v>
      </c>
      <c r="D294" s="16" t="s">
        <v>1161</v>
      </c>
      <c r="E294" s="16"/>
      <c r="F294" s="16"/>
      <c r="G294" s="16"/>
      <c r="H294" s="16" t="s">
        <v>1162</v>
      </c>
      <c r="I294" s="19" t="s">
        <v>1163</v>
      </c>
      <c r="J294" s="16"/>
      <c r="K294" s="16" t="s">
        <v>1164</v>
      </c>
      <c r="L294" s="16" t="s">
        <v>471</v>
      </c>
      <c r="M294" s="16" t="str">
        <f>HYPERLINK("https://ceds.ed.gov/cedselementdetails.aspx?termid=26026")</f>
        <v>https://ceds.ed.gov/cedselementdetails.aspx?termid=26026</v>
      </c>
    </row>
    <row r="295" spans="1:13" ht="216" x14ac:dyDescent="0.3">
      <c r="A295" s="16" t="s">
        <v>1165</v>
      </c>
      <c r="B295" s="16" t="s">
        <v>1166</v>
      </c>
      <c r="C295" s="16" t="s">
        <v>32</v>
      </c>
      <c r="D295" s="16" t="s">
        <v>1167</v>
      </c>
      <c r="E295" s="16"/>
      <c r="F295" s="16" t="s">
        <v>120</v>
      </c>
      <c r="G295" s="16"/>
      <c r="H295" s="16" t="s">
        <v>7866</v>
      </c>
      <c r="I295" s="19" t="s">
        <v>1168</v>
      </c>
      <c r="J295" s="16"/>
      <c r="K295" s="16" t="s">
        <v>1169</v>
      </c>
      <c r="L295" s="16"/>
      <c r="M295" s="16" t="str">
        <f>HYPERLINK("https://ceds.ed.gov/cedselementdetails.aspx?termid=26889")</f>
        <v>https://ceds.ed.gov/cedselementdetails.aspx?termid=26889</v>
      </c>
    </row>
    <row r="296" spans="1:13" ht="158.4" x14ac:dyDescent="0.3">
      <c r="A296" s="16" t="s">
        <v>1170</v>
      </c>
      <c r="B296" s="16" t="s">
        <v>1171</v>
      </c>
      <c r="C296" s="16" t="s">
        <v>8355</v>
      </c>
      <c r="D296" s="16" t="s">
        <v>1167</v>
      </c>
      <c r="E296" s="16"/>
      <c r="F296" s="16"/>
      <c r="G296" s="16"/>
      <c r="H296" s="16"/>
      <c r="I296" s="19" t="s">
        <v>1172</v>
      </c>
      <c r="J296" s="16"/>
      <c r="K296" s="16" t="s">
        <v>1173</v>
      </c>
      <c r="L296" s="16"/>
      <c r="M296" s="16" t="str">
        <f>HYPERLINK("https://ceds.ed.gov/cedselementdetails.aspx?termid=27516")</f>
        <v>https://ceds.ed.gov/cedselementdetails.aspx?termid=27516</v>
      </c>
    </row>
    <row r="297" spans="1:13" ht="43.2" x14ac:dyDescent="0.3">
      <c r="A297" s="16" t="s">
        <v>1174</v>
      </c>
      <c r="B297" s="16" t="s">
        <v>1175</v>
      </c>
      <c r="C297" s="16" t="s">
        <v>32</v>
      </c>
      <c r="D297" s="16" t="s">
        <v>1167</v>
      </c>
      <c r="E297" s="16"/>
      <c r="F297" s="16" t="s">
        <v>812</v>
      </c>
      <c r="G297" s="16"/>
      <c r="H297" s="16"/>
      <c r="I297" s="19" t="s">
        <v>1176</v>
      </c>
      <c r="J297" s="16"/>
      <c r="K297" s="16" t="s">
        <v>1177</v>
      </c>
      <c r="L297" s="16"/>
      <c r="M297" s="16" t="str">
        <f>HYPERLINK("https://ceds.ed.gov/cedselementdetails.aspx?termid=27517")</f>
        <v>https://ceds.ed.gov/cedselementdetails.aspx?termid=27517</v>
      </c>
    </row>
    <row r="298" spans="1:13" x14ac:dyDescent="0.3">
      <c r="A298" s="16" t="s">
        <v>1178</v>
      </c>
      <c r="B298" s="16" t="s">
        <v>1179</v>
      </c>
      <c r="C298" s="16" t="s">
        <v>32</v>
      </c>
      <c r="D298" s="16" t="s">
        <v>1167</v>
      </c>
      <c r="E298" s="16"/>
      <c r="F298" s="16" t="s">
        <v>812</v>
      </c>
      <c r="G298" s="16"/>
      <c r="H298" s="16"/>
      <c r="I298" s="19" t="s">
        <v>1180</v>
      </c>
      <c r="J298" s="16"/>
      <c r="K298" s="16" t="s">
        <v>1181</v>
      </c>
      <c r="L298" s="16"/>
      <c r="M298" s="16" t="str">
        <f>HYPERLINK("https://ceds.ed.gov/cedselementdetails.aspx?termid=27019")</f>
        <v>https://ceds.ed.gov/cedselementdetails.aspx?termid=27019</v>
      </c>
    </row>
    <row r="299" spans="1:13" ht="28.8" x14ac:dyDescent="0.3">
      <c r="A299" s="16" t="s">
        <v>1182</v>
      </c>
      <c r="B299" s="16" t="s">
        <v>1183</v>
      </c>
      <c r="C299" s="16" t="s">
        <v>32</v>
      </c>
      <c r="D299" s="16" t="s">
        <v>1167</v>
      </c>
      <c r="E299" s="16"/>
      <c r="F299" s="16" t="s">
        <v>305</v>
      </c>
      <c r="G299" s="16"/>
      <c r="H299" s="16"/>
      <c r="I299" s="19" t="s">
        <v>1184</v>
      </c>
      <c r="J299" s="16"/>
      <c r="K299" s="16" t="s">
        <v>1185</v>
      </c>
      <c r="L299" s="16"/>
      <c r="M299" s="16" t="str">
        <f>HYPERLINK("https://ceds.ed.gov/cedselementdetails.aspx?termid=27017")</f>
        <v>https://ceds.ed.gov/cedselementdetails.aspx?termid=27017</v>
      </c>
    </row>
    <row r="300" spans="1:13" ht="409.6" x14ac:dyDescent="0.3">
      <c r="A300" s="16" t="s">
        <v>1186</v>
      </c>
      <c r="B300" s="16" t="s">
        <v>1187</v>
      </c>
      <c r="C300" s="16" t="s">
        <v>8209</v>
      </c>
      <c r="D300" s="16" t="s">
        <v>1167</v>
      </c>
      <c r="E300" s="16"/>
      <c r="F300" s="16"/>
      <c r="G300" s="16"/>
      <c r="H300" s="16" t="s">
        <v>7867</v>
      </c>
      <c r="I300" s="19" t="s">
        <v>1188</v>
      </c>
      <c r="J300" s="16"/>
      <c r="K300" s="16" t="s">
        <v>1189</v>
      </c>
      <c r="L300" s="16"/>
      <c r="M300" s="16" t="str">
        <f>HYPERLINK("https://ceds.ed.gov/cedselementdetails.aspx?termid=27063")</f>
        <v>https://ceds.ed.gov/cedselementdetails.aspx?termid=27063</v>
      </c>
    </row>
    <row r="301" spans="1:13" ht="43.2" x14ac:dyDescent="0.3">
      <c r="A301" s="16" t="s">
        <v>1190</v>
      </c>
      <c r="B301" s="16" t="s">
        <v>1191</v>
      </c>
      <c r="C301" s="16" t="s">
        <v>8356</v>
      </c>
      <c r="D301" s="16" t="s">
        <v>1167</v>
      </c>
      <c r="E301" s="16"/>
      <c r="F301" s="16"/>
      <c r="G301" s="16"/>
      <c r="H301" s="16"/>
      <c r="I301" s="19" t="s">
        <v>1192</v>
      </c>
      <c r="J301" s="16"/>
      <c r="K301" s="16" t="s">
        <v>1193</v>
      </c>
      <c r="L301" s="16" t="s">
        <v>476</v>
      </c>
      <c r="M301" s="16" t="str">
        <f>HYPERLINK("https://ceds.ed.gov/cedselementdetails.aspx?termid=26025")</f>
        <v>https://ceds.ed.gov/cedselementdetails.aspx?termid=26025</v>
      </c>
    </row>
    <row r="302" spans="1:13" ht="172.8" x14ac:dyDescent="0.3">
      <c r="A302" s="16" t="s">
        <v>1194</v>
      </c>
      <c r="B302" s="16" t="s">
        <v>1195</v>
      </c>
      <c r="C302" s="16" t="s">
        <v>8357</v>
      </c>
      <c r="D302" s="16" t="s">
        <v>1167</v>
      </c>
      <c r="E302" s="16"/>
      <c r="F302" s="16"/>
      <c r="G302" s="16"/>
      <c r="H302" s="16" t="s">
        <v>1196</v>
      </c>
      <c r="I302" s="19" t="s">
        <v>1197</v>
      </c>
      <c r="J302" s="16"/>
      <c r="K302" s="16" t="s">
        <v>1198</v>
      </c>
      <c r="L302" s="16" t="s">
        <v>1199</v>
      </c>
      <c r="M302" s="16" t="str">
        <f>HYPERLINK("https://ceds.ed.gov/cedselementdetails.aspx?termid=26531")</f>
        <v>https://ceds.ed.gov/cedselementdetails.aspx?termid=26531</v>
      </c>
    </row>
    <row r="303" spans="1:13" ht="72" x14ac:dyDescent="0.3">
      <c r="A303" s="16" t="s">
        <v>1200</v>
      </c>
      <c r="B303" s="16" t="s">
        <v>1201</v>
      </c>
      <c r="C303" s="16" t="s">
        <v>22</v>
      </c>
      <c r="D303" s="16" t="s">
        <v>1167</v>
      </c>
      <c r="E303" s="16"/>
      <c r="F303" s="16"/>
      <c r="G303" s="16"/>
      <c r="H303" s="16"/>
      <c r="I303" s="19" t="s">
        <v>1202</v>
      </c>
      <c r="J303" s="16"/>
      <c r="K303" s="16" t="s">
        <v>1203</v>
      </c>
      <c r="L303" s="16"/>
      <c r="M303" s="16" t="str">
        <f>HYPERLINK("https://ceds.ed.gov/cedselementdetails.aspx?termid=27018")</f>
        <v>https://ceds.ed.gov/cedselementdetails.aspx?termid=27018</v>
      </c>
    </row>
    <row r="304" spans="1:13" ht="115.2" x14ac:dyDescent="0.3">
      <c r="A304" s="16" t="s">
        <v>1204</v>
      </c>
      <c r="B304" s="16" t="s">
        <v>7868</v>
      </c>
      <c r="C304" s="16" t="s">
        <v>32</v>
      </c>
      <c r="D304" s="16" t="s">
        <v>1167</v>
      </c>
      <c r="E304" s="16"/>
      <c r="F304" s="16" t="s">
        <v>106</v>
      </c>
      <c r="G304" s="16"/>
      <c r="H304" s="16"/>
      <c r="I304" s="19" t="s">
        <v>1205</v>
      </c>
      <c r="J304" s="16"/>
      <c r="K304" s="16" t="s">
        <v>1206</v>
      </c>
      <c r="L304" s="16"/>
      <c r="M304" s="16" t="str">
        <f>HYPERLINK("https://ceds.ed.gov/cedselementdetails.aspx?termid=27062")</f>
        <v>https://ceds.ed.gov/cedselementdetails.aspx?termid=27062</v>
      </c>
    </row>
    <row r="305" spans="1:13" ht="244.8" x14ac:dyDescent="0.3">
      <c r="A305" s="16" t="s">
        <v>1207</v>
      </c>
      <c r="B305" s="16" t="s">
        <v>1208</v>
      </c>
      <c r="C305" s="16" t="s">
        <v>32</v>
      </c>
      <c r="D305" s="16" t="s">
        <v>1167</v>
      </c>
      <c r="E305" s="16"/>
      <c r="F305" s="16" t="s">
        <v>120</v>
      </c>
      <c r="G305" s="16"/>
      <c r="H305" s="16" t="s">
        <v>7869</v>
      </c>
      <c r="I305" s="19" t="s">
        <v>1209</v>
      </c>
      <c r="J305" s="16"/>
      <c r="K305" s="16" t="s">
        <v>1210</v>
      </c>
      <c r="L305" s="16"/>
      <c r="M305" s="16" t="str">
        <f>HYPERLINK("https://ceds.ed.gov/cedselementdetails.aspx?termid=27119")</f>
        <v>https://ceds.ed.gov/cedselementdetails.aspx?termid=27119</v>
      </c>
    </row>
    <row r="306" spans="1:13" ht="57.6" x14ac:dyDescent="0.3">
      <c r="A306" s="16" t="s">
        <v>1211</v>
      </c>
      <c r="B306" s="16" t="s">
        <v>1212</v>
      </c>
      <c r="C306" s="16" t="s">
        <v>32</v>
      </c>
      <c r="D306" s="16" t="s">
        <v>1167</v>
      </c>
      <c r="E306" s="16"/>
      <c r="F306" s="16" t="s">
        <v>101</v>
      </c>
      <c r="G306" s="16"/>
      <c r="H306" s="16" t="s">
        <v>1213</v>
      </c>
      <c r="I306" s="19" t="s">
        <v>1214</v>
      </c>
      <c r="J306" s="16"/>
      <c r="K306" s="16" t="s">
        <v>1215</v>
      </c>
      <c r="L306" s="16"/>
      <c r="M306" s="16" t="str">
        <f>HYPERLINK("https://ceds.ed.gov/cedselementdetails.aspx?termid=27061")</f>
        <v>https://ceds.ed.gov/cedselementdetails.aspx?termid=27061</v>
      </c>
    </row>
    <row r="307" spans="1:13" ht="144" x14ac:dyDescent="0.3">
      <c r="A307" s="16" t="s">
        <v>1216</v>
      </c>
      <c r="B307" s="16" t="s">
        <v>7870</v>
      </c>
      <c r="C307" s="16" t="s">
        <v>8358</v>
      </c>
      <c r="D307" s="16" t="s">
        <v>1217</v>
      </c>
      <c r="E307" s="16"/>
      <c r="F307" s="16"/>
      <c r="G307" s="16"/>
      <c r="H307" s="16" t="s">
        <v>7871</v>
      </c>
      <c r="I307" s="19" t="s">
        <v>1218</v>
      </c>
      <c r="J307" s="16"/>
      <c r="K307" s="16" t="s">
        <v>1219</v>
      </c>
      <c r="L307" s="16"/>
      <c r="M307" s="16" t="str">
        <f>HYPERLINK("https://ceds.ed.gov/cedselementdetails.aspx?termid=27518")</f>
        <v>https://ceds.ed.gov/cedselementdetails.aspx?termid=27518</v>
      </c>
    </row>
    <row r="308" spans="1:13" ht="28.8" x14ac:dyDescent="0.3">
      <c r="A308" s="16" t="s">
        <v>1220</v>
      </c>
      <c r="B308" s="16" t="s">
        <v>1221</v>
      </c>
      <c r="C308" s="16" t="s">
        <v>32</v>
      </c>
      <c r="D308" s="16" t="s">
        <v>1217</v>
      </c>
      <c r="E308" s="16"/>
      <c r="F308" s="16" t="s">
        <v>106</v>
      </c>
      <c r="G308" s="16"/>
      <c r="H308" s="16"/>
      <c r="I308" s="19" t="s">
        <v>1222</v>
      </c>
      <c r="J308" s="16"/>
      <c r="K308" s="16" t="s">
        <v>1223</v>
      </c>
      <c r="L308" s="16"/>
      <c r="M308" s="16" t="str">
        <f>HYPERLINK("https://ceds.ed.gov/cedselementdetails.aspx?termid=26972")</f>
        <v>https://ceds.ed.gov/cedselementdetails.aspx?termid=26972</v>
      </c>
    </row>
    <row r="309" spans="1:13" ht="115.2" x14ac:dyDescent="0.3">
      <c r="A309" s="16" t="s">
        <v>1224</v>
      </c>
      <c r="B309" s="16" t="s">
        <v>7872</v>
      </c>
      <c r="C309" s="16" t="s">
        <v>32</v>
      </c>
      <c r="D309" s="16" t="s">
        <v>1217</v>
      </c>
      <c r="E309" s="16"/>
      <c r="F309" s="16" t="s">
        <v>106</v>
      </c>
      <c r="G309" s="16"/>
      <c r="H309" s="16" t="s">
        <v>7873</v>
      </c>
      <c r="I309" s="19" t="s">
        <v>1225</v>
      </c>
      <c r="J309" s="16"/>
      <c r="K309" s="16" t="s">
        <v>1226</v>
      </c>
      <c r="L309" s="16"/>
      <c r="M309" s="16" t="str">
        <f>HYPERLINK("https://ceds.ed.gov/cedselementdetails.aspx?termid=26971")</f>
        <v>https://ceds.ed.gov/cedselementdetails.aspx?termid=26971</v>
      </c>
    </row>
    <row r="310" spans="1:13" ht="72" x14ac:dyDescent="0.3">
      <c r="A310" s="16" t="s">
        <v>1227</v>
      </c>
      <c r="B310" s="16" t="s">
        <v>1228</v>
      </c>
      <c r="C310" s="16" t="s">
        <v>32</v>
      </c>
      <c r="D310" s="16" t="s">
        <v>1217</v>
      </c>
      <c r="E310" s="16"/>
      <c r="F310" s="16" t="s">
        <v>101</v>
      </c>
      <c r="G310" s="16"/>
      <c r="H310" s="16"/>
      <c r="I310" s="19" t="s">
        <v>1229</v>
      </c>
      <c r="J310" s="16"/>
      <c r="K310" s="16" t="s">
        <v>1230</v>
      </c>
      <c r="L310" s="16" t="s">
        <v>779</v>
      </c>
      <c r="M310" s="16" t="str">
        <f>HYPERLINK("https://ceds.ed.gov/cedselementdetails.aspx?termid=26890")</f>
        <v>https://ceds.ed.gov/cedselementdetails.aspx?termid=26890</v>
      </c>
    </row>
    <row r="311" spans="1:13" ht="43.2" x14ac:dyDescent="0.3">
      <c r="A311" s="16" t="s">
        <v>1231</v>
      </c>
      <c r="B311" s="16" t="s">
        <v>1232</v>
      </c>
      <c r="C311" s="16" t="s">
        <v>32</v>
      </c>
      <c r="D311" s="16" t="s">
        <v>1233</v>
      </c>
      <c r="E311" s="16"/>
      <c r="F311" s="16" t="s">
        <v>812</v>
      </c>
      <c r="G311" s="16"/>
      <c r="H311" s="16"/>
      <c r="I311" s="19" t="s">
        <v>1234</v>
      </c>
      <c r="J311" s="16"/>
      <c r="K311" s="16" t="s">
        <v>1235</v>
      </c>
      <c r="L311" s="16"/>
      <c r="M311" s="16" t="str">
        <f>HYPERLINK("https://ceds.ed.gov/cedselementdetails.aspx?termid=27520")</f>
        <v>https://ceds.ed.gov/cedselementdetails.aspx?termid=27520</v>
      </c>
    </row>
    <row r="312" spans="1:13" ht="100.8" x14ac:dyDescent="0.3">
      <c r="A312" s="16" t="s">
        <v>1236</v>
      </c>
      <c r="B312" s="16" t="s">
        <v>1237</v>
      </c>
      <c r="C312" s="16" t="s">
        <v>32</v>
      </c>
      <c r="D312" s="16" t="s">
        <v>1217</v>
      </c>
      <c r="E312" s="16"/>
      <c r="F312" s="16" t="s">
        <v>145</v>
      </c>
      <c r="G312" s="16"/>
      <c r="H312" s="16"/>
      <c r="I312" s="19" t="s">
        <v>1238</v>
      </c>
      <c r="J312" s="16"/>
      <c r="K312" s="16" t="s">
        <v>1239</v>
      </c>
      <c r="L312" s="16"/>
      <c r="M312" s="16" t="str">
        <f>HYPERLINK("https://ceds.ed.gov/cedselementdetails.aspx?termid=27076")</f>
        <v>https://ceds.ed.gov/cedselementdetails.aspx?termid=27076</v>
      </c>
    </row>
    <row r="313" spans="1:13" ht="100.8" x14ac:dyDescent="0.3">
      <c r="A313" s="16" t="s">
        <v>1240</v>
      </c>
      <c r="B313" s="16" t="s">
        <v>7874</v>
      </c>
      <c r="C313" s="16" t="s">
        <v>32</v>
      </c>
      <c r="D313" s="16" t="s">
        <v>1217</v>
      </c>
      <c r="E313" s="16"/>
      <c r="F313" s="16" t="s">
        <v>316</v>
      </c>
      <c r="G313" s="16"/>
      <c r="H313" s="16"/>
      <c r="I313" s="19" t="s">
        <v>1241</v>
      </c>
      <c r="J313" s="16"/>
      <c r="K313" s="16" t="s">
        <v>1242</v>
      </c>
      <c r="L313" s="16"/>
      <c r="M313" s="16" t="str">
        <f>HYPERLINK("https://ceds.ed.gov/cedselementdetails.aspx?termid=27185")</f>
        <v>https://ceds.ed.gov/cedselementdetails.aspx?termid=27185</v>
      </c>
    </row>
    <row r="314" spans="1:13" ht="100.8" x14ac:dyDescent="0.3">
      <c r="A314" s="16" t="s">
        <v>1243</v>
      </c>
      <c r="B314" s="16" t="s">
        <v>1244</v>
      </c>
      <c r="C314" s="16" t="s">
        <v>32</v>
      </c>
      <c r="D314" s="16" t="s">
        <v>1217</v>
      </c>
      <c r="E314" s="16"/>
      <c r="F314" s="16" t="s">
        <v>305</v>
      </c>
      <c r="G314" s="16"/>
      <c r="H314" s="16"/>
      <c r="I314" s="19" t="s">
        <v>1245</v>
      </c>
      <c r="J314" s="16"/>
      <c r="K314" s="16" t="s">
        <v>1246</v>
      </c>
      <c r="L314" s="16"/>
      <c r="M314" s="16" t="str">
        <f>HYPERLINK("https://ceds.ed.gov/cedselementdetails.aspx?termid=27012")</f>
        <v>https://ceds.ed.gov/cedselementdetails.aspx?termid=27012</v>
      </c>
    </row>
    <row r="315" spans="1:13" ht="72" x14ac:dyDescent="0.3">
      <c r="A315" s="16" t="s">
        <v>1247</v>
      </c>
      <c r="B315" s="16" t="s">
        <v>7875</v>
      </c>
      <c r="C315" s="16" t="s">
        <v>22</v>
      </c>
      <c r="D315" s="16" t="s">
        <v>1217</v>
      </c>
      <c r="E315" s="16"/>
      <c r="F315" s="16"/>
      <c r="G315" s="16"/>
      <c r="H315" s="16"/>
      <c r="I315" s="19" t="s">
        <v>1248</v>
      </c>
      <c r="J315" s="16"/>
      <c r="K315" s="16" t="s">
        <v>1249</v>
      </c>
      <c r="L315" s="16"/>
      <c r="M315" s="16" t="str">
        <f>HYPERLINK("https://ceds.ed.gov/cedselementdetails.aspx?termid=27010")</f>
        <v>https://ceds.ed.gov/cedselementdetails.aspx?termid=27010</v>
      </c>
    </row>
    <row r="316" spans="1:13" ht="57.6" x14ac:dyDescent="0.3">
      <c r="A316" s="16" t="s">
        <v>1250</v>
      </c>
      <c r="B316" s="16" t="s">
        <v>1251</v>
      </c>
      <c r="C316" s="16" t="s">
        <v>8359</v>
      </c>
      <c r="D316" s="16" t="s">
        <v>1217</v>
      </c>
      <c r="E316" s="16"/>
      <c r="F316" s="16"/>
      <c r="G316" s="16"/>
      <c r="H316" s="16"/>
      <c r="I316" s="19" t="s">
        <v>1252</v>
      </c>
      <c r="J316" s="16"/>
      <c r="K316" s="16" t="s">
        <v>1253</v>
      </c>
      <c r="L316" s="16" t="s">
        <v>1254</v>
      </c>
      <c r="M316" s="16" t="str">
        <f>HYPERLINK("https://ceds.ed.gov/cedselementdetails.aspx?termid=26564")</f>
        <v>https://ceds.ed.gov/cedselementdetails.aspx?termid=26564</v>
      </c>
    </row>
    <row r="317" spans="1:13" ht="57.6" x14ac:dyDescent="0.3">
      <c r="A317" s="16" t="s">
        <v>1255</v>
      </c>
      <c r="B317" s="16" t="s">
        <v>1256</v>
      </c>
      <c r="C317" s="16" t="s">
        <v>32</v>
      </c>
      <c r="D317" s="16" t="s">
        <v>1217</v>
      </c>
      <c r="E317" s="16"/>
      <c r="F317" s="16" t="s">
        <v>136</v>
      </c>
      <c r="G317" s="16"/>
      <c r="H317" s="16" t="s">
        <v>1257</v>
      </c>
      <c r="I317" s="19" t="s">
        <v>1258</v>
      </c>
      <c r="J317" s="16"/>
      <c r="K317" s="16" t="s">
        <v>1259</v>
      </c>
      <c r="L317" s="16"/>
      <c r="M317" s="16" t="str">
        <f>HYPERLINK("https://ceds.ed.gov/cedselementdetails.aspx?termid=27522")</f>
        <v>https://ceds.ed.gov/cedselementdetails.aspx?termid=27522</v>
      </c>
    </row>
    <row r="318" spans="1:13" ht="187.2" x14ac:dyDescent="0.3">
      <c r="A318" s="16" t="s">
        <v>1260</v>
      </c>
      <c r="B318" s="16" t="s">
        <v>1261</v>
      </c>
      <c r="C318" s="16" t="s">
        <v>8360</v>
      </c>
      <c r="D318" s="16" t="s">
        <v>1217</v>
      </c>
      <c r="E318" s="16"/>
      <c r="F318" s="16"/>
      <c r="G318" s="16"/>
      <c r="H318" s="16"/>
      <c r="I318" s="19" t="s">
        <v>1262</v>
      </c>
      <c r="J318" s="16"/>
      <c r="K318" s="16" t="s">
        <v>1263</v>
      </c>
      <c r="L318" s="16"/>
      <c r="M318" s="16" t="str">
        <f>HYPERLINK("https://ceds.ed.gov/cedselementdetails.aspx?termid=27523")</f>
        <v>https://ceds.ed.gov/cedselementdetails.aspx?termid=27523</v>
      </c>
    </row>
    <row r="319" spans="1:13" ht="172.8" x14ac:dyDescent="0.3">
      <c r="A319" s="16" t="s">
        <v>1264</v>
      </c>
      <c r="B319" s="16" t="s">
        <v>1265</v>
      </c>
      <c r="C319" s="16" t="s">
        <v>32</v>
      </c>
      <c r="D319" s="16" t="s">
        <v>1217</v>
      </c>
      <c r="E319" s="16"/>
      <c r="F319" s="16" t="s">
        <v>1266</v>
      </c>
      <c r="G319" s="16"/>
      <c r="H319" s="16" t="s">
        <v>7876</v>
      </c>
      <c r="I319" s="19" t="s">
        <v>1267</v>
      </c>
      <c r="J319" s="16"/>
      <c r="K319" s="16" t="s">
        <v>1268</v>
      </c>
      <c r="L319" s="16" t="s">
        <v>1269</v>
      </c>
      <c r="M319" s="16" t="str">
        <f>HYPERLINK("https://ceds.ed.gov/cedselementdetails.aspx?termid=26245")</f>
        <v>https://ceds.ed.gov/cedselementdetails.aspx?termid=26245</v>
      </c>
    </row>
    <row r="320" spans="1:13" ht="43.2" x14ac:dyDescent="0.3">
      <c r="A320" s="16" t="s">
        <v>1270</v>
      </c>
      <c r="B320" s="16" t="s">
        <v>1271</v>
      </c>
      <c r="C320" s="16" t="s">
        <v>32</v>
      </c>
      <c r="D320" s="16" t="s">
        <v>479</v>
      </c>
      <c r="E320" s="16"/>
      <c r="F320" s="16" t="s">
        <v>106</v>
      </c>
      <c r="G320" s="16"/>
      <c r="H320" s="16"/>
      <c r="I320" s="19" t="s">
        <v>1272</v>
      </c>
      <c r="J320" s="16"/>
      <c r="K320" s="16" t="s">
        <v>1273</v>
      </c>
      <c r="L320" s="16"/>
      <c r="M320" s="16" t="str">
        <f>HYPERLINK("https://ceds.ed.gov/cedselementdetails.aspx?termid=27519")</f>
        <v>https://ceds.ed.gov/cedselementdetails.aspx?termid=27519</v>
      </c>
    </row>
    <row r="321" spans="1:13" ht="409.6" x14ac:dyDescent="0.3">
      <c r="A321" s="16" t="s">
        <v>1274</v>
      </c>
      <c r="B321" s="16" t="s">
        <v>1275</v>
      </c>
      <c r="C321" s="16" t="s">
        <v>9353</v>
      </c>
      <c r="D321" s="16" t="s">
        <v>1276</v>
      </c>
      <c r="E321" s="16"/>
      <c r="F321" s="16"/>
      <c r="G321" s="16"/>
      <c r="H321" s="16"/>
      <c r="I321" s="19" t="s">
        <v>1277</v>
      </c>
      <c r="J321" s="16"/>
      <c r="K321" s="16" t="s">
        <v>1278</v>
      </c>
      <c r="L321" s="16" t="s">
        <v>1279</v>
      </c>
      <c r="M321" s="16" t="str">
        <f>HYPERLINK("https://ceds.ed.gov/cedselementdetails.aspx?termid=26368")</f>
        <v>https://ceds.ed.gov/cedselementdetails.aspx?termid=26368</v>
      </c>
    </row>
    <row r="322" spans="1:13" ht="43.2" x14ac:dyDescent="0.3">
      <c r="A322" s="16" t="s">
        <v>1280</v>
      </c>
      <c r="B322" s="16" t="s">
        <v>1281</v>
      </c>
      <c r="C322" s="16" t="s">
        <v>22</v>
      </c>
      <c r="D322" s="16" t="s">
        <v>1282</v>
      </c>
      <c r="E322" s="16"/>
      <c r="F322" s="16"/>
      <c r="G322" s="16"/>
      <c r="H322" s="16"/>
      <c r="I322" s="19" t="s">
        <v>1283</v>
      </c>
      <c r="J322" s="16"/>
      <c r="K322" s="16" t="s">
        <v>1284</v>
      </c>
      <c r="L322" s="16" t="s">
        <v>84</v>
      </c>
      <c r="M322" s="16" t="str">
        <f>HYPERLINK("https://ceds.ed.gov/cedselementdetails.aspx?termid=26375")</f>
        <v>https://ceds.ed.gov/cedselementdetails.aspx?termid=26375</v>
      </c>
    </row>
    <row r="323" spans="1:13" ht="72" x14ac:dyDescent="0.3">
      <c r="A323" s="16" t="s">
        <v>1285</v>
      </c>
      <c r="B323" s="16" t="s">
        <v>1286</v>
      </c>
      <c r="C323" s="16" t="s">
        <v>32</v>
      </c>
      <c r="D323" s="16" t="s">
        <v>1287</v>
      </c>
      <c r="E323" s="16"/>
      <c r="F323" s="16" t="s">
        <v>812</v>
      </c>
      <c r="G323" s="16"/>
      <c r="H323" s="16" t="s">
        <v>7877</v>
      </c>
      <c r="I323" s="19" t="s">
        <v>1288</v>
      </c>
      <c r="J323" s="16"/>
      <c r="K323" s="16" t="s">
        <v>1289</v>
      </c>
      <c r="L323" s="16"/>
      <c r="M323" s="16" t="str">
        <f>HYPERLINK("https://ceds.ed.gov/cedselementdetails.aspx?termid=27024")</f>
        <v>https://ceds.ed.gov/cedselementdetails.aspx?termid=27024</v>
      </c>
    </row>
    <row r="324" spans="1:13" ht="72" x14ac:dyDescent="0.3">
      <c r="A324" s="16" t="s">
        <v>1290</v>
      </c>
      <c r="B324" s="16" t="s">
        <v>1291</v>
      </c>
      <c r="C324" s="16" t="s">
        <v>32</v>
      </c>
      <c r="D324" s="16" t="s">
        <v>1287</v>
      </c>
      <c r="E324" s="16"/>
      <c r="F324" s="16" t="s">
        <v>812</v>
      </c>
      <c r="G324" s="16"/>
      <c r="H324" s="16" t="s">
        <v>7878</v>
      </c>
      <c r="I324" s="19" t="s">
        <v>1292</v>
      </c>
      <c r="J324" s="16"/>
      <c r="K324" s="16" t="s">
        <v>1293</v>
      </c>
      <c r="L324" s="16"/>
      <c r="M324" s="16" t="str">
        <f>HYPERLINK("https://ceds.ed.gov/cedselementdetails.aspx?termid=27023")</f>
        <v>https://ceds.ed.gov/cedselementdetails.aspx?termid=27023</v>
      </c>
    </row>
    <row r="325" spans="1:13" ht="172.8" x14ac:dyDescent="0.3">
      <c r="A325" s="16" t="s">
        <v>1294</v>
      </c>
      <c r="B325" s="16" t="s">
        <v>1295</v>
      </c>
      <c r="C325" s="16" t="s">
        <v>32</v>
      </c>
      <c r="D325" s="16" t="s">
        <v>1296</v>
      </c>
      <c r="E325" s="16"/>
      <c r="F325" s="16" t="s">
        <v>120</v>
      </c>
      <c r="G325" s="16"/>
      <c r="H325" s="16" t="s">
        <v>7817</v>
      </c>
      <c r="I325" s="19" t="s">
        <v>1297</v>
      </c>
      <c r="J325" s="16"/>
      <c r="K325" s="16" t="s">
        <v>1298</v>
      </c>
      <c r="L325" s="16" t="s">
        <v>84</v>
      </c>
      <c r="M325" s="16" t="str">
        <f>HYPERLINK("https://ceds.ed.gov/cedselementdetails.aspx?termid=26400")</f>
        <v>https://ceds.ed.gov/cedselementdetails.aspx?termid=26400</v>
      </c>
    </row>
    <row r="326" spans="1:13" ht="43.2" x14ac:dyDescent="0.3">
      <c r="A326" s="16" t="s">
        <v>1299</v>
      </c>
      <c r="B326" s="16" t="s">
        <v>1300</v>
      </c>
      <c r="C326" s="16" t="s">
        <v>32</v>
      </c>
      <c r="D326" s="16" t="s">
        <v>1296</v>
      </c>
      <c r="E326" s="16"/>
      <c r="F326" s="16" t="s">
        <v>816</v>
      </c>
      <c r="G326" s="16"/>
      <c r="H326" s="16"/>
      <c r="I326" s="19" t="s">
        <v>1301</v>
      </c>
      <c r="J326" s="16"/>
      <c r="K326" s="16" t="s">
        <v>1302</v>
      </c>
      <c r="L326" s="16" t="s">
        <v>84</v>
      </c>
      <c r="M326" s="16" t="str">
        <f>HYPERLINK("https://ceds.ed.gov/cedselementdetails.aspx?termid=26399")</f>
        <v>https://ceds.ed.gov/cedselementdetails.aspx?termid=26399</v>
      </c>
    </row>
    <row r="327" spans="1:13" ht="43.2" x14ac:dyDescent="0.3">
      <c r="A327" s="16" t="s">
        <v>1303</v>
      </c>
      <c r="B327" s="16" t="s">
        <v>7879</v>
      </c>
      <c r="C327" s="16" t="s">
        <v>32</v>
      </c>
      <c r="D327" s="16" t="s">
        <v>1287</v>
      </c>
      <c r="E327" s="16"/>
      <c r="F327" s="16" t="s">
        <v>1304</v>
      </c>
      <c r="G327" s="16"/>
      <c r="H327" s="16"/>
      <c r="I327" s="19" t="s">
        <v>1305</v>
      </c>
      <c r="J327" s="16"/>
      <c r="K327" s="16" t="s">
        <v>1306</v>
      </c>
      <c r="L327" s="16" t="s">
        <v>84</v>
      </c>
      <c r="M327" s="16" t="str">
        <f>HYPERLINK("https://ceds.ed.gov/cedselementdetails.aspx?termid=26590")</f>
        <v>https://ceds.ed.gov/cedselementdetails.aspx?termid=26590</v>
      </c>
    </row>
    <row r="328" spans="1:13" ht="201.6" x14ac:dyDescent="0.3">
      <c r="A328" s="16" t="s">
        <v>1307</v>
      </c>
      <c r="B328" s="16" t="s">
        <v>1308</v>
      </c>
      <c r="C328" s="16" t="s">
        <v>32</v>
      </c>
      <c r="D328" s="16" t="s">
        <v>1296</v>
      </c>
      <c r="E328" s="16"/>
      <c r="F328" s="16" t="s">
        <v>120</v>
      </c>
      <c r="G328" s="16"/>
      <c r="H328" s="16" t="s">
        <v>7880</v>
      </c>
      <c r="I328" s="19" t="s">
        <v>1309</v>
      </c>
      <c r="J328" s="16"/>
      <c r="K328" s="16" t="s">
        <v>1310</v>
      </c>
      <c r="L328" s="16" t="s">
        <v>84</v>
      </c>
      <c r="M328" s="16" t="str">
        <f>HYPERLINK("https://ceds.ed.gov/cedselementdetails.aspx?termid=26401")</f>
        <v>https://ceds.ed.gov/cedselementdetails.aspx?termid=26401</v>
      </c>
    </row>
    <row r="329" spans="1:13" ht="57.6" x14ac:dyDescent="0.3">
      <c r="A329" s="16" t="s">
        <v>1311</v>
      </c>
      <c r="B329" s="16" t="s">
        <v>1312</v>
      </c>
      <c r="C329" s="16" t="s">
        <v>32</v>
      </c>
      <c r="D329" s="16" t="s">
        <v>1296</v>
      </c>
      <c r="E329" s="16"/>
      <c r="F329" s="16" t="s">
        <v>812</v>
      </c>
      <c r="G329" s="16"/>
      <c r="H329" s="16" t="s">
        <v>131</v>
      </c>
      <c r="I329" s="19" t="s">
        <v>1313</v>
      </c>
      <c r="J329" s="16"/>
      <c r="K329" s="16" t="s">
        <v>1314</v>
      </c>
      <c r="L329" s="16"/>
      <c r="M329" s="16" t="str">
        <f>HYPERLINK("https://ceds.ed.gov/cedselementdetails.aspx?termid=27022")</f>
        <v>https://ceds.ed.gov/cedselementdetails.aspx?termid=27022</v>
      </c>
    </row>
    <row r="330" spans="1:13" ht="28.8" x14ac:dyDescent="0.3">
      <c r="A330" s="16" t="s">
        <v>1315</v>
      </c>
      <c r="B330" s="16" t="s">
        <v>1316</v>
      </c>
      <c r="C330" s="16" t="s">
        <v>32</v>
      </c>
      <c r="D330" s="16" t="s">
        <v>1296</v>
      </c>
      <c r="E330" s="16"/>
      <c r="F330" s="16" t="s">
        <v>812</v>
      </c>
      <c r="G330" s="16"/>
      <c r="H330" s="16"/>
      <c r="I330" s="19" t="s">
        <v>1317</v>
      </c>
      <c r="J330" s="16"/>
      <c r="K330" s="16" t="s">
        <v>1318</v>
      </c>
      <c r="L330" s="16"/>
      <c r="M330" s="16" t="str">
        <f>HYPERLINK("https://ceds.ed.gov/cedselementdetails.aspx?termid=27021")</f>
        <v>https://ceds.ed.gov/cedselementdetails.aspx?termid=27021</v>
      </c>
    </row>
    <row r="331" spans="1:13" ht="129.6" x14ac:dyDescent="0.3">
      <c r="A331" s="16" t="s">
        <v>1319</v>
      </c>
      <c r="B331" s="16" t="s">
        <v>1320</v>
      </c>
      <c r="C331" s="16" t="s">
        <v>32</v>
      </c>
      <c r="D331" s="16" t="s">
        <v>1287</v>
      </c>
      <c r="E331" s="16"/>
      <c r="F331" s="16" t="s">
        <v>101</v>
      </c>
      <c r="G331" s="16"/>
      <c r="H331" s="16" t="s">
        <v>843</v>
      </c>
      <c r="I331" s="19" t="s">
        <v>1321</v>
      </c>
      <c r="J331" s="16"/>
      <c r="K331" s="16" t="s">
        <v>1322</v>
      </c>
      <c r="L331" s="16"/>
      <c r="M331" s="16" t="str">
        <f>HYPERLINK("https://ceds.ed.gov/cedselementdetails.aspx?termid=26969")</f>
        <v>https://ceds.ed.gov/cedselementdetails.aspx?termid=26969</v>
      </c>
    </row>
    <row r="332" spans="1:13" ht="409.6" x14ac:dyDescent="0.3">
      <c r="A332" s="16" t="s">
        <v>1323</v>
      </c>
      <c r="B332" s="16" t="s">
        <v>1324</v>
      </c>
      <c r="C332" s="16" t="s">
        <v>8361</v>
      </c>
      <c r="D332" s="16" t="s">
        <v>1287</v>
      </c>
      <c r="E332" s="16"/>
      <c r="F332" s="16"/>
      <c r="G332" s="16"/>
      <c r="H332" s="16"/>
      <c r="I332" s="19" t="s">
        <v>1325</v>
      </c>
      <c r="J332" s="16"/>
      <c r="K332" s="16" t="s">
        <v>1326</v>
      </c>
      <c r="L332" s="16" t="s">
        <v>84</v>
      </c>
      <c r="M332" s="16" t="str">
        <f>HYPERLINK("https://ceds.ed.gov/cedselementdetails.aspx?termid=26380")</f>
        <v>https://ceds.ed.gov/cedselementdetails.aspx?termid=26380</v>
      </c>
    </row>
    <row r="333" spans="1:13" ht="72" x14ac:dyDescent="0.3">
      <c r="A333" s="16" t="s">
        <v>1327</v>
      </c>
      <c r="B333" s="16" t="s">
        <v>1328</v>
      </c>
      <c r="C333" s="16" t="s">
        <v>32</v>
      </c>
      <c r="D333" s="16" t="s">
        <v>1287</v>
      </c>
      <c r="E333" s="16"/>
      <c r="F333" s="16" t="s">
        <v>145</v>
      </c>
      <c r="G333" s="16"/>
      <c r="H333" s="16"/>
      <c r="I333" s="19" t="s">
        <v>1329</v>
      </c>
      <c r="J333" s="16"/>
      <c r="K333" s="16" t="s">
        <v>1330</v>
      </c>
      <c r="L333" s="16"/>
      <c r="M333" s="16" t="str">
        <f>HYPERLINK("https://ceds.ed.gov/cedselementdetails.aspx?termid=27077")</f>
        <v>https://ceds.ed.gov/cedselementdetails.aspx?termid=27077</v>
      </c>
    </row>
    <row r="334" spans="1:13" ht="115.2" x14ac:dyDescent="0.3">
      <c r="A334" s="16" t="s">
        <v>1331</v>
      </c>
      <c r="B334" s="16" t="s">
        <v>1332</v>
      </c>
      <c r="C334" s="16" t="s">
        <v>8362</v>
      </c>
      <c r="D334" s="16" t="s">
        <v>1296</v>
      </c>
      <c r="E334" s="16"/>
      <c r="F334" s="16"/>
      <c r="G334" s="16"/>
      <c r="H334" s="16"/>
      <c r="I334" s="19" t="s">
        <v>1333</v>
      </c>
      <c r="J334" s="16"/>
      <c r="K334" s="16" t="s">
        <v>1334</v>
      </c>
      <c r="L334" s="16"/>
      <c r="M334" s="16" t="str">
        <f>HYPERLINK("https://ceds.ed.gov/cedselementdetails.aspx?termid=27179")</f>
        <v>https://ceds.ed.gov/cedselementdetails.aspx?termid=27179</v>
      </c>
    </row>
    <row r="335" spans="1:13" ht="43.2" x14ac:dyDescent="0.3">
      <c r="A335" s="16" t="s">
        <v>1335</v>
      </c>
      <c r="B335" s="16" t="s">
        <v>1336</v>
      </c>
      <c r="C335" s="16" t="s">
        <v>8363</v>
      </c>
      <c r="D335" s="16" t="s">
        <v>1296</v>
      </c>
      <c r="E335" s="16"/>
      <c r="F335" s="16"/>
      <c r="G335" s="16"/>
      <c r="H335" s="16"/>
      <c r="I335" s="19" t="s">
        <v>1337</v>
      </c>
      <c r="J335" s="16"/>
      <c r="K335" s="16" t="s">
        <v>1338</v>
      </c>
      <c r="L335" s="16"/>
      <c r="M335" s="16" t="str">
        <f>HYPERLINK("https://ceds.ed.gov/cedselementdetails.aspx?termid=27020")</f>
        <v>https://ceds.ed.gov/cedselementdetails.aspx?termid=27020</v>
      </c>
    </row>
    <row r="336" spans="1:13" ht="43.2" x14ac:dyDescent="0.3">
      <c r="A336" s="16" t="s">
        <v>1339</v>
      </c>
      <c r="B336" s="16" t="s">
        <v>1340</v>
      </c>
      <c r="C336" s="16" t="s">
        <v>22</v>
      </c>
      <c r="D336" s="16" t="s">
        <v>7881</v>
      </c>
      <c r="E336" s="16"/>
      <c r="F336" s="16"/>
      <c r="G336" s="16"/>
      <c r="H336" s="16"/>
      <c r="I336" s="19" t="s">
        <v>1341</v>
      </c>
      <c r="J336" s="16"/>
      <c r="K336" s="16" t="s">
        <v>1342</v>
      </c>
      <c r="L336" s="16" t="s">
        <v>98</v>
      </c>
      <c r="M336" s="16" t="str">
        <f>HYPERLINK("https://ceds.ed.gov/cedselementdetails.aspx?termid=26858")</f>
        <v>https://ceds.ed.gov/cedselementdetails.aspx?termid=26858</v>
      </c>
    </row>
    <row r="337" spans="1:13" x14ac:dyDescent="0.3">
      <c r="A337" s="16" t="s">
        <v>1343</v>
      </c>
      <c r="B337" s="16" t="s">
        <v>1344</v>
      </c>
      <c r="C337" s="16" t="s">
        <v>32</v>
      </c>
      <c r="D337" s="16" t="s">
        <v>479</v>
      </c>
      <c r="E337" s="16"/>
      <c r="F337" s="16" t="s">
        <v>81</v>
      </c>
      <c r="G337" s="16"/>
      <c r="H337" s="16"/>
      <c r="I337" s="19" t="s">
        <v>1345</v>
      </c>
      <c r="J337" s="16"/>
      <c r="K337" s="16" t="s">
        <v>1346</v>
      </c>
      <c r="L337" s="16"/>
      <c r="M337" s="16" t="str">
        <f>HYPERLINK("https://ceds.ed.gov/cedselementdetails.aspx?termid=26932")</f>
        <v>https://ceds.ed.gov/cedselementdetails.aspx?termid=26932</v>
      </c>
    </row>
    <row r="338" spans="1:13" ht="28.8" x14ac:dyDescent="0.3">
      <c r="A338" s="16" t="s">
        <v>1347</v>
      </c>
      <c r="B338" s="16"/>
      <c r="C338" s="16" t="s">
        <v>32</v>
      </c>
      <c r="D338" s="16" t="s">
        <v>468</v>
      </c>
      <c r="E338" s="16" t="s">
        <v>160</v>
      </c>
      <c r="F338" s="16" t="s">
        <v>13076</v>
      </c>
      <c r="G338" s="16" t="s">
        <v>12939</v>
      </c>
      <c r="H338" s="16"/>
      <c r="I338" s="19" t="s">
        <v>1348</v>
      </c>
      <c r="J338" s="16"/>
      <c r="K338" s="16"/>
      <c r="L338" s="16" t="s">
        <v>1349</v>
      </c>
      <c r="M338" s="16" t="str">
        <f>HYPERLINK("https://ceds.ed.gov/cedselementdetails.aspx?termid=26367")</f>
        <v>https://ceds.ed.gov/cedselementdetails.aspx?termid=26367</v>
      </c>
    </row>
    <row r="339" spans="1:13" ht="129.6" x14ac:dyDescent="0.3">
      <c r="A339" s="16" t="s">
        <v>1350</v>
      </c>
      <c r="B339" s="16" t="s">
        <v>1351</v>
      </c>
      <c r="C339" s="16" t="s">
        <v>32</v>
      </c>
      <c r="D339" s="16" t="s">
        <v>468</v>
      </c>
      <c r="E339" s="16"/>
      <c r="F339" s="16" t="s">
        <v>145</v>
      </c>
      <c r="G339" s="16"/>
      <c r="H339" s="16"/>
      <c r="I339" s="19" t="s">
        <v>1352</v>
      </c>
      <c r="J339" s="16"/>
      <c r="K339" s="16" t="s">
        <v>1353</v>
      </c>
      <c r="L339" s="16" t="s">
        <v>515</v>
      </c>
      <c r="M339" s="16" t="str">
        <f>HYPERLINK("https://ceds.ed.gov/cedselementdetails.aspx?termid=26274")</f>
        <v>https://ceds.ed.gov/cedselementdetails.aspx?termid=26274</v>
      </c>
    </row>
    <row r="340" spans="1:13" ht="172.8" x14ac:dyDescent="0.3">
      <c r="A340" s="16" t="s">
        <v>1354</v>
      </c>
      <c r="B340" s="16" t="s">
        <v>1355</v>
      </c>
      <c r="C340" s="16" t="s">
        <v>32</v>
      </c>
      <c r="D340" s="16" t="s">
        <v>468</v>
      </c>
      <c r="E340" s="16"/>
      <c r="F340" s="16" t="s">
        <v>120</v>
      </c>
      <c r="G340" s="16"/>
      <c r="H340" s="16" t="s">
        <v>7817</v>
      </c>
      <c r="I340" s="19" t="s">
        <v>1356</v>
      </c>
      <c r="J340" s="16"/>
      <c r="K340" s="16" t="s">
        <v>1357</v>
      </c>
      <c r="L340" s="16" t="s">
        <v>1279</v>
      </c>
      <c r="M340" s="16" t="str">
        <f>HYPERLINK("https://ceds.ed.gov/cedselementdetails.aspx?termid=26366")</f>
        <v>https://ceds.ed.gov/cedselementdetails.aspx?termid=26366</v>
      </c>
    </row>
    <row r="341" spans="1:13" ht="72" x14ac:dyDescent="0.3">
      <c r="A341" s="16" t="s">
        <v>1358</v>
      </c>
      <c r="B341" s="16" t="s">
        <v>1359</v>
      </c>
      <c r="C341" s="16" t="s">
        <v>8364</v>
      </c>
      <c r="D341" s="16" t="s">
        <v>468</v>
      </c>
      <c r="E341" s="16"/>
      <c r="F341" s="16"/>
      <c r="G341" s="16"/>
      <c r="H341" s="16"/>
      <c r="I341" s="19" t="s">
        <v>1360</v>
      </c>
      <c r="J341" s="16"/>
      <c r="K341" s="16" t="s">
        <v>1361</v>
      </c>
      <c r="L341" s="16"/>
      <c r="M341" s="16" t="str">
        <f>HYPERLINK("https://ceds.ed.gov/cedselementdetails.aspx?termid=27016")</f>
        <v>https://ceds.ed.gov/cedselementdetails.aspx?termid=27016</v>
      </c>
    </row>
    <row r="342" spans="1:13" ht="43.2" x14ac:dyDescent="0.3">
      <c r="A342" s="16" t="s">
        <v>1362</v>
      </c>
      <c r="B342" s="16" t="s">
        <v>1363</v>
      </c>
      <c r="C342" s="16" t="s">
        <v>32</v>
      </c>
      <c r="D342" s="16" t="s">
        <v>468</v>
      </c>
      <c r="E342" s="16"/>
      <c r="F342" s="16" t="s">
        <v>81</v>
      </c>
      <c r="G342" s="16"/>
      <c r="H342" s="16"/>
      <c r="I342" s="19" t="s">
        <v>1364</v>
      </c>
      <c r="J342" s="16"/>
      <c r="K342" s="16" t="s">
        <v>1365</v>
      </c>
      <c r="L342" s="16" t="s">
        <v>84</v>
      </c>
      <c r="M342" s="16" t="str">
        <f>HYPERLINK("https://ceds.ed.gov/cedselementdetails.aspx?termid=26388")</f>
        <v>https://ceds.ed.gov/cedselementdetails.aspx?termid=26388</v>
      </c>
    </row>
    <row r="343" spans="1:13" ht="43.2" x14ac:dyDescent="0.3">
      <c r="A343" s="16" t="s">
        <v>1366</v>
      </c>
      <c r="B343" s="16" t="s">
        <v>1367</v>
      </c>
      <c r="C343" s="16" t="s">
        <v>32</v>
      </c>
      <c r="D343" s="16" t="s">
        <v>468</v>
      </c>
      <c r="E343" s="16"/>
      <c r="F343" s="16" t="s">
        <v>81</v>
      </c>
      <c r="G343" s="16"/>
      <c r="H343" s="16"/>
      <c r="I343" s="19" t="s">
        <v>1368</v>
      </c>
      <c r="J343" s="16"/>
      <c r="K343" s="16" t="s">
        <v>1369</v>
      </c>
      <c r="L343" s="16" t="s">
        <v>84</v>
      </c>
      <c r="M343" s="16" t="str">
        <f>HYPERLINK("https://ceds.ed.gov/cedselementdetails.aspx?termid=26387")</f>
        <v>https://ceds.ed.gov/cedselementdetails.aspx?termid=26387</v>
      </c>
    </row>
    <row r="344" spans="1:13" ht="43.2" x14ac:dyDescent="0.3">
      <c r="A344" s="16" t="s">
        <v>1370</v>
      </c>
      <c r="B344" s="16" t="s">
        <v>1371</v>
      </c>
      <c r="C344" s="16" t="s">
        <v>32</v>
      </c>
      <c r="D344" s="16" t="s">
        <v>468</v>
      </c>
      <c r="E344" s="16"/>
      <c r="F344" s="16" t="s">
        <v>81</v>
      </c>
      <c r="G344" s="16"/>
      <c r="H344" s="16" t="s">
        <v>1372</v>
      </c>
      <c r="I344" s="19" t="s">
        <v>1373</v>
      </c>
      <c r="J344" s="16"/>
      <c r="K344" s="16" t="s">
        <v>1374</v>
      </c>
      <c r="L344" s="16" t="s">
        <v>605</v>
      </c>
      <c r="M344" s="16" t="str">
        <f>HYPERLINK("https://ceds.ed.gov/cedselementdetails.aspx?termid=26389")</f>
        <v>https://ceds.ed.gov/cedselementdetails.aspx?termid=26389</v>
      </c>
    </row>
    <row r="345" spans="1:13" ht="28.8" x14ac:dyDescent="0.3">
      <c r="A345" s="16" t="s">
        <v>1375</v>
      </c>
      <c r="B345" s="16" t="s">
        <v>1376</v>
      </c>
      <c r="C345" s="16" t="s">
        <v>32</v>
      </c>
      <c r="D345" s="16" t="s">
        <v>468</v>
      </c>
      <c r="E345" s="16"/>
      <c r="F345" s="16" t="s">
        <v>106</v>
      </c>
      <c r="G345" s="16"/>
      <c r="H345" s="16"/>
      <c r="I345" s="19" t="s">
        <v>1377</v>
      </c>
      <c r="J345" s="16"/>
      <c r="K345" s="16" t="s">
        <v>1378</v>
      </c>
      <c r="L345" s="16"/>
      <c r="M345" s="16" t="str">
        <f>HYPERLINK("https://ceds.ed.gov/cedselementdetails.aspx?termid=27075")</f>
        <v>https://ceds.ed.gov/cedselementdetails.aspx?termid=27075</v>
      </c>
    </row>
    <row r="346" spans="1:13" ht="43.2" x14ac:dyDescent="0.3">
      <c r="A346" s="16" t="s">
        <v>1379</v>
      </c>
      <c r="B346" s="16" t="s">
        <v>1380</v>
      </c>
      <c r="C346" s="16" t="s">
        <v>32</v>
      </c>
      <c r="D346" s="16" t="s">
        <v>468</v>
      </c>
      <c r="E346" s="16"/>
      <c r="F346" s="16" t="s">
        <v>316</v>
      </c>
      <c r="G346" s="16"/>
      <c r="H346" s="16"/>
      <c r="I346" s="19" t="s">
        <v>1381</v>
      </c>
      <c r="J346" s="16"/>
      <c r="K346" s="16" t="s">
        <v>1382</v>
      </c>
      <c r="L346" s="16"/>
      <c r="M346" s="16" t="str">
        <f>HYPERLINK("https://ceds.ed.gov/cedselementdetails.aspx?termid=26695")</f>
        <v>https://ceds.ed.gov/cedselementdetails.aspx?termid=26695</v>
      </c>
    </row>
    <row r="347" spans="1:13" ht="144" x14ac:dyDescent="0.3">
      <c r="A347" s="16" t="s">
        <v>1383</v>
      </c>
      <c r="B347" s="16" t="s">
        <v>1384</v>
      </c>
      <c r="C347" s="16" t="s">
        <v>32</v>
      </c>
      <c r="D347" s="16" t="s">
        <v>468</v>
      </c>
      <c r="E347" s="16"/>
      <c r="F347" s="16" t="s">
        <v>9315</v>
      </c>
      <c r="G347" s="16"/>
      <c r="H347" s="16"/>
      <c r="I347" s="19" t="s">
        <v>1385</v>
      </c>
      <c r="J347" s="16"/>
      <c r="K347" s="16" t="s">
        <v>1386</v>
      </c>
      <c r="L347" s="16" t="s">
        <v>1387</v>
      </c>
      <c r="M347" s="16" t="str">
        <f>HYPERLINK("https://ceds.ed.gov/cedselementdetails.aspx?termid=26275")</f>
        <v>https://ceds.ed.gov/cedselementdetails.aspx?termid=26275</v>
      </c>
    </row>
    <row r="348" spans="1:13" ht="43.2" x14ac:dyDescent="0.3">
      <c r="A348" s="16" t="s">
        <v>1388</v>
      </c>
      <c r="B348" s="16" t="s">
        <v>1389</v>
      </c>
      <c r="C348" s="16" t="s">
        <v>32</v>
      </c>
      <c r="D348" s="16" t="s">
        <v>468</v>
      </c>
      <c r="E348" s="16"/>
      <c r="F348" s="16" t="s">
        <v>81</v>
      </c>
      <c r="G348" s="16"/>
      <c r="H348" s="16"/>
      <c r="I348" s="19" t="s">
        <v>1390</v>
      </c>
      <c r="J348" s="16"/>
      <c r="K348" s="16" t="s">
        <v>1391</v>
      </c>
      <c r="L348" s="16" t="s">
        <v>1279</v>
      </c>
      <c r="M348" s="16" t="str">
        <f>HYPERLINK("https://ceds.ed.gov/cedselementdetails.aspx?termid=26379")</f>
        <v>https://ceds.ed.gov/cedselementdetails.aspx?termid=26379</v>
      </c>
    </row>
    <row r="349" spans="1:13" ht="144" x14ac:dyDescent="0.3">
      <c r="A349" s="16" t="s">
        <v>1392</v>
      </c>
      <c r="B349" s="16" t="s">
        <v>1393</v>
      </c>
      <c r="C349" s="16" t="s">
        <v>32</v>
      </c>
      <c r="D349" s="16" t="s">
        <v>1394</v>
      </c>
      <c r="E349" s="16"/>
      <c r="F349" s="16" t="s">
        <v>145</v>
      </c>
      <c r="G349" s="16"/>
      <c r="H349" s="16"/>
      <c r="I349" s="19" t="s">
        <v>1395</v>
      </c>
      <c r="J349" s="16"/>
      <c r="K349" s="16" t="s">
        <v>1396</v>
      </c>
      <c r="L349" s="16" t="s">
        <v>1387</v>
      </c>
      <c r="M349" s="16" t="str">
        <f>HYPERLINK("https://ceds.ed.gov/cedselementdetails.aspx?termid=26028")</f>
        <v>https://ceds.ed.gov/cedselementdetails.aspx?termid=26028</v>
      </c>
    </row>
    <row r="350" spans="1:13" ht="409.6" x14ac:dyDescent="0.3">
      <c r="A350" s="16" t="s">
        <v>1397</v>
      </c>
      <c r="B350" s="16" t="s">
        <v>1398</v>
      </c>
      <c r="C350" s="16" t="s">
        <v>9326</v>
      </c>
      <c r="D350" s="16" t="s">
        <v>479</v>
      </c>
      <c r="E350" s="16"/>
      <c r="F350" s="16"/>
      <c r="G350" s="16"/>
      <c r="H350" s="16"/>
      <c r="I350" s="19" t="s">
        <v>1399</v>
      </c>
      <c r="J350" s="16"/>
      <c r="K350" s="16" t="s">
        <v>1400</v>
      </c>
      <c r="L350" s="16" t="s">
        <v>471</v>
      </c>
      <c r="M350" s="16" t="str">
        <f>HYPERLINK("https://ceds.ed.gov/cedselementdetails.aspx?termid=26029")</f>
        <v>https://ceds.ed.gov/cedselementdetails.aspx?termid=26029</v>
      </c>
    </row>
    <row r="351" spans="1:13" ht="374.4" x14ac:dyDescent="0.3">
      <c r="A351" s="16" t="s">
        <v>7882</v>
      </c>
      <c r="B351" s="16" t="s">
        <v>7883</v>
      </c>
      <c r="C351" s="16" t="s">
        <v>8210</v>
      </c>
      <c r="D351" s="16" t="s">
        <v>1394</v>
      </c>
      <c r="E351" s="16"/>
      <c r="F351" s="16"/>
      <c r="G351" s="16"/>
      <c r="H351" s="16"/>
      <c r="I351" s="19" t="s">
        <v>1401</v>
      </c>
      <c r="J351" s="16"/>
      <c r="K351" s="16" t="s">
        <v>7884</v>
      </c>
      <c r="L351" s="16" t="s">
        <v>1199</v>
      </c>
      <c r="M351" s="16" t="str">
        <f>HYPERLINK("https://ceds.ed.gov/cedselementdetails.aspx?termid=26405")</f>
        <v>https://ceds.ed.gov/cedselementdetails.aspx?termid=26405</v>
      </c>
    </row>
    <row r="352" spans="1:13" ht="86.4" x14ac:dyDescent="0.3">
      <c r="A352" s="16" t="s">
        <v>7885</v>
      </c>
      <c r="B352" s="16" t="s">
        <v>7886</v>
      </c>
      <c r="C352" s="16" t="s">
        <v>8198</v>
      </c>
      <c r="D352" s="16" t="s">
        <v>479</v>
      </c>
      <c r="E352" s="16"/>
      <c r="F352" s="16" t="s">
        <v>2</v>
      </c>
      <c r="G352" s="16"/>
      <c r="H352" s="16"/>
      <c r="I352" s="19" t="s">
        <v>8176</v>
      </c>
      <c r="J352" s="16"/>
      <c r="K352" s="16" t="s">
        <v>7887</v>
      </c>
      <c r="L352" s="16"/>
      <c r="M352" s="16" t="str">
        <f>HYPERLINK("https://ceds.ed.gov/cedselementdetails.aspx?termid=27974")</f>
        <v>https://ceds.ed.gov/cedselementdetails.aspx?termid=27974</v>
      </c>
    </row>
    <row r="353" spans="1:13" ht="187.2" x14ac:dyDescent="0.3">
      <c r="A353" s="16" t="s">
        <v>1402</v>
      </c>
      <c r="B353" s="16" t="s">
        <v>1403</v>
      </c>
      <c r="C353" s="16" t="s">
        <v>32</v>
      </c>
      <c r="D353" s="16" t="s">
        <v>9354</v>
      </c>
      <c r="E353" s="16"/>
      <c r="F353" s="16" t="s">
        <v>106</v>
      </c>
      <c r="G353" s="16"/>
      <c r="H353" s="16" t="s">
        <v>131</v>
      </c>
      <c r="I353" s="19" t="s">
        <v>1404</v>
      </c>
      <c r="J353" s="16"/>
      <c r="K353" s="16" t="s">
        <v>1405</v>
      </c>
      <c r="L353" s="16"/>
      <c r="M353" s="16" t="str">
        <f>HYPERLINK("https://ceds.ed.gov/cedselementdetails.aspx?termid=26518")</f>
        <v>https://ceds.ed.gov/cedselementdetails.aspx?termid=26518</v>
      </c>
    </row>
    <row r="354" spans="1:13" ht="187.2" x14ac:dyDescent="0.3">
      <c r="A354" s="16" t="s">
        <v>1406</v>
      </c>
      <c r="B354" s="16" t="s">
        <v>1407</v>
      </c>
      <c r="C354" s="16" t="s">
        <v>32</v>
      </c>
      <c r="D354" s="16" t="s">
        <v>9354</v>
      </c>
      <c r="E354" s="16"/>
      <c r="F354" s="16" t="s">
        <v>106</v>
      </c>
      <c r="G354" s="16"/>
      <c r="H354" s="16"/>
      <c r="I354" s="19" t="s">
        <v>1408</v>
      </c>
      <c r="J354" s="16"/>
      <c r="K354" s="16" t="s">
        <v>1409</v>
      </c>
      <c r="L354" s="16"/>
      <c r="M354" s="16" t="str">
        <f>HYPERLINK("https://ceds.ed.gov/cedselementdetails.aspx?termid=26517")</f>
        <v>https://ceds.ed.gov/cedselementdetails.aspx?termid=26517</v>
      </c>
    </row>
    <row r="355" spans="1:13" ht="187.2" x14ac:dyDescent="0.3">
      <c r="A355" s="16" t="s">
        <v>1410</v>
      </c>
      <c r="B355" s="16" t="s">
        <v>1411</v>
      </c>
      <c r="C355" s="16" t="s">
        <v>32</v>
      </c>
      <c r="D355" s="16" t="s">
        <v>9355</v>
      </c>
      <c r="E355" s="16"/>
      <c r="F355" s="16" t="s">
        <v>106</v>
      </c>
      <c r="G355" s="16"/>
      <c r="H355" s="16"/>
      <c r="I355" s="19" t="s">
        <v>1412</v>
      </c>
      <c r="J355" s="16"/>
      <c r="K355" s="16" t="s">
        <v>1413</v>
      </c>
      <c r="L355" s="16"/>
      <c r="M355" s="16" t="str">
        <f>HYPERLINK("https://ceds.ed.gov/cedselementdetails.aspx?termid=27630")</f>
        <v>https://ceds.ed.gov/cedselementdetails.aspx?termid=27630</v>
      </c>
    </row>
    <row r="356" spans="1:13" ht="187.2" x14ac:dyDescent="0.3">
      <c r="A356" s="16" t="s">
        <v>8896</v>
      </c>
      <c r="B356" s="16" t="s">
        <v>8897</v>
      </c>
      <c r="C356" s="16" t="s">
        <v>32</v>
      </c>
      <c r="D356" s="16" t="s">
        <v>9355</v>
      </c>
      <c r="E356" s="16"/>
      <c r="F356" s="16" t="s">
        <v>4030</v>
      </c>
      <c r="G356" s="16"/>
      <c r="H356" s="16" t="s">
        <v>8898</v>
      </c>
      <c r="I356" s="19" t="s">
        <v>8899</v>
      </c>
      <c r="J356" s="16"/>
      <c r="K356" s="16" t="s">
        <v>8900</v>
      </c>
      <c r="L356" s="16"/>
      <c r="M356" s="16" t="str">
        <f>HYPERLINK("https://ceds.ed.gov/cedselementdetails.aspx?termid=28001")</f>
        <v>https://ceds.ed.gov/cedselementdetails.aspx?termid=28001</v>
      </c>
    </row>
    <row r="357" spans="1:13" ht="187.2" x14ac:dyDescent="0.3">
      <c r="A357" s="16" t="s">
        <v>8901</v>
      </c>
      <c r="B357" s="16" t="s">
        <v>8902</v>
      </c>
      <c r="C357" s="16" t="s">
        <v>32</v>
      </c>
      <c r="D357" s="16" t="s">
        <v>9355</v>
      </c>
      <c r="E357" s="16"/>
      <c r="F357" s="16" t="s">
        <v>4030</v>
      </c>
      <c r="G357" s="16"/>
      <c r="H357" s="16"/>
      <c r="I357" s="19" t="s">
        <v>8903</v>
      </c>
      <c r="J357" s="16"/>
      <c r="K357" s="16" t="s">
        <v>8904</v>
      </c>
      <c r="L357" s="16"/>
      <c r="M357" s="16" t="str">
        <f>HYPERLINK("https://ceds.ed.gov/cedselementdetails.aspx?termid=28002")</f>
        <v>https://ceds.ed.gov/cedselementdetails.aspx?termid=28002</v>
      </c>
    </row>
    <row r="358" spans="1:13" ht="187.2" x14ac:dyDescent="0.3">
      <c r="A358" s="16" t="s">
        <v>8905</v>
      </c>
      <c r="B358" s="16" t="s">
        <v>8906</v>
      </c>
      <c r="C358" s="16" t="s">
        <v>32</v>
      </c>
      <c r="D358" s="16" t="s">
        <v>9355</v>
      </c>
      <c r="E358" s="16"/>
      <c r="F358" s="16" t="s">
        <v>4030</v>
      </c>
      <c r="G358" s="16"/>
      <c r="H358" s="16"/>
      <c r="I358" s="19" t="s">
        <v>8907</v>
      </c>
      <c r="J358" s="16"/>
      <c r="K358" s="16" t="s">
        <v>8908</v>
      </c>
      <c r="L358" s="16"/>
      <c r="M358" s="16" t="str">
        <f>HYPERLINK("https://ceds.ed.gov/cedselementdetails.aspx?termid=28003")</f>
        <v>https://ceds.ed.gov/cedselementdetails.aspx?termid=28003</v>
      </c>
    </row>
    <row r="359" spans="1:13" ht="100.8" x14ac:dyDescent="0.3">
      <c r="A359" s="16" t="s">
        <v>1414</v>
      </c>
      <c r="B359" s="16" t="s">
        <v>1415</v>
      </c>
      <c r="C359" s="16" t="s">
        <v>8365</v>
      </c>
      <c r="D359" s="16" t="s">
        <v>1416</v>
      </c>
      <c r="E359" s="16"/>
      <c r="F359" s="16"/>
      <c r="G359" s="16"/>
      <c r="H359" s="16"/>
      <c r="I359" s="19" t="s">
        <v>1417</v>
      </c>
      <c r="J359" s="16"/>
      <c r="K359" s="16" t="s">
        <v>1418</v>
      </c>
      <c r="L359" s="16"/>
      <c r="M359" s="16" t="str">
        <f>HYPERLINK("https://ceds.ed.gov/cedselementdetails.aspx?termid=26594")</f>
        <v>https://ceds.ed.gov/cedselementdetails.aspx?termid=26594</v>
      </c>
    </row>
    <row r="360" spans="1:13" ht="187.2" x14ac:dyDescent="0.3">
      <c r="A360" s="16" t="s">
        <v>1419</v>
      </c>
      <c r="B360" s="16" t="s">
        <v>1420</v>
      </c>
      <c r="C360" s="16" t="s">
        <v>8211</v>
      </c>
      <c r="D360" s="16" t="s">
        <v>9355</v>
      </c>
      <c r="E360" s="16"/>
      <c r="F360" s="16"/>
      <c r="G360" s="16"/>
      <c r="H360" s="16"/>
      <c r="I360" s="19" t="s">
        <v>1421</v>
      </c>
      <c r="J360" s="16"/>
      <c r="K360" s="16" t="s">
        <v>1422</v>
      </c>
      <c r="L360" s="16"/>
      <c r="M360" s="16" t="str">
        <f>HYPERLINK("https://ceds.ed.gov/cedselementdetails.aspx?termid=26076")</f>
        <v>https://ceds.ed.gov/cedselementdetails.aspx?termid=26076</v>
      </c>
    </row>
    <row r="361" spans="1:13" ht="57.6" x14ac:dyDescent="0.3">
      <c r="A361" s="16" t="s">
        <v>1423</v>
      </c>
      <c r="B361" s="16" t="s">
        <v>7888</v>
      </c>
      <c r="C361" s="16" t="s">
        <v>32</v>
      </c>
      <c r="D361" s="16" t="s">
        <v>1424</v>
      </c>
      <c r="E361" s="16"/>
      <c r="F361" s="16" t="s">
        <v>106</v>
      </c>
      <c r="G361" s="16"/>
      <c r="H361" s="16" t="s">
        <v>131</v>
      </c>
      <c r="I361" s="19" t="s">
        <v>1425</v>
      </c>
      <c r="J361" s="16"/>
      <c r="K361" s="16" t="s">
        <v>1426</v>
      </c>
      <c r="L361" s="16"/>
      <c r="M361" s="16" t="str">
        <f>HYPERLINK("https://ceds.ed.gov/cedselementdetails.aspx?termid=27126")</f>
        <v>https://ceds.ed.gov/cedselementdetails.aspx?termid=27126</v>
      </c>
    </row>
    <row r="362" spans="1:13" ht="172.8" x14ac:dyDescent="0.3">
      <c r="A362" s="16" t="s">
        <v>1427</v>
      </c>
      <c r="B362" s="16" t="s">
        <v>1428</v>
      </c>
      <c r="C362" s="16" t="s">
        <v>32</v>
      </c>
      <c r="D362" s="16" t="s">
        <v>1424</v>
      </c>
      <c r="E362" s="16"/>
      <c r="F362" s="16" t="s">
        <v>120</v>
      </c>
      <c r="G362" s="16"/>
      <c r="H362" s="16" t="s">
        <v>7817</v>
      </c>
      <c r="I362" s="19" t="s">
        <v>1429</v>
      </c>
      <c r="J362" s="16"/>
      <c r="K362" s="16" t="s">
        <v>1430</v>
      </c>
      <c r="L362" s="16"/>
      <c r="M362" s="16" t="str">
        <f>HYPERLINK("https://ceds.ed.gov/cedselementdetails.aspx?termid=27124")</f>
        <v>https://ceds.ed.gov/cedselementdetails.aspx?termid=27124</v>
      </c>
    </row>
    <row r="363" spans="1:13" ht="28.8" x14ac:dyDescent="0.3">
      <c r="A363" s="16" t="s">
        <v>1431</v>
      </c>
      <c r="B363" s="16" t="s">
        <v>1432</v>
      </c>
      <c r="C363" s="16" t="s">
        <v>32</v>
      </c>
      <c r="D363" s="16" t="s">
        <v>1424</v>
      </c>
      <c r="E363" s="16"/>
      <c r="F363" s="16" t="s">
        <v>145</v>
      </c>
      <c r="G363" s="16"/>
      <c r="H363" s="16"/>
      <c r="I363" s="19" t="s">
        <v>1433</v>
      </c>
      <c r="J363" s="16"/>
      <c r="K363" s="16" t="s">
        <v>1434</v>
      </c>
      <c r="L363" s="16"/>
      <c r="M363" s="16" t="str">
        <f>HYPERLINK("https://ceds.ed.gov/cedselementdetails.aspx?termid=27122")</f>
        <v>https://ceds.ed.gov/cedselementdetails.aspx?termid=27122</v>
      </c>
    </row>
    <row r="364" spans="1:13" ht="57.6" x14ac:dyDescent="0.3">
      <c r="A364" s="16" t="s">
        <v>1435</v>
      </c>
      <c r="B364" s="16" t="s">
        <v>7889</v>
      </c>
      <c r="C364" s="16" t="s">
        <v>32</v>
      </c>
      <c r="D364" s="16" t="s">
        <v>1424</v>
      </c>
      <c r="E364" s="16"/>
      <c r="F364" s="16" t="s">
        <v>106</v>
      </c>
      <c r="G364" s="16"/>
      <c r="H364" s="16"/>
      <c r="I364" s="19" t="s">
        <v>1436</v>
      </c>
      <c r="J364" s="16"/>
      <c r="K364" s="16" t="s">
        <v>1437</v>
      </c>
      <c r="L364" s="16"/>
      <c r="M364" s="16" t="str">
        <f>HYPERLINK("https://ceds.ed.gov/cedselementdetails.aspx?termid=27125")</f>
        <v>https://ceds.ed.gov/cedselementdetails.aspx?termid=27125</v>
      </c>
    </row>
    <row r="365" spans="1:13" ht="28.8" x14ac:dyDescent="0.3">
      <c r="A365" s="16" t="s">
        <v>1438</v>
      </c>
      <c r="B365" s="16" t="s">
        <v>7890</v>
      </c>
      <c r="C365" s="16" t="s">
        <v>32</v>
      </c>
      <c r="D365" s="16" t="s">
        <v>1424</v>
      </c>
      <c r="E365" s="16"/>
      <c r="F365" s="16" t="s">
        <v>50</v>
      </c>
      <c r="G365" s="16"/>
      <c r="H365" s="16"/>
      <c r="I365" s="19" t="s">
        <v>1439</v>
      </c>
      <c r="J365" s="16"/>
      <c r="K365" s="16" t="s">
        <v>1440</v>
      </c>
      <c r="L365" s="16"/>
      <c r="M365" s="16" t="str">
        <f>HYPERLINK("https://ceds.ed.gov/cedselementdetails.aspx?termid=27123")</f>
        <v>https://ceds.ed.gov/cedselementdetails.aspx?termid=27123</v>
      </c>
    </row>
    <row r="366" spans="1:13" ht="57.6" x14ac:dyDescent="0.3">
      <c r="A366" s="16" t="s">
        <v>1441</v>
      </c>
      <c r="B366" s="16" t="s">
        <v>1442</v>
      </c>
      <c r="C366" s="16" t="s">
        <v>22</v>
      </c>
      <c r="D366" s="16" t="s">
        <v>1443</v>
      </c>
      <c r="E366" s="16"/>
      <c r="F366" s="16"/>
      <c r="G366" s="16"/>
      <c r="H366" s="16"/>
      <c r="I366" s="19" t="s">
        <v>1444</v>
      </c>
      <c r="J366" s="16"/>
      <c r="K366" s="16" t="s">
        <v>1445</v>
      </c>
      <c r="L366" s="16"/>
      <c r="M366" s="16" t="str">
        <f>HYPERLINK("https://ceds.ed.gov/cedselementdetails.aspx?termid=27702")</f>
        <v>https://ceds.ed.gov/cedselementdetails.aspx?termid=27702</v>
      </c>
    </row>
    <row r="367" spans="1:13" ht="43.2" x14ac:dyDescent="0.3">
      <c r="A367" s="16" t="s">
        <v>1446</v>
      </c>
      <c r="B367" s="16" t="s">
        <v>1447</v>
      </c>
      <c r="C367" s="16" t="s">
        <v>32</v>
      </c>
      <c r="D367" s="16" t="s">
        <v>1448</v>
      </c>
      <c r="E367" s="16"/>
      <c r="F367" s="16" t="s">
        <v>1449</v>
      </c>
      <c r="G367" s="16"/>
      <c r="H367" s="16"/>
      <c r="I367" s="19" t="s">
        <v>1450</v>
      </c>
      <c r="J367" s="16"/>
      <c r="K367" s="16" t="s">
        <v>1451</v>
      </c>
      <c r="L367" s="16"/>
      <c r="M367" s="16" t="str">
        <f>HYPERLINK("https://ceds.ed.gov/cedselementdetails.aspx?termid=27127")</f>
        <v>https://ceds.ed.gov/cedselementdetails.aspx?termid=27127</v>
      </c>
    </row>
    <row r="368" spans="1:13" ht="28.8" x14ac:dyDescent="0.3">
      <c r="A368" s="16" t="s">
        <v>1452</v>
      </c>
      <c r="B368" s="16" t="s">
        <v>1453</v>
      </c>
      <c r="C368" s="16" t="s">
        <v>32</v>
      </c>
      <c r="D368" s="16" t="s">
        <v>1448</v>
      </c>
      <c r="E368" s="16"/>
      <c r="F368" s="16" t="s">
        <v>145</v>
      </c>
      <c r="G368" s="16"/>
      <c r="H368" s="16"/>
      <c r="I368" s="19" t="s">
        <v>1454</v>
      </c>
      <c r="J368" s="16"/>
      <c r="K368" s="16" t="s">
        <v>1455</v>
      </c>
      <c r="L368" s="16"/>
      <c r="M368" s="16" t="str">
        <f>HYPERLINK("https://ceds.ed.gov/cedselementdetails.aspx?termid=27129")</f>
        <v>https://ceds.ed.gov/cedselementdetails.aspx?termid=27129</v>
      </c>
    </row>
    <row r="369" spans="1:13" ht="43.2" x14ac:dyDescent="0.3">
      <c r="A369" s="16" t="s">
        <v>1456</v>
      </c>
      <c r="B369" s="16" t="s">
        <v>1457</v>
      </c>
      <c r="C369" s="16" t="s">
        <v>32</v>
      </c>
      <c r="D369" s="16" t="s">
        <v>1448</v>
      </c>
      <c r="E369" s="16"/>
      <c r="F369" s="16" t="s">
        <v>50</v>
      </c>
      <c r="G369" s="16"/>
      <c r="H369" s="16"/>
      <c r="I369" s="19" t="s">
        <v>1458</v>
      </c>
      <c r="J369" s="16"/>
      <c r="K369" s="16" t="s">
        <v>1459</v>
      </c>
      <c r="L369" s="16"/>
      <c r="M369" s="16" t="str">
        <f>HYPERLINK("https://ceds.ed.gov/cedselementdetails.aspx?termid=27128")</f>
        <v>https://ceds.ed.gov/cedselementdetails.aspx?termid=27128</v>
      </c>
    </row>
    <row r="370" spans="1:13" x14ac:dyDescent="0.3">
      <c r="A370" s="16" t="s">
        <v>1460</v>
      </c>
      <c r="B370" s="16" t="s">
        <v>1461</v>
      </c>
      <c r="C370" s="16" t="s">
        <v>32</v>
      </c>
      <c r="D370" s="16" t="s">
        <v>1443</v>
      </c>
      <c r="E370" s="16"/>
      <c r="F370" s="16" t="s">
        <v>106</v>
      </c>
      <c r="G370" s="16"/>
      <c r="H370" s="16"/>
      <c r="I370" s="19" t="s">
        <v>1462</v>
      </c>
      <c r="J370" s="16"/>
      <c r="K370" s="16" t="s">
        <v>1463</v>
      </c>
      <c r="L370" s="16"/>
      <c r="M370" s="16" t="str">
        <f>HYPERLINK("https://ceds.ed.gov/cedselementdetails.aspx?termid=27706")</f>
        <v>https://ceds.ed.gov/cedselementdetails.aspx?termid=27706</v>
      </c>
    </row>
    <row r="371" spans="1:13" ht="28.8" x14ac:dyDescent="0.3">
      <c r="A371" s="16" t="s">
        <v>1464</v>
      </c>
      <c r="B371" s="16" t="s">
        <v>1465</v>
      </c>
      <c r="C371" s="16" t="s">
        <v>32</v>
      </c>
      <c r="D371" s="16" t="s">
        <v>1443</v>
      </c>
      <c r="E371" s="16"/>
      <c r="F371" s="16" t="s">
        <v>316</v>
      </c>
      <c r="G371" s="16"/>
      <c r="H371" s="16"/>
      <c r="I371" s="19" t="s">
        <v>1466</v>
      </c>
      <c r="J371" s="16"/>
      <c r="K371" s="16" t="s">
        <v>1467</v>
      </c>
      <c r="L371" s="16"/>
      <c r="M371" s="16" t="str">
        <f>HYPERLINK("https://ceds.ed.gov/cedselementdetails.aspx?termid=27703")</f>
        <v>https://ceds.ed.gov/cedselementdetails.aspx?termid=27703</v>
      </c>
    </row>
    <row r="372" spans="1:13" ht="57.6" x14ac:dyDescent="0.3">
      <c r="A372" s="16" t="s">
        <v>1468</v>
      </c>
      <c r="B372" s="16" t="s">
        <v>7891</v>
      </c>
      <c r="C372" s="16" t="s">
        <v>32</v>
      </c>
      <c r="D372" s="16" t="s">
        <v>1448</v>
      </c>
      <c r="E372" s="16"/>
      <c r="F372" s="16" t="s">
        <v>106</v>
      </c>
      <c r="G372" s="16"/>
      <c r="H372" s="16" t="s">
        <v>131</v>
      </c>
      <c r="I372" s="19" t="s">
        <v>1469</v>
      </c>
      <c r="J372" s="16"/>
      <c r="K372" s="16" t="s">
        <v>1470</v>
      </c>
      <c r="L372" s="16"/>
      <c r="M372" s="16" t="str">
        <f>HYPERLINK("https://ceds.ed.gov/cedselementdetails.aspx?termid=27131")</f>
        <v>https://ceds.ed.gov/cedselementdetails.aspx?termid=27131</v>
      </c>
    </row>
    <row r="373" spans="1:13" ht="43.2" x14ac:dyDescent="0.3">
      <c r="A373" s="16" t="s">
        <v>1471</v>
      </c>
      <c r="B373" s="16" t="s">
        <v>7892</v>
      </c>
      <c r="C373" s="16" t="s">
        <v>32</v>
      </c>
      <c r="D373" s="16" t="s">
        <v>1448</v>
      </c>
      <c r="E373" s="16"/>
      <c r="F373" s="16" t="s">
        <v>106</v>
      </c>
      <c r="G373" s="16"/>
      <c r="H373" s="16"/>
      <c r="I373" s="19" t="s">
        <v>1472</v>
      </c>
      <c r="J373" s="16"/>
      <c r="K373" s="16" t="s">
        <v>1473</v>
      </c>
      <c r="L373" s="16"/>
      <c r="M373" s="16" t="str">
        <f>HYPERLINK("https://ceds.ed.gov/cedselementdetails.aspx?termid=27130")</f>
        <v>https://ceds.ed.gov/cedselementdetails.aspx?termid=27130</v>
      </c>
    </row>
    <row r="374" spans="1:13" ht="100.8" x14ac:dyDescent="0.3">
      <c r="A374" s="16" t="s">
        <v>1474</v>
      </c>
      <c r="B374" s="16" t="s">
        <v>1475</v>
      </c>
      <c r="C374" s="16" t="s">
        <v>8366</v>
      </c>
      <c r="D374" s="16" t="s">
        <v>1443</v>
      </c>
      <c r="E374" s="16"/>
      <c r="F374" s="16"/>
      <c r="G374" s="16"/>
      <c r="H374" s="16"/>
      <c r="I374" s="19" t="s">
        <v>1476</v>
      </c>
      <c r="J374" s="16"/>
      <c r="K374" s="16" t="s">
        <v>1477</v>
      </c>
      <c r="L374" s="16"/>
      <c r="M374" s="16" t="str">
        <f>HYPERLINK("https://ceds.ed.gov/cedselementdetails.aspx?termid=27701")</f>
        <v>https://ceds.ed.gov/cedselementdetails.aspx?termid=27701</v>
      </c>
    </row>
    <row r="375" spans="1:13" ht="129.6" x14ac:dyDescent="0.3">
      <c r="A375" s="16" t="s">
        <v>1478</v>
      </c>
      <c r="B375" s="16" t="s">
        <v>1479</v>
      </c>
      <c r="C375" s="16" t="s">
        <v>32</v>
      </c>
      <c r="D375" s="16" t="s">
        <v>1480</v>
      </c>
      <c r="E375" s="16"/>
      <c r="F375" s="16" t="s">
        <v>1481</v>
      </c>
      <c r="G375" s="16"/>
      <c r="H375" s="16"/>
      <c r="I375" s="19" t="s">
        <v>1482</v>
      </c>
      <c r="J375" s="16"/>
      <c r="K375" s="16" t="s">
        <v>1483</v>
      </c>
      <c r="L375" s="16" t="s">
        <v>1484</v>
      </c>
      <c r="M375" s="16" t="str">
        <f>HYPERLINK("https://ceds.ed.gov/cedselementdetails.aspx?termid=26030")</f>
        <v>https://ceds.ed.gov/cedselementdetails.aspx?termid=26030</v>
      </c>
    </row>
    <row r="376" spans="1:13" ht="43.2" x14ac:dyDescent="0.3">
      <c r="A376" s="16" t="s">
        <v>1485</v>
      </c>
      <c r="B376" s="16" t="s">
        <v>1486</v>
      </c>
      <c r="C376" s="16" t="s">
        <v>22</v>
      </c>
      <c r="D376" s="16" t="s">
        <v>1487</v>
      </c>
      <c r="E376" s="16"/>
      <c r="F376" s="16"/>
      <c r="G376" s="16"/>
      <c r="H376" s="16"/>
      <c r="I376" s="19" t="s">
        <v>1488</v>
      </c>
      <c r="J376" s="16"/>
      <c r="K376" s="16" t="s">
        <v>1489</v>
      </c>
      <c r="L376" s="16"/>
      <c r="M376" s="16" t="str">
        <f>HYPERLINK("https://ceds.ed.gov/cedselementdetails.aspx?termid=27883")</f>
        <v>https://ceds.ed.gov/cedselementdetails.aspx?termid=27883</v>
      </c>
    </row>
    <row r="377" spans="1:13" ht="129.6" x14ac:dyDescent="0.3">
      <c r="A377" s="16" t="s">
        <v>1490</v>
      </c>
      <c r="B377" s="16" t="s">
        <v>1491</v>
      </c>
      <c r="C377" s="16" t="s">
        <v>22</v>
      </c>
      <c r="D377" s="16" t="s">
        <v>13024</v>
      </c>
      <c r="E377" s="16"/>
      <c r="F377" s="16"/>
      <c r="G377" s="16"/>
      <c r="H377" s="16"/>
      <c r="I377" s="19" t="s">
        <v>1492</v>
      </c>
      <c r="J377" s="16"/>
      <c r="K377" s="16" t="s">
        <v>1493</v>
      </c>
      <c r="L377" s="16"/>
      <c r="M377" s="16" t="str">
        <f>HYPERLINK("https://ceds.ed.gov/cedselementdetails.aspx?termid=27903")</f>
        <v>https://ceds.ed.gov/cedselementdetails.aspx?termid=27903</v>
      </c>
    </row>
    <row r="378" spans="1:13" ht="72" x14ac:dyDescent="0.3">
      <c r="A378" s="16" t="s">
        <v>1494</v>
      </c>
      <c r="B378" s="16" t="s">
        <v>7893</v>
      </c>
      <c r="C378" s="16" t="s">
        <v>22</v>
      </c>
      <c r="D378" s="16" t="s">
        <v>8367</v>
      </c>
      <c r="E378" s="16"/>
      <c r="F378" s="16"/>
      <c r="G378" s="16"/>
      <c r="H378" s="16"/>
      <c r="I378" s="19" t="s">
        <v>1495</v>
      </c>
      <c r="J378" s="16"/>
      <c r="K378" s="16" t="s">
        <v>1496</v>
      </c>
      <c r="L378" s="16" t="s">
        <v>25</v>
      </c>
      <c r="M378" s="16" t="str">
        <f>HYPERLINK("https://ceds.ed.gov/cedselementdetails.aspx?termid=26031")</f>
        <v>https://ceds.ed.gov/cedselementdetails.aspx?termid=26031</v>
      </c>
    </row>
    <row r="379" spans="1:13" ht="129.6" x14ac:dyDescent="0.3">
      <c r="A379" s="16" t="s">
        <v>1497</v>
      </c>
      <c r="B379" s="16" t="s">
        <v>1498</v>
      </c>
      <c r="C379" s="16" t="s">
        <v>8368</v>
      </c>
      <c r="D379" s="16" t="s">
        <v>1499</v>
      </c>
      <c r="E379" s="16"/>
      <c r="F379" s="16"/>
      <c r="G379" s="16"/>
      <c r="H379" s="16"/>
      <c r="I379" s="19" t="s">
        <v>1500</v>
      </c>
      <c r="J379" s="16"/>
      <c r="K379" s="16" t="s">
        <v>1501</v>
      </c>
      <c r="L379" s="16" t="s">
        <v>202</v>
      </c>
      <c r="M379" s="16" t="str">
        <f>HYPERLINK("https://ceds.ed.gov/cedselementdetails.aspx?termid=26439")</f>
        <v>https://ceds.ed.gov/cedselementdetails.aspx?termid=26439</v>
      </c>
    </row>
    <row r="380" spans="1:13" ht="115.2" x14ac:dyDescent="0.3">
      <c r="A380" s="16" t="s">
        <v>7331</v>
      </c>
      <c r="B380" s="16" t="s">
        <v>7332</v>
      </c>
      <c r="C380" s="16" t="s">
        <v>8369</v>
      </c>
      <c r="D380" s="16" t="s">
        <v>7894</v>
      </c>
      <c r="E380" s="16"/>
      <c r="F380" s="16"/>
      <c r="G380" s="16"/>
      <c r="H380" s="16" t="s">
        <v>7333</v>
      </c>
      <c r="I380" s="19" t="s">
        <v>7334</v>
      </c>
      <c r="J380" s="16"/>
      <c r="K380" s="16" t="s">
        <v>7335</v>
      </c>
      <c r="L380" s="16"/>
      <c r="M380" s="16" t="str">
        <f>HYPERLINK("https://ceds.ed.gov/cedselementdetails.aspx?termid=27916")</f>
        <v>https://ceds.ed.gov/cedselementdetails.aspx?termid=27916</v>
      </c>
    </row>
    <row r="381" spans="1:13" ht="43.2" x14ac:dyDescent="0.3">
      <c r="A381" s="16" t="s">
        <v>12700</v>
      </c>
      <c r="B381" s="16" t="s">
        <v>12701</v>
      </c>
      <c r="C381" s="16" t="s">
        <v>12891</v>
      </c>
      <c r="D381" s="16" t="s">
        <v>4321</v>
      </c>
      <c r="E381" s="16" t="s">
        <v>155</v>
      </c>
      <c r="F381" s="16" t="s">
        <v>2</v>
      </c>
      <c r="G381" s="16" t="s">
        <v>12636</v>
      </c>
      <c r="H381" s="16"/>
      <c r="I381" s="19" t="s">
        <v>12702</v>
      </c>
      <c r="J381" s="16"/>
      <c r="K381" s="16" t="s">
        <v>12703</v>
      </c>
      <c r="L381" s="16"/>
      <c r="M381" s="16" t="str">
        <f>HYPERLINK("https://ceds.ed.gov/cedselementdetails.aspx?termid=28103")</f>
        <v>https://ceds.ed.gov/cedselementdetails.aspx?termid=28103</v>
      </c>
    </row>
    <row r="382" spans="1:13" ht="72" x14ac:dyDescent="0.3">
      <c r="A382" s="16" t="s">
        <v>1502</v>
      </c>
      <c r="B382" s="16" t="s">
        <v>1503</v>
      </c>
      <c r="C382" s="16" t="s">
        <v>8370</v>
      </c>
      <c r="D382" s="16" t="s">
        <v>1504</v>
      </c>
      <c r="E382" s="16"/>
      <c r="F382" s="16"/>
      <c r="G382" s="16"/>
      <c r="H382" s="16"/>
      <c r="I382" s="19" t="s">
        <v>1505</v>
      </c>
      <c r="J382" s="16"/>
      <c r="K382" s="16" t="s">
        <v>1506</v>
      </c>
      <c r="L382" s="16"/>
      <c r="M382" s="16" t="str">
        <f>HYPERLINK("https://ceds.ed.gov/cedselementdetails.aspx?termid=27561")</f>
        <v>https://ceds.ed.gov/cedselementdetails.aspx?termid=27561</v>
      </c>
    </row>
    <row r="383" spans="1:13" ht="388.8" x14ac:dyDescent="0.3">
      <c r="A383" s="16" t="s">
        <v>1507</v>
      </c>
      <c r="B383" s="16" t="s">
        <v>1508</v>
      </c>
      <c r="C383" s="16" t="s">
        <v>32</v>
      </c>
      <c r="D383" s="16" t="s">
        <v>8371</v>
      </c>
      <c r="E383" s="16"/>
      <c r="F383" s="16" t="s">
        <v>106</v>
      </c>
      <c r="G383" s="16"/>
      <c r="H383" s="16"/>
      <c r="I383" s="19" t="s">
        <v>1509</v>
      </c>
      <c r="J383" s="16"/>
      <c r="K383" s="16" t="s">
        <v>1507</v>
      </c>
      <c r="L383" s="16" t="s">
        <v>1510</v>
      </c>
      <c r="M383" s="16" t="str">
        <f>HYPERLINK("https://ceds.ed.gov/cedselementdetails.aspx?termid=26033")</f>
        <v>https://ceds.ed.gov/cedselementdetails.aspx?termid=26033</v>
      </c>
    </row>
    <row r="384" spans="1:13" ht="43.2" x14ac:dyDescent="0.3">
      <c r="A384" s="16" t="s">
        <v>1511</v>
      </c>
      <c r="B384" s="16" t="s">
        <v>1512</v>
      </c>
      <c r="C384" s="16" t="s">
        <v>32</v>
      </c>
      <c r="D384" s="16" t="s">
        <v>1513</v>
      </c>
      <c r="E384" s="16"/>
      <c r="F384" s="16" t="s">
        <v>145</v>
      </c>
      <c r="G384" s="16"/>
      <c r="H384" s="16"/>
      <c r="I384" s="19" t="s">
        <v>1514</v>
      </c>
      <c r="J384" s="16"/>
      <c r="K384" s="16" t="s">
        <v>1515</v>
      </c>
      <c r="L384" s="16" t="s">
        <v>1516</v>
      </c>
      <c r="M384" s="16" t="str">
        <f>HYPERLINK("https://ceds.ed.gov/cedselementdetails.aspx?termid=26418")</f>
        <v>https://ceds.ed.gov/cedselementdetails.aspx?termid=26418</v>
      </c>
    </row>
    <row r="385" spans="1:13" ht="244.8" x14ac:dyDescent="0.3">
      <c r="A385" s="16" t="s">
        <v>1517</v>
      </c>
      <c r="B385" s="16" t="s">
        <v>1518</v>
      </c>
      <c r="C385" s="16" t="s">
        <v>8319</v>
      </c>
      <c r="D385" s="16" t="s">
        <v>8320</v>
      </c>
      <c r="E385" s="16"/>
      <c r="F385" s="16"/>
      <c r="G385" s="16"/>
      <c r="H385" s="16" t="s">
        <v>7828</v>
      </c>
      <c r="I385" s="19" t="s">
        <v>1519</v>
      </c>
      <c r="J385" s="16" t="s">
        <v>1520</v>
      </c>
      <c r="K385" s="16" t="s">
        <v>1521</v>
      </c>
      <c r="L385" s="16" t="s">
        <v>353</v>
      </c>
      <c r="M385" s="16" t="str">
        <f>HYPERLINK("https://ceds.ed.gov/cedselementdetails.aspx?termid=26657")</f>
        <v>https://ceds.ed.gov/cedselementdetails.aspx?termid=26657</v>
      </c>
    </row>
    <row r="386" spans="1:13" ht="158.4" x14ac:dyDescent="0.3">
      <c r="A386" s="16" t="s">
        <v>1522</v>
      </c>
      <c r="B386" s="16" t="s">
        <v>1523</v>
      </c>
      <c r="C386" s="16" t="s">
        <v>8212</v>
      </c>
      <c r="D386" s="16" t="s">
        <v>9356</v>
      </c>
      <c r="E386" s="16"/>
      <c r="F386" s="16"/>
      <c r="G386" s="16"/>
      <c r="H386" s="16" t="s">
        <v>1524</v>
      </c>
      <c r="I386" s="19" t="s">
        <v>1525</v>
      </c>
      <c r="J386" s="16"/>
      <c r="K386" s="16" t="s">
        <v>1526</v>
      </c>
      <c r="L386" s="16"/>
      <c r="M386" s="16" t="str">
        <f>HYPERLINK("https://ceds.ed.gov/cedselementdetails.aspx?termid=27253")</f>
        <v>https://ceds.ed.gov/cedselementdetails.aspx?termid=27253</v>
      </c>
    </row>
    <row r="387" spans="1:13" ht="43.2" x14ac:dyDescent="0.3">
      <c r="A387" s="16" t="s">
        <v>1527</v>
      </c>
      <c r="B387" s="16" t="s">
        <v>1528</v>
      </c>
      <c r="C387" s="16" t="s">
        <v>32</v>
      </c>
      <c r="D387" s="16" t="s">
        <v>227</v>
      </c>
      <c r="E387" s="16"/>
      <c r="F387" s="16" t="s">
        <v>1481</v>
      </c>
      <c r="G387" s="16"/>
      <c r="H387" s="16" t="s">
        <v>356</v>
      </c>
      <c r="I387" s="19" t="s">
        <v>1529</v>
      </c>
      <c r="J387" s="16"/>
      <c r="K387" s="16" t="s">
        <v>1530</v>
      </c>
      <c r="L387" s="16" t="s">
        <v>1531</v>
      </c>
      <c r="M387" s="16" t="str">
        <f>HYPERLINK("https://ceds.ed.gov/cedselementdetails.aspx?termid=26729")</f>
        <v>https://ceds.ed.gov/cedselementdetails.aspx?termid=26729</v>
      </c>
    </row>
    <row r="388" spans="1:13" ht="100.8" x14ac:dyDescent="0.3">
      <c r="A388" s="16" t="s">
        <v>8909</v>
      </c>
      <c r="B388" s="16" t="s">
        <v>8910</v>
      </c>
      <c r="C388" s="16" t="s">
        <v>9288</v>
      </c>
      <c r="D388" s="16" t="s">
        <v>13025</v>
      </c>
      <c r="E388" s="16"/>
      <c r="F388" s="16" t="s">
        <v>2</v>
      </c>
      <c r="G388" s="16"/>
      <c r="H388" s="16"/>
      <c r="I388" s="19" t="s">
        <v>8911</v>
      </c>
      <c r="J388" s="16"/>
      <c r="K388" s="16" t="s">
        <v>8912</v>
      </c>
      <c r="L388" s="16"/>
      <c r="M388" s="16" t="str">
        <f>HYPERLINK("https://ceds.ed.gov/cedselementdetails.aspx?termid=28004")</f>
        <v>https://ceds.ed.gov/cedselementdetails.aspx?termid=28004</v>
      </c>
    </row>
    <row r="389" spans="1:13" ht="72" x14ac:dyDescent="0.3">
      <c r="A389" s="16" t="s">
        <v>8913</v>
      </c>
      <c r="B389" s="16" t="s">
        <v>8914</v>
      </c>
      <c r="C389" s="16" t="s">
        <v>32</v>
      </c>
      <c r="D389" s="16" t="s">
        <v>13025</v>
      </c>
      <c r="E389" s="16"/>
      <c r="F389" s="16" t="s">
        <v>106</v>
      </c>
      <c r="G389" s="16"/>
      <c r="H389" s="16"/>
      <c r="I389" s="19" t="s">
        <v>8915</v>
      </c>
      <c r="J389" s="16"/>
      <c r="K389" s="16" t="s">
        <v>8916</v>
      </c>
      <c r="L389" s="16"/>
      <c r="M389" s="16" t="str">
        <f>HYPERLINK("https://ceds.ed.gov/cedselementdetails.aspx?termid=28005")</f>
        <v>https://ceds.ed.gov/cedselementdetails.aspx?termid=28005</v>
      </c>
    </row>
    <row r="390" spans="1:13" ht="72" x14ac:dyDescent="0.3">
      <c r="A390" s="16" t="s">
        <v>8917</v>
      </c>
      <c r="B390" s="16" t="s">
        <v>8918</v>
      </c>
      <c r="C390" s="16" t="s">
        <v>32</v>
      </c>
      <c r="D390" s="16" t="s">
        <v>13025</v>
      </c>
      <c r="E390" s="16"/>
      <c r="F390" s="16" t="s">
        <v>106</v>
      </c>
      <c r="G390" s="16"/>
      <c r="H390" s="16"/>
      <c r="I390" s="19" t="s">
        <v>8919</v>
      </c>
      <c r="J390" s="16"/>
      <c r="K390" s="16" t="s">
        <v>8920</v>
      </c>
      <c r="L390" s="16"/>
      <c r="M390" s="16" t="str">
        <f>HYPERLINK("https://ceds.ed.gov/cedselementdetails.aspx?termid=28006")</f>
        <v>https://ceds.ed.gov/cedselementdetails.aspx?termid=28006</v>
      </c>
    </row>
    <row r="391" spans="1:13" ht="72" x14ac:dyDescent="0.3">
      <c r="A391" s="16" t="s">
        <v>8921</v>
      </c>
      <c r="B391" s="16" t="s">
        <v>8922</v>
      </c>
      <c r="C391" s="16" t="s">
        <v>9289</v>
      </c>
      <c r="D391" s="16" t="s">
        <v>13025</v>
      </c>
      <c r="E391" s="16"/>
      <c r="F391" s="16" t="s">
        <v>2</v>
      </c>
      <c r="G391" s="16"/>
      <c r="H391" s="16"/>
      <c r="I391" s="19" t="s">
        <v>8923</v>
      </c>
      <c r="J391" s="16"/>
      <c r="K391" s="16" t="s">
        <v>8924</v>
      </c>
      <c r="L391" s="16"/>
      <c r="M391" s="16" t="str">
        <f>HYPERLINK("https://ceds.ed.gov/cedselementdetails.aspx?termid=28007")</f>
        <v>https://ceds.ed.gov/cedselementdetails.aspx?termid=28007</v>
      </c>
    </row>
    <row r="392" spans="1:13" ht="100.8" x14ac:dyDescent="0.3">
      <c r="A392" s="16" t="s">
        <v>1532</v>
      </c>
      <c r="B392" s="16" t="s">
        <v>1533</v>
      </c>
      <c r="C392" s="16" t="s">
        <v>32</v>
      </c>
      <c r="D392" s="16" t="s">
        <v>227</v>
      </c>
      <c r="E392" s="16"/>
      <c r="F392" s="16" t="s">
        <v>1481</v>
      </c>
      <c r="G392" s="16"/>
      <c r="H392" s="16" t="s">
        <v>356</v>
      </c>
      <c r="I392" s="19" t="s">
        <v>1534</v>
      </c>
      <c r="J392" s="16"/>
      <c r="K392" s="16" t="s">
        <v>1535</v>
      </c>
      <c r="L392" s="16" t="s">
        <v>1531</v>
      </c>
      <c r="M392" s="16" t="str">
        <f>HYPERLINK("https://ceds.ed.gov/cedselementdetails.aspx?termid=26730")</f>
        <v>https://ceds.ed.gov/cedselementdetails.aspx?termid=26730</v>
      </c>
    </row>
    <row r="393" spans="1:13" ht="57.6" x14ac:dyDescent="0.3">
      <c r="A393" s="16" t="s">
        <v>12704</v>
      </c>
      <c r="B393" s="16" t="s">
        <v>12705</v>
      </c>
      <c r="C393" s="16" t="s">
        <v>12898</v>
      </c>
      <c r="D393" s="16" t="s">
        <v>12887</v>
      </c>
      <c r="E393" s="16" t="s">
        <v>155</v>
      </c>
      <c r="F393" s="16" t="s">
        <v>2</v>
      </c>
      <c r="G393" s="16" t="s">
        <v>12636</v>
      </c>
      <c r="H393" s="16"/>
      <c r="I393" s="19" t="s">
        <v>12706</v>
      </c>
      <c r="J393" s="16"/>
      <c r="K393" s="16" t="s">
        <v>12707</v>
      </c>
      <c r="L393" s="16"/>
      <c r="M393" s="16" t="str">
        <f>HYPERLINK("https://ceds.ed.gov/cedselementdetails.aspx?termid=28127")</f>
        <v>https://ceds.ed.gov/cedselementdetails.aspx?termid=28127</v>
      </c>
    </row>
    <row r="394" spans="1:13" ht="57.6" x14ac:dyDescent="0.3">
      <c r="A394" s="16" t="s">
        <v>12708</v>
      </c>
      <c r="B394" s="16" t="s">
        <v>12709</v>
      </c>
      <c r="C394" s="16" t="s">
        <v>12899</v>
      </c>
      <c r="D394" s="16" t="s">
        <v>12887</v>
      </c>
      <c r="E394" s="16" t="s">
        <v>155</v>
      </c>
      <c r="F394" s="16" t="s">
        <v>2</v>
      </c>
      <c r="G394" s="16" t="s">
        <v>12636</v>
      </c>
      <c r="H394" s="16"/>
      <c r="I394" s="19" t="s">
        <v>12710</v>
      </c>
      <c r="J394" s="16"/>
      <c r="K394" s="16" t="s">
        <v>12711</v>
      </c>
      <c r="L394" s="16"/>
      <c r="M394" s="16" t="str">
        <f>HYPERLINK("https://ceds.ed.gov/cedselementdetails.aspx?termid=28128")</f>
        <v>https://ceds.ed.gov/cedselementdetails.aspx?termid=28128</v>
      </c>
    </row>
    <row r="395" spans="1:13" ht="72" x14ac:dyDescent="0.3">
      <c r="A395" s="16" t="s">
        <v>12712</v>
      </c>
      <c r="B395" s="16" t="s">
        <v>12713</v>
      </c>
      <c r="C395" s="16" t="s">
        <v>12900</v>
      </c>
      <c r="D395" s="16" t="s">
        <v>12887</v>
      </c>
      <c r="E395" s="16" t="s">
        <v>155</v>
      </c>
      <c r="F395" s="16" t="s">
        <v>2</v>
      </c>
      <c r="G395" s="16" t="s">
        <v>12636</v>
      </c>
      <c r="H395" s="16"/>
      <c r="I395" s="19" t="s">
        <v>12714</v>
      </c>
      <c r="J395" s="16"/>
      <c r="K395" s="16" t="s">
        <v>12715</v>
      </c>
      <c r="L395" s="16"/>
      <c r="M395" s="16" t="str">
        <f>HYPERLINK("https://ceds.ed.gov/cedselementdetails.aspx?termid=28129")</f>
        <v>https://ceds.ed.gov/cedselementdetails.aspx?termid=28129</v>
      </c>
    </row>
    <row r="396" spans="1:13" ht="57.6" x14ac:dyDescent="0.3">
      <c r="A396" s="16" t="s">
        <v>12716</v>
      </c>
      <c r="B396" s="16" t="s">
        <v>12717</v>
      </c>
      <c r="C396" s="16" t="s">
        <v>8339</v>
      </c>
      <c r="D396" s="16" t="s">
        <v>12887</v>
      </c>
      <c r="E396" s="16" t="s">
        <v>155</v>
      </c>
      <c r="F396" s="16" t="s">
        <v>2</v>
      </c>
      <c r="G396" s="16" t="s">
        <v>12636</v>
      </c>
      <c r="H396" s="16"/>
      <c r="I396" s="19" t="s">
        <v>12718</v>
      </c>
      <c r="J396" s="16"/>
      <c r="K396" s="16" t="s">
        <v>12719</v>
      </c>
      <c r="L396" s="16"/>
      <c r="M396" s="16" t="str">
        <f>HYPERLINK("https://ceds.ed.gov/cedselementdetails.aspx?termid=28130")</f>
        <v>https://ceds.ed.gov/cedselementdetails.aspx?termid=28130</v>
      </c>
    </row>
    <row r="397" spans="1:13" ht="43.2" x14ac:dyDescent="0.3">
      <c r="A397" s="16" t="s">
        <v>12720</v>
      </c>
      <c r="B397" s="16" t="s">
        <v>12721</v>
      </c>
      <c r="C397" s="16" t="s">
        <v>32</v>
      </c>
      <c r="D397" s="16" t="s">
        <v>12887</v>
      </c>
      <c r="E397" s="16" t="s">
        <v>155</v>
      </c>
      <c r="F397" s="16" t="s">
        <v>305</v>
      </c>
      <c r="G397" s="16" t="s">
        <v>12636</v>
      </c>
      <c r="H397" s="16"/>
      <c r="I397" s="19" t="s">
        <v>12722</v>
      </c>
      <c r="J397" s="16"/>
      <c r="K397" s="16" t="s">
        <v>12723</v>
      </c>
      <c r="L397" s="16"/>
      <c r="M397" s="16" t="str">
        <f>HYPERLINK("https://ceds.ed.gov/cedselementdetails.aspx?termid=28131")</f>
        <v>https://ceds.ed.gov/cedselementdetails.aspx?termid=28131</v>
      </c>
    </row>
    <row r="398" spans="1:13" ht="86.4" x14ac:dyDescent="0.3">
      <c r="A398" s="16" t="s">
        <v>12724</v>
      </c>
      <c r="B398" s="16" t="s">
        <v>12725</v>
      </c>
      <c r="C398" s="16" t="s">
        <v>12901</v>
      </c>
      <c r="D398" s="16" t="s">
        <v>12887</v>
      </c>
      <c r="E398" s="16" t="s">
        <v>155</v>
      </c>
      <c r="F398" s="16" t="s">
        <v>2</v>
      </c>
      <c r="G398" s="16" t="s">
        <v>12636</v>
      </c>
      <c r="H398" s="16"/>
      <c r="I398" s="19" t="s">
        <v>12726</v>
      </c>
      <c r="J398" s="16"/>
      <c r="K398" s="16" t="s">
        <v>12727</v>
      </c>
      <c r="L398" s="16"/>
      <c r="M398" s="16" t="str">
        <f>HYPERLINK("https://ceds.ed.gov/cedselementdetails.aspx?termid=28132")</f>
        <v>https://ceds.ed.gov/cedselementdetails.aspx?termid=28132</v>
      </c>
    </row>
    <row r="399" spans="1:13" ht="57.6" x14ac:dyDescent="0.3">
      <c r="A399" s="16" t="s">
        <v>12728</v>
      </c>
      <c r="B399" s="16" t="s">
        <v>12729</v>
      </c>
      <c r="C399" s="16" t="s">
        <v>12902</v>
      </c>
      <c r="D399" s="16" t="s">
        <v>12887</v>
      </c>
      <c r="E399" s="16" t="s">
        <v>155</v>
      </c>
      <c r="F399" s="16" t="s">
        <v>2</v>
      </c>
      <c r="G399" s="16" t="s">
        <v>12636</v>
      </c>
      <c r="H399" s="16"/>
      <c r="I399" s="19" t="s">
        <v>12730</v>
      </c>
      <c r="J399" s="16"/>
      <c r="K399" s="16" t="s">
        <v>12731</v>
      </c>
      <c r="L399" s="16"/>
      <c r="M399" s="16" t="str">
        <f>HYPERLINK("https://ceds.ed.gov/cedselementdetails.aspx?termid=28133")</f>
        <v>https://ceds.ed.gov/cedselementdetails.aspx?termid=28133</v>
      </c>
    </row>
    <row r="400" spans="1:13" ht="57.6" x14ac:dyDescent="0.3">
      <c r="A400" s="16" t="s">
        <v>1536</v>
      </c>
      <c r="B400" s="16" t="s">
        <v>1537</v>
      </c>
      <c r="C400" s="16" t="s">
        <v>32</v>
      </c>
      <c r="D400" s="16" t="s">
        <v>1538</v>
      </c>
      <c r="E400" s="16"/>
      <c r="F400" s="16" t="s">
        <v>81</v>
      </c>
      <c r="G400" s="16"/>
      <c r="H400" s="16"/>
      <c r="I400" s="19" t="s">
        <v>1539</v>
      </c>
      <c r="J400" s="16"/>
      <c r="K400" s="16" t="s">
        <v>1540</v>
      </c>
      <c r="L400" s="16"/>
      <c r="M400" s="16" t="str">
        <f>HYPERLINK("https://ceds.ed.gov/cedselementdetails.aspx?termid=27757")</f>
        <v>https://ceds.ed.gov/cedselementdetails.aspx?termid=27757</v>
      </c>
    </row>
    <row r="401" spans="1:13" ht="28.8" x14ac:dyDescent="0.3">
      <c r="A401" s="16" t="s">
        <v>1541</v>
      </c>
      <c r="B401" s="16" t="s">
        <v>1542</v>
      </c>
      <c r="C401" s="16" t="s">
        <v>32</v>
      </c>
      <c r="D401" s="16" t="s">
        <v>1538</v>
      </c>
      <c r="E401" s="16"/>
      <c r="F401" s="16" t="s">
        <v>55</v>
      </c>
      <c r="G401" s="16"/>
      <c r="H401" s="16"/>
      <c r="I401" s="19" t="s">
        <v>1543</v>
      </c>
      <c r="J401" s="16"/>
      <c r="K401" s="16" t="s">
        <v>1544</v>
      </c>
      <c r="L401" s="16"/>
      <c r="M401" s="16" t="str">
        <f>HYPERLINK("https://ceds.ed.gov/cedselementdetails.aspx?termid=27756")</f>
        <v>https://ceds.ed.gov/cedselementdetails.aspx?termid=27756</v>
      </c>
    </row>
    <row r="402" spans="1:13" ht="331.2" x14ac:dyDescent="0.3">
      <c r="A402" s="16" t="s">
        <v>1545</v>
      </c>
      <c r="B402" s="16" t="s">
        <v>1546</v>
      </c>
      <c r="C402" s="16" t="s">
        <v>8372</v>
      </c>
      <c r="D402" s="16" t="s">
        <v>1547</v>
      </c>
      <c r="E402" s="16"/>
      <c r="F402" s="16"/>
      <c r="G402" s="16"/>
      <c r="H402" s="16"/>
      <c r="I402" s="19" t="s">
        <v>1548</v>
      </c>
      <c r="J402" s="16"/>
      <c r="K402" s="16" t="s">
        <v>1549</v>
      </c>
      <c r="L402" s="16"/>
      <c r="M402" s="16" t="str">
        <f>HYPERLINK("https://ceds.ed.gov/cedselementdetails.aspx?termid=27794")</f>
        <v>https://ceds.ed.gov/cedselementdetails.aspx?termid=27794</v>
      </c>
    </row>
    <row r="403" spans="1:13" ht="129.6" x14ac:dyDescent="0.3">
      <c r="A403" s="16" t="s">
        <v>1550</v>
      </c>
      <c r="B403" s="16" t="s">
        <v>1551</v>
      </c>
      <c r="C403" s="16" t="s">
        <v>8373</v>
      </c>
      <c r="D403" s="16" t="s">
        <v>1552</v>
      </c>
      <c r="E403" s="16"/>
      <c r="F403" s="16"/>
      <c r="G403" s="16"/>
      <c r="H403" s="16"/>
      <c r="I403" s="19" t="s">
        <v>1553</v>
      </c>
      <c r="J403" s="16"/>
      <c r="K403" s="16" t="s">
        <v>1554</v>
      </c>
      <c r="L403" s="16"/>
      <c r="M403" s="16" t="str">
        <f>HYPERLINK("https://ceds.ed.gov/cedselementdetails.aspx?termid=27771")</f>
        <v>https://ceds.ed.gov/cedselementdetails.aspx?termid=27771</v>
      </c>
    </row>
    <row r="404" spans="1:13" ht="28.8" x14ac:dyDescent="0.3">
      <c r="A404" s="16" t="s">
        <v>1555</v>
      </c>
      <c r="B404" s="16" t="s">
        <v>1556</v>
      </c>
      <c r="C404" s="16" t="s">
        <v>32</v>
      </c>
      <c r="D404" s="16" t="s">
        <v>1547</v>
      </c>
      <c r="E404" s="16"/>
      <c r="F404" s="16" t="s">
        <v>1304</v>
      </c>
      <c r="G404" s="16"/>
      <c r="H404" s="16"/>
      <c r="I404" s="19" t="s">
        <v>1557</v>
      </c>
      <c r="J404" s="16"/>
      <c r="K404" s="16" t="s">
        <v>1558</v>
      </c>
      <c r="L404" s="16"/>
      <c r="M404" s="16" t="str">
        <f>HYPERLINK("https://ceds.ed.gov/cedselementdetails.aspx?termid=27815")</f>
        <v>https://ceds.ed.gov/cedselementdetails.aspx?termid=27815</v>
      </c>
    </row>
    <row r="405" spans="1:13" ht="28.8" x14ac:dyDescent="0.3">
      <c r="A405" s="16" t="s">
        <v>1559</v>
      </c>
      <c r="B405" s="16" t="s">
        <v>1560</v>
      </c>
      <c r="C405" s="16" t="s">
        <v>32</v>
      </c>
      <c r="D405" s="16" t="s">
        <v>1547</v>
      </c>
      <c r="E405" s="16"/>
      <c r="F405" s="16" t="s">
        <v>145</v>
      </c>
      <c r="G405" s="16"/>
      <c r="H405" s="16"/>
      <c r="I405" s="19" t="s">
        <v>1561</v>
      </c>
      <c r="J405" s="16"/>
      <c r="K405" s="16" t="s">
        <v>1562</v>
      </c>
      <c r="L405" s="16"/>
      <c r="M405" s="16" t="str">
        <f>HYPERLINK("https://ceds.ed.gov/cedselementdetails.aspx?termid=27816")</f>
        <v>https://ceds.ed.gov/cedselementdetails.aspx?termid=27816</v>
      </c>
    </row>
    <row r="406" spans="1:13" ht="144" x14ac:dyDescent="0.3">
      <c r="A406" s="16" t="s">
        <v>1563</v>
      </c>
      <c r="B406" s="16" t="s">
        <v>1564</v>
      </c>
      <c r="C406" s="16" t="s">
        <v>32</v>
      </c>
      <c r="D406" s="16" t="s">
        <v>1538</v>
      </c>
      <c r="E406" s="16"/>
      <c r="F406" s="16" t="s">
        <v>81</v>
      </c>
      <c r="G406" s="16"/>
      <c r="H406" s="16"/>
      <c r="I406" s="19" t="s">
        <v>1565</v>
      </c>
      <c r="J406" s="16"/>
      <c r="K406" s="16" t="s">
        <v>1566</v>
      </c>
      <c r="L406" s="16"/>
      <c r="M406" s="16" t="str">
        <f>HYPERLINK("https://ceds.ed.gov/cedselementdetails.aspx?termid=27745")</f>
        <v>https://ceds.ed.gov/cedselementdetails.aspx?termid=27745</v>
      </c>
    </row>
    <row r="407" spans="1:13" ht="115.2" x14ac:dyDescent="0.3">
      <c r="A407" s="16" t="s">
        <v>1567</v>
      </c>
      <c r="B407" s="16" t="s">
        <v>1568</v>
      </c>
      <c r="C407" s="16" t="s">
        <v>8374</v>
      </c>
      <c r="D407" s="16" t="s">
        <v>1547</v>
      </c>
      <c r="E407" s="16"/>
      <c r="F407" s="16"/>
      <c r="G407" s="16"/>
      <c r="H407" s="16"/>
      <c r="I407" s="19" t="s">
        <v>1569</v>
      </c>
      <c r="J407" s="16"/>
      <c r="K407" s="16" t="s">
        <v>1570</v>
      </c>
      <c r="L407" s="16"/>
      <c r="M407" s="16" t="str">
        <f>HYPERLINK("https://ceds.ed.gov/cedselementdetails.aspx?termid=27795")</f>
        <v>https://ceds.ed.gov/cedselementdetails.aspx?termid=27795</v>
      </c>
    </row>
    <row r="408" spans="1:13" ht="129.6" x14ac:dyDescent="0.3">
      <c r="A408" s="16" t="s">
        <v>1571</v>
      </c>
      <c r="B408" s="16" t="s">
        <v>1572</v>
      </c>
      <c r="C408" s="16" t="s">
        <v>8375</v>
      </c>
      <c r="D408" s="16" t="s">
        <v>1547</v>
      </c>
      <c r="E408" s="16"/>
      <c r="F408" s="16"/>
      <c r="G408" s="16"/>
      <c r="H408" s="16"/>
      <c r="I408" s="19" t="s">
        <v>1573</v>
      </c>
      <c r="J408" s="16"/>
      <c r="K408" s="16" t="s">
        <v>1574</v>
      </c>
      <c r="L408" s="16"/>
      <c r="M408" s="16" t="str">
        <f>HYPERLINK("https://ceds.ed.gov/cedselementdetails.aspx?termid=27817")</f>
        <v>https://ceds.ed.gov/cedselementdetails.aspx?termid=27817</v>
      </c>
    </row>
    <row r="409" spans="1:13" ht="100.8" x14ac:dyDescent="0.3">
      <c r="A409" s="16" t="s">
        <v>1575</v>
      </c>
      <c r="B409" s="16" t="s">
        <v>1576</v>
      </c>
      <c r="C409" s="16" t="s">
        <v>8376</v>
      </c>
      <c r="D409" s="16" t="s">
        <v>1547</v>
      </c>
      <c r="E409" s="16"/>
      <c r="F409" s="16"/>
      <c r="G409" s="16"/>
      <c r="H409" s="16"/>
      <c r="I409" s="19" t="s">
        <v>1577</v>
      </c>
      <c r="J409" s="16"/>
      <c r="K409" s="16" t="s">
        <v>1578</v>
      </c>
      <c r="L409" s="16"/>
      <c r="M409" s="16" t="str">
        <f>HYPERLINK("https://ceds.ed.gov/cedselementdetails.aspx?termid=27796")</f>
        <v>https://ceds.ed.gov/cedselementdetails.aspx?termid=27796</v>
      </c>
    </row>
    <row r="410" spans="1:13" ht="57.6" x14ac:dyDescent="0.3">
      <c r="A410" s="16" t="s">
        <v>1579</v>
      </c>
      <c r="B410" s="16" t="s">
        <v>1580</v>
      </c>
      <c r="C410" s="16" t="s">
        <v>22</v>
      </c>
      <c r="D410" s="16" t="s">
        <v>1487</v>
      </c>
      <c r="E410" s="16"/>
      <c r="F410" s="16"/>
      <c r="G410" s="16"/>
      <c r="H410" s="16"/>
      <c r="I410" s="19" t="s">
        <v>1581</v>
      </c>
      <c r="J410" s="16"/>
      <c r="K410" s="16" t="s">
        <v>1582</v>
      </c>
      <c r="L410" s="16"/>
      <c r="M410" s="16" t="str">
        <f>HYPERLINK("https://ceds.ed.gov/cedselementdetails.aspx?termid=27884")</f>
        <v>https://ceds.ed.gov/cedselementdetails.aspx?termid=27884</v>
      </c>
    </row>
    <row r="411" spans="1:13" ht="409.6" x14ac:dyDescent="0.3">
      <c r="A411" s="16" t="s">
        <v>1583</v>
      </c>
      <c r="B411" s="16" t="s">
        <v>1584</v>
      </c>
      <c r="C411" s="16" t="s">
        <v>8377</v>
      </c>
      <c r="D411" s="16" t="s">
        <v>1547</v>
      </c>
      <c r="E411" s="16"/>
      <c r="F411" s="16"/>
      <c r="G411" s="16"/>
      <c r="H411" s="16"/>
      <c r="I411" s="19" t="s">
        <v>1585</v>
      </c>
      <c r="J411" s="16"/>
      <c r="K411" s="16" t="s">
        <v>1586</v>
      </c>
      <c r="L411" s="16"/>
      <c r="M411" s="16" t="str">
        <f>HYPERLINK("https://ceds.ed.gov/cedselementdetails.aspx?termid=27798")</f>
        <v>https://ceds.ed.gov/cedselementdetails.aspx?termid=27798</v>
      </c>
    </row>
    <row r="412" spans="1:13" ht="100.8" x14ac:dyDescent="0.3">
      <c r="A412" s="16" t="s">
        <v>1587</v>
      </c>
      <c r="B412" s="16" t="s">
        <v>1588</v>
      </c>
      <c r="C412" s="16" t="s">
        <v>8378</v>
      </c>
      <c r="D412" s="16" t="s">
        <v>1589</v>
      </c>
      <c r="E412" s="16"/>
      <c r="F412" s="16"/>
      <c r="G412" s="16"/>
      <c r="H412" s="16"/>
      <c r="I412" s="19" t="s">
        <v>1590</v>
      </c>
      <c r="J412" s="16"/>
      <c r="K412" s="16" t="s">
        <v>1591</v>
      </c>
      <c r="L412" s="16"/>
      <c r="M412" s="16" t="str">
        <f>HYPERLINK("https://ceds.ed.gov/cedselementdetails.aspx?termid=27846")</f>
        <v>https://ceds.ed.gov/cedselementdetails.aspx?termid=27846</v>
      </c>
    </row>
    <row r="413" spans="1:13" ht="144" x14ac:dyDescent="0.3">
      <c r="A413" s="16" t="s">
        <v>1592</v>
      </c>
      <c r="B413" s="16" t="s">
        <v>1593</v>
      </c>
      <c r="C413" s="16" t="s">
        <v>8379</v>
      </c>
      <c r="D413" s="16" t="s">
        <v>1547</v>
      </c>
      <c r="E413" s="16"/>
      <c r="F413" s="16"/>
      <c r="G413" s="16"/>
      <c r="H413" s="16"/>
      <c r="I413" s="19" t="s">
        <v>1594</v>
      </c>
      <c r="J413" s="16"/>
      <c r="K413" s="16" t="s">
        <v>1595</v>
      </c>
      <c r="L413" s="16"/>
      <c r="M413" s="16" t="str">
        <f>HYPERLINK("https://ceds.ed.gov/cedselementdetails.aspx?termid=27799")</f>
        <v>https://ceds.ed.gov/cedselementdetails.aspx?termid=27799</v>
      </c>
    </row>
    <row r="414" spans="1:13" ht="86.4" x14ac:dyDescent="0.3">
      <c r="A414" s="16" t="s">
        <v>1596</v>
      </c>
      <c r="B414" s="16" t="s">
        <v>1597</v>
      </c>
      <c r="C414" s="16" t="s">
        <v>8380</v>
      </c>
      <c r="D414" s="16" t="s">
        <v>1589</v>
      </c>
      <c r="E414" s="16"/>
      <c r="F414" s="16"/>
      <c r="G414" s="16"/>
      <c r="H414" s="16"/>
      <c r="I414" s="19" t="s">
        <v>1598</v>
      </c>
      <c r="J414" s="16"/>
      <c r="K414" s="16" t="s">
        <v>1599</v>
      </c>
      <c r="L414" s="16"/>
      <c r="M414" s="16" t="str">
        <f>HYPERLINK("https://ceds.ed.gov/cedselementdetails.aspx?termid=27847")</f>
        <v>https://ceds.ed.gov/cedselementdetails.aspx?termid=27847</v>
      </c>
    </row>
    <row r="415" spans="1:13" ht="100.8" x14ac:dyDescent="0.3">
      <c r="A415" s="16" t="s">
        <v>1600</v>
      </c>
      <c r="B415" s="16" t="s">
        <v>1601</v>
      </c>
      <c r="C415" s="16" t="s">
        <v>8381</v>
      </c>
      <c r="D415" s="16" t="s">
        <v>1552</v>
      </c>
      <c r="E415" s="16"/>
      <c r="F415" s="16"/>
      <c r="G415" s="16"/>
      <c r="H415" s="16"/>
      <c r="I415" s="19" t="s">
        <v>1602</v>
      </c>
      <c r="J415" s="16"/>
      <c r="K415" s="16" t="s">
        <v>1603</v>
      </c>
      <c r="L415" s="16"/>
      <c r="M415" s="16" t="str">
        <f>HYPERLINK("https://ceds.ed.gov/cedselementdetails.aspx?termid=27772")</f>
        <v>https://ceds.ed.gov/cedselementdetails.aspx?termid=27772</v>
      </c>
    </row>
    <row r="416" spans="1:13" ht="158.4" x14ac:dyDescent="0.3">
      <c r="A416" s="16" t="s">
        <v>1604</v>
      </c>
      <c r="B416" s="16" t="s">
        <v>1605</v>
      </c>
      <c r="C416" s="16" t="s">
        <v>8382</v>
      </c>
      <c r="D416" s="16" t="s">
        <v>1487</v>
      </c>
      <c r="E416" s="16"/>
      <c r="F416" s="16"/>
      <c r="G416" s="16"/>
      <c r="H416" s="16"/>
      <c r="I416" s="19" t="s">
        <v>1606</v>
      </c>
      <c r="J416" s="16"/>
      <c r="K416" s="16" t="s">
        <v>1607</v>
      </c>
      <c r="L416" s="16"/>
      <c r="M416" s="16" t="str">
        <f>HYPERLINK("https://ceds.ed.gov/cedselementdetails.aspx?termid=27836")</f>
        <v>https://ceds.ed.gov/cedselementdetails.aspx?termid=27836</v>
      </c>
    </row>
    <row r="417" spans="1:13" ht="144" x14ac:dyDescent="0.3">
      <c r="A417" s="16" t="s">
        <v>1608</v>
      </c>
      <c r="B417" s="16" t="s">
        <v>1609</v>
      </c>
      <c r="C417" s="16" t="s">
        <v>8383</v>
      </c>
      <c r="D417" s="16" t="s">
        <v>1552</v>
      </c>
      <c r="E417" s="16"/>
      <c r="F417" s="16"/>
      <c r="G417" s="16"/>
      <c r="H417" s="16"/>
      <c r="I417" s="19" t="s">
        <v>1610</v>
      </c>
      <c r="J417" s="16"/>
      <c r="K417" s="16" t="s">
        <v>1611</v>
      </c>
      <c r="L417" s="16"/>
      <c r="M417" s="16" t="str">
        <f>HYPERLINK("https://ceds.ed.gov/cedselementdetails.aspx?termid=27775")</f>
        <v>https://ceds.ed.gov/cedselementdetails.aspx?termid=27775</v>
      </c>
    </row>
    <row r="418" spans="1:13" ht="43.2" x14ac:dyDescent="0.3">
      <c r="A418" s="16" t="s">
        <v>1612</v>
      </c>
      <c r="B418" s="16" t="s">
        <v>1613</v>
      </c>
      <c r="C418" s="16" t="s">
        <v>32</v>
      </c>
      <c r="D418" s="16" t="s">
        <v>1589</v>
      </c>
      <c r="E418" s="16"/>
      <c r="F418" s="16" t="s">
        <v>106</v>
      </c>
      <c r="G418" s="16"/>
      <c r="H418" s="16"/>
      <c r="I418" s="19" t="s">
        <v>1614</v>
      </c>
      <c r="J418" s="16"/>
      <c r="K418" s="16" t="s">
        <v>1615</v>
      </c>
      <c r="L418" s="16"/>
      <c r="M418" s="16" t="str">
        <f>HYPERLINK("https://ceds.ed.gov/cedselementdetails.aspx?termid=27861")</f>
        <v>https://ceds.ed.gov/cedselementdetails.aspx?termid=27861</v>
      </c>
    </row>
    <row r="419" spans="1:13" ht="216" x14ac:dyDescent="0.3">
      <c r="A419" s="16" t="s">
        <v>1616</v>
      </c>
      <c r="B419" s="16" t="s">
        <v>1617</v>
      </c>
      <c r="C419" s="16" t="s">
        <v>8384</v>
      </c>
      <c r="D419" s="16" t="s">
        <v>1547</v>
      </c>
      <c r="E419" s="16"/>
      <c r="F419" s="16"/>
      <c r="G419" s="16"/>
      <c r="H419" s="16"/>
      <c r="I419" s="19" t="s">
        <v>1618</v>
      </c>
      <c r="J419" s="16"/>
      <c r="K419" s="16" t="s">
        <v>1619</v>
      </c>
      <c r="L419" s="16"/>
      <c r="M419" s="16" t="str">
        <f>HYPERLINK("https://ceds.ed.gov/cedselementdetails.aspx?termid=27797")</f>
        <v>https://ceds.ed.gov/cedselementdetails.aspx?termid=27797</v>
      </c>
    </row>
    <row r="420" spans="1:13" ht="144" x14ac:dyDescent="0.3">
      <c r="A420" s="16" t="s">
        <v>1620</v>
      </c>
      <c r="B420" s="16" t="s">
        <v>1621</v>
      </c>
      <c r="C420" s="16" t="s">
        <v>8385</v>
      </c>
      <c r="D420" s="16" t="s">
        <v>1552</v>
      </c>
      <c r="E420" s="16"/>
      <c r="F420" s="16"/>
      <c r="G420" s="16"/>
      <c r="H420" s="16"/>
      <c r="I420" s="19" t="s">
        <v>1622</v>
      </c>
      <c r="J420" s="16"/>
      <c r="K420" s="16" t="s">
        <v>1623</v>
      </c>
      <c r="L420" s="16"/>
      <c r="M420" s="16" t="str">
        <f>HYPERLINK("https://ceds.ed.gov/cedselementdetails.aspx?termid=27776")</f>
        <v>https://ceds.ed.gov/cedselementdetails.aspx?termid=27776</v>
      </c>
    </row>
    <row r="421" spans="1:13" ht="158.4" x14ac:dyDescent="0.3">
      <c r="A421" s="16" t="s">
        <v>1624</v>
      </c>
      <c r="B421" s="16" t="s">
        <v>1625</v>
      </c>
      <c r="C421" s="16" t="s">
        <v>8386</v>
      </c>
      <c r="D421" s="16" t="s">
        <v>1589</v>
      </c>
      <c r="E421" s="16"/>
      <c r="F421" s="16"/>
      <c r="G421" s="16"/>
      <c r="H421" s="16"/>
      <c r="I421" s="19" t="s">
        <v>1626</v>
      </c>
      <c r="J421" s="16"/>
      <c r="K421" s="16" t="s">
        <v>1627</v>
      </c>
      <c r="L421" s="16"/>
      <c r="M421" s="16" t="str">
        <f>HYPERLINK("https://ceds.ed.gov/cedselementdetails.aspx?termid=27849")</f>
        <v>https://ceds.ed.gov/cedselementdetails.aspx?termid=27849</v>
      </c>
    </row>
    <row r="422" spans="1:13" ht="72" x14ac:dyDescent="0.3">
      <c r="A422" s="16" t="s">
        <v>1628</v>
      </c>
      <c r="B422" s="16" t="s">
        <v>1629</v>
      </c>
      <c r="C422" s="16" t="s">
        <v>32</v>
      </c>
      <c r="D422" s="16" t="s">
        <v>1589</v>
      </c>
      <c r="E422" s="16"/>
      <c r="F422" s="16" t="s">
        <v>145</v>
      </c>
      <c r="G422" s="16"/>
      <c r="H422" s="16"/>
      <c r="I422" s="19" t="s">
        <v>1630</v>
      </c>
      <c r="J422" s="16"/>
      <c r="K422" s="16" t="s">
        <v>1631</v>
      </c>
      <c r="L422" s="16"/>
      <c r="M422" s="16" t="str">
        <f>HYPERLINK("https://ceds.ed.gov/cedselementdetails.aspx?termid=27850")</f>
        <v>https://ceds.ed.gov/cedselementdetails.aspx?termid=27850</v>
      </c>
    </row>
    <row r="423" spans="1:13" ht="172.8" x14ac:dyDescent="0.3">
      <c r="A423" s="16" t="s">
        <v>1632</v>
      </c>
      <c r="B423" s="16" t="s">
        <v>1633</v>
      </c>
      <c r="C423" s="16" t="s">
        <v>8387</v>
      </c>
      <c r="D423" s="16" t="s">
        <v>1589</v>
      </c>
      <c r="E423" s="16"/>
      <c r="F423" s="16"/>
      <c r="G423" s="16"/>
      <c r="H423" s="16"/>
      <c r="I423" s="19" t="s">
        <v>1634</v>
      </c>
      <c r="J423" s="16"/>
      <c r="K423" s="16" t="s">
        <v>1635</v>
      </c>
      <c r="L423" s="16"/>
      <c r="M423" s="16" t="str">
        <f>HYPERLINK("https://ceds.ed.gov/cedselementdetails.aspx?termid=27851")</f>
        <v>https://ceds.ed.gov/cedselementdetails.aspx?termid=27851</v>
      </c>
    </row>
    <row r="424" spans="1:13" ht="158.4" x14ac:dyDescent="0.3">
      <c r="A424" s="16" t="s">
        <v>1636</v>
      </c>
      <c r="B424" s="16" t="s">
        <v>1637</v>
      </c>
      <c r="C424" s="16" t="s">
        <v>8388</v>
      </c>
      <c r="D424" s="16" t="s">
        <v>1547</v>
      </c>
      <c r="E424" s="16"/>
      <c r="F424" s="16"/>
      <c r="G424" s="16"/>
      <c r="H424" s="16"/>
      <c r="I424" s="19" t="s">
        <v>1638</v>
      </c>
      <c r="J424" s="16"/>
      <c r="K424" s="16" t="s">
        <v>1639</v>
      </c>
      <c r="L424" s="16"/>
      <c r="M424" s="16" t="str">
        <f>HYPERLINK("https://ceds.ed.gov/cedselementdetails.aspx?termid=27800")</f>
        <v>https://ceds.ed.gov/cedselementdetails.aspx?termid=27800</v>
      </c>
    </row>
    <row r="425" spans="1:13" ht="129.6" x14ac:dyDescent="0.3">
      <c r="A425" s="16" t="s">
        <v>1640</v>
      </c>
      <c r="B425" s="16" t="s">
        <v>1641</v>
      </c>
      <c r="C425" s="16" t="s">
        <v>8389</v>
      </c>
      <c r="D425" s="16" t="s">
        <v>1552</v>
      </c>
      <c r="E425" s="16"/>
      <c r="F425" s="16"/>
      <c r="G425" s="16"/>
      <c r="H425" s="16"/>
      <c r="I425" s="19" t="s">
        <v>1642</v>
      </c>
      <c r="J425" s="16"/>
      <c r="K425" s="16" t="s">
        <v>1643</v>
      </c>
      <c r="L425" s="16"/>
      <c r="M425" s="16" t="str">
        <f>HYPERLINK("https://ceds.ed.gov/cedselementdetails.aspx?termid=27779")</f>
        <v>https://ceds.ed.gov/cedselementdetails.aspx?termid=27779</v>
      </c>
    </row>
    <row r="426" spans="1:13" ht="288" x14ac:dyDescent="0.3">
      <c r="A426" s="16" t="s">
        <v>1644</v>
      </c>
      <c r="B426" s="16" t="s">
        <v>1645</v>
      </c>
      <c r="C426" s="16" t="s">
        <v>8390</v>
      </c>
      <c r="D426" s="16" t="s">
        <v>1547</v>
      </c>
      <c r="E426" s="16"/>
      <c r="F426" s="16"/>
      <c r="G426" s="16"/>
      <c r="H426" s="16"/>
      <c r="I426" s="19" t="s">
        <v>1646</v>
      </c>
      <c r="J426" s="16"/>
      <c r="K426" s="16" t="s">
        <v>1647</v>
      </c>
      <c r="L426" s="16"/>
      <c r="M426" s="16" t="str">
        <f>HYPERLINK("https://ceds.ed.gov/cedselementdetails.aspx?termid=27802")</f>
        <v>https://ceds.ed.gov/cedselementdetails.aspx?termid=27802</v>
      </c>
    </row>
    <row r="427" spans="1:13" ht="72" x14ac:dyDescent="0.3">
      <c r="A427" s="16" t="s">
        <v>1648</v>
      </c>
      <c r="B427" s="16" t="s">
        <v>1649</v>
      </c>
      <c r="C427" s="16" t="s">
        <v>8391</v>
      </c>
      <c r="D427" s="16" t="s">
        <v>1547</v>
      </c>
      <c r="E427" s="16"/>
      <c r="F427" s="16"/>
      <c r="G427" s="16"/>
      <c r="H427" s="16"/>
      <c r="I427" s="19" t="s">
        <v>1650</v>
      </c>
      <c r="J427" s="16"/>
      <c r="K427" s="16" t="s">
        <v>1651</v>
      </c>
      <c r="L427" s="16"/>
      <c r="M427" s="16" t="str">
        <f>HYPERLINK("https://ceds.ed.gov/cedselementdetails.aspx?termid=27824")</f>
        <v>https://ceds.ed.gov/cedselementdetails.aspx?termid=27824</v>
      </c>
    </row>
    <row r="428" spans="1:13" ht="158.4" x14ac:dyDescent="0.3">
      <c r="A428" s="16" t="s">
        <v>1652</v>
      </c>
      <c r="B428" s="16" t="s">
        <v>1653</v>
      </c>
      <c r="C428" s="16" t="s">
        <v>8392</v>
      </c>
      <c r="D428" s="16" t="s">
        <v>1552</v>
      </c>
      <c r="E428" s="16"/>
      <c r="F428" s="16"/>
      <c r="G428" s="16"/>
      <c r="H428" s="16"/>
      <c r="I428" s="19" t="s">
        <v>1654</v>
      </c>
      <c r="J428" s="16"/>
      <c r="K428" s="16" t="s">
        <v>1655</v>
      </c>
      <c r="L428" s="16"/>
      <c r="M428" s="16" t="str">
        <f>HYPERLINK("https://ceds.ed.gov/cedselementdetails.aspx?termid=27780")</f>
        <v>https://ceds.ed.gov/cedselementdetails.aspx?termid=27780</v>
      </c>
    </row>
    <row r="429" spans="1:13" ht="158.4" x14ac:dyDescent="0.3">
      <c r="A429" s="16" t="s">
        <v>1656</v>
      </c>
      <c r="B429" s="16" t="s">
        <v>1657</v>
      </c>
      <c r="C429" s="16" t="s">
        <v>8393</v>
      </c>
      <c r="D429" s="16" t="s">
        <v>1538</v>
      </c>
      <c r="E429" s="16"/>
      <c r="F429" s="16"/>
      <c r="G429" s="16"/>
      <c r="H429" s="16"/>
      <c r="I429" s="19" t="s">
        <v>1658</v>
      </c>
      <c r="J429" s="16"/>
      <c r="K429" s="16" t="s">
        <v>1659</v>
      </c>
      <c r="L429" s="16"/>
      <c r="M429" s="16" t="str">
        <f>HYPERLINK("https://ceds.ed.gov/cedselementdetails.aspx?termid=27753")</f>
        <v>https://ceds.ed.gov/cedselementdetails.aspx?termid=27753</v>
      </c>
    </row>
    <row r="430" spans="1:13" ht="57.6" x14ac:dyDescent="0.3">
      <c r="A430" s="16" t="s">
        <v>1660</v>
      </c>
      <c r="B430" s="16" t="s">
        <v>1661</v>
      </c>
      <c r="C430" s="16" t="s">
        <v>32</v>
      </c>
      <c r="D430" s="16" t="s">
        <v>1487</v>
      </c>
      <c r="E430" s="16"/>
      <c r="F430" s="16" t="s">
        <v>1662</v>
      </c>
      <c r="G430" s="16"/>
      <c r="H430" s="16"/>
      <c r="I430" s="19" t="s">
        <v>1663</v>
      </c>
      <c r="J430" s="16"/>
      <c r="K430" s="16" t="s">
        <v>1664</v>
      </c>
      <c r="L430" s="16"/>
      <c r="M430" s="16" t="str">
        <f>HYPERLINK("https://ceds.ed.gov/cedselementdetails.aspx?termid=27837")</f>
        <v>https://ceds.ed.gov/cedselementdetails.aspx?termid=27837</v>
      </c>
    </row>
    <row r="431" spans="1:13" ht="144" x14ac:dyDescent="0.3">
      <c r="A431" s="16" t="s">
        <v>1665</v>
      </c>
      <c r="B431" s="16" t="s">
        <v>1666</v>
      </c>
      <c r="C431" s="16" t="s">
        <v>8394</v>
      </c>
      <c r="D431" s="16" t="s">
        <v>1552</v>
      </c>
      <c r="E431" s="16"/>
      <c r="F431" s="16"/>
      <c r="G431" s="16"/>
      <c r="H431" s="16"/>
      <c r="I431" s="19" t="s">
        <v>1667</v>
      </c>
      <c r="J431" s="16"/>
      <c r="K431" s="16" t="s">
        <v>1668</v>
      </c>
      <c r="L431" s="16"/>
      <c r="M431" s="16" t="str">
        <f>HYPERLINK("https://ceds.ed.gov/cedselementdetails.aspx?termid=27781")</f>
        <v>https://ceds.ed.gov/cedselementdetails.aspx?termid=27781</v>
      </c>
    </row>
    <row r="432" spans="1:13" ht="230.4" x14ac:dyDescent="0.3">
      <c r="A432" s="16" t="s">
        <v>1669</v>
      </c>
      <c r="B432" s="16" t="s">
        <v>1670</v>
      </c>
      <c r="C432" s="16" t="s">
        <v>8395</v>
      </c>
      <c r="D432" s="16" t="s">
        <v>1547</v>
      </c>
      <c r="E432" s="16"/>
      <c r="F432" s="16"/>
      <c r="G432" s="16"/>
      <c r="H432" s="16"/>
      <c r="I432" s="19" t="s">
        <v>1671</v>
      </c>
      <c r="J432" s="16"/>
      <c r="K432" s="16" t="s">
        <v>1672</v>
      </c>
      <c r="L432" s="16"/>
      <c r="M432" s="16" t="str">
        <f>HYPERLINK("https://ceds.ed.gov/cedselementdetails.aspx?termid=27803")</f>
        <v>https://ceds.ed.gov/cedselementdetails.aspx?termid=27803</v>
      </c>
    </row>
    <row r="433" spans="1:13" ht="72" x14ac:dyDescent="0.3">
      <c r="A433" s="16" t="s">
        <v>1673</v>
      </c>
      <c r="B433" s="16" t="s">
        <v>1674</v>
      </c>
      <c r="C433" s="16" t="s">
        <v>32</v>
      </c>
      <c r="D433" s="16" t="s">
        <v>1552</v>
      </c>
      <c r="E433" s="16"/>
      <c r="F433" s="16" t="s">
        <v>55</v>
      </c>
      <c r="G433" s="16"/>
      <c r="H433" s="16"/>
      <c r="I433" s="19" t="s">
        <v>1675</v>
      </c>
      <c r="J433" s="16"/>
      <c r="K433" s="16" t="s">
        <v>1676</v>
      </c>
      <c r="L433" s="16"/>
      <c r="M433" s="16" t="str">
        <f>HYPERLINK("https://ceds.ed.gov/cedselementdetails.aspx?termid=27782")</f>
        <v>https://ceds.ed.gov/cedselementdetails.aspx?termid=27782</v>
      </c>
    </row>
    <row r="434" spans="1:13" ht="43.2" x14ac:dyDescent="0.3">
      <c r="A434" s="16" t="s">
        <v>1677</v>
      </c>
      <c r="B434" s="16" t="s">
        <v>1678</v>
      </c>
      <c r="C434" s="16" t="s">
        <v>8396</v>
      </c>
      <c r="D434" s="16" t="s">
        <v>1487</v>
      </c>
      <c r="E434" s="16"/>
      <c r="F434" s="16"/>
      <c r="G434" s="16"/>
      <c r="H434" s="16"/>
      <c r="I434" s="19" t="s">
        <v>1679</v>
      </c>
      <c r="J434" s="16"/>
      <c r="K434" s="16" t="s">
        <v>1680</v>
      </c>
      <c r="L434" s="16"/>
      <c r="M434" s="16" t="str">
        <f>HYPERLINK("https://ceds.ed.gov/cedselementdetails.aspx?termid=27832")</f>
        <v>https://ceds.ed.gov/cedselementdetails.aspx?termid=27832</v>
      </c>
    </row>
    <row r="435" spans="1:13" ht="115.2" x14ac:dyDescent="0.3">
      <c r="A435" s="16" t="s">
        <v>1681</v>
      </c>
      <c r="B435" s="16" t="s">
        <v>1682</v>
      </c>
      <c r="C435" s="16" t="s">
        <v>8397</v>
      </c>
      <c r="D435" s="16" t="s">
        <v>1487</v>
      </c>
      <c r="E435" s="16"/>
      <c r="F435" s="16"/>
      <c r="G435" s="16"/>
      <c r="H435" s="16"/>
      <c r="I435" s="19" t="s">
        <v>1683</v>
      </c>
      <c r="J435" s="16"/>
      <c r="K435" s="16" t="s">
        <v>1684</v>
      </c>
      <c r="L435" s="16"/>
      <c r="M435" s="16" t="str">
        <f>HYPERLINK("https://ceds.ed.gov/cedselementdetails.aspx?termid=27833")</f>
        <v>https://ceds.ed.gov/cedselementdetails.aspx?termid=27833</v>
      </c>
    </row>
    <row r="436" spans="1:13" ht="72" x14ac:dyDescent="0.3">
      <c r="A436" s="16" t="s">
        <v>1685</v>
      </c>
      <c r="B436" s="16" t="s">
        <v>1686</v>
      </c>
      <c r="C436" s="16" t="s">
        <v>8398</v>
      </c>
      <c r="D436" s="16" t="s">
        <v>1487</v>
      </c>
      <c r="E436" s="16"/>
      <c r="F436" s="16"/>
      <c r="G436" s="16"/>
      <c r="H436" s="16"/>
      <c r="I436" s="19" t="s">
        <v>1687</v>
      </c>
      <c r="J436" s="16"/>
      <c r="K436" s="16" t="s">
        <v>1688</v>
      </c>
      <c r="L436" s="16"/>
      <c r="M436" s="16" t="str">
        <f>HYPERLINK("https://ceds.ed.gov/cedselementdetails.aspx?termid=27834")</f>
        <v>https://ceds.ed.gov/cedselementdetails.aspx?termid=27834</v>
      </c>
    </row>
    <row r="437" spans="1:13" ht="86.4" x14ac:dyDescent="0.3">
      <c r="A437" s="16" t="s">
        <v>1689</v>
      </c>
      <c r="B437" s="16" t="s">
        <v>1690</v>
      </c>
      <c r="C437" s="16" t="s">
        <v>8399</v>
      </c>
      <c r="D437" s="16" t="s">
        <v>1487</v>
      </c>
      <c r="E437" s="16"/>
      <c r="F437" s="16"/>
      <c r="G437" s="16"/>
      <c r="H437" s="16"/>
      <c r="I437" s="19" t="s">
        <v>1691</v>
      </c>
      <c r="J437" s="16"/>
      <c r="K437" s="16" t="s">
        <v>1692</v>
      </c>
      <c r="L437" s="16"/>
      <c r="M437" s="16" t="str">
        <f>HYPERLINK("https://ceds.ed.gov/cedselementdetails.aspx?termid=27835")</f>
        <v>https://ceds.ed.gov/cedselementdetails.aspx?termid=27835</v>
      </c>
    </row>
    <row r="438" spans="1:13" ht="129.6" x14ac:dyDescent="0.3">
      <c r="A438" s="16" t="s">
        <v>1693</v>
      </c>
      <c r="B438" s="16" t="s">
        <v>1694</v>
      </c>
      <c r="C438" s="16" t="s">
        <v>8400</v>
      </c>
      <c r="D438" s="16" t="s">
        <v>1547</v>
      </c>
      <c r="E438" s="16"/>
      <c r="F438" s="16"/>
      <c r="G438" s="16"/>
      <c r="H438" s="16"/>
      <c r="I438" s="19" t="s">
        <v>1695</v>
      </c>
      <c r="J438" s="16"/>
      <c r="K438" s="16" t="s">
        <v>1696</v>
      </c>
      <c r="L438" s="16"/>
      <c r="M438" s="16" t="str">
        <f>HYPERLINK("https://ceds.ed.gov/cedselementdetails.aspx?termid=27804")</f>
        <v>https://ceds.ed.gov/cedselementdetails.aspx?termid=27804</v>
      </c>
    </row>
    <row r="439" spans="1:13" ht="86.4" x14ac:dyDescent="0.3">
      <c r="A439" s="16" t="s">
        <v>1697</v>
      </c>
      <c r="B439" s="16" t="s">
        <v>1698</v>
      </c>
      <c r="C439" s="16" t="s">
        <v>8401</v>
      </c>
      <c r="D439" s="16" t="s">
        <v>1552</v>
      </c>
      <c r="E439" s="16"/>
      <c r="F439" s="16"/>
      <c r="G439" s="16"/>
      <c r="H439" s="16"/>
      <c r="I439" s="19" t="s">
        <v>1699</v>
      </c>
      <c r="J439" s="16"/>
      <c r="K439" s="16" t="s">
        <v>1700</v>
      </c>
      <c r="L439" s="16"/>
      <c r="M439" s="16" t="str">
        <f>HYPERLINK("https://ceds.ed.gov/cedselementdetails.aspx?termid=27783")</f>
        <v>https://ceds.ed.gov/cedselementdetails.aspx?termid=27783</v>
      </c>
    </row>
    <row r="440" spans="1:13" ht="72" x14ac:dyDescent="0.3">
      <c r="A440" s="16" t="s">
        <v>1701</v>
      </c>
      <c r="B440" s="16" t="s">
        <v>1702</v>
      </c>
      <c r="C440" s="16" t="s">
        <v>8402</v>
      </c>
      <c r="D440" s="16" t="s">
        <v>1552</v>
      </c>
      <c r="E440" s="16"/>
      <c r="F440" s="16"/>
      <c r="G440" s="16"/>
      <c r="H440" s="16"/>
      <c r="I440" s="19" t="s">
        <v>1703</v>
      </c>
      <c r="J440" s="16"/>
      <c r="K440" s="16" t="s">
        <v>1704</v>
      </c>
      <c r="L440" s="16"/>
      <c r="M440" s="16" t="str">
        <f>HYPERLINK("https://ceds.ed.gov/cedselementdetails.aspx?termid=27790")</f>
        <v>https://ceds.ed.gov/cedselementdetails.aspx?termid=27790</v>
      </c>
    </row>
    <row r="441" spans="1:13" ht="57.6" x14ac:dyDescent="0.3">
      <c r="A441" s="16" t="s">
        <v>1705</v>
      </c>
      <c r="B441" s="16" t="s">
        <v>1706</v>
      </c>
      <c r="C441" s="16" t="s">
        <v>32</v>
      </c>
      <c r="D441" s="16" t="s">
        <v>1487</v>
      </c>
      <c r="E441" s="16"/>
      <c r="F441" s="16" t="s">
        <v>1481</v>
      </c>
      <c r="G441" s="16"/>
      <c r="H441" s="16"/>
      <c r="I441" s="19" t="s">
        <v>1707</v>
      </c>
      <c r="J441" s="16"/>
      <c r="K441" s="16" t="s">
        <v>1708</v>
      </c>
      <c r="L441" s="16"/>
      <c r="M441" s="16" t="str">
        <f>HYPERLINK("https://ceds.ed.gov/cedselementdetails.aspx?termid=27838")</f>
        <v>https://ceds.ed.gov/cedselementdetails.aspx?termid=27838</v>
      </c>
    </row>
    <row r="442" spans="1:13" ht="43.2" x14ac:dyDescent="0.3">
      <c r="A442" s="16" t="s">
        <v>1709</v>
      </c>
      <c r="B442" s="16" t="s">
        <v>1710</v>
      </c>
      <c r="C442" s="16" t="s">
        <v>32</v>
      </c>
      <c r="D442" s="16" t="s">
        <v>1538</v>
      </c>
      <c r="E442" s="16"/>
      <c r="F442" s="16" t="s">
        <v>1662</v>
      </c>
      <c r="G442" s="16"/>
      <c r="H442" s="16"/>
      <c r="I442" s="19" t="s">
        <v>1711</v>
      </c>
      <c r="J442" s="16"/>
      <c r="K442" s="16" t="s">
        <v>1712</v>
      </c>
      <c r="L442" s="16"/>
      <c r="M442" s="16" t="str">
        <f>HYPERLINK("https://ceds.ed.gov/cedselementdetails.aspx?termid=27766")</f>
        <v>https://ceds.ed.gov/cedselementdetails.aspx?termid=27766</v>
      </c>
    </row>
    <row r="443" spans="1:13" ht="57.6" x14ac:dyDescent="0.3">
      <c r="A443" s="16" t="s">
        <v>1713</v>
      </c>
      <c r="B443" s="16" t="s">
        <v>1714</v>
      </c>
      <c r="C443" s="16" t="s">
        <v>32</v>
      </c>
      <c r="D443" s="16" t="s">
        <v>1487</v>
      </c>
      <c r="E443" s="16"/>
      <c r="F443" s="16" t="s">
        <v>1662</v>
      </c>
      <c r="G443" s="16"/>
      <c r="H443" s="16"/>
      <c r="I443" s="19" t="s">
        <v>1715</v>
      </c>
      <c r="J443" s="16"/>
      <c r="K443" s="16" t="s">
        <v>1716</v>
      </c>
      <c r="L443" s="16"/>
      <c r="M443" s="16" t="str">
        <f>HYPERLINK("https://ceds.ed.gov/cedselementdetails.aspx?termid=27839")</f>
        <v>https://ceds.ed.gov/cedselementdetails.aspx?termid=27839</v>
      </c>
    </row>
    <row r="444" spans="1:13" ht="244.8" x14ac:dyDescent="0.3">
      <c r="A444" s="16" t="s">
        <v>1717</v>
      </c>
      <c r="B444" s="16" t="s">
        <v>1718</v>
      </c>
      <c r="C444" s="16" t="s">
        <v>8403</v>
      </c>
      <c r="D444" s="16" t="s">
        <v>1547</v>
      </c>
      <c r="E444" s="16"/>
      <c r="F444" s="16"/>
      <c r="G444" s="16"/>
      <c r="H444" s="16"/>
      <c r="I444" s="19" t="s">
        <v>1719</v>
      </c>
      <c r="J444" s="16"/>
      <c r="K444" s="16" t="s">
        <v>1720</v>
      </c>
      <c r="L444" s="16"/>
      <c r="M444" s="16" t="str">
        <f>HYPERLINK("https://ceds.ed.gov/cedselementdetails.aspx?termid=27805")</f>
        <v>https://ceds.ed.gov/cedselementdetails.aspx?termid=27805</v>
      </c>
    </row>
    <row r="445" spans="1:13" ht="216" x14ac:dyDescent="0.3">
      <c r="A445" s="16" t="s">
        <v>1721</v>
      </c>
      <c r="B445" s="16" t="s">
        <v>1722</v>
      </c>
      <c r="C445" s="16" t="s">
        <v>8404</v>
      </c>
      <c r="D445" s="16" t="s">
        <v>1547</v>
      </c>
      <c r="E445" s="16"/>
      <c r="F445" s="16"/>
      <c r="G445" s="16"/>
      <c r="H445" s="16"/>
      <c r="I445" s="19" t="s">
        <v>1723</v>
      </c>
      <c r="J445" s="16"/>
      <c r="K445" s="16" t="s">
        <v>1724</v>
      </c>
      <c r="L445" s="16"/>
      <c r="M445" s="16" t="str">
        <f>HYPERLINK("https://ceds.ed.gov/cedselementdetails.aspx?termid=27806")</f>
        <v>https://ceds.ed.gov/cedselementdetails.aspx?termid=27806</v>
      </c>
    </row>
    <row r="446" spans="1:13" ht="129.6" x14ac:dyDescent="0.3">
      <c r="A446" s="16" t="s">
        <v>1725</v>
      </c>
      <c r="B446" s="16" t="s">
        <v>1726</v>
      </c>
      <c r="C446" s="16" t="s">
        <v>8405</v>
      </c>
      <c r="D446" s="16" t="s">
        <v>1547</v>
      </c>
      <c r="E446" s="16"/>
      <c r="F446" s="16"/>
      <c r="G446" s="16"/>
      <c r="H446" s="16"/>
      <c r="I446" s="19" t="s">
        <v>1727</v>
      </c>
      <c r="J446" s="16"/>
      <c r="K446" s="16" t="s">
        <v>1728</v>
      </c>
      <c r="L446" s="16"/>
      <c r="M446" s="16" t="str">
        <f>HYPERLINK("https://ceds.ed.gov/cedselementdetails.aspx?termid=27807")</f>
        <v>https://ceds.ed.gov/cedselementdetails.aspx?termid=27807</v>
      </c>
    </row>
    <row r="447" spans="1:13" ht="273.60000000000002" x14ac:dyDescent="0.3">
      <c r="A447" s="16" t="s">
        <v>1729</v>
      </c>
      <c r="B447" s="16" t="s">
        <v>1730</v>
      </c>
      <c r="C447" s="16" t="s">
        <v>8406</v>
      </c>
      <c r="D447" s="16" t="s">
        <v>1547</v>
      </c>
      <c r="E447" s="16"/>
      <c r="F447" s="16"/>
      <c r="G447" s="16"/>
      <c r="H447" s="16"/>
      <c r="I447" s="19" t="s">
        <v>1731</v>
      </c>
      <c r="J447" s="16"/>
      <c r="K447" s="16" t="s">
        <v>1732</v>
      </c>
      <c r="L447" s="16"/>
      <c r="M447" s="16" t="str">
        <f>HYPERLINK("https://ceds.ed.gov/cedselementdetails.aspx?termid=27808")</f>
        <v>https://ceds.ed.gov/cedselementdetails.aspx?termid=27808</v>
      </c>
    </row>
    <row r="448" spans="1:13" ht="230.4" x14ac:dyDescent="0.3">
      <c r="A448" s="16" t="s">
        <v>1733</v>
      </c>
      <c r="B448" s="16" t="s">
        <v>1734</v>
      </c>
      <c r="C448" s="16" t="s">
        <v>8407</v>
      </c>
      <c r="D448" s="16" t="s">
        <v>1552</v>
      </c>
      <c r="E448" s="16"/>
      <c r="F448" s="16"/>
      <c r="G448" s="16"/>
      <c r="H448" s="16"/>
      <c r="I448" s="19" t="s">
        <v>1735</v>
      </c>
      <c r="J448" s="16"/>
      <c r="K448" s="16" t="s">
        <v>1736</v>
      </c>
      <c r="L448" s="16"/>
      <c r="M448" s="16" t="str">
        <f>HYPERLINK("https://ceds.ed.gov/cedselementdetails.aspx?termid=27784")</f>
        <v>https://ceds.ed.gov/cedselementdetails.aspx?termid=27784</v>
      </c>
    </row>
    <row r="449" spans="1:13" ht="86.4" x14ac:dyDescent="0.3">
      <c r="A449" s="16" t="s">
        <v>1737</v>
      </c>
      <c r="B449" s="16" t="s">
        <v>1738</v>
      </c>
      <c r="C449" s="16" t="s">
        <v>8408</v>
      </c>
      <c r="D449" s="16" t="s">
        <v>1538</v>
      </c>
      <c r="E449" s="16"/>
      <c r="F449" s="16"/>
      <c r="G449" s="16"/>
      <c r="H449" s="16"/>
      <c r="I449" s="19" t="s">
        <v>1739</v>
      </c>
      <c r="J449" s="16"/>
      <c r="K449" s="16" t="s">
        <v>1740</v>
      </c>
      <c r="L449" s="16"/>
      <c r="M449" s="16" t="str">
        <f>HYPERLINK("https://ceds.ed.gov/cedselementdetails.aspx?termid=27758")</f>
        <v>https://ceds.ed.gov/cedselementdetails.aspx?termid=27758</v>
      </c>
    </row>
    <row r="450" spans="1:13" ht="57.6" x14ac:dyDescent="0.3">
      <c r="A450" s="16" t="s">
        <v>1741</v>
      </c>
      <c r="B450" s="16" t="s">
        <v>1742</v>
      </c>
      <c r="C450" s="16" t="s">
        <v>32</v>
      </c>
      <c r="D450" s="16" t="s">
        <v>1487</v>
      </c>
      <c r="E450" s="16"/>
      <c r="F450" s="16" t="s">
        <v>55</v>
      </c>
      <c r="G450" s="16"/>
      <c r="H450" s="16"/>
      <c r="I450" s="19" t="s">
        <v>1743</v>
      </c>
      <c r="J450" s="16"/>
      <c r="K450" s="16" t="s">
        <v>1744</v>
      </c>
      <c r="L450" s="16"/>
      <c r="M450" s="16" t="str">
        <f>HYPERLINK("https://ceds.ed.gov/cedselementdetails.aspx?termid=27840")</f>
        <v>https://ceds.ed.gov/cedselementdetails.aspx?termid=27840</v>
      </c>
    </row>
    <row r="451" spans="1:13" ht="244.8" x14ac:dyDescent="0.3">
      <c r="A451" s="16" t="s">
        <v>1745</v>
      </c>
      <c r="B451" s="16" t="s">
        <v>1746</v>
      </c>
      <c r="C451" s="16" t="s">
        <v>8409</v>
      </c>
      <c r="D451" s="16" t="s">
        <v>1547</v>
      </c>
      <c r="E451" s="16"/>
      <c r="F451" s="16"/>
      <c r="G451" s="16"/>
      <c r="H451" s="16"/>
      <c r="I451" s="19" t="s">
        <v>1747</v>
      </c>
      <c r="J451" s="16"/>
      <c r="K451" s="16" t="s">
        <v>1748</v>
      </c>
      <c r="L451" s="16"/>
      <c r="M451" s="16" t="str">
        <f>HYPERLINK("https://ceds.ed.gov/cedselementdetails.aspx?termid=27809")</f>
        <v>https://ceds.ed.gov/cedselementdetails.aspx?termid=27809</v>
      </c>
    </row>
    <row r="452" spans="1:13" ht="187.2" x14ac:dyDescent="0.3">
      <c r="A452" s="16" t="s">
        <v>1749</v>
      </c>
      <c r="B452" s="16" t="s">
        <v>1750</v>
      </c>
      <c r="C452" s="16" t="s">
        <v>8410</v>
      </c>
      <c r="D452" s="16" t="s">
        <v>1547</v>
      </c>
      <c r="E452" s="16"/>
      <c r="F452" s="16"/>
      <c r="G452" s="16"/>
      <c r="H452" s="16"/>
      <c r="I452" s="19" t="s">
        <v>1751</v>
      </c>
      <c r="J452" s="16"/>
      <c r="K452" s="16" t="s">
        <v>1752</v>
      </c>
      <c r="L452" s="16"/>
      <c r="M452" s="16" t="str">
        <f>HYPERLINK("https://ceds.ed.gov/cedselementdetails.aspx?termid=27810")</f>
        <v>https://ceds.ed.gov/cedselementdetails.aspx?termid=27810</v>
      </c>
    </row>
    <row r="453" spans="1:13" ht="100.8" x14ac:dyDescent="0.3">
      <c r="A453" s="16" t="s">
        <v>1753</v>
      </c>
      <c r="B453" s="16" t="s">
        <v>1754</v>
      </c>
      <c r="C453" s="16" t="s">
        <v>8411</v>
      </c>
      <c r="D453" s="16" t="s">
        <v>1552</v>
      </c>
      <c r="E453" s="16"/>
      <c r="F453" s="16"/>
      <c r="G453" s="16"/>
      <c r="H453" s="16"/>
      <c r="I453" s="19" t="s">
        <v>1755</v>
      </c>
      <c r="J453" s="16"/>
      <c r="K453" s="16" t="s">
        <v>1756</v>
      </c>
      <c r="L453" s="16"/>
      <c r="M453" s="16" t="str">
        <f>HYPERLINK("https://ceds.ed.gov/cedselementdetails.aspx?termid=27785")</f>
        <v>https://ceds.ed.gov/cedselementdetails.aspx?termid=27785</v>
      </c>
    </row>
    <row r="454" spans="1:13" ht="28.8" x14ac:dyDescent="0.3">
      <c r="A454" s="16" t="s">
        <v>1757</v>
      </c>
      <c r="B454" s="16" t="s">
        <v>1758</v>
      </c>
      <c r="C454" s="16" t="s">
        <v>32</v>
      </c>
      <c r="D454" s="16" t="s">
        <v>1547</v>
      </c>
      <c r="E454" s="16"/>
      <c r="F454" s="16" t="s">
        <v>55</v>
      </c>
      <c r="G454" s="16"/>
      <c r="H454" s="16"/>
      <c r="I454" s="19" t="s">
        <v>1759</v>
      </c>
      <c r="J454" s="16"/>
      <c r="K454" s="16" t="s">
        <v>1760</v>
      </c>
      <c r="L454" s="16"/>
      <c r="M454" s="16" t="str">
        <f>HYPERLINK("https://ceds.ed.gov/cedselementdetails.aspx?termid=27831")</f>
        <v>https://ceds.ed.gov/cedselementdetails.aspx?termid=27831</v>
      </c>
    </row>
    <row r="455" spans="1:13" ht="216" x14ac:dyDescent="0.3">
      <c r="A455" s="16" t="s">
        <v>1761</v>
      </c>
      <c r="B455" s="16" t="s">
        <v>1762</v>
      </c>
      <c r="C455" s="16" t="s">
        <v>32</v>
      </c>
      <c r="D455" s="16" t="s">
        <v>9357</v>
      </c>
      <c r="E455" s="16"/>
      <c r="F455" s="16" t="s">
        <v>145</v>
      </c>
      <c r="G455" s="16"/>
      <c r="H455" s="16"/>
      <c r="I455" s="19" t="s">
        <v>1763</v>
      </c>
      <c r="J455" s="16"/>
      <c r="K455" s="16" t="s">
        <v>1764</v>
      </c>
      <c r="L455" s="16"/>
      <c r="M455" s="16" t="str">
        <f>HYPERLINK("https://ceds.ed.gov/cedselementdetails.aspx?termid=26595")</f>
        <v>https://ceds.ed.gov/cedselementdetails.aspx?termid=26595</v>
      </c>
    </row>
    <row r="456" spans="1:13" ht="115.2" x14ac:dyDescent="0.3">
      <c r="A456" s="16" t="s">
        <v>1765</v>
      </c>
      <c r="B456" s="16" t="s">
        <v>1766</v>
      </c>
      <c r="C456" s="16" t="s">
        <v>8412</v>
      </c>
      <c r="D456" s="16" t="s">
        <v>1487</v>
      </c>
      <c r="E456" s="16"/>
      <c r="F456" s="16"/>
      <c r="G456" s="16"/>
      <c r="H456" s="16"/>
      <c r="I456" s="19" t="s">
        <v>1767</v>
      </c>
      <c r="J456" s="16"/>
      <c r="K456" s="16" t="s">
        <v>1768</v>
      </c>
      <c r="L456" s="16"/>
      <c r="M456" s="16" t="str">
        <f>HYPERLINK("https://ceds.ed.gov/cedselementdetails.aspx?termid=27841")</f>
        <v>https://ceds.ed.gov/cedselementdetails.aspx?termid=27841</v>
      </c>
    </row>
    <row r="457" spans="1:13" ht="244.8" x14ac:dyDescent="0.3">
      <c r="A457" s="16" t="s">
        <v>1769</v>
      </c>
      <c r="B457" s="16" t="s">
        <v>1770</v>
      </c>
      <c r="C457" s="16" t="s">
        <v>8413</v>
      </c>
      <c r="D457" s="16" t="s">
        <v>1547</v>
      </c>
      <c r="E457" s="16"/>
      <c r="F457" s="16"/>
      <c r="G457" s="16"/>
      <c r="H457" s="16"/>
      <c r="I457" s="19" t="s">
        <v>1771</v>
      </c>
      <c r="J457" s="16"/>
      <c r="K457" s="16" t="s">
        <v>1772</v>
      </c>
      <c r="L457" s="16"/>
      <c r="M457" s="16" t="str">
        <f>HYPERLINK("https://ceds.ed.gov/cedselementdetails.aspx?termid=27812")</f>
        <v>https://ceds.ed.gov/cedselementdetails.aspx?termid=27812</v>
      </c>
    </row>
    <row r="458" spans="1:13" ht="72" x14ac:dyDescent="0.3">
      <c r="A458" s="16" t="s">
        <v>1773</v>
      </c>
      <c r="B458" s="16" t="s">
        <v>1774</v>
      </c>
      <c r="C458" s="16" t="s">
        <v>32</v>
      </c>
      <c r="D458" s="16" t="s">
        <v>1487</v>
      </c>
      <c r="E458" s="16"/>
      <c r="F458" s="16" t="s">
        <v>1481</v>
      </c>
      <c r="G458" s="16"/>
      <c r="H458" s="16"/>
      <c r="I458" s="19" t="s">
        <v>1775</v>
      </c>
      <c r="J458" s="16"/>
      <c r="K458" s="16" t="s">
        <v>1776</v>
      </c>
      <c r="L458" s="16"/>
      <c r="M458" s="16" t="str">
        <f>HYPERLINK("https://ceds.ed.gov/cedselementdetails.aspx?termid=27842")</f>
        <v>https://ceds.ed.gov/cedselementdetails.aspx?termid=27842</v>
      </c>
    </row>
    <row r="459" spans="1:13" ht="129.6" x14ac:dyDescent="0.3">
      <c r="A459" s="16" t="s">
        <v>1777</v>
      </c>
      <c r="B459" s="16" t="s">
        <v>1778</v>
      </c>
      <c r="C459" s="16" t="s">
        <v>8414</v>
      </c>
      <c r="D459" s="16" t="s">
        <v>1547</v>
      </c>
      <c r="E459" s="16"/>
      <c r="F459" s="16"/>
      <c r="G459" s="16"/>
      <c r="H459" s="16"/>
      <c r="I459" s="19" t="s">
        <v>1779</v>
      </c>
      <c r="J459" s="16"/>
      <c r="K459" s="16" t="s">
        <v>1780</v>
      </c>
      <c r="L459" s="16"/>
      <c r="M459" s="16" t="str">
        <f>HYPERLINK("https://ceds.ed.gov/cedselementdetails.aspx?termid=27813")</f>
        <v>https://ceds.ed.gov/cedselementdetails.aspx?termid=27813</v>
      </c>
    </row>
    <row r="460" spans="1:13" ht="158.4" x14ac:dyDescent="0.3">
      <c r="A460" s="16" t="s">
        <v>1781</v>
      </c>
      <c r="B460" s="16" t="s">
        <v>1782</v>
      </c>
      <c r="C460" s="16" t="s">
        <v>8415</v>
      </c>
      <c r="D460" s="16" t="s">
        <v>1547</v>
      </c>
      <c r="E460" s="16"/>
      <c r="F460" s="16"/>
      <c r="G460" s="16"/>
      <c r="H460" s="16"/>
      <c r="I460" s="19" t="s">
        <v>1783</v>
      </c>
      <c r="J460" s="16"/>
      <c r="K460" s="16" t="s">
        <v>1784</v>
      </c>
      <c r="L460" s="16"/>
      <c r="M460" s="16" t="str">
        <f>HYPERLINK("https://ceds.ed.gov/cedselementdetails.aspx?termid=27814")</f>
        <v>https://ceds.ed.gov/cedselementdetails.aspx?termid=27814</v>
      </c>
    </row>
    <row r="461" spans="1:13" ht="172.8" x14ac:dyDescent="0.3">
      <c r="A461" s="16" t="s">
        <v>1785</v>
      </c>
      <c r="B461" s="16" t="s">
        <v>1786</v>
      </c>
      <c r="C461" s="16" t="s">
        <v>8416</v>
      </c>
      <c r="D461" s="16" t="s">
        <v>1552</v>
      </c>
      <c r="E461" s="16"/>
      <c r="F461" s="16"/>
      <c r="G461" s="16"/>
      <c r="H461" s="16"/>
      <c r="I461" s="19" t="s">
        <v>1787</v>
      </c>
      <c r="J461" s="16"/>
      <c r="K461" s="16" t="s">
        <v>1788</v>
      </c>
      <c r="L461" s="16"/>
      <c r="M461" s="16" t="str">
        <f>HYPERLINK("https://ceds.ed.gov/cedselementdetails.aspx?termid=27792")</f>
        <v>https://ceds.ed.gov/cedselementdetails.aspx?termid=27792</v>
      </c>
    </row>
    <row r="462" spans="1:13" ht="100.8" x14ac:dyDescent="0.3">
      <c r="A462" s="16" t="s">
        <v>1789</v>
      </c>
      <c r="B462" s="16" t="s">
        <v>1790</v>
      </c>
      <c r="C462" s="16" t="s">
        <v>8417</v>
      </c>
      <c r="D462" s="16" t="s">
        <v>1552</v>
      </c>
      <c r="E462" s="16"/>
      <c r="F462" s="16"/>
      <c r="G462" s="16"/>
      <c r="H462" s="16"/>
      <c r="I462" s="19" t="s">
        <v>1791</v>
      </c>
      <c r="J462" s="16"/>
      <c r="K462" s="16" t="s">
        <v>1792</v>
      </c>
      <c r="L462" s="16"/>
      <c r="M462" s="16" t="str">
        <f>HYPERLINK("https://ceds.ed.gov/cedselementdetails.aspx?termid=27788")</f>
        <v>https://ceds.ed.gov/cedselementdetails.aspx?termid=27788</v>
      </c>
    </row>
    <row r="463" spans="1:13" ht="72" x14ac:dyDescent="0.3">
      <c r="A463" s="16" t="s">
        <v>1793</v>
      </c>
      <c r="B463" s="16" t="s">
        <v>1794</v>
      </c>
      <c r="C463" s="16" t="s">
        <v>22</v>
      </c>
      <c r="D463" s="16" t="s">
        <v>1487</v>
      </c>
      <c r="E463" s="16"/>
      <c r="F463" s="16"/>
      <c r="G463" s="16"/>
      <c r="H463" s="16"/>
      <c r="I463" s="19" t="s">
        <v>1795</v>
      </c>
      <c r="J463" s="16"/>
      <c r="K463" s="16" t="s">
        <v>1796</v>
      </c>
      <c r="L463" s="16"/>
      <c r="M463" s="16" t="str">
        <f>HYPERLINK("https://ceds.ed.gov/cedselementdetails.aspx?termid=27844")</f>
        <v>https://ceds.ed.gov/cedselementdetails.aspx?termid=27844</v>
      </c>
    </row>
    <row r="464" spans="1:13" ht="331.2" x14ac:dyDescent="0.3">
      <c r="A464" s="16" t="s">
        <v>1797</v>
      </c>
      <c r="B464" s="16" t="s">
        <v>1798</v>
      </c>
      <c r="C464" s="16" t="s">
        <v>8418</v>
      </c>
      <c r="D464" s="16" t="s">
        <v>1487</v>
      </c>
      <c r="E464" s="16"/>
      <c r="F464" s="16"/>
      <c r="G464" s="16"/>
      <c r="H464" s="16"/>
      <c r="I464" s="19" t="s">
        <v>1799</v>
      </c>
      <c r="J464" s="16"/>
      <c r="K464" s="16" t="s">
        <v>1800</v>
      </c>
      <c r="L464" s="16"/>
      <c r="M464" s="16" t="str">
        <f>HYPERLINK("https://ceds.ed.gov/cedselementdetails.aspx?termid=27173")</f>
        <v>https://ceds.ed.gov/cedselementdetails.aspx?termid=27173</v>
      </c>
    </row>
    <row r="465" spans="1:13" ht="72" x14ac:dyDescent="0.3">
      <c r="A465" s="16" t="s">
        <v>1801</v>
      </c>
      <c r="B465" s="16" t="s">
        <v>1802</v>
      </c>
      <c r="C465" s="16" t="s">
        <v>8419</v>
      </c>
      <c r="D465" s="16" t="s">
        <v>1552</v>
      </c>
      <c r="E465" s="16"/>
      <c r="F465" s="16"/>
      <c r="G465" s="16"/>
      <c r="H465" s="16"/>
      <c r="I465" s="19" t="s">
        <v>1803</v>
      </c>
      <c r="J465" s="16"/>
      <c r="K465" s="16" t="s">
        <v>1804</v>
      </c>
      <c r="L465" s="16"/>
      <c r="M465" s="16" t="str">
        <f>HYPERLINK("https://ceds.ed.gov/cedselementdetails.aspx?termid=27793")</f>
        <v>https://ceds.ed.gov/cedselementdetails.aspx?termid=27793</v>
      </c>
    </row>
    <row r="466" spans="1:13" ht="43.2" x14ac:dyDescent="0.3">
      <c r="A466" s="16" t="s">
        <v>1805</v>
      </c>
      <c r="B466" s="16" t="s">
        <v>1806</v>
      </c>
      <c r="C466" s="16" t="s">
        <v>32</v>
      </c>
      <c r="D466" s="16" t="s">
        <v>1538</v>
      </c>
      <c r="E466" s="16"/>
      <c r="F466" s="16" t="s">
        <v>1807</v>
      </c>
      <c r="G466" s="16"/>
      <c r="H466" s="16"/>
      <c r="I466" s="19" t="s">
        <v>1808</v>
      </c>
      <c r="J466" s="16"/>
      <c r="K466" s="16" t="s">
        <v>1809</v>
      </c>
      <c r="L466" s="16"/>
      <c r="M466" s="16" t="str">
        <f>HYPERLINK("https://ceds.ed.gov/cedselementdetails.aspx?termid=27769")</f>
        <v>https://ceds.ed.gov/cedselementdetails.aspx?termid=27769</v>
      </c>
    </row>
    <row r="467" spans="1:13" ht="86.4" x14ac:dyDescent="0.3">
      <c r="A467" s="16" t="s">
        <v>1810</v>
      </c>
      <c r="B467" s="16" t="s">
        <v>1811</v>
      </c>
      <c r="C467" s="16" t="s">
        <v>32</v>
      </c>
      <c r="D467" s="16" t="s">
        <v>1538</v>
      </c>
      <c r="E467" s="16"/>
      <c r="F467" s="16" t="s">
        <v>1807</v>
      </c>
      <c r="G467" s="16"/>
      <c r="H467" s="16"/>
      <c r="I467" s="19" t="s">
        <v>1812</v>
      </c>
      <c r="J467" s="16"/>
      <c r="K467" s="16" t="s">
        <v>1813</v>
      </c>
      <c r="L467" s="16"/>
      <c r="M467" s="16" t="str">
        <f>HYPERLINK("https://ceds.ed.gov/cedselementdetails.aspx?termid=27770")</f>
        <v>https://ceds.ed.gov/cedselementdetails.aspx?termid=27770</v>
      </c>
    </row>
    <row r="468" spans="1:13" ht="100.8" x14ac:dyDescent="0.3">
      <c r="A468" s="16" t="s">
        <v>12732</v>
      </c>
      <c r="B468" s="16" t="s">
        <v>12733</v>
      </c>
      <c r="C468" s="16" t="s">
        <v>12903</v>
      </c>
      <c r="D468" s="16" t="s">
        <v>12887</v>
      </c>
      <c r="E468" s="16" t="s">
        <v>155</v>
      </c>
      <c r="F468" s="16" t="s">
        <v>2</v>
      </c>
      <c r="G468" s="16" t="s">
        <v>12636</v>
      </c>
      <c r="H468" s="16"/>
      <c r="I468" s="19" t="s">
        <v>12734</v>
      </c>
      <c r="J468" s="16"/>
      <c r="K468" s="16" t="s">
        <v>12735</v>
      </c>
      <c r="L468" s="16"/>
      <c r="M468" s="16" t="str">
        <f>HYPERLINK("https://ceds.ed.gov/cedselementdetails.aspx?termid=28134")</f>
        <v>https://ceds.ed.gov/cedselementdetails.aspx?termid=28134</v>
      </c>
    </row>
    <row r="469" spans="1:13" ht="28.8" x14ac:dyDescent="0.3">
      <c r="A469" s="16" t="s">
        <v>1814</v>
      </c>
      <c r="B469" s="16" t="s">
        <v>1815</v>
      </c>
      <c r="C469" s="16" t="s">
        <v>32</v>
      </c>
      <c r="D469" s="16" t="s">
        <v>335</v>
      </c>
      <c r="E469" s="16"/>
      <c r="F469" s="16" t="s">
        <v>81</v>
      </c>
      <c r="G469" s="16"/>
      <c r="H469" s="16"/>
      <c r="I469" s="19" t="s">
        <v>1816</v>
      </c>
      <c r="J469" s="16"/>
      <c r="K469" s="16" t="s">
        <v>1817</v>
      </c>
      <c r="L469" s="16"/>
      <c r="M469" s="16" t="str">
        <f>HYPERLINK("https://ceds.ed.gov/cedselementdetails.aspx?termid=26485")</f>
        <v>https://ceds.ed.gov/cedselementdetails.aspx?termid=26485</v>
      </c>
    </row>
    <row r="470" spans="1:13" ht="28.8" x14ac:dyDescent="0.3">
      <c r="A470" s="16" t="s">
        <v>1818</v>
      </c>
      <c r="B470" s="16" t="s">
        <v>1819</v>
      </c>
      <c r="C470" s="16" t="s">
        <v>32</v>
      </c>
      <c r="D470" s="16" t="s">
        <v>335</v>
      </c>
      <c r="E470" s="16"/>
      <c r="F470" s="16" t="s">
        <v>145</v>
      </c>
      <c r="G470" s="16"/>
      <c r="H470" s="16"/>
      <c r="I470" s="19" t="s">
        <v>1820</v>
      </c>
      <c r="J470" s="16"/>
      <c r="K470" s="16" t="s">
        <v>1821</v>
      </c>
      <c r="L470" s="16"/>
      <c r="M470" s="16" t="str">
        <f>HYPERLINK("https://ceds.ed.gov/cedselementdetails.aspx?termid=26486")</f>
        <v>https://ceds.ed.gov/cedselementdetails.aspx?termid=26486</v>
      </c>
    </row>
    <row r="471" spans="1:13" ht="28.8" x14ac:dyDescent="0.3">
      <c r="A471" s="16" t="s">
        <v>1822</v>
      </c>
      <c r="B471" s="16" t="s">
        <v>1823</v>
      </c>
      <c r="C471" s="16" t="s">
        <v>32</v>
      </c>
      <c r="D471" s="16" t="s">
        <v>1824</v>
      </c>
      <c r="E471" s="16"/>
      <c r="F471" s="16" t="s">
        <v>106</v>
      </c>
      <c r="G471" s="16"/>
      <c r="H471" s="16"/>
      <c r="I471" s="19" t="s">
        <v>1825</v>
      </c>
      <c r="J471" s="16"/>
      <c r="K471" s="16" t="s">
        <v>1826</v>
      </c>
      <c r="L471" s="16"/>
      <c r="M471" s="16" t="str">
        <f>HYPERLINK("https://ceds.ed.gov/cedselementdetails.aspx?termid=27241")</f>
        <v>https://ceds.ed.gov/cedselementdetails.aspx?termid=27241</v>
      </c>
    </row>
    <row r="472" spans="1:13" ht="28.8" x14ac:dyDescent="0.3">
      <c r="A472" s="16" t="s">
        <v>1827</v>
      </c>
      <c r="B472" s="16" t="s">
        <v>1828</v>
      </c>
      <c r="C472" s="16" t="s">
        <v>32</v>
      </c>
      <c r="D472" s="16" t="s">
        <v>1824</v>
      </c>
      <c r="E472" s="16"/>
      <c r="F472" s="16" t="s">
        <v>81</v>
      </c>
      <c r="G472" s="16"/>
      <c r="H472" s="16"/>
      <c r="I472" s="19" t="s">
        <v>1829</v>
      </c>
      <c r="J472" s="16"/>
      <c r="K472" s="16" t="s">
        <v>1830</v>
      </c>
      <c r="L472" s="16"/>
      <c r="M472" s="16" t="str">
        <f>HYPERLINK("https://ceds.ed.gov/cedselementdetails.aspx?termid=27242")</f>
        <v>https://ceds.ed.gov/cedselementdetails.aspx?termid=27242</v>
      </c>
    </row>
    <row r="473" spans="1:13" ht="129.6" x14ac:dyDescent="0.3">
      <c r="A473" s="16" t="s">
        <v>1831</v>
      </c>
      <c r="B473" s="16" t="s">
        <v>1832</v>
      </c>
      <c r="C473" s="16" t="s">
        <v>8420</v>
      </c>
      <c r="D473" s="16" t="s">
        <v>1824</v>
      </c>
      <c r="E473" s="16"/>
      <c r="F473" s="16"/>
      <c r="G473" s="16"/>
      <c r="H473" s="16"/>
      <c r="I473" s="19" t="s">
        <v>1833</v>
      </c>
      <c r="J473" s="16"/>
      <c r="K473" s="16" t="s">
        <v>1834</v>
      </c>
      <c r="L473" s="16"/>
      <c r="M473" s="16" t="str">
        <f>HYPERLINK("https://ceds.ed.gov/cedselementdetails.aspx?termid=26596")</f>
        <v>https://ceds.ed.gov/cedselementdetails.aspx?termid=26596</v>
      </c>
    </row>
    <row r="474" spans="1:13" ht="86.4" x14ac:dyDescent="0.3">
      <c r="A474" s="16" t="s">
        <v>7336</v>
      </c>
      <c r="B474" s="16" t="s">
        <v>1844</v>
      </c>
      <c r="C474" s="16" t="s">
        <v>8421</v>
      </c>
      <c r="D474" s="16" t="s">
        <v>1538</v>
      </c>
      <c r="E474" s="16"/>
      <c r="F474" s="16"/>
      <c r="G474" s="16"/>
      <c r="H474" s="16"/>
      <c r="I474" s="19" t="s">
        <v>1845</v>
      </c>
      <c r="J474" s="16"/>
      <c r="K474" s="16" t="s">
        <v>1846</v>
      </c>
      <c r="L474" s="16"/>
      <c r="M474" s="16" t="str">
        <f>HYPERLINK("https://ceds.ed.gov/cedselementdetails.aspx?termid=27878")</f>
        <v>https://ceds.ed.gov/cedselementdetails.aspx?termid=27878</v>
      </c>
    </row>
    <row r="475" spans="1:13" ht="100.8" x14ac:dyDescent="0.3">
      <c r="A475" s="16" t="s">
        <v>1835</v>
      </c>
      <c r="B475" s="16" t="s">
        <v>1836</v>
      </c>
      <c r="C475" s="16" t="s">
        <v>8422</v>
      </c>
      <c r="D475" s="16" t="s">
        <v>1837</v>
      </c>
      <c r="E475" s="16"/>
      <c r="F475" s="16"/>
      <c r="G475" s="16"/>
      <c r="H475" s="16"/>
      <c r="I475" s="19" t="s">
        <v>1838</v>
      </c>
      <c r="J475" s="16"/>
      <c r="K475" s="16" t="s">
        <v>1839</v>
      </c>
      <c r="L475" s="16" t="s">
        <v>230</v>
      </c>
      <c r="M475" s="16" t="str">
        <f>HYPERLINK("https://ceds.ed.gov/cedselementdetails.aspx?termid=26035")</f>
        <v>https://ceds.ed.gov/cedselementdetails.aspx?termid=26035</v>
      </c>
    </row>
    <row r="476" spans="1:13" ht="86.4" x14ac:dyDescent="0.3">
      <c r="A476" s="16" t="s">
        <v>1840</v>
      </c>
      <c r="B476" s="16" t="s">
        <v>1841</v>
      </c>
      <c r="C476" s="16" t="s">
        <v>8423</v>
      </c>
      <c r="D476" s="16" t="s">
        <v>1538</v>
      </c>
      <c r="E476" s="16"/>
      <c r="F476" s="16"/>
      <c r="G476" s="16"/>
      <c r="H476" s="16"/>
      <c r="I476" s="19" t="s">
        <v>1842</v>
      </c>
      <c r="J476" s="16"/>
      <c r="K476" s="16" t="s">
        <v>1843</v>
      </c>
      <c r="L476" s="16"/>
      <c r="M476" s="16" t="str">
        <f>HYPERLINK("https://ceds.ed.gov/cedselementdetails.aspx?termid=27759")</f>
        <v>https://ceds.ed.gov/cedselementdetails.aspx?termid=27759</v>
      </c>
    </row>
    <row r="477" spans="1:13" ht="43.2" x14ac:dyDescent="0.3">
      <c r="A477" s="16" t="s">
        <v>1847</v>
      </c>
      <c r="B477" s="16" t="s">
        <v>1848</v>
      </c>
      <c r="C477" s="16" t="s">
        <v>32</v>
      </c>
      <c r="D477" s="16" t="s">
        <v>7895</v>
      </c>
      <c r="E477" s="16"/>
      <c r="F477" s="16" t="s">
        <v>106</v>
      </c>
      <c r="G477" s="16"/>
      <c r="H477" s="16"/>
      <c r="I477" s="19" t="s">
        <v>1849</v>
      </c>
      <c r="J477" s="16" t="s">
        <v>1850</v>
      </c>
      <c r="K477" s="16" t="s">
        <v>1851</v>
      </c>
      <c r="L477" s="16" t="s">
        <v>195</v>
      </c>
      <c r="M477" s="16" t="str">
        <f>HYPERLINK("https://ceds.ed.gov/cedselementdetails.aspx?termid=27065")</f>
        <v>https://ceds.ed.gov/cedselementdetails.aspx?termid=27065</v>
      </c>
    </row>
    <row r="478" spans="1:13" ht="72" x14ac:dyDescent="0.3">
      <c r="A478" s="16" t="s">
        <v>1852</v>
      </c>
      <c r="B478" s="16" t="s">
        <v>1853</v>
      </c>
      <c r="C478" s="16" t="s">
        <v>22</v>
      </c>
      <c r="D478" s="16" t="s">
        <v>13026</v>
      </c>
      <c r="E478" s="16"/>
      <c r="F478" s="16"/>
      <c r="G478" s="16"/>
      <c r="H478" s="16"/>
      <c r="I478" s="19" t="s">
        <v>1854</v>
      </c>
      <c r="J478" s="16" t="s">
        <v>1855</v>
      </c>
      <c r="K478" s="16" t="s">
        <v>1856</v>
      </c>
      <c r="L478" s="16" t="s">
        <v>64</v>
      </c>
      <c r="M478" s="16" t="str">
        <f>HYPERLINK("https://ceds.ed.gov/cedselementdetails.aspx?termid=26036")</f>
        <v>https://ceds.ed.gov/cedselementdetails.aspx?termid=26036</v>
      </c>
    </row>
    <row r="479" spans="1:13" ht="86.4" x14ac:dyDescent="0.3">
      <c r="A479" s="16" t="s">
        <v>1857</v>
      </c>
      <c r="B479" s="16" t="s">
        <v>1858</v>
      </c>
      <c r="C479" s="16" t="s">
        <v>22</v>
      </c>
      <c r="D479" s="16" t="s">
        <v>1859</v>
      </c>
      <c r="E479" s="16"/>
      <c r="F479" s="16"/>
      <c r="G479" s="16"/>
      <c r="H479" s="16"/>
      <c r="I479" s="19" t="s">
        <v>1860</v>
      </c>
      <c r="J479" s="16" t="s">
        <v>1861</v>
      </c>
      <c r="K479" s="16" t="s">
        <v>1862</v>
      </c>
      <c r="L479" s="16" t="s">
        <v>1863</v>
      </c>
      <c r="M479" s="16" t="str">
        <f>HYPERLINK("https://ceds.ed.gov/cedselementdetails.aspx?termid=26037")</f>
        <v>https://ceds.ed.gov/cedselementdetails.aspx?termid=26037</v>
      </c>
    </row>
    <row r="480" spans="1:13" ht="72" x14ac:dyDescent="0.3">
      <c r="A480" s="16" t="s">
        <v>1864</v>
      </c>
      <c r="B480" s="16" t="s">
        <v>1865</v>
      </c>
      <c r="C480" s="16" t="s">
        <v>8424</v>
      </c>
      <c r="D480" s="16" t="s">
        <v>1866</v>
      </c>
      <c r="E480" s="16"/>
      <c r="F480" s="16"/>
      <c r="G480" s="16"/>
      <c r="H480" s="16"/>
      <c r="I480" s="19" t="s">
        <v>1867</v>
      </c>
      <c r="J480" s="16" t="s">
        <v>1868</v>
      </c>
      <c r="K480" s="16" t="s">
        <v>1869</v>
      </c>
      <c r="L480" s="16" t="s">
        <v>214</v>
      </c>
      <c r="M480" s="16" t="str">
        <f>HYPERLINK("https://ceds.ed.gov/cedselementdetails.aspx?termid=26075")</f>
        <v>https://ceds.ed.gov/cedselementdetails.aspx?termid=26075</v>
      </c>
    </row>
    <row r="481" spans="1:13" ht="72" x14ac:dyDescent="0.3">
      <c r="A481" s="16" t="s">
        <v>1870</v>
      </c>
      <c r="B481" s="16" t="s">
        <v>1871</v>
      </c>
      <c r="C481" s="16" t="s">
        <v>22</v>
      </c>
      <c r="D481" s="16" t="s">
        <v>1872</v>
      </c>
      <c r="E481" s="16"/>
      <c r="F481" s="16"/>
      <c r="G481" s="16"/>
      <c r="H481" s="16"/>
      <c r="I481" s="19" t="s">
        <v>1873</v>
      </c>
      <c r="J481" s="16" t="s">
        <v>1874</v>
      </c>
      <c r="K481" s="16" t="s">
        <v>1875</v>
      </c>
      <c r="L481" s="16"/>
      <c r="M481" s="16" t="str">
        <f>HYPERLINK("https://ceds.ed.gov/cedselementdetails.aspx?termid=27284")</f>
        <v>https://ceds.ed.gov/cedselementdetails.aspx?termid=27284</v>
      </c>
    </row>
    <row r="482" spans="1:13" ht="86.4" x14ac:dyDescent="0.3">
      <c r="A482" s="16" t="s">
        <v>1876</v>
      </c>
      <c r="B482" s="16" t="s">
        <v>1877</v>
      </c>
      <c r="C482" s="16" t="s">
        <v>22</v>
      </c>
      <c r="D482" s="16" t="s">
        <v>1878</v>
      </c>
      <c r="E482" s="16"/>
      <c r="F482" s="16"/>
      <c r="G482" s="16"/>
      <c r="H482" s="16"/>
      <c r="I482" s="19" t="s">
        <v>1879</v>
      </c>
      <c r="J482" s="16" t="s">
        <v>1880</v>
      </c>
      <c r="K482" s="16" t="s">
        <v>1881</v>
      </c>
      <c r="L482" s="16" t="s">
        <v>214</v>
      </c>
      <c r="M482" s="16" t="str">
        <f>HYPERLINK("https://ceds.ed.gov/cedselementdetails.aspx?termid=26586")</f>
        <v>https://ceds.ed.gov/cedselementdetails.aspx?termid=26586</v>
      </c>
    </row>
    <row r="483" spans="1:13" ht="57.6" x14ac:dyDescent="0.3">
      <c r="A483" s="16" t="s">
        <v>1882</v>
      </c>
      <c r="B483" s="16" t="s">
        <v>1883</v>
      </c>
      <c r="C483" s="16" t="s">
        <v>22</v>
      </c>
      <c r="D483" s="16" t="s">
        <v>1859</v>
      </c>
      <c r="E483" s="16"/>
      <c r="F483" s="16"/>
      <c r="G483" s="16"/>
      <c r="H483" s="16"/>
      <c r="I483" s="19" t="s">
        <v>1884</v>
      </c>
      <c r="J483" s="16" t="s">
        <v>1885</v>
      </c>
      <c r="K483" s="16" t="s">
        <v>1886</v>
      </c>
      <c r="L483" s="16" t="s">
        <v>214</v>
      </c>
      <c r="M483" s="16" t="str">
        <f>HYPERLINK("https://ceds.ed.gov/cedselementdetails.aspx?termid=26585")</f>
        <v>https://ceds.ed.gov/cedselementdetails.aspx?termid=26585</v>
      </c>
    </row>
    <row r="484" spans="1:13" ht="331.2" x14ac:dyDescent="0.3">
      <c r="A484" s="16" t="s">
        <v>1887</v>
      </c>
      <c r="B484" s="16" t="s">
        <v>1888</v>
      </c>
      <c r="C484" s="16" t="s">
        <v>8425</v>
      </c>
      <c r="D484" s="16" t="s">
        <v>12957</v>
      </c>
      <c r="E484" s="16" t="s">
        <v>160</v>
      </c>
      <c r="F484" s="16"/>
      <c r="G484" s="16" t="s">
        <v>12935</v>
      </c>
      <c r="H484" s="16" t="s">
        <v>7896</v>
      </c>
      <c r="I484" s="19" t="s">
        <v>1889</v>
      </c>
      <c r="J484" s="16"/>
      <c r="K484" s="16" t="s">
        <v>1890</v>
      </c>
      <c r="L484" s="16"/>
      <c r="M484" s="16" t="str">
        <f>HYPERLINK("https://ceds.ed.gov/cedselementdetails.aspx?termid=27254")</f>
        <v>https://ceds.ed.gov/cedselementdetails.aspx?termid=27254</v>
      </c>
    </row>
    <row r="485" spans="1:13" ht="216" x14ac:dyDescent="0.3">
      <c r="A485" s="16" t="s">
        <v>1891</v>
      </c>
      <c r="B485" s="16" t="s">
        <v>1892</v>
      </c>
      <c r="C485" s="16" t="s">
        <v>32</v>
      </c>
      <c r="D485" s="16" t="s">
        <v>13027</v>
      </c>
      <c r="E485" s="16"/>
      <c r="F485" s="16" t="s">
        <v>106</v>
      </c>
      <c r="G485" s="16"/>
      <c r="H485" s="16"/>
      <c r="I485" s="19" t="s">
        <v>1893</v>
      </c>
      <c r="J485" s="16"/>
      <c r="K485" s="16" t="s">
        <v>1894</v>
      </c>
      <c r="L485" s="16"/>
      <c r="M485" s="16" t="str">
        <f>HYPERLINK("https://ceds.ed.gov/cedselementdetails.aspx?termid=27255")</f>
        <v>https://ceds.ed.gov/cedselementdetails.aspx?termid=27255</v>
      </c>
    </row>
    <row r="486" spans="1:13" ht="216" x14ac:dyDescent="0.3">
      <c r="A486" s="16" t="s">
        <v>1895</v>
      </c>
      <c r="B486" s="16" t="s">
        <v>1896</v>
      </c>
      <c r="C486" s="16" t="s">
        <v>8426</v>
      </c>
      <c r="D486" s="16" t="s">
        <v>13027</v>
      </c>
      <c r="E486" s="16"/>
      <c r="F486" s="16"/>
      <c r="G486" s="16"/>
      <c r="H486" s="16"/>
      <c r="I486" s="19" t="s">
        <v>1897</v>
      </c>
      <c r="J486" s="16"/>
      <c r="K486" s="16" t="s">
        <v>1898</v>
      </c>
      <c r="L486" s="16"/>
      <c r="M486" s="16" t="str">
        <f>HYPERLINK("https://ceds.ed.gov/cedselementdetails.aspx?termid=27256")</f>
        <v>https://ceds.ed.gov/cedselementdetails.aspx?termid=27256</v>
      </c>
    </row>
    <row r="487" spans="1:13" ht="100.8" x14ac:dyDescent="0.3">
      <c r="A487" s="16" t="s">
        <v>1899</v>
      </c>
      <c r="B487" s="16" t="s">
        <v>1900</v>
      </c>
      <c r="C487" s="16" t="s">
        <v>32</v>
      </c>
      <c r="D487" s="16" t="s">
        <v>1901</v>
      </c>
      <c r="E487" s="16"/>
      <c r="F487" s="16" t="s">
        <v>106</v>
      </c>
      <c r="G487" s="16"/>
      <c r="H487" s="16" t="s">
        <v>131</v>
      </c>
      <c r="I487" s="19" t="s">
        <v>1902</v>
      </c>
      <c r="J487" s="16"/>
      <c r="K487" s="16" t="s">
        <v>1903</v>
      </c>
      <c r="L487" s="16"/>
      <c r="M487" s="16" t="str">
        <f>HYPERLINK("https://ceds.ed.gov/cedselementdetails.aspx?termid=27562")</f>
        <v>https://ceds.ed.gov/cedselementdetails.aspx?termid=27562</v>
      </c>
    </row>
    <row r="488" spans="1:13" ht="100.8" x14ac:dyDescent="0.3">
      <c r="A488" s="16" t="s">
        <v>1904</v>
      </c>
      <c r="B488" s="16" t="s">
        <v>1905</v>
      </c>
      <c r="C488" s="16" t="s">
        <v>22</v>
      </c>
      <c r="D488" s="16" t="s">
        <v>1901</v>
      </c>
      <c r="E488" s="16"/>
      <c r="F488" s="16"/>
      <c r="G488" s="16"/>
      <c r="H488" s="16"/>
      <c r="I488" s="19" t="s">
        <v>1906</v>
      </c>
      <c r="J488" s="16"/>
      <c r="K488" s="16" t="s">
        <v>1907</v>
      </c>
      <c r="L488" s="16"/>
      <c r="M488" s="16" t="str">
        <f>HYPERLINK("https://ceds.ed.gov/cedselementdetails.aspx?termid=27257")</f>
        <v>https://ceds.ed.gov/cedselementdetails.aspx?termid=27257</v>
      </c>
    </row>
    <row r="489" spans="1:13" ht="100.8" x14ac:dyDescent="0.3">
      <c r="A489" s="16" t="s">
        <v>1908</v>
      </c>
      <c r="B489" s="16" t="s">
        <v>1909</v>
      </c>
      <c r="C489" s="16" t="s">
        <v>32</v>
      </c>
      <c r="D489" s="16" t="s">
        <v>1901</v>
      </c>
      <c r="E489" s="16"/>
      <c r="F489" s="16" t="s">
        <v>106</v>
      </c>
      <c r="G489" s="16"/>
      <c r="H489" s="16"/>
      <c r="I489" s="19" t="s">
        <v>1910</v>
      </c>
      <c r="J489" s="16"/>
      <c r="K489" s="16" t="s">
        <v>1911</v>
      </c>
      <c r="L489" s="16"/>
      <c r="M489" s="16" t="str">
        <f>HYPERLINK("https://ceds.ed.gov/cedselementdetails.aspx?termid=27563")</f>
        <v>https://ceds.ed.gov/cedselementdetails.aspx?termid=27563</v>
      </c>
    </row>
    <row r="490" spans="1:13" ht="86.4" x14ac:dyDescent="0.3">
      <c r="A490" s="16" t="s">
        <v>1912</v>
      </c>
      <c r="B490" s="16" t="s">
        <v>1913</v>
      </c>
      <c r="C490" s="16" t="s">
        <v>8427</v>
      </c>
      <c r="D490" s="16" t="s">
        <v>8428</v>
      </c>
      <c r="E490" s="16"/>
      <c r="F490" s="16"/>
      <c r="G490" s="16"/>
      <c r="H490" s="16"/>
      <c r="I490" s="19" t="s">
        <v>1914</v>
      </c>
      <c r="J490" s="16" t="s">
        <v>1915</v>
      </c>
      <c r="K490" s="16" t="s">
        <v>1916</v>
      </c>
      <c r="L490" s="16" t="s">
        <v>214</v>
      </c>
      <c r="M490" s="16" t="str">
        <f>HYPERLINK("https://ceds.ed.gov/cedselementdetails.aspx?termid=26581")</f>
        <v>https://ceds.ed.gov/cedselementdetails.aspx?termid=26581</v>
      </c>
    </row>
    <row r="491" spans="1:13" ht="230.4" x14ac:dyDescent="0.3">
      <c r="A491" s="16" t="s">
        <v>1917</v>
      </c>
      <c r="B491" s="16" t="s">
        <v>7897</v>
      </c>
      <c r="C491" s="16" t="s">
        <v>22</v>
      </c>
      <c r="D491" s="16" t="s">
        <v>1918</v>
      </c>
      <c r="E491" s="16"/>
      <c r="F491" s="16"/>
      <c r="G491" s="16"/>
      <c r="H491" s="16"/>
      <c r="I491" s="19" t="s">
        <v>1919</v>
      </c>
      <c r="J491" s="16" t="s">
        <v>1920</v>
      </c>
      <c r="K491" s="16" t="s">
        <v>1921</v>
      </c>
      <c r="L491" s="16" t="s">
        <v>214</v>
      </c>
      <c r="M491" s="16" t="str">
        <f>HYPERLINK("https://ceds.ed.gov/cedselementdetails.aspx?termid=26084")</f>
        <v>https://ceds.ed.gov/cedselementdetails.aspx?termid=26084</v>
      </c>
    </row>
    <row r="492" spans="1:13" ht="409.6" x14ac:dyDescent="0.3">
      <c r="A492" s="16" t="s">
        <v>1922</v>
      </c>
      <c r="B492" s="16" t="s">
        <v>1923</v>
      </c>
      <c r="C492" s="16" t="s">
        <v>8429</v>
      </c>
      <c r="D492" s="16" t="s">
        <v>1924</v>
      </c>
      <c r="E492" s="16"/>
      <c r="F492" s="16"/>
      <c r="G492" s="16"/>
      <c r="H492" s="16"/>
      <c r="I492" s="19" t="s">
        <v>1925</v>
      </c>
      <c r="J492" s="16"/>
      <c r="K492" s="16" t="s">
        <v>1926</v>
      </c>
      <c r="L492" s="16" t="s">
        <v>1927</v>
      </c>
      <c r="M492" s="16" t="str">
        <f>HYPERLINK("https://ceds.ed.gov/cedselementdetails.aspx?termid=26038")</f>
        <v>https://ceds.ed.gov/cedselementdetails.aspx?termid=26038</v>
      </c>
    </row>
    <row r="493" spans="1:13" ht="28.8" x14ac:dyDescent="0.3">
      <c r="A493" s="16" t="s">
        <v>1928</v>
      </c>
      <c r="B493" s="16" t="s">
        <v>1929</v>
      </c>
      <c r="C493" s="16" t="s">
        <v>32</v>
      </c>
      <c r="D493" s="16" t="s">
        <v>217</v>
      </c>
      <c r="E493" s="16"/>
      <c r="F493" s="16" t="s">
        <v>78</v>
      </c>
      <c r="G493" s="16"/>
      <c r="H493" s="16"/>
      <c r="I493" s="19" t="s">
        <v>1930</v>
      </c>
      <c r="J493" s="16"/>
      <c r="K493" s="16" t="s">
        <v>1931</v>
      </c>
      <c r="L493" s="16"/>
      <c r="M493" s="16" t="str">
        <f>HYPERLINK("https://ceds.ed.gov/cedselementdetails.aspx?termid=27259")</f>
        <v>https://ceds.ed.gov/cedselementdetails.aspx?termid=27259</v>
      </c>
    </row>
    <row r="494" spans="1:13" ht="158.4" x14ac:dyDescent="0.3">
      <c r="A494" s="16" t="s">
        <v>1932</v>
      </c>
      <c r="B494" s="16" t="s">
        <v>1933</v>
      </c>
      <c r="C494" s="16" t="s">
        <v>8430</v>
      </c>
      <c r="D494" s="16" t="s">
        <v>1934</v>
      </c>
      <c r="E494" s="16"/>
      <c r="F494" s="16"/>
      <c r="G494" s="16"/>
      <c r="H494" s="16"/>
      <c r="I494" s="19" t="s">
        <v>1935</v>
      </c>
      <c r="J494" s="16"/>
      <c r="K494" s="16" t="s">
        <v>1936</v>
      </c>
      <c r="L494" s="16"/>
      <c r="M494" s="16" t="str">
        <f>HYPERLINK("https://ceds.ed.gov/cedselementdetails.aspx?termid=27258")</f>
        <v>https://ceds.ed.gov/cedselementdetails.aspx?termid=27258</v>
      </c>
    </row>
    <row r="495" spans="1:13" ht="72" x14ac:dyDescent="0.3">
      <c r="A495" s="16" t="s">
        <v>1937</v>
      </c>
      <c r="B495" s="16" t="s">
        <v>1938</v>
      </c>
      <c r="C495" s="16" t="s">
        <v>32</v>
      </c>
      <c r="D495" s="16" t="s">
        <v>217</v>
      </c>
      <c r="E495" s="16"/>
      <c r="F495" s="16" t="s">
        <v>106</v>
      </c>
      <c r="G495" s="16"/>
      <c r="H495" s="16"/>
      <c r="I495" s="19" t="s">
        <v>1939</v>
      </c>
      <c r="J495" s="16"/>
      <c r="K495" s="16" t="s">
        <v>1940</v>
      </c>
      <c r="L495" s="16" t="s">
        <v>214</v>
      </c>
      <c r="M495" s="16" t="str">
        <f>HYPERLINK("https://ceds.ed.gov/cedselementdetails.aspx?termid=27633")</f>
        <v>https://ceds.ed.gov/cedselementdetails.aspx?termid=27633</v>
      </c>
    </row>
    <row r="496" spans="1:13" ht="57.6" x14ac:dyDescent="0.3">
      <c r="A496" s="16" t="s">
        <v>1941</v>
      </c>
      <c r="B496" s="16" t="s">
        <v>1942</v>
      </c>
      <c r="C496" s="16" t="s">
        <v>32</v>
      </c>
      <c r="D496" s="16" t="s">
        <v>217</v>
      </c>
      <c r="E496" s="16"/>
      <c r="F496" s="16" t="s">
        <v>81</v>
      </c>
      <c r="G496" s="16"/>
      <c r="H496" s="16"/>
      <c r="I496" s="19" t="s">
        <v>1943</v>
      </c>
      <c r="J496" s="16"/>
      <c r="K496" s="16" t="s">
        <v>1944</v>
      </c>
      <c r="L496" s="16" t="s">
        <v>214</v>
      </c>
      <c r="M496" s="16" t="str">
        <f>HYPERLINK("https://ceds.ed.gov/cedselementdetails.aspx?termid=27632")</f>
        <v>https://ceds.ed.gov/cedselementdetails.aspx?termid=27632</v>
      </c>
    </row>
    <row r="497" spans="1:13" ht="72" x14ac:dyDescent="0.3">
      <c r="A497" s="16" t="s">
        <v>1945</v>
      </c>
      <c r="B497" s="16" t="s">
        <v>1946</v>
      </c>
      <c r="C497" s="16" t="s">
        <v>32</v>
      </c>
      <c r="D497" s="16" t="s">
        <v>217</v>
      </c>
      <c r="E497" s="16"/>
      <c r="F497" s="16" t="s">
        <v>106</v>
      </c>
      <c r="G497" s="16"/>
      <c r="H497" s="16"/>
      <c r="I497" s="19" t="s">
        <v>1947</v>
      </c>
      <c r="J497" s="16"/>
      <c r="K497" s="16" t="s">
        <v>1948</v>
      </c>
      <c r="L497" s="16" t="s">
        <v>214</v>
      </c>
      <c r="M497" s="16" t="str">
        <f>HYPERLINK("https://ceds.ed.gov/cedselementdetails.aspx?termid=27634")</f>
        <v>https://ceds.ed.gov/cedselementdetails.aspx?termid=27634</v>
      </c>
    </row>
    <row r="498" spans="1:13" ht="115.2" x14ac:dyDescent="0.3">
      <c r="A498" s="16" t="s">
        <v>1949</v>
      </c>
      <c r="B498" s="16" t="s">
        <v>1950</v>
      </c>
      <c r="C498" s="16" t="s">
        <v>22</v>
      </c>
      <c r="D498" s="16" t="s">
        <v>1951</v>
      </c>
      <c r="E498" s="16"/>
      <c r="F498" s="16"/>
      <c r="G498" s="16"/>
      <c r="H498" s="16" t="s">
        <v>1952</v>
      </c>
      <c r="I498" s="19" t="s">
        <v>1953</v>
      </c>
      <c r="J498" s="16"/>
      <c r="K498" s="16" t="s">
        <v>1954</v>
      </c>
      <c r="L498" s="16" t="s">
        <v>64</v>
      </c>
      <c r="M498" s="16" t="str">
        <f>HYPERLINK("https://ceds.ed.gov/cedselementdetails.aspx?termid=26039")</f>
        <v>https://ceds.ed.gov/cedselementdetails.aspx?termid=26039</v>
      </c>
    </row>
    <row r="499" spans="1:13" ht="86.4" x14ac:dyDescent="0.3">
      <c r="A499" s="16" t="s">
        <v>1955</v>
      </c>
      <c r="B499" s="16" t="s">
        <v>1956</v>
      </c>
      <c r="C499" s="16" t="s">
        <v>8431</v>
      </c>
      <c r="D499" s="16" t="s">
        <v>1957</v>
      </c>
      <c r="E499" s="16" t="s">
        <v>160</v>
      </c>
      <c r="F499" s="16"/>
      <c r="G499" s="16" t="s">
        <v>12940</v>
      </c>
      <c r="H499" s="16"/>
      <c r="I499" s="19" t="s">
        <v>1958</v>
      </c>
      <c r="J499" s="16"/>
      <c r="K499" s="16" t="s">
        <v>1959</v>
      </c>
      <c r="L499" s="16" t="s">
        <v>214</v>
      </c>
      <c r="M499" s="16" t="str">
        <f>HYPERLINK("https://ceds.ed.gov/cedselementdetails.aspx?termid=27631")</f>
        <v>https://ceds.ed.gov/cedselementdetails.aspx?termid=27631</v>
      </c>
    </row>
    <row r="500" spans="1:13" ht="43.2" x14ac:dyDescent="0.3">
      <c r="A500" s="16" t="s">
        <v>1960</v>
      </c>
      <c r="B500" s="16" t="s">
        <v>1961</v>
      </c>
      <c r="C500" s="16" t="s">
        <v>22</v>
      </c>
      <c r="D500" s="16" t="s">
        <v>217</v>
      </c>
      <c r="E500" s="16"/>
      <c r="F500" s="16"/>
      <c r="G500" s="16"/>
      <c r="H500" s="16"/>
      <c r="I500" s="19" t="s">
        <v>1962</v>
      </c>
      <c r="J500" s="16"/>
      <c r="K500" s="16" t="s">
        <v>1963</v>
      </c>
      <c r="L500" s="16"/>
      <c r="M500" s="16" t="str">
        <f>HYPERLINK("https://ceds.ed.gov/cedselementdetails.aspx?termid=27524")</f>
        <v>https://ceds.ed.gov/cedselementdetails.aspx?termid=27524</v>
      </c>
    </row>
    <row r="501" spans="1:13" ht="72" x14ac:dyDescent="0.3">
      <c r="A501" s="16" t="s">
        <v>1964</v>
      </c>
      <c r="B501" s="16" t="s">
        <v>1965</v>
      </c>
      <c r="C501" s="16" t="s">
        <v>8432</v>
      </c>
      <c r="D501" s="16" t="s">
        <v>217</v>
      </c>
      <c r="E501" s="16"/>
      <c r="F501" s="16"/>
      <c r="G501" s="16"/>
      <c r="H501" s="16"/>
      <c r="I501" s="19" t="s">
        <v>1966</v>
      </c>
      <c r="J501" s="16"/>
      <c r="K501" s="16" t="s">
        <v>1967</v>
      </c>
      <c r="L501" s="16"/>
      <c r="M501" s="16" t="str">
        <f>HYPERLINK("https://ceds.ed.gov/cedselementdetails.aspx?termid=26686")</f>
        <v>https://ceds.ed.gov/cedselementdetails.aspx?termid=26686</v>
      </c>
    </row>
    <row r="502" spans="1:13" ht="115.2" x14ac:dyDescent="0.3">
      <c r="A502" s="16" t="s">
        <v>1968</v>
      </c>
      <c r="B502" s="16" t="s">
        <v>1969</v>
      </c>
      <c r="C502" s="16" t="s">
        <v>8433</v>
      </c>
      <c r="D502" s="16" t="s">
        <v>7898</v>
      </c>
      <c r="E502" s="16"/>
      <c r="F502" s="16"/>
      <c r="G502" s="16"/>
      <c r="H502" s="16"/>
      <c r="I502" s="19" t="s">
        <v>1970</v>
      </c>
      <c r="J502" s="16" t="s">
        <v>1971</v>
      </c>
      <c r="K502" s="16" t="s">
        <v>1972</v>
      </c>
      <c r="L502" s="16" t="s">
        <v>195</v>
      </c>
      <c r="M502" s="16" t="str">
        <f>HYPERLINK("https://ceds.ed.gov/cedselementdetails.aspx?termid=26805")</f>
        <v>https://ceds.ed.gov/cedselementdetails.aspx?termid=26805</v>
      </c>
    </row>
    <row r="503" spans="1:13" ht="158.4" x14ac:dyDescent="0.3">
      <c r="A503" s="16" t="s">
        <v>1973</v>
      </c>
      <c r="B503" s="16" t="s">
        <v>1974</v>
      </c>
      <c r="C503" s="16" t="s">
        <v>8434</v>
      </c>
      <c r="D503" s="16" t="s">
        <v>7899</v>
      </c>
      <c r="E503" s="16"/>
      <c r="F503" s="16"/>
      <c r="G503" s="16"/>
      <c r="H503" s="16"/>
      <c r="I503" s="19" t="s">
        <v>1975</v>
      </c>
      <c r="J503" s="16"/>
      <c r="K503" s="16" t="s">
        <v>1976</v>
      </c>
      <c r="L503" s="16" t="s">
        <v>1977</v>
      </c>
      <c r="M503" s="16" t="str">
        <f>HYPERLINK("https://ceds.ed.gov/cedselementdetails.aspx?termid=26314")</f>
        <v>https://ceds.ed.gov/cedselementdetails.aspx?termid=26314</v>
      </c>
    </row>
    <row r="504" spans="1:13" ht="216" x14ac:dyDescent="0.3">
      <c r="A504" s="16" t="s">
        <v>1978</v>
      </c>
      <c r="B504" s="16" t="s">
        <v>1979</v>
      </c>
      <c r="C504" s="16" t="s">
        <v>9327</v>
      </c>
      <c r="D504" s="16" t="s">
        <v>8435</v>
      </c>
      <c r="E504" s="16"/>
      <c r="F504" s="16"/>
      <c r="G504" s="16"/>
      <c r="H504" s="16"/>
      <c r="I504" s="19" t="s">
        <v>1980</v>
      </c>
      <c r="J504" s="16"/>
      <c r="K504" s="16" t="s">
        <v>1981</v>
      </c>
      <c r="L504" s="16" t="s">
        <v>1982</v>
      </c>
      <c r="M504" s="16" t="str">
        <f>HYPERLINK("https://ceds.ed.gov/cedselementdetails.aspx?termid=26782")</f>
        <v>https://ceds.ed.gov/cedselementdetails.aspx?termid=26782</v>
      </c>
    </row>
    <row r="505" spans="1:13" ht="172.8" x14ac:dyDescent="0.3">
      <c r="A505" s="16" t="s">
        <v>1983</v>
      </c>
      <c r="B505" s="16" t="s">
        <v>1984</v>
      </c>
      <c r="C505" s="16" t="s">
        <v>32</v>
      </c>
      <c r="D505" s="16" t="s">
        <v>9358</v>
      </c>
      <c r="E505" s="16"/>
      <c r="F505" s="16" t="s">
        <v>120</v>
      </c>
      <c r="G505" s="16"/>
      <c r="H505" s="16" t="s">
        <v>7817</v>
      </c>
      <c r="I505" s="19" t="s">
        <v>1985</v>
      </c>
      <c r="J505" s="16"/>
      <c r="K505" s="16" t="s">
        <v>1986</v>
      </c>
      <c r="L505" s="16" t="s">
        <v>1982</v>
      </c>
      <c r="M505" s="16" t="str">
        <f>HYPERLINK("https://ceds.ed.gov/cedselementdetails.aspx?termid=26781")</f>
        <v>https://ceds.ed.gov/cedselementdetails.aspx?termid=26781</v>
      </c>
    </row>
    <row r="506" spans="1:13" ht="43.2" x14ac:dyDescent="0.3">
      <c r="A506" s="16" t="s">
        <v>1987</v>
      </c>
      <c r="B506" s="16" t="s">
        <v>1988</v>
      </c>
      <c r="C506" s="16" t="s">
        <v>22</v>
      </c>
      <c r="D506" s="16" t="s">
        <v>7900</v>
      </c>
      <c r="E506" s="16"/>
      <c r="F506" s="16"/>
      <c r="G506" s="16"/>
      <c r="H506" s="16"/>
      <c r="I506" s="19" t="s">
        <v>1989</v>
      </c>
      <c r="J506" s="16" t="s">
        <v>1990</v>
      </c>
      <c r="K506" s="16" t="s">
        <v>1991</v>
      </c>
      <c r="L506" s="16"/>
      <c r="M506" s="16" t="str">
        <f>HYPERLINK("https://ceds.ed.gov/cedselementdetails.aspx?termid=27476")</f>
        <v>https://ceds.ed.gov/cedselementdetails.aspx?termid=27476</v>
      </c>
    </row>
    <row r="507" spans="1:13" ht="57.6" x14ac:dyDescent="0.3">
      <c r="A507" s="16" t="s">
        <v>1992</v>
      </c>
      <c r="B507" s="16" t="s">
        <v>1993</v>
      </c>
      <c r="C507" s="16" t="s">
        <v>22</v>
      </c>
      <c r="D507" s="16" t="s">
        <v>7900</v>
      </c>
      <c r="E507" s="16"/>
      <c r="F507" s="16"/>
      <c r="G507" s="16"/>
      <c r="H507" s="16"/>
      <c r="I507" s="19" t="s">
        <v>1994</v>
      </c>
      <c r="J507" s="16" t="s">
        <v>1995</v>
      </c>
      <c r="K507" s="16" t="s">
        <v>1996</v>
      </c>
      <c r="L507" s="16"/>
      <c r="M507" s="16" t="str">
        <f>HYPERLINK("https://ceds.ed.gov/cedselementdetails.aspx?termid=27477")</f>
        <v>https://ceds.ed.gov/cedselementdetails.aspx?termid=27477</v>
      </c>
    </row>
    <row r="508" spans="1:13" ht="43.2" x14ac:dyDescent="0.3">
      <c r="A508" s="16" t="s">
        <v>1997</v>
      </c>
      <c r="B508" s="16" t="s">
        <v>1998</v>
      </c>
      <c r="C508" s="16" t="s">
        <v>22</v>
      </c>
      <c r="D508" s="16" t="s">
        <v>7900</v>
      </c>
      <c r="E508" s="16"/>
      <c r="F508" s="16"/>
      <c r="G508" s="16"/>
      <c r="H508" s="16"/>
      <c r="I508" s="19" t="s">
        <v>1999</v>
      </c>
      <c r="J508" s="16" t="s">
        <v>2000</v>
      </c>
      <c r="K508" s="16" t="s">
        <v>2001</v>
      </c>
      <c r="L508" s="16"/>
      <c r="M508" s="16" t="str">
        <f>HYPERLINK("https://ceds.ed.gov/cedselementdetails.aspx?termid=27478")</f>
        <v>https://ceds.ed.gov/cedselementdetails.aspx?termid=27478</v>
      </c>
    </row>
    <row r="509" spans="1:13" ht="273.60000000000002" x14ac:dyDescent="0.3">
      <c r="A509" s="16" t="s">
        <v>2002</v>
      </c>
      <c r="B509" s="16" t="s">
        <v>2003</v>
      </c>
      <c r="C509" s="16" t="s">
        <v>8436</v>
      </c>
      <c r="D509" s="16" t="s">
        <v>7900</v>
      </c>
      <c r="E509" s="16"/>
      <c r="F509" s="16"/>
      <c r="G509" s="16"/>
      <c r="H509" s="16"/>
      <c r="I509" s="19" t="s">
        <v>2004</v>
      </c>
      <c r="J509" s="16" t="s">
        <v>2005</v>
      </c>
      <c r="K509" s="16" t="s">
        <v>2006</v>
      </c>
      <c r="L509" s="16"/>
      <c r="M509" s="16" t="str">
        <f>HYPERLINK("https://ceds.ed.gov/cedselementdetails.aspx?termid=27479")</f>
        <v>https://ceds.ed.gov/cedselementdetails.aspx?termid=27479</v>
      </c>
    </row>
    <row r="510" spans="1:13" ht="273.60000000000002" x14ac:dyDescent="0.3">
      <c r="A510" s="16" t="s">
        <v>2007</v>
      </c>
      <c r="B510" s="16" t="s">
        <v>2008</v>
      </c>
      <c r="C510" s="16" t="s">
        <v>8436</v>
      </c>
      <c r="D510" s="16" t="s">
        <v>7900</v>
      </c>
      <c r="E510" s="16"/>
      <c r="F510" s="16"/>
      <c r="G510" s="16"/>
      <c r="H510" s="16"/>
      <c r="I510" s="19" t="s">
        <v>2009</v>
      </c>
      <c r="J510" s="16" t="s">
        <v>2010</v>
      </c>
      <c r="K510" s="16" t="s">
        <v>2011</v>
      </c>
      <c r="L510" s="16"/>
      <c r="M510" s="16" t="str">
        <f>HYPERLINK("https://ceds.ed.gov/cedselementdetails.aspx?termid=27480")</f>
        <v>https://ceds.ed.gov/cedselementdetails.aspx?termid=27480</v>
      </c>
    </row>
    <row r="511" spans="1:13" ht="273.60000000000002" x14ac:dyDescent="0.3">
      <c r="A511" s="16" t="s">
        <v>2012</v>
      </c>
      <c r="B511" s="16" t="s">
        <v>2013</v>
      </c>
      <c r="C511" s="16" t="s">
        <v>8436</v>
      </c>
      <c r="D511" s="16" t="s">
        <v>7900</v>
      </c>
      <c r="E511" s="16"/>
      <c r="F511" s="16"/>
      <c r="G511" s="16"/>
      <c r="H511" s="16"/>
      <c r="I511" s="19" t="s">
        <v>2014</v>
      </c>
      <c r="J511" s="16" t="s">
        <v>2015</v>
      </c>
      <c r="K511" s="16" t="s">
        <v>2016</v>
      </c>
      <c r="L511" s="16"/>
      <c r="M511" s="16" t="str">
        <f>HYPERLINK("https://ceds.ed.gov/cedselementdetails.aspx?termid=27481")</f>
        <v>https://ceds.ed.gov/cedselementdetails.aspx?termid=27481</v>
      </c>
    </row>
    <row r="512" spans="1:13" ht="158.4" x14ac:dyDescent="0.3">
      <c r="A512" s="16" t="s">
        <v>7337</v>
      </c>
      <c r="B512" s="16" t="s">
        <v>7338</v>
      </c>
      <c r="C512" s="16" t="s">
        <v>8437</v>
      </c>
      <c r="D512" s="16" t="s">
        <v>1837</v>
      </c>
      <c r="E512" s="16"/>
      <c r="F512" s="16"/>
      <c r="G512" s="16"/>
      <c r="H512" s="16" t="s">
        <v>7339</v>
      </c>
      <c r="I512" s="19" t="s">
        <v>7340</v>
      </c>
      <c r="J512" s="16"/>
      <c r="K512" s="16" t="s">
        <v>7341</v>
      </c>
      <c r="L512" s="16"/>
      <c r="M512" s="16" t="str">
        <f>HYPERLINK("https://ceds.ed.gov/cedselementdetails.aspx?termid=27917")</f>
        <v>https://ceds.ed.gov/cedselementdetails.aspx?termid=27917</v>
      </c>
    </row>
    <row r="513" spans="1:13" ht="115.2" x14ac:dyDescent="0.3">
      <c r="A513" s="16" t="s">
        <v>8925</v>
      </c>
      <c r="B513" s="16" t="s">
        <v>8926</v>
      </c>
      <c r="C513" s="16" t="s">
        <v>22</v>
      </c>
      <c r="D513" s="16" t="s">
        <v>27</v>
      </c>
      <c r="E513" s="16"/>
      <c r="F513" s="16" t="s">
        <v>2</v>
      </c>
      <c r="G513" s="16"/>
      <c r="H513" s="16"/>
      <c r="I513" s="19" t="s">
        <v>8927</v>
      </c>
      <c r="J513" s="16"/>
      <c r="K513" s="16" t="s">
        <v>8928</v>
      </c>
      <c r="L513" s="16"/>
      <c r="M513" s="16" t="str">
        <f>HYPERLINK("https://ceds.ed.gov/cedselementdetails.aspx?termid=28008")</f>
        <v>https://ceds.ed.gov/cedselementdetails.aspx?termid=28008</v>
      </c>
    </row>
    <row r="514" spans="1:13" ht="28.8" x14ac:dyDescent="0.3">
      <c r="A514" s="16" t="s">
        <v>2017</v>
      </c>
      <c r="B514" s="16" t="s">
        <v>7901</v>
      </c>
      <c r="C514" s="16" t="s">
        <v>32</v>
      </c>
      <c r="D514" s="16" t="s">
        <v>2018</v>
      </c>
      <c r="E514" s="16"/>
      <c r="F514" s="16" t="s">
        <v>81</v>
      </c>
      <c r="G514" s="16"/>
      <c r="H514" s="16"/>
      <c r="I514" s="19" t="s">
        <v>2019</v>
      </c>
      <c r="J514" s="16"/>
      <c r="K514" s="16" t="s">
        <v>2020</v>
      </c>
      <c r="L514" s="16" t="s">
        <v>1516</v>
      </c>
      <c r="M514" s="16" t="str">
        <f>HYPERLINK("https://ceds.ed.gov/cedselementdetails.aspx?termid=26416")</f>
        <v>https://ceds.ed.gov/cedselementdetails.aspx?termid=26416</v>
      </c>
    </row>
    <row r="515" spans="1:13" ht="100.8" x14ac:dyDescent="0.3">
      <c r="A515" s="16" t="s">
        <v>2021</v>
      </c>
      <c r="B515" s="16" t="s">
        <v>2022</v>
      </c>
      <c r="C515" s="16" t="s">
        <v>32</v>
      </c>
      <c r="D515" s="16" t="s">
        <v>8438</v>
      </c>
      <c r="E515" s="16"/>
      <c r="F515" s="16" t="s">
        <v>403</v>
      </c>
      <c r="G515" s="16"/>
      <c r="H515" s="16"/>
      <c r="I515" s="19" t="s">
        <v>2023</v>
      </c>
      <c r="J515" s="16"/>
      <c r="K515" s="16" t="s">
        <v>2024</v>
      </c>
      <c r="L515" s="16" t="s">
        <v>2025</v>
      </c>
      <c r="M515" s="16" t="str">
        <f>HYPERLINK("https://ceds.ed.gov/cedselementdetails.aspx?termid=26510")</f>
        <v>https://ceds.ed.gov/cedselementdetails.aspx?termid=26510</v>
      </c>
    </row>
    <row r="516" spans="1:13" ht="100.8" x14ac:dyDescent="0.3">
      <c r="A516" s="16" t="s">
        <v>2026</v>
      </c>
      <c r="B516" s="16" t="s">
        <v>2027</v>
      </c>
      <c r="C516" s="16" t="s">
        <v>32</v>
      </c>
      <c r="D516" s="16" t="s">
        <v>8438</v>
      </c>
      <c r="E516" s="16"/>
      <c r="F516" s="16" t="s">
        <v>403</v>
      </c>
      <c r="G516" s="16"/>
      <c r="H516" s="16"/>
      <c r="I516" s="19" t="s">
        <v>2028</v>
      </c>
      <c r="J516" s="16"/>
      <c r="K516" s="16" t="s">
        <v>2029</v>
      </c>
      <c r="L516" s="16" t="s">
        <v>2025</v>
      </c>
      <c r="M516" s="16" t="str">
        <f>HYPERLINK("https://ceds.ed.gov/cedselementdetails.aspx?termid=26511")</f>
        <v>https://ceds.ed.gov/cedselementdetails.aspx?termid=26511</v>
      </c>
    </row>
    <row r="517" spans="1:13" ht="72" x14ac:dyDescent="0.3">
      <c r="A517" s="16" t="s">
        <v>2030</v>
      </c>
      <c r="B517" s="16" t="s">
        <v>2031</v>
      </c>
      <c r="C517" s="16" t="s">
        <v>32</v>
      </c>
      <c r="D517" s="16" t="s">
        <v>2032</v>
      </c>
      <c r="E517" s="16"/>
      <c r="F517" s="16" t="s">
        <v>145</v>
      </c>
      <c r="G517" s="16"/>
      <c r="H517" s="16"/>
      <c r="I517" s="19" t="s">
        <v>2033</v>
      </c>
      <c r="J517" s="16"/>
      <c r="K517" s="16" t="s">
        <v>2034</v>
      </c>
      <c r="L517" s="16"/>
      <c r="M517" s="16" t="str">
        <f>HYPERLINK("https://ceds.ed.gov/cedselementdetails.aspx?termid=26512")</f>
        <v>https://ceds.ed.gov/cedselementdetails.aspx?termid=26512</v>
      </c>
    </row>
    <row r="518" spans="1:13" ht="72" x14ac:dyDescent="0.3">
      <c r="A518" s="16" t="s">
        <v>2035</v>
      </c>
      <c r="B518" s="16" t="s">
        <v>2036</v>
      </c>
      <c r="C518" s="16" t="s">
        <v>32</v>
      </c>
      <c r="D518" s="16" t="s">
        <v>2032</v>
      </c>
      <c r="E518" s="16"/>
      <c r="F518" s="16" t="s">
        <v>81</v>
      </c>
      <c r="G518" s="16"/>
      <c r="H518" s="16"/>
      <c r="I518" s="19" t="s">
        <v>2037</v>
      </c>
      <c r="J518" s="16"/>
      <c r="K518" s="16" t="s">
        <v>2038</v>
      </c>
      <c r="L518" s="16"/>
      <c r="M518" s="16" t="str">
        <f>HYPERLINK("https://ceds.ed.gov/cedselementdetails.aspx?termid=26513")</f>
        <v>https://ceds.ed.gov/cedselementdetails.aspx?termid=26513</v>
      </c>
    </row>
    <row r="519" spans="1:13" ht="72" x14ac:dyDescent="0.3">
      <c r="A519" s="16" t="s">
        <v>2039</v>
      </c>
      <c r="B519" s="16" t="s">
        <v>2040</v>
      </c>
      <c r="C519" s="16" t="s">
        <v>32</v>
      </c>
      <c r="D519" s="16" t="s">
        <v>61</v>
      </c>
      <c r="E519" s="16"/>
      <c r="F519" s="16" t="s">
        <v>2041</v>
      </c>
      <c r="G519" s="16"/>
      <c r="H519" s="16"/>
      <c r="I519" s="19" t="s">
        <v>2042</v>
      </c>
      <c r="J519" s="16"/>
      <c r="K519" s="16" t="s">
        <v>2043</v>
      </c>
      <c r="L519" s="16" t="s">
        <v>64</v>
      </c>
      <c r="M519" s="16" t="str">
        <f>HYPERLINK("https://ceds.ed.gov/cedselementdetails.aspx?termid=26042")</f>
        <v>https://ceds.ed.gov/cedselementdetails.aspx?termid=26042</v>
      </c>
    </row>
    <row r="520" spans="1:13" ht="388.8" x14ac:dyDescent="0.3">
      <c r="A520" s="16" t="s">
        <v>2044</v>
      </c>
      <c r="B520" s="16" t="s">
        <v>2045</v>
      </c>
      <c r="C520" s="16" t="s">
        <v>7312</v>
      </c>
      <c r="D520" s="16" t="s">
        <v>12958</v>
      </c>
      <c r="E520" s="16" t="s">
        <v>160</v>
      </c>
      <c r="F520" s="16" t="s">
        <v>2</v>
      </c>
      <c r="G520" s="16" t="s">
        <v>12935</v>
      </c>
      <c r="H520" s="16"/>
      <c r="I520" s="19" t="s">
        <v>2046</v>
      </c>
      <c r="J520" s="16" t="s">
        <v>2047</v>
      </c>
      <c r="K520" s="16" t="s">
        <v>2048</v>
      </c>
      <c r="L520" s="16" t="s">
        <v>42</v>
      </c>
      <c r="M520" s="16" t="str">
        <f>HYPERLINK("https://ceds.ed.gov/cedselementdetails.aspx?termid=26043")</f>
        <v>https://ceds.ed.gov/cedselementdetails.aspx?termid=26043</v>
      </c>
    </row>
    <row r="521" spans="1:13" ht="187.2" x14ac:dyDescent="0.3">
      <c r="A521" s="16" t="s">
        <v>2049</v>
      </c>
      <c r="B521" s="16" t="s">
        <v>2050</v>
      </c>
      <c r="C521" s="16" t="s">
        <v>8439</v>
      </c>
      <c r="D521" s="16" t="s">
        <v>2051</v>
      </c>
      <c r="E521" s="16"/>
      <c r="F521" s="16"/>
      <c r="G521" s="16"/>
      <c r="H521" s="16"/>
      <c r="I521" s="19" t="s">
        <v>2052</v>
      </c>
      <c r="J521" s="16" t="s">
        <v>2053</v>
      </c>
      <c r="K521" s="16" t="s">
        <v>2054</v>
      </c>
      <c r="L521" s="16" t="s">
        <v>186</v>
      </c>
      <c r="M521" s="16" t="str">
        <f>HYPERLINK("https://ceds.ed.gov/cedselementdetails.aspx?termid=26044")</f>
        <v>https://ceds.ed.gov/cedselementdetails.aspx?termid=26044</v>
      </c>
    </row>
    <row r="522" spans="1:13" ht="360" x14ac:dyDescent="0.3">
      <c r="A522" s="16" t="s">
        <v>2055</v>
      </c>
      <c r="B522" s="16" t="s">
        <v>2056</v>
      </c>
      <c r="C522" s="16" t="s">
        <v>9328</v>
      </c>
      <c r="D522" s="16" t="s">
        <v>13028</v>
      </c>
      <c r="E522" s="16"/>
      <c r="F522" s="16"/>
      <c r="G522" s="16"/>
      <c r="H522" s="16"/>
      <c r="I522" s="19" t="s">
        <v>2057</v>
      </c>
      <c r="J522" s="16" t="s">
        <v>2058</v>
      </c>
      <c r="K522" s="16" t="s">
        <v>2059</v>
      </c>
      <c r="L522" s="16" t="s">
        <v>186</v>
      </c>
      <c r="M522" s="16" t="str">
        <f>HYPERLINK("https://ceds.ed.gov/cedselementdetails.aspx?termid=26045")</f>
        <v>https://ceds.ed.gov/cedselementdetails.aspx?termid=26045</v>
      </c>
    </row>
    <row r="523" spans="1:13" ht="172.8" x14ac:dyDescent="0.3">
      <c r="A523" s="16" t="s">
        <v>2060</v>
      </c>
      <c r="B523" s="16" t="s">
        <v>2061</v>
      </c>
      <c r="C523" s="16" t="s">
        <v>32</v>
      </c>
      <c r="D523" s="16" t="s">
        <v>2032</v>
      </c>
      <c r="E523" s="16"/>
      <c r="F523" s="16" t="s">
        <v>120</v>
      </c>
      <c r="G523" s="16"/>
      <c r="H523" s="16" t="s">
        <v>7817</v>
      </c>
      <c r="I523" s="19" t="s">
        <v>2062</v>
      </c>
      <c r="J523" s="16"/>
      <c r="K523" s="16" t="s">
        <v>2063</v>
      </c>
      <c r="L523" s="16"/>
      <c r="M523" s="16" t="str">
        <f>HYPERLINK("https://ceds.ed.gov/cedselementdetails.aspx?termid=26507")</f>
        <v>https://ceds.ed.gov/cedselementdetails.aspx?termid=26507</v>
      </c>
    </row>
    <row r="524" spans="1:13" ht="244.8" x14ac:dyDescent="0.3">
      <c r="A524" s="16" t="s">
        <v>2064</v>
      </c>
      <c r="B524" s="16" t="s">
        <v>2065</v>
      </c>
      <c r="C524" s="16" t="s">
        <v>8213</v>
      </c>
      <c r="D524" s="16" t="s">
        <v>9359</v>
      </c>
      <c r="E524" s="16"/>
      <c r="F524" s="16"/>
      <c r="G524" s="16"/>
      <c r="H524" s="16"/>
      <c r="I524" s="19" t="s">
        <v>2066</v>
      </c>
      <c r="J524" s="16"/>
      <c r="K524" s="16" t="s">
        <v>2067</v>
      </c>
      <c r="L524" s="16"/>
      <c r="M524" s="16" t="str">
        <f>HYPERLINK("https://ceds.ed.gov/cedselementdetails.aspx?termid=26615")</f>
        <v>https://ceds.ed.gov/cedselementdetails.aspx?termid=26615</v>
      </c>
    </row>
    <row r="525" spans="1:13" ht="158.4" x14ac:dyDescent="0.3">
      <c r="A525" s="16" t="s">
        <v>8929</v>
      </c>
      <c r="B525" s="16" t="s">
        <v>8930</v>
      </c>
      <c r="C525" s="16" t="s">
        <v>9290</v>
      </c>
      <c r="D525" s="16" t="s">
        <v>13029</v>
      </c>
      <c r="E525" s="16"/>
      <c r="F525" s="16" t="s">
        <v>2</v>
      </c>
      <c r="G525" s="16"/>
      <c r="H525" s="16"/>
      <c r="I525" s="19" t="s">
        <v>8931</v>
      </c>
      <c r="J525" s="16"/>
      <c r="K525" s="16" t="s">
        <v>8932</v>
      </c>
      <c r="L525" s="16"/>
      <c r="M525" s="16" t="str">
        <f>HYPERLINK("https://ceds.ed.gov/cedselementdetails.aspx?termid=28009")</f>
        <v>https://ceds.ed.gov/cedselementdetails.aspx?termid=28009</v>
      </c>
    </row>
    <row r="526" spans="1:13" x14ac:dyDescent="0.3">
      <c r="A526" s="16" t="s">
        <v>2068</v>
      </c>
      <c r="B526" s="16" t="s">
        <v>2069</v>
      </c>
      <c r="C526" s="16" t="s">
        <v>32</v>
      </c>
      <c r="D526" s="16" t="s">
        <v>61</v>
      </c>
      <c r="E526" s="16"/>
      <c r="F526" s="16" t="s">
        <v>81</v>
      </c>
      <c r="G526" s="16"/>
      <c r="H526" s="16"/>
      <c r="I526" s="19" t="s">
        <v>2070</v>
      </c>
      <c r="J526" s="16"/>
      <c r="K526" s="16" t="s">
        <v>2071</v>
      </c>
      <c r="L526" s="16"/>
      <c r="M526" s="16" t="str">
        <f>HYPERLINK("https://ceds.ed.gov/cedselementdetails.aspx?termid=26687")</f>
        <v>https://ceds.ed.gov/cedselementdetails.aspx?termid=26687</v>
      </c>
    </row>
    <row r="527" spans="1:13" ht="187.2" x14ac:dyDescent="0.3">
      <c r="A527" s="16" t="s">
        <v>2072</v>
      </c>
      <c r="B527" s="16" t="s">
        <v>2073</v>
      </c>
      <c r="C527" s="16" t="s">
        <v>8440</v>
      </c>
      <c r="D527" s="16" t="s">
        <v>2074</v>
      </c>
      <c r="E527" s="16"/>
      <c r="F527" s="16"/>
      <c r="G527" s="16"/>
      <c r="H527" s="16"/>
      <c r="I527" s="19" t="s">
        <v>2075</v>
      </c>
      <c r="J527" s="16"/>
      <c r="K527" s="16" t="s">
        <v>2076</v>
      </c>
      <c r="L527" s="16" t="s">
        <v>230</v>
      </c>
      <c r="M527" s="16" t="str">
        <f>HYPERLINK("https://ceds.ed.gov/cedselementdetails.aspx?termid=26106")</f>
        <v>https://ceds.ed.gov/cedselementdetails.aspx?termid=26106</v>
      </c>
    </row>
    <row r="528" spans="1:13" ht="72" x14ac:dyDescent="0.3">
      <c r="A528" s="16" t="s">
        <v>2077</v>
      </c>
      <c r="B528" s="16" t="s">
        <v>7342</v>
      </c>
      <c r="C528" s="16" t="s">
        <v>32</v>
      </c>
      <c r="D528" s="16" t="s">
        <v>13030</v>
      </c>
      <c r="E528" s="16"/>
      <c r="F528" s="16" t="s">
        <v>1807</v>
      </c>
      <c r="G528" s="16"/>
      <c r="H528" s="16"/>
      <c r="I528" s="19" t="s">
        <v>2078</v>
      </c>
      <c r="J528" s="16"/>
      <c r="K528" s="16" t="s">
        <v>2079</v>
      </c>
      <c r="L528" s="16" t="s">
        <v>2080</v>
      </c>
      <c r="M528" s="16" t="str">
        <f>HYPERLINK("https://ceds.ed.gov/cedselementdetails.aspx?termid=26577")</f>
        <v>https://ceds.ed.gov/cedselementdetails.aspx?termid=26577</v>
      </c>
    </row>
    <row r="529" spans="1:13" ht="100.8" x14ac:dyDescent="0.3">
      <c r="A529" s="16" t="s">
        <v>7343</v>
      </c>
      <c r="B529" s="16" t="s">
        <v>7344</v>
      </c>
      <c r="C529" s="16" t="s">
        <v>32</v>
      </c>
      <c r="D529" s="16" t="s">
        <v>7902</v>
      </c>
      <c r="E529" s="16"/>
      <c r="F529" s="16" t="s">
        <v>1481</v>
      </c>
      <c r="G529" s="16"/>
      <c r="H529" s="16"/>
      <c r="I529" s="19" t="s">
        <v>7345</v>
      </c>
      <c r="J529" s="16"/>
      <c r="K529" s="16" t="s">
        <v>7346</v>
      </c>
      <c r="L529" s="16"/>
      <c r="M529" s="16" t="str">
        <f>HYPERLINK("https://ceds.ed.gov/cedselementdetails.aspx?termid=27918")</f>
        <v>https://ceds.ed.gov/cedselementdetails.aspx?termid=27918</v>
      </c>
    </row>
    <row r="530" spans="1:13" ht="57.6" x14ac:dyDescent="0.3">
      <c r="A530" s="16" t="s">
        <v>2081</v>
      </c>
      <c r="B530" s="16" t="s">
        <v>2082</v>
      </c>
      <c r="C530" s="16" t="s">
        <v>32</v>
      </c>
      <c r="D530" s="16" t="s">
        <v>2083</v>
      </c>
      <c r="E530" s="16"/>
      <c r="F530" s="16" t="s">
        <v>1807</v>
      </c>
      <c r="G530" s="16"/>
      <c r="H530" s="16"/>
      <c r="I530" s="19" t="s">
        <v>2084</v>
      </c>
      <c r="J530" s="16"/>
      <c r="K530" s="16" t="s">
        <v>2085</v>
      </c>
      <c r="L530" s="16" t="s">
        <v>1927</v>
      </c>
      <c r="M530" s="16" t="str">
        <f>HYPERLINK("https://ceds.ed.gov/cedselementdetails.aspx?termid=26046")</f>
        <v>https://ceds.ed.gov/cedselementdetails.aspx?termid=26046</v>
      </c>
    </row>
    <row r="531" spans="1:13" ht="129.6" x14ac:dyDescent="0.3">
      <c r="A531" s="16" t="s">
        <v>2086</v>
      </c>
      <c r="B531" s="16" t="s">
        <v>2087</v>
      </c>
      <c r="C531" s="16" t="s">
        <v>8441</v>
      </c>
      <c r="D531" s="16" t="s">
        <v>8442</v>
      </c>
      <c r="E531" s="16"/>
      <c r="F531" s="16"/>
      <c r="G531" s="16"/>
      <c r="H531" s="16"/>
      <c r="I531" s="19" t="s">
        <v>2088</v>
      </c>
      <c r="J531" s="16"/>
      <c r="K531" s="16" t="s">
        <v>2089</v>
      </c>
      <c r="L531" s="16"/>
      <c r="M531" s="16" t="str">
        <f>HYPERLINK("https://ceds.ed.gov/cedselementdetails.aspx?termid=27614")</f>
        <v>https://ceds.ed.gov/cedselementdetails.aspx?termid=27614</v>
      </c>
    </row>
    <row r="532" spans="1:13" ht="28.8" x14ac:dyDescent="0.3">
      <c r="A532" s="16" t="s">
        <v>2090</v>
      </c>
      <c r="B532" s="16" t="s">
        <v>2091</v>
      </c>
      <c r="C532" s="16" t="s">
        <v>32</v>
      </c>
      <c r="D532" s="16" t="s">
        <v>2092</v>
      </c>
      <c r="E532" s="16"/>
      <c r="F532" s="16" t="s">
        <v>101</v>
      </c>
      <c r="G532" s="16"/>
      <c r="H532" s="16"/>
      <c r="I532" s="19" t="s">
        <v>2093</v>
      </c>
      <c r="J532" s="16" t="s">
        <v>2094</v>
      </c>
      <c r="K532" s="16" t="s">
        <v>2095</v>
      </c>
      <c r="L532" s="16"/>
      <c r="M532" s="16" t="str">
        <f>HYPERLINK("https://ceds.ed.gov/cedselementdetails.aspx?termid=27371")</f>
        <v>https://ceds.ed.gov/cedselementdetails.aspx?termid=27371</v>
      </c>
    </row>
    <row r="533" spans="1:13" ht="43.2" x14ac:dyDescent="0.3">
      <c r="A533" s="16" t="s">
        <v>2096</v>
      </c>
      <c r="B533" s="16" t="s">
        <v>2097</v>
      </c>
      <c r="C533" s="16" t="s">
        <v>32</v>
      </c>
      <c r="D533" s="16" t="s">
        <v>2092</v>
      </c>
      <c r="E533" s="16"/>
      <c r="F533" s="16" t="s">
        <v>81</v>
      </c>
      <c r="G533" s="16"/>
      <c r="H533" s="16"/>
      <c r="I533" s="19" t="s">
        <v>2098</v>
      </c>
      <c r="J533" s="16" t="s">
        <v>2099</v>
      </c>
      <c r="K533" s="16" t="s">
        <v>2100</v>
      </c>
      <c r="L533" s="16"/>
      <c r="M533" s="16" t="str">
        <f>HYPERLINK("https://ceds.ed.gov/cedselementdetails.aspx?termid=27372")</f>
        <v>https://ceds.ed.gov/cedselementdetails.aspx?termid=27372</v>
      </c>
    </row>
    <row r="534" spans="1:13" ht="43.2" x14ac:dyDescent="0.3">
      <c r="A534" s="16" t="s">
        <v>2101</v>
      </c>
      <c r="B534" s="16" t="s">
        <v>2102</v>
      </c>
      <c r="C534" s="16" t="s">
        <v>32</v>
      </c>
      <c r="D534" s="16" t="s">
        <v>2092</v>
      </c>
      <c r="E534" s="16"/>
      <c r="F534" s="16" t="s">
        <v>50</v>
      </c>
      <c r="G534" s="16"/>
      <c r="H534" s="16"/>
      <c r="I534" s="19" t="s">
        <v>2103</v>
      </c>
      <c r="J534" s="16" t="s">
        <v>2104</v>
      </c>
      <c r="K534" s="16" t="s">
        <v>2105</v>
      </c>
      <c r="L534" s="16"/>
      <c r="M534" s="16" t="str">
        <f>HYPERLINK("https://ceds.ed.gov/cedselementdetails.aspx?termid=27373")</f>
        <v>https://ceds.ed.gov/cedselementdetails.aspx?termid=27373</v>
      </c>
    </row>
    <row r="535" spans="1:13" ht="57.6" x14ac:dyDescent="0.3">
      <c r="A535" s="16" t="s">
        <v>2106</v>
      </c>
      <c r="B535" s="16" t="s">
        <v>2107</v>
      </c>
      <c r="C535" s="16" t="s">
        <v>32</v>
      </c>
      <c r="D535" s="16" t="s">
        <v>2108</v>
      </c>
      <c r="E535" s="16"/>
      <c r="F535" s="16" t="s">
        <v>50</v>
      </c>
      <c r="G535" s="16"/>
      <c r="H535" s="16"/>
      <c r="I535" s="19" t="s">
        <v>2109</v>
      </c>
      <c r="J535" s="16" t="s">
        <v>2110</v>
      </c>
      <c r="K535" s="16" t="s">
        <v>2111</v>
      </c>
      <c r="L535" s="16"/>
      <c r="M535" s="16" t="str">
        <f>HYPERLINK("https://ceds.ed.gov/cedselementdetails.aspx?termid=26871")</f>
        <v>https://ceds.ed.gov/cedselementdetails.aspx?termid=26871</v>
      </c>
    </row>
    <row r="536" spans="1:13" ht="43.2" x14ac:dyDescent="0.3">
      <c r="A536" s="16" t="s">
        <v>2112</v>
      </c>
      <c r="B536" s="16" t="s">
        <v>2113</v>
      </c>
      <c r="C536" s="16" t="s">
        <v>32</v>
      </c>
      <c r="D536" s="16" t="s">
        <v>2092</v>
      </c>
      <c r="E536" s="16"/>
      <c r="F536" s="16" t="s">
        <v>81</v>
      </c>
      <c r="G536" s="16"/>
      <c r="H536" s="16"/>
      <c r="I536" s="19" t="s">
        <v>2114</v>
      </c>
      <c r="J536" s="16" t="s">
        <v>2115</v>
      </c>
      <c r="K536" s="16" t="s">
        <v>2116</v>
      </c>
      <c r="L536" s="16"/>
      <c r="M536" s="16" t="str">
        <f>HYPERLINK("https://ceds.ed.gov/cedselementdetails.aspx?termid=27374")</f>
        <v>https://ceds.ed.gov/cedselementdetails.aspx?termid=27374</v>
      </c>
    </row>
    <row r="537" spans="1:13" ht="43.2" x14ac:dyDescent="0.3">
      <c r="A537" s="16" t="s">
        <v>2117</v>
      </c>
      <c r="B537" s="16" t="s">
        <v>2118</v>
      </c>
      <c r="C537" s="16" t="s">
        <v>32</v>
      </c>
      <c r="D537" s="16" t="s">
        <v>2092</v>
      </c>
      <c r="E537" s="16"/>
      <c r="F537" s="16" t="s">
        <v>50</v>
      </c>
      <c r="G537" s="16"/>
      <c r="H537" s="16"/>
      <c r="I537" s="19" t="s">
        <v>2119</v>
      </c>
      <c r="J537" s="16" t="s">
        <v>2120</v>
      </c>
      <c r="K537" s="16" t="s">
        <v>2121</v>
      </c>
      <c r="L537" s="16"/>
      <c r="M537" s="16" t="str">
        <f>HYPERLINK("https://ceds.ed.gov/cedselementdetails.aspx?termid=27375")</f>
        <v>https://ceds.ed.gov/cedselementdetails.aspx?termid=27375</v>
      </c>
    </row>
    <row r="538" spans="1:13" ht="409.6" x14ac:dyDescent="0.3">
      <c r="A538" s="16" t="s">
        <v>2122</v>
      </c>
      <c r="B538" s="16" t="s">
        <v>2123</v>
      </c>
      <c r="C538" s="16" t="s">
        <v>8443</v>
      </c>
      <c r="D538" s="16" t="s">
        <v>2108</v>
      </c>
      <c r="E538" s="16"/>
      <c r="F538" s="16"/>
      <c r="G538" s="16"/>
      <c r="H538" s="16" t="s">
        <v>7903</v>
      </c>
      <c r="I538" s="19" t="s">
        <v>2124</v>
      </c>
      <c r="J538" s="16" t="s">
        <v>2125</v>
      </c>
      <c r="K538" s="16" t="s">
        <v>2126</v>
      </c>
      <c r="L538" s="16"/>
      <c r="M538" s="16" t="str">
        <f>HYPERLINK("https://ceds.ed.gov/cedselementdetails.aspx?termid=26869")</f>
        <v>https://ceds.ed.gov/cedselementdetails.aspx?termid=26869</v>
      </c>
    </row>
    <row r="539" spans="1:13" ht="115.2" x14ac:dyDescent="0.3">
      <c r="A539" s="16" t="s">
        <v>2127</v>
      </c>
      <c r="B539" s="16" t="s">
        <v>2128</v>
      </c>
      <c r="C539" s="16" t="s">
        <v>32</v>
      </c>
      <c r="D539" s="16" t="s">
        <v>2092</v>
      </c>
      <c r="E539" s="16"/>
      <c r="F539" s="16" t="s">
        <v>2129</v>
      </c>
      <c r="G539" s="16"/>
      <c r="H539" s="16" t="s">
        <v>2130</v>
      </c>
      <c r="I539" s="19" t="s">
        <v>2131</v>
      </c>
      <c r="J539" s="16" t="s">
        <v>2132</v>
      </c>
      <c r="K539" s="16" t="s">
        <v>2133</v>
      </c>
      <c r="L539" s="16"/>
      <c r="M539" s="16" t="str">
        <f>HYPERLINK("https://ceds.ed.gov/cedselementdetails.aspx?termid=27376")</f>
        <v>https://ceds.ed.gov/cedselementdetails.aspx?termid=27376</v>
      </c>
    </row>
    <row r="540" spans="1:13" ht="57.6" x14ac:dyDescent="0.3">
      <c r="A540" s="16" t="s">
        <v>2134</v>
      </c>
      <c r="B540" s="16" t="s">
        <v>12975</v>
      </c>
      <c r="C540" s="16" t="s">
        <v>8444</v>
      </c>
      <c r="D540" s="16" t="s">
        <v>2135</v>
      </c>
      <c r="E540" s="16"/>
      <c r="F540" s="16"/>
      <c r="G540" s="16"/>
      <c r="H540" s="16"/>
      <c r="I540" s="19" t="s">
        <v>2136</v>
      </c>
      <c r="J540" s="16" t="s">
        <v>2137</v>
      </c>
      <c r="K540" s="16" t="s">
        <v>2138</v>
      </c>
      <c r="L540" s="16"/>
      <c r="M540" s="16" t="str">
        <f>HYPERLINK("https://ceds.ed.gov/cedselementdetails.aspx?termid=26875")</f>
        <v>https://ceds.ed.gov/cedselementdetails.aspx?termid=26875</v>
      </c>
    </row>
    <row r="541" spans="1:13" ht="72" x14ac:dyDescent="0.3">
      <c r="A541" s="16" t="s">
        <v>2139</v>
      </c>
      <c r="B541" s="16" t="s">
        <v>2140</v>
      </c>
      <c r="C541" s="16" t="s">
        <v>32</v>
      </c>
      <c r="D541" s="16" t="s">
        <v>2141</v>
      </c>
      <c r="E541" s="16"/>
      <c r="F541" s="16" t="s">
        <v>81</v>
      </c>
      <c r="G541" s="16"/>
      <c r="H541" s="16" t="s">
        <v>7904</v>
      </c>
      <c r="I541" s="19" t="s">
        <v>2142</v>
      </c>
      <c r="J541" s="16" t="s">
        <v>2143</v>
      </c>
      <c r="K541" s="16" t="s">
        <v>2144</v>
      </c>
      <c r="L541" s="16"/>
      <c r="M541" s="16" t="str">
        <f>HYPERLINK("https://ceds.ed.gov/cedselementdetails.aspx?termid=26669")</f>
        <v>https://ceds.ed.gov/cedselementdetails.aspx?termid=26669</v>
      </c>
    </row>
    <row r="542" spans="1:13" ht="43.2" x14ac:dyDescent="0.3">
      <c r="A542" s="16" t="s">
        <v>2145</v>
      </c>
      <c r="B542" s="16" t="s">
        <v>2146</v>
      </c>
      <c r="C542" s="16" t="s">
        <v>32</v>
      </c>
      <c r="D542" s="16" t="s">
        <v>2135</v>
      </c>
      <c r="E542" s="16"/>
      <c r="F542" s="16" t="s">
        <v>101</v>
      </c>
      <c r="G542" s="16"/>
      <c r="H542" s="16"/>
      <c r="I542" s="19" t="s">
        <v>2147</v>
      </c>
      <c r="J542" s="16" t="s">
        <v>2148</v>
      </c>
      <c r="K542" s="16" t="s">
        <v>2149</v>
      </c>
      <c r="L542" s="16"/>
      <c r="M542" s="16" t="str">
        <f>HYPERLINK("https://ceds.ed.gov/cedselementdetails.aspx?termid=26887")</f>
        <v>https://ceds.ed.gov/cedselementdetails.aspx?termid=26887</v>
      </c>
    </row>
    <row r="543" spans="1:13" ht="72" x14ac:dyDescent="0.3">
      <c r="A543" s="16" t="s">
        <v>2150</v>
      </c>
      <c r="B543" s="16" t="s">
        <v>2151</v>
      </c>
      <c r="C543" s="16" t="s">
        <v>32</v>
      </c>
      <c r="D543" s="16" t="s">
        <v>2135</v>
      </c>
      <c r="E543" s="16"/>
      <c r="F543" s="16" t="s">
        <v>81</v>
      </c>
      <c r="G543" s="16"/>
      <c r="H543" s="16"/>
      <c r="I543" s="19" t="s">
        <v>2152</v>
      </c>
      <c r="J543" s="16" t="s">
        <v>2153</v>
      </c>
      <c r="K543" s="16" t="s">
        <v>2154</v>
      </c>
      <c r="L543" s="16"/>
      <c r="M543" s="16" t="str">
        <f>HYPERLINK("https://ceds.ed.gov/cedselementdetails.aspx?termid=26888")</f>
        <v>https://ceds.ed.gov/cedselementdetails.aspx?termid=26888</v>
      </c>
    </row>
    <row r="544" spans="1:13" ht="201.6" x14ac:dyDescent="0.3">
      <c r="A544" s="16" t="s">
        <v>2155</v>
      </c>
      <c r="B544" s="16" t="s">
        <v>2156</v>
      </c>
      <c r="C544" s="16" t="s">
        <v>22</v>
      </c>
      <c r="D544" s="16" t="s">
        <v>2135</v>
      </c>
      <c r="E544" s="16"/>
      <c r="F544" s="16"/>
      <c r="G544" s="16"/>
      <c r="H544" s="16" t="s">
        <v>2157</v>
      </c>
      <c r="I544" s="19" t="s">
        <v>2158</v>
      </c>
      <c r="J544" s="16" t="s">
        <v>2159</v>
      </c>
      <c r="K544" s="16" t="s">
        <v>2160</v>
      </c>
      <c r="L544" s="16"/>
      <c r="M544" s="16" t="str">
        <f>HYPERLINK("https://ceds.ed.gov/cedselementdetails.aspx?termid=27499")</f>
        <v>https://ceds.ed.gov/cedselementdetails.aspx?termid=27499</v>
      </c>
    </row>
    <row r="545" spans="1:13" ht="409.6" x14ac:dyDescent="0.3">
      <c r="A545" s="16" t="s">
        <v>2161</v>
      </c>
      <c r="B545" s="16" t="s">
        <v>2162</v>
      </c>
      <c r="C545" s="16" t="s">
        <v>8445</v>
      </c>
      <c r="D545" s="16" t="s">
        <v>2135</v>
      </c>
      <c r="E545" s="16"/>
      <c r="F545" s="16"/>
      <c r="G545" s="16"/>
      <c r="H545" s="16" t="s">
        <v>2163</v>
      </c>
      <c r="I545" s="19" t="s">
        <v>2164</v>
      </c>
      <c r="J545" s="16" t="s">
        <v>2165</v>
      </c>
      <c r="K545" s="16" t="s">
        <v>2166</v>
      </c>
      <c r="L545" s="16"/>
      <c r="M545" s="16" t="str">
        <f>HYPERLINK("https://ceds.ed.gov/cedselementdetails.aspx?termid=26701")</f>
        <v>https://ceds.ed.gov/cedselementdetails.aspx?termid=26701</v>
      </c>
    </row>
    <row r="546" spans="1:13" ht="172.8" x14ac:dyDescent="0.3">
      <c r="A546" s="16" t="s">
        <v>2167</v>
      </c>
      <c r="B546" s="16" t="s">
        <v>2168</v>
      </c>
      <c r="C546" s="16" t="s">
        <v>32</v>
      </c>
      <c r="D546" s="16" t="s">
        <v>2135</v>
      </c>
      <c r="E546" s="16"/>
      <c r="F546" s="16" t="s">
        <v>120</v>
      </c>
      <c r="G546" s="16"/>
      <c r="H546" s="16" t="s">
        <v>7905</v>
      </c>
      <c r="I546" s="19" t="s">
        <v>2169</v>
      </c>
      <c r="J546" s="16" t="s">
        <v>2170</v>
      </c>
      <c r="K546" s="16" t="s">
        <v>2171</v>
      </c>
      <c r="L546" s="16" t="s">
        <v>779</v>
      </c>
      <c r="M546" s="16" t="str">
        <f>HYPERLINK("https://ceds.ed.gov/cedselementdetails.aspx?termid=26666")</f>
        <v>https://ceds.ed.gov/cedselementdetails.aspx?termid=26666</v>
      </c>
    </row>
    <row r="547" spans="1:13" ht="115.2" x14ac:dyDescent="0.3">
      <c r="A547" s="16" t="s">
        <v>2172</v>
      </c>
      <c r="B547" s="16" t="s">
        <v>2173</v>
      </c>
      <c r="C547" s="16" t="s">
        <v>7313</v>
      </c>
      <c r="D547" s="16" t="s">
        <v>2135</v>
      </c>
      <c r="E547" s="16"/>
      <c r="F547" s="16"/>
      <c r="G547" s="16"/>
      <c r="H547" s="16" t="s">
        <v>7859</v>
      </c>
      <c r="I547" s="19" t="s">
        <v>2174</v>
      </c>
      <c r="J547" s="16" t="s">
        <v>2175</v>
      </c>
      <c r="K547" s="16" t="s">
        <v>2176</v>
      </c>
      <c r="L547" s="16"/>
      <c r="M547" s="16" t="str">
        <f>HYPERLINK("https://ceds.ed.gov/cedselementdetails.aspx?termid=26881")</f>
        <v>https://ceds.ed.gov/cedselementdetails.aspx?termid=26881</v>
      </c>
    </row>
    <row r="548" spans="1:13" ht="57.6" x14ac:dyDescent="0.3">
      <c r="A548" s="16" t="s">
        <v>2177</v>
      </c>
      <c r="B548" s="16" t="s">
        <v>2178</v>
      </c>
      <c r="C548" s="16" t="s">
        <v>32</v>
      </c>
      <c r="D548" s="16" t="s">
        <v>2135</v>
      </c>
      <c r="E548" s="16"/>
      <c r="F548" s="16" t="s">
        <v>316</v>
      </c>
      <c r="G548" s="16"/>
      <c r="H548" s="16"/>
      <c r="I548" s="19" t="s">
        <v>2179</v>
      </c>
      <c r="J548" s="16" t="s">
        <v>2180</v>
      </c>
      <c r="K548" s="16" t="s">
        <v>2181</v>
      </c>
      <c r="L548" s="16"/>
      <c r="M548" s="16" t="str">
        <f>HYPERLINK("https://ceds.ed.gov/cedselementdetails.aspx?termid=26883")</f>
        <v>https://ceds.ed.gov/cedselementdetails.aspx?termid=26883</v>
      </c>
    </row>
    <row r="549" spans="1:13" ht="129.6" x14ac:dyDescent="0.3">
      <c r="A549" s="16" t="s">
        <v>2182</v>
      </c>
      <c r="B549" s="16" t="s">
        <v>2183</v>
      </c>
      <c r="C549" s="16" t="s">
        <v>8446</v>
      </c>
      <c r="D549" s="16" t="s">
        <v>2135</v>
      </c>
      <c r="E549" s="16"/>
      <c r="F549" s="16"/>
      <c r="G549" s="16"/>
      <c r="H549" s="16"/>
      <c r="I549" s="19" t="s">
        <v>2184</v>
      </c>
      <c r="J549" s="16" t="s">
        <v>2185</v>
      </c>
      <c r="K549" s="16" t="s">
        <v>2186</v>
      </c>
      <c r="L549" s="16"/>
      <c r="M549" s="16" t="str">
        <f>HYPERLINK("https://ceds.ed.gov/cedselementdetails.aspx?termid=26876")</f>
        <v>https://ceds.ed.gov/cedselementdetails.aspx?termid=26876</v>
      </c>
    </row>
    <row r="550" spans="1:13" ht="86.4" x14ac:dyDescent="0.3">
      <c r="A550" s="16" t="s">
        <v>2187</v>
      </c>
      <c r="B550" s="16" t="s">
        <v>2188</v>
      </c>
      <c r="C550" s="16" t="s">
        <v>8447</v>
      </c>
      <c r="D550" s="16" t="s">
        <v>2135</v>
      </c>
      <c r="E550" s="16"/>
      <c r="F550" s="16"/>
      <c r="G550" s="16"/>
      <c r="H550" s="16"/>
      <c r="I550" s="19" t="s">
        <v>2189</v>
      </c>
      <c r="J550" s="16" t="s">
        <v>2190</v>
      </c>
      <c r="K550" s="16" t="s">
        <v>2191</v>
      </c>
      <c r="L550" s="16"/>
      <c r="M550" s="16" t="str">
        <f>HYPERLINK("https://ceds.ed.gov/cedselementdetails.aspx?termid=27377")</f>
        <v>https://ceds.ed.gov/cedselementdetails.aspx?termid=27377</v>
      </c>
    </row>
    <row r="551" spans="1:13" ht="28.8" x14ac:dyDescent="0.3">
      <c r="A551" s="16" t="s">
        <v>2192</v>
      </c>
      <c r="B551" s="16" t="s">
        <v>2193</v>
      </c>
      <c r="C551" s="16" t="s">
        <v>32</v>
      </c>
      <c r="D551" s="16" t="s">
        <v>2135</v>
      </c>
      <c r="E551" s="16"/>
      <c r="F551" s="16" t="s">
        <v>316</v>
      </c>
      <c r="G551" s="16"/>
      <c r="H551" s="16"/>
      <c r="I551" s="19" t="s">
        <v>2194</v>
      </c>
      <c r="J551" s="16" t="s">
        <v>2195</v>
      </c>
      <c r="K551" s="16" t="s">
        <v>2196</v>
      </c>
      <c r="L551" s="16"/>
      <c r="M551" s="16" t="str">
        <f>HYPERLINK("https://ceds.ed.gov/cedselementdetails.aspx?termid=27215")</f>
        <v>https://ceds.ed.gov/cedselementdetails.aspx?termid=27215</v>
      </c>
    </row>
    <row r="552" spans="1:13" ht="43.2" x14ac:dyDescent="0.3">
      <c r="A552" s="16" t="s">
        <v>2197</v>
      </c>
      <c r="B552" s="16" t="s">
        <v>2198</v>
      </c>
      <c r="C552" s="16" t="s">
        <v>32</v>
      </c>
      <c r="D552" s="16" t="s">
        <v>2135</v>
      </c>
      <c r="E552" s="16"/>
      <c r="F552" s="16" t="s">
        <v>81</v>
      </c>
      <c r="G552" s="16"/>
      <c r="H552" s="16"/>
      <c r="I552" s="19" t="s">
        <v>2199</v>
      </c>
      <c r="J552" s="16" t="s">
        <v>2200</v>
      </c>
      <c r="K552" s="16" t="s">
        <v>2201</v>
      </c>
      <c r="L552" s="16"/>
      <c r="M552" s="16" t="str">
        <f>HYPERLINK("https://ceds.ed.gov/cedselementdetails.aspx?termid=26873")</f>
        <v>https://ceds.ed.gov/cedselementdetails.aspx?termid=26873</v>
      </c>
    </row>
    <row r="553" spans="1:13" ht="172.8" x14ac:dyDescent="0.3">
      <c r="A553" s="16" t="s">
        <v>2202</v>
      </c>
      <c r="B553" s="16" t="s">
        <v>2203</v>
      </c>
      <c r="C553" s="16" t="s">
        <v>32</v>
      </c>
      <c r="D553" s="16" t="s">
        <v>2135</v>
      </c>
      <c r="E553" s="16"/>
      <c r="F553" s="16" t="s">
        <v>120</v>
      </c>
      <c r="G553" s="16"/>
      <c r="H553" s="16" t="s">
        <v>7817</v>
      </c>
      <c r="I553" s="19" t="s">
        <v>2204</v>
      </c>
      <c r="J553" s="16" t="s">
        <v>2205</v>
      </c>
      <c r="K553" s="16" t="s">
        <v>2206</v>
      </c>
      <c r="L553" s="16"/>
      <c r="M553" s="16" t="str">
        <f>HYPERLINK("https://ceds.ed.gov/cedselementdetails.aspx?termid=26872")</f>
        <v>https://ceds.ed.gov/cedselementdetails.aspx?termid=26872</v>
      </c>
    </row>
    <row r="554" spans="1:13" ht="57.6" x14ac:dyDescent="0.3">
      <c r="A554" s="16" t="s">
        <v>2207</v>
      </c>
      <c r="B554" s="16" t="s">
        <v>2208</v>
      </c>
      <c r="C554" s="16" t="s">
        <v>32</v>
      </c>
      <c r="D554" s="16" t="s">
        <v>2135</v>
      </c>
      <c r="E554" s="16"/>
      <c r="F554" s="16" t="s">
        <v>50</v>
      </c>
      <c r="G554" s="16"/>
      <c r="H554" s="16"/>
      <c r="I554" s="19" t="s">
        <v>2209</v>
      </c>
      <c r="J554" s="16" t="s">
        <v>2210</v>
      </c>
      <c r="K554" s="16" t="s">
        <v>2211</v>
      </c>
      <c r="L554" s="16"/>
      <c r="M554" s="16" t="str">
        <f>HYPERLINK("https://ceds.ed.gov/cedselementdetails.aspx?termid=27078")</f>
        <v>https://ceds.ed.gov/cedselementdetails.aspx?termid=27078</v>
      </c>
    </row>
    <row r="555" spans="1:13" ht="144" x14ac:dyDescent="0.3">
      <c r="A555" s="16" t="s">
        <v>2212</v>
      </c>
      <c r="B555" s="16" t="s">
        <v>2213</v>
      </c>
      <c r="C555" s="16" t="s">
        <v>32</v>
      </c>
      <c r="D555" s="16" t="s">
        <v>2135</v>
      </c>
      <c r="E555" s="16"/>
      <c r="F555" s="16" t="s">
        <v>120</v>
      </c>
      <c r="G555" s="16"/>
      <c r="H555" s="16" t="s">
        <v>12976</v>
      </c>
      <c r="I555" s="19"/>
      <c r="J555" s="16"/>
      <c r="K555" s="16"/>
      <c r="L555" s="16"/>
      <c r="M555" s="16"/>
    </row>
    <row r="556" spans="1:13" x14ac:dyDescent="0.3">
      <c r="A556" s="16"/>
      <c r="B556" s="16"/>
      <c r="C556" s="16"/>
      <c r="D556" s="16"/>
      <c r="E556" s="16"/>
      <c r="F556" s="16"/>
      <c r="G556" s="16"/>
      <c r="H556" s="16"/>
      <c r="I556" s="19"/>
      <c r="J556" s="16"/>
      <c r="K556" s="16"/>
      <c r="L556" s="16"/>
      <c r="M556" s="16"/>
    </row>
    <row r="557" spans="1:13" x14ac:dyDescent="0.3">
      <c r="A557" s="16"/>
      <c r="B557" s="16"/>
      <c r="C557" s="16"/>
      <c r="D557" s="16"/>
      <c r="E557" s="16"/>
      <c r="F557" s="16"/>
      <c r="G557" s="16"/>
      <c r="H557" s="16"/>
      <c r="I557" s="19"/>
      <c r="J557" s="16"/>
      <c r="K557" s="16"/>
      <c r="L557" s="16"/>
      <c r="M557" s="16"/>
    </row>
    <row r="558" spans="1:13" x14ac:dyDescent="0.3">
      <c r="A558" s="16"/>
      <c r="B558" s="16"/>
      <c r="C558" s="16"/>
      <c r="D558" s="16"/>
      <c r="E558" s="16"/>
      <c r="F558" s="16"/>
      <c r="G558" s="16"/>
      <c r="H558" s="16"/>
      <c r="I558" s="19"/>
      <c r="J558" s="16"/>
      <c r="K558" s="16"/>
      <c r="L558" s="16"/>
      <c r="M558" s="16"/>
    </row>
    <row r="559" spans="1:13" ht="100.8" x14ac:dyDescent="0.3">
      <c r="A559" s="16" t="s">
        <v>121</v>
      </c>
      <c r="B559" s="16"/>
      <c r="C559" s="16"/>
      <c r="D559" s="16"/>
      <c r="E559" s="16"/>
      <c r="F559" s="16"/>
      <c r="G559" s="16"/>
      <c r="H559" s="16"/>
      <c r="I559" s="19"/>
      <c r="J559" s="16"/>
      <c r="K559" s="16"/>
      <c r="L559" s="16"/>
      <c r="M559" s="16"/>
    </row>
    <row r="560" spans="1:13" x14ac:dyDescent="0.3">
      <c r="A560" s="16"/>
      <c r="B560" s="16"/>
      <c r="C560" s="16"/>
      <c r="D560" s="16"/>
      <c r="E560" s="16"/>
      <c r="F560" s="16"/>
      <c r="G560" s="16"/>
      <c r="H560" s="16"/>
      <c r="I560" s="19"/>
      <c r="J560" s="16"/>
      <c r="K560" s="16"/>
      <c r="L560" s="16"/>
      <c r="M560" s="16"/>
    </row>
    <row r="561" spans="1:13" x14ac:dyDescent="0.3">
      <c r="A561" s="16"/>
      <c r="B561" s="16"/>
      <c r="C561" s="16"/>
      <c r="D561" s="16"/>
      <c r="E561" s="16"/>
      <c r="F561" s="16"/>
      <c r="G561" s="16"/>
      <c r="H561" s="16"/>
      <c r="I561" s="19"/>
      <c r="J561" s="16"/>
      <c r="K561" s="16"/>
      <c r="L561" s="16"/>
      <c r="M561" s="16"/>
    </row>
    <row r="562" spans="1:13" x14ac:dyDescent="0.3">
      <c r="A562" s="16"/>
      <c r="B562" s="16"/>
      <c r="C562" s="16"/>
      <c r="D562" s="16"/>
      <c r="E562" s="16"/>
      <c r="F562" s="16"/>
      <c r="G562" s="16"/>
      <c r="H562" s="16"/>
      <c r="I562" s="19"/>
      <c r="J562" s="16"/>
      <c r="K562" s="16"/>
      <c r="L562" s="16"/>
      <c r="M562" s="16"/>
    </row>
    <row r="563" spans="1:13" ht="86.4" x14ac:dyDescent="0.3">
      <c r="A563" s="16" t="s">
        <v>124</v>
      </c>
      <c r="B563" s="16">
        <v>715</v>
      </c>
      <c r="C563" s="16" t="s">
        <v>2214</v>
      </c>
      <c r="D563" s="16" t="s">
        <v>2215</v>
      </c>
      <c r="E563" s="16" t="s">
        <v>779</v>
      </c>
      <c r="F563" s="16" t="str">
        <f>HYPERLINK("https://ceds.ed.gov/cedselementdetails.aspx?termid=26691")</f>
        <v>https://ceds.ed.gov/cedselementdetails.aspx?termid=26691</v>
      </c>
      <c r="G563" s="16"/>
      <c r="H563" s="16"/>
      <c r="I563" s="19"/>
      <c r="J563" s="16"/>
      <c r="K563" s="16"/>
      <c r="L563" s="16"/>
      <c r="M563" s="16"/>
    </row>
    <row r="564" spans="1:13" ht="388.8" x14ac:dyDescent="0.3">
      <c r="A564" s="16" t="s">
        <v>2216</v>
      </c>
      <c r="B564" s="16" t="s">
        <v>2217</v>
      </c>
      <c r="C564" s="16" t="s">
        <v>32</v>
      </c>
      <c r="D564" s="16" t="s">
        <v>2135</v>
      </c>
      <c r="E564" s="16"/>
      <c r="F564" s="16" t="s">
        <v>120</v>
      </c>
      <c r="G564" s="16"/>
      <c r="H564" s="16" t="s">
        <v>7906</v>
      </c>
      <c r="I564" s="19" t="s">
        <v>2218</v>
      </c>
      <c r="J564" s="16" t="s">
        <v>2219</v>
      </c>
      <c r="K564" s="16" t="s">
        <v>2220</v>
      </c>
      <c r="L564" s="16"/>
      <c r="M564" s="16" t="str">
        <f>HYPERLINK("https://ceds.ed.gov/cedselementdetails.aspx?termid=27498")</f>
        <v>https://ceds.ed.gov/cedselementdetails.aspx?termid=27498</v>
      </c>
    </row>
    <row r="565" spans="1:13" ht="72" x14ac:dyDescent="0.3">
      <c r="A565" s="16" t="s">
        <v>2221</v>
      </c>
      <c r="B565" s="16" t="s">
        <v>2222</v>
      </c>
      <c r="C565" s="16" t="s">
        <v>32</v>
      </c>
      <c r="D565" s="16" t="s">
        <v>2135</v>
      </c>
      <c r="E565" s="16"/>
      <c r="F565" s="16" t="s">
        <v>145</v>
      </c>
      <c r="G565" s="16"/>
      <c r="H565" s="16" t="s">
        <v>2223</v>
      </c>
      <c r="I565" s="19" t="s">
        <v>2224</v>
      </c>
      <c r="J565" s="16" t="s">
        <v>2225</v>
      </c>
      <c r="K565" s="16" t="s">
        <v>2226</v>
      </c>
      <c r="L565" s="16"/>
      <c r="M565" s="16" t="str">
        <f>HYPERLINK("https://ceds.ed.gov/cedselementdetails.aspx?termid=27549")</f>
        <v>https://ceds.ed.gov/cedselementdetails.aspx?termid=27549</v>
      </c>
    </row>
    <row r="566" spans="1:13" ht="43.2" x14ac:dyDescent="0.3">
      <c r="A566" s="16" t="s">
        <v>2227</v>
      </c>
      <c r="B566" s="16" t="s">
        <v>2228</v>
      </c>
      <c r="C566" s="16" t="s">
        <v>32</v>
      </c>
      <c r="D566" s="16" t="s">
        <v>2135</v>
      </c>
      <c r="E566" s="16"/>
      <c r="F566" s="16" t="s">
        <v>81</v>
      </c>
      <c r="G566" s="16"/>
      <c r="H566" s="16"/>
      <c r="I566" s="19" t="s">
        <v>2229</v>
      </c>
      <c r="J566" s="16" t="s">
        <v>2230</v>
      </c>
      <c r="K566" s="16" t="s">
        <v>2231</v>
      </c>
      <c r="L566" s="16"/>
      <c r="M566" s="16" t="str">
        <f>HYPERLINK("https://ceds.ed.gov/cedselementdetails.aspx?termid=27378")</f>
        <v>https://ceds.ed.gov/cedselementdetails.aspx?termid=27378</v>
      </c>
    </row>
    <row r="567" spans="1:13" ht="201.6" x14ac:dyDescent="0.3">
      <c r="A567" s="16" t="s">
        <v>2232</v>
      </c>
      <c r="B567" s="16" t="s">
        <v>2233</v>
      </c>
      <c r="C567" s="16" t="s">
        <v>32</v>
      </c>
      <c r="D567" s="16" t="s">
        <v>2141</v>
      </c>
      <c r="E567" s="16"/>
      <c r="F567" s="16" t="s">
        <v>316</v>
      </c>
      <c r="G567" s="16"/>
      <c r="H567" s="16" t="s">
        <v>7907</v>
      </c>
      <c r="I567" s="19" t="s">
        <v>2234</v>
      </c>
      <c r="J567" s="16" t="s">
        <v>2235</v>
      </c>
      <c r="K567" s="16" t="s">
        <v>2236</v>
      </c>
      <c r="L567" s="16" t="s">
        <v>779</v>
      </c>
      <c r="M567" s="16" t="str">
        <f>HYPERLINK("https://ceds.ed.gov/cedselementdetails.aspx?termid=26667")</f>
        <v>https://ceds.ed.gov/cedselementdetails.aspx?termid=26667</v>
      </c>
    </row>
    <row r="568" spans="1:13" ht="86.4" x14ac:dyDescent="0.3">
      <c r="A568" s="16" t="s">
        <v>2237</v>
      </c>
      <c r="B568" s="16" t="s">
        <v>2238</v>
      </c>
      <c r="C568" s="16" t="s">
        <v>8448</v>
      </c>
      <c r="D568" s="16" t="s">
        <v>2135</v>
      </c>
      <c r="E568" s="16"/>
      <c r="F568" s="16"/>
      <c r="G568" s="16"/>
      <c r="H568" s="16"/>
      <c r="I568" s="19" t="s">
        <v>2239</v>
      </c>
      <c r="J568" s="16" t="s">
        <v>2240</v>
      </c>
      <c r="K568" s="16" t="s">
        <v>2241</v>
      </c>
      <c r="L568" s="16"/>
      <c r="M568" s="16" t="str">
        <f>HYPERLINK("https://ceds.ed.gov/cedselementdetails.aspx?termid=27380")</f>
        <v>https://ceds.ed.gov/cedselementdetails.aspx?termid=27380</v>
      </c>
    </row>
    <row r="569" spans="1:13" ht="72" x14ac:dyDescent="0.3">
      <c r="A569" s="16" t="s">
        <v>2242</v>
      </c>
      <c r="B569" s="16" t="s">
        <v>2243</v>
      </c>
      <c r="C569" s="16" t="s">
        <v>32</v>
      </c>
      <c r="D569" s="16" t="s">
        <v>2135</v>
      </c>
      <c r="E569" s="16"/>
      <c r="F569" s="16" t="s">
        <v>136</v>
      </c>
      <c r="G569" s="16"/>
      <c r="H569" s="16"/>
      <c r="I569" s="19" t="s">
        <v>2244</v>
      </c>
      <c r="J569" s="16" t="s">
        <v>2245</v>
      </c>
      <c r="K569" s="16" t="s">
        <v>2246</v>
      </c>
      <c r="L569" s="16"/>
      <c r="M569" s="16" t="str">
        <f>HYPERLINK("https://ceds.ed.gov/cedselementdetails.aspx?termid=27115")</f>
        <v>https://ceds.ed.gov/cedselementdetails.aspx?termid=27115</v>
      </c>
    </row>
    <row r="570" spans="1:13" ht="72" x14ac:dyDescent="0.3">
      <c r="A570" s="16" t="s">
        <v>2247</v>
      </c>
      <c r="B570" s="16" t="s">
        <v>2248</v>
      </c>
      <c r="C570" s="16" t="s">
        <v>32</v>
      </c>
      <c r="D570" s="16" t="s">
        <v>2135</v>
      </c>
      <c r="E570" s="16"/>
      <c r="F570" s="16" t="s">
        <v>136</v>
      </c>
      <c r="G570" s="16"/>
      <c r="H570" s="16"/>
      <c r="I570" s="19" t="s">
        <v>2249</v>
      </c>
      <c r="J570" s="16" t="s">
        <v>2250</v>
      </c>
      <c r="K570" s="16" t="s">
        <v>2251</v>
      </c>
      <c r="L570" s="16"/>
      <c r="M570" s="16" t="str">
        <f>HYPERLINK("https://ceds.ed.gov/cedselementdetails.aspx?termid=27114")</f>
        <v>https://ceds.ed.gov/cedselementdetails.aspx?termid=27114</v>
      </c>
    </row>
    <row r="571" spans="1:13" ht="43.2" x14ac:dyDescent="0.3">
      <c r="A571" s="16" t="s">
        <v>2252</v>
      </c>
      <c r="B571" s="16" t="s">
        <v>2253</v>
      </c>
      <c r="C571" s="16" t="s">
        <v>32</v>
      </c>
      <c r="D571" s="16" t="s">
        <v>2135</v>
      </c>
      <c r="E571" s="16"/>
      <c r="F571" s="16" t="s">
        <v>81</v>
      </c>
      <c r="G571" s="16"/>
      <c r="H571" s="16"/>
      <c r="I571" s="19" t="s">
        <v>2254</v>
      </c>
      <c r="J571" s="16" t="s">
        <v>2255</v>
      </c>
      <c r="K571" s="16" t="s">
        <v>2256</v>
      </c>
      <c r="L571" s="16"/>
      <c r="M571" s="16" t="str">
        <f>HYPERLINK("https://ceds.ed.gov/cedselementdetails.aspx?termid=26910")</f>
        <v>https://ceds.ed.gov/cedselementdetails.aspx?termid=26910</v>
      </c>
    </row>
    <row r="572" spans="1:13" ht="115.2" x14ac:dyDescent="0.3">
      <c r="A572" s="16" t="s">
        <v>2257</v>
      </c>
      <c r="B572" s="16" t="s">
        <v>2258</v>
      </c>
      <c r="C572" s="16" t="s">
        <v>32</v>
      </c>
      <c r="D572" s="16" t="s">
        <v>2135</v>
      </c>
      <c r="E572" s="16"/>
      <c r="F572" s="16" t="s">
        <v>145</v>
      </c>
      <c r="G572" s="16"/>
      <c r="H572" s="16" t="s">
        <v>7908</v>
      </c>
      <c r="I572" s="19" t="s">
        <v>2259</v>
      </c>
      <c r="J572" s="16" t="s">
        <v>2260</v>
      </c>
      <c r="K572" s="16" t="s">
        <v>2261</v>
      </c>
      <c r="L572" s="16" t="s">
        <v>779</v>
      </c>
      <c r="M572" s="16" t="str">
        <f>HYPERLINK("https://ceds.ed.gov/cedselementdetails.aspx?termid=26668")</f>
        <v>https://ceds.ed.gov/cedselementdetails.aspx?termid=26668</v>
      </c>
    </row>
    <row r="573" spans="1:13" ht="115.2" x14ac:dyDescent="0.3">
      <c r="A573" s="16" t="s">
        <v>2262</v>
      </c>
      <c r="B573" s="16" t="s">
        <v>2263</v>
      </c>
      <c r="C573" s="16" t="s">
        <v>32</v>
      </c>
      <c r="D573" s="16" t="s">
        <v>2135</v>
      </c>
      <c r="E573" s="16"/>
      <c r="F573" s="16" t="s">
        <v>50</v>
      </c>
      <c r="G573" s="16"/>
      <c r="H573" s="16" t="s">
        <v>7909</v>
      </c>
      <c r="I573" s="19" t="s">
        <v>2264</v>
      </c>
      <c r="J573" s="16" t="s">
        <v>2265</v>
      </c>
      <c r="K573" s="16" t="s">
        <v>2266</v>
      </c>
      <c r="L573" s="16"/>
      <c r="M573" s="16" t="str">
        <f>HYPERLINK("https://ceds.ed.gov/cedselementdetails.aspx?termid=27738")</f>
        <v>https://ceds.ed.gov/cedselementdetails.aspx?termid=27738</v>
      </c>
    </row>
    <row r="574" spans="1:13" ht="57.6" x14ac:dyDescent="0.3">
      <c r="A574" s="16" t="s">
        <v>2267</v>
      </c>
      <c r="B574" s="16" t="s">
        <v>2268</v>
      </c>
      <c r="C574" s="16" t="s">
        <v>32</v>
      </c>
      <c r="D574" s="16" t="s">
        <v>2135</v>
      </c>
      <c r="E574" s="16"/>
      <c r="F574" s="16" t="s">
        <v>305</v>
      </c>
      <c r="G574" s="16"/>
      <c r="H574" s="16" t="s">
        <v>2269</v>
      </c>
      <c r="I574" s="19" t="s">
        <v>2270</v>
      </c>
      <c r="J574" s="16"/>
      <c r="K574" s="16" t="s">
        <v>2271</v>
      </c>
      <c r="L574" s="16"/>
      <c r="M574" s="16" t="str">
        <f>HYPERLINK("https://ceds.ed.gov/cedselementdetails.aspx?termid=27890")</f>
        <v>https://ceds.ed.gov/cedselementdetails.aspx?termid=27890</v>
      </c>
    </row>
    <row r="575" spans="1:13" ht="57.6" x14ac:dyDescent="0.3">
      <c r="A575" s="16" t="s">
        <v>2272</v>
      </c>
      <c r="B575" s="16" t="s">
        <v>2273</v>
      </c>
      <c r="C575" s="16" t="s">
        <v>32</v>
      </c>
      <c r="D575" s="16" t="s">
        <v>2135</v>
      </c>
      <c r="E575" s="16"/>
      <c r="F575" s="16" t="s">
        <v>305</v>
      </c>
      <c r="G575" s="16"/>
      <c r="H575" s="16" t="s">
        <v>2274</v>
      </c>
      <c r="I575" s="19" t="s">
        <v>2275</v>
      </c>
      <c r="J575" s="16"/>
      <c r="K575" s="16" t="s">
        <v>2276</v>
      </c>
      <c r="L575" s="16"/>
      <c r="M575" s="16" t="str">
        <f>HYPERLINK("https://ceds.ed.gov/cedselementdetails.aspx?termid=27889")</f>
        <v>https://ceds.ed.gov/cedselementdetails.aspx?termid=27889</v>
      </c>
    </row>
    <row r="576" spans="1:13" ht="100.8" x14ac:dyDescent="0.3">
      <c r="A576" s="16" t="s">
        <v>2277</v>
      </c>
      <c r="B576" s="16" t="s">
        <v>2278</v>
      </c>
      <c r="C576" s="16" t="s">
        <v>32</v>
      </c>
      <c r="D576" s="16" t="s">
        <v>2279</v>
      </c>
      <c r="E576" s="16"/>
      <c r="F576" s="16" t="s">
        <v>50</v>
      </c>
      <c r="G576" s="16"/>
      <c r="H576" s="16" t="s">
        <v>124</v>
      </c>
      <c r="I576" s="19" t="s">
        <v>2280</v>
      </c>
      <c r="J576" s="16" t="s">
        <v>2281</v>
      </c>
      <c r="K576" s="16" t="s">
        <v>2282</v>
      </c>
      <c r="L576" s="16"/>
      <c r="M576" s="16" t="str">
        <f>HYPERLINK("https://ceds.ed.gov/cedselementdetails.aspx?termid=26874")</f>
        <v>https://ceds.ed.gov/cedselementdetails.aspx?termid=26874</v>
      </c>
    </row>
    <row r="577" spans="1:13" ht="100.8" x14ac:dyDescent="0.3">
      <c r="A577" s="16" t="s">
        <v>2283</v>
      </c>
      <c r="B577" s="16" t="s">
        <v>2284</v>
      </c>
      <c r="C577" s="16" t="s">
        <v>32</v>
      </c>
      <c r="D577" s="16" t="s">
        <v>2135</v>
      </c>
      <c r="E577" s="16"/>
      <c r="F577" s="16" t="s">
        <v>106</v>
      </c>
      <c r="G577" s="16"/>
      <c r="H577" s="16" t="s">
        <v>2285</v>
      </c>
      <c r="I577" s="19" t="s">
        <v>2286</v>
      </c>
      <c r="J577" s="16" t="s">
        <v>2287</v>
      </c>
      <c r="K577" s="16" t="s">
        <v>2288</v>
      </c>
      <c r="L577" s="16"/>
      <c r="M577" s="16" t="str">
        <f>HYPERLINK("https://ceds.ed.gov/cedselementdetails.aspx?termid=27483")</f>
        <v>https://ceds.ed.gov/cedselementdetails.aspx?termid=27483</v>
      </c>
    </row>
    <row r="578" spans="1:13" ht="43.2" x14ac:dyDescent="0.3">
      <c r="A578" s="16" t="s">
        <v>2289</v>
      </c>
      <c r="B578" s="16" t="s">
        <v>2290</v>
      </c>
      <c r="C578" s="16" t="s">
        <v>32</v>
      </c>
      <c r="D578" s="16" t="s">
        <v>2135</v>
      </c>
      <c r="E578" s="16"/>
      <c r="F578" s="16" t="s">
        <v>106</v>
      </c>
      <c r="G578" s="16"/>
      <c r="H578" s="16"/>
      <c r="I578" s="19" t="s">
        <v>2291</v>
      </c>
      <c r="J578" s="16" t="s">
        <v>2292</v>
      </c>
      <c r="K578" s="16" t="s">
        <v>2293</v>
      </c>
      <c r="L578" s="16"/>
      <c r="M578" s="16" t="str">
        <f>HYPERLINK("https://ceds.ed.gov/cedselementdetails.aspx?termid=27484")</f>
        <v>https://ceds.ed.gov/cedselementdetails.aspx?termid=27484</v>
      </c>
    </row>
    <row r="579" spans="1:13" ht="43.2" x14ac:dyDescent="0.3">
      <c r="A579" s="16" t="s">
        <v>2294</v>
      </c>
      <c r="B579" s="16" t="s">
        <v>2295</v>
      </c>
      <c r="C579" s="16" t="s">
        <v>32</v>
      </c>
      <c r="D579" s="16" t="s">
        <v>2135</v>
      </c>
      <c r="E579" s="16"/>
      <c r="F579" s="16" t="s">
        <v>316</v>
      </c>
      <c r="G579" s="16"/>
      <c r="H579" s="16"/>
      <c r="I579" s="19" t="s">
        <v>2296</v>
      </c>
      <c r="J579" s="16" t="s">
        <v>2297</v>
      </c>
      <c r="K579" s="16" t="s">
        <v>2298</v>
      </c>
      <c r="L579" s="16"/>
      <c r="M579" s="16" t="str">
        <f>HYPERLINK("https://ceds.ed.gov/cedselementdetails.aspx?termid=27216")</f>
        <v>https://ceds.ed.gov/cedselementdetails.aspx?termid=27216</v>
      </c>
    </row>
    <row r="580" spans="1:13" ht="72" x14ac:dyDescent="0.3">
      <c r="A580" s="16" t="s">
        <v>2299</v>
      </c>
      <c r="B580" s="16" t="s">
        <v>2300</v>
      </c>
      <c r="C580" s="16" t="s">
        <v>32</v>
      </c>
      <c r="D580" s="16" t="s">
        <v>2301</v>
      </c>
      <c r="E580" s="16"/>
      <c r="F580" s="16" t="s">
        <v>1449</v>
      </c>
      <c r="G580" s="16"/>
      <c r="H580" s="16" t="s">
        <v>7910</v>
      </c>
      <c r="I580" s="19" t="s">
        <v>2302</v>
      </c>
      <c r="J580" s="16" t="s">
        <v>2303</v>
      </c>
      <c r="K580" s="16" t="s">
        <v>2304</v>
      </c>
      <c r="L580" s="16"/>
      <c r="M580" s="16" t="str">
        <f>HYPERLINK("https://ceds.ed.gov/cedselementdetails.aspx?termid=26673")</f>
        <v>https://ceds.ed.gov/cedselementdetails.aspx?termid=26673</v>
      </c>
    </row>
    <row r="581" spans="1:13" ht="28.8" x14ac:dyDescent="0.3">
      <c r="A581" s="16" t="s">
        <v>2305</v>
      </c>
      <c r="B581" s="16" t="s">
        <v>2306</v>
      </c>
      <c r="C581" s="16" t="s">
        <v>32</v>
      </c>
      <c r="D581" s="16" t="s">
        <v>2301</v>
      </c>
      <c r="E581" s="16"/>
      <c r="F581" s="16" t="s">
        <v>101</v>
      </c>
      <c r="G581" s="16"/>
      <c r="H581" s="16"/>
      <c r="I581" s="19" t="s">
        <v>2307</v>
      </c>
      <c r="J581" s="16" t="s">
        <v>2308</v>
      </c>
      <c r="K581" s="16" t="s">
        <v>2309</v>
      </c>
      <c r="L581" s="16"/>
      <c r="M581" s="16" t="str">
        <f>HYPERLINK("https://ceds.ed.gov/cedselementdetails.aspx?termid=26674")</f>
        <v>https://ceds.ed.gov/cedselementdetails.aspx?termid=26674</v>
      </c>
    </row>
    <row r="582" spans="1:13" ht="43.2" x14ac:dyDescent="0.3">
      <c r="A582" s="16" t="s">
        <v>2310</v>
      </c>
      <c r="B582" s="16" t="s">
        <v>2311</v>
      </c>
      <c r="C582" s="16" t="s">
        <v>32</v>
      </c>
      <c r="D582" s="16" t="s">
        <v>2312</v>
      </c>
      <c r="E582" s="16"/>
      <c r="F582" s="16" t="s">
        <v>50</v>
      </c>
      <c r="G582" s="16"/>
      <c r="H582" s="16"/>
      <c r="I582" s="19" t="s">
        <v>2313</v>
      </c>
      <c r="J582" s="16" t="s">
        <v>2314</v>
      </c>
      <c r="K582" s="16" t="s">
        <v>2315</v>
      </c>
      <c r="L582" s="16" t="s">
        <v>779</v>
      </c>
      <c r="M582" s="16" t="str">
        <f>HYPERLINK("https://ceds.ed.gov/cedselementdetails.aspx?termid=26670")</f>
        <v>https://ceds.ed.gov/cedselementdetails.aspx?termid=26670</v>
      </c>
    </row>
    <row r="583" spans="1:13" ht="57.6" x14ac:dyDescent="0.3">
      <c r="A583" s="16" t="s">
        <v>2316</v>
      </c>
      <c r="B583" s="16" t="s">
        <v>2317</v>
      </c>
      <c r="C583" s="16" t="s">
        <v>32</v>
      </c>
      <c r="D583" s="16" t="s">
        <v>2301</v>
      </c>
      <c r="E583" s="16"/>
      <c r="F583" s="16" t="s">
        <v>1449</v>
      </c>
      <c r="G583" s="16"/>
      <c r="H583" s="16"/>
      <c r="I583" s="19" t="s">
        <v>2318</v>
      </c>
      <c r="J583" s="16" t="s">
        <v>2319</v>
      </c>
      <c r="K583" s="16" t="s">
        <v>2320</v>
      </c>
      <c r="L583" s="16"/>
      <c r="M583" s="16" t="str">
        <f>HYPERLINK("https://ceds.ed.gov/cedselementdetails.aspx?termid=26676")</f>
        <v>https://ceds.ed.gov/cedselementdetails.aspx?termid=26676</v>
      </c>
    </row>
    <row r="584" spans="1:13" ht="115.2" x14ac:dyDescent="0.3">
      <c r="A584" s="16" t="s">
        <v>2321</v>
      </c>
      <c r="B584" s="16" t="s">
        <v>2322</v>
      </c>
      <c r="C584" s="16" t="s">
        <v>7313</v>
      </c>
      <c r="D584" s="16" t="s">
        <v>2301</v>
      </c>
      <c r="E584" s="16"/>
      <c r="F584" s="16"/>
      <c r="G584" s="16"/>
      <c r="H584" s="16" t="s">
        <v>7859</v>
      </c>
      <c r="I584" s="19" t="s">
        <v>2323</v>
      </c>
      <c r="J584" s="16" t="s">
        <v>2324</v>
      </c>
      <c r="K584" s="16" t="s">
        <v>2325</v>
      </c>
      <c r="L584" s="16"/>
      <c r="M584" s="16" t="str">
        <f>HYPERLINK("https://ceds.ed.gov/cedselementdetails.aspx?termid=26880")</f>
        <v>https://ceds.ed.gov/cedselementdetails.aspx?termid=26880</v>
      </c>
    </row>
    <row r="585" spans="1:13" ht="43.2" x14ac:dyDescent="0.3">
      <c r="A585" s="16" t="s">
        <v>2326</v>
      </c>
      <c r="B585" s="16" t="s">
        <v>2327</v>
      </c>
      <c r="C585" s="16" t="s">
        <v>32</v>
      </c>
      <c r="D585" s="16" t="s">
        <v>2301</v>
      </c>
      <c r="E585" s="16"/>
      <c r="F585" s="16" t="s">
        <v>101</v>
      </c>
      <c r="G585" s="16"/>
      <c r="H585" s="16"/>
      <c r="I585" s="19" t="s">
        <v>2328</v>
      </c>
      <c r="J585" s="16" t="s">
        <v>2329</v>
      </c>
      <c r="K585" s="16" t="s">
        <v>2330</v>
      </c>
      <c r="L585" s="16"/>
      <c r="M585" s="16" t="str">
        <f>HYPERLINK("https://ceds.ed.gov/cedselementdetails.aspx?termid=26882")</f>
        <v>https://ceds.ed.gov/cedselementdetails.aspx?termid=26882</v>
      </c>
    </row>
    <row r="586" spans="1:13" ht="43.2" x14ac:dyDescent="0.3">
      <c r="A586" s="16" t="s">
        <v>2331</v>
      </c>
      <c r="B586" s="16" t="s">
        <v>2332</v>
      </c>
      <c r="C586" s="16" t="s">
        <v>32</v>
      </c>
      <c r="D586" s="16" t="s">
        <v>2301</v>
      </c>
      <c r="E586" s="16"/>
      <c r="F586" s="16" t="s">
        <v>106</v>
      </c>
      <c r="G586" s="16"/>
      <c r="H586" s="16" t="s">
        <v>2333</v>
      </c>
      <c r="I586" s="19" t="s">
        <v>2334</v>
      </c>
      <c r="J586" s="16" t="s">
        <v>2335</v>
      </c>
      <c r="K586" s="16" t="s">
        <v>2336</v>
      </c>
      <c r="L586" s="16"/>
      <c r="M586" s="16" t="str">
        <f>HYPERLINK("https://ceds.ed.gov/cedselementdetails.aspx?termid=27548")</f>
        <v>https://ceds.ed.gov/cedselementdetails.aspx?termid=27548</v>
      </c>
    </row>
    <row r="587" spans="1:13" ht="86.4" x14ac:dyDescent="0.3">
      <c r="A587" s="16" t="s">
        <v>2337</v>
      </c>
      <c r="B587" s="16" t="s">
        <v>2338</v>
      </c>
      <c r="C587" s="16" t="s">
        <v>8449</v>
      </c>
      <c r="D587" s="16" t="s">
        <v>2301</v>
      </c>
      <c r="E587" s="16"/>
      <c r="F587" s="16"/>
      <c r="G587" s="16"/>
      <c r="H587" s="16"/>
      <c r="I587" s="19" t="s">
        <v>2339</v>
      </c>
      <c r="J587" s="16" t="s">
        <v>2340</v>
      </c>
      <c r="K587" s="16" t="s">
        <v>2341</v>
      </c>
      <c r="L587" s="16"/>
      <c r="M587" s="16" t="str">
        <f>HYPERLINK("https://ceds.ed.gov/cedselementdetails.aspx?termid=26675")</f>
        <v>https://ceds.ed.gov/cedselementdetails.aspx?termid=26675</v>
      </c>
    </row>
    <row r="588" spans="1:13" ht="28.8" x14ac:dyDescent="0.3">
      <c r="A588" s="16" t="s">
        <v>2342</v>
      </c>
      <c r="B588" s="16" t="s">
        <v>2343</v>
      </c>
      <c r="C588" s="16" t="s">
        <v>32</v>
      </c>
      <c r="D588" s="16" t="s">
        <v>2301</v>
      </c>
      <c r="E588" s="16"/>
      <c r="F588" s="16" t="s">
        <v>81</v>
      </c>
      <c r="G588" s="16"/>
      <c r="H588" s="16"/>
      <c r="I588" s="19" t="s">
        <v>2344</v>
      </c>
      <c r="J588" s="16" t="s">
        <v>2345</v>
      </c>
      <c r="K588" s="16" t="s">
        <v>2346</v>
      </c>
      <c r="L588" s="16"/>
      <c r="M588" s="16" t="str">
        <f>HYPERLINK("https://ceds.ed.gov/cedselementdetails.aspx?termid=26884")</f>
        <v>https://ceds.ed.gov/cedselementdetails.aspx?termid=26884</v>
      </c>
    </row>
    <row r="589" spans="1:13" ht="28.8" x14ac:dyDescent="0.3">
      <c r="A589" s="16" t="s">
        <v>2347</v>
      </c>
      <c r="B589" s="16" t="s">
        <v>2348</v>
      </c>
      <c r="C589" s="16" t="s">
        <v>32</v>
      </c>
      <c r="D589" s="16" t="s">
        <v>2301</v>
      </c>
      <c r="E589" s="16"/>
      <c r="F589" s="16" t="s">
        <v>101</v>
      </c>
      <c r="G589" s="16"/>
      <c r="H589" s="16"/>
      <c r="I589" s="19" t="s">
        <v>2349</v>
      </c>
      <c r="J589" s="16" t="s">
        <v>2350</v>
      </c>
      <c r="K589" s="16" t="s">
        <v>2351</v>
      </c>
      <c r="L589" s="16"/>
      <c r="M589" s="16" t="str">
        <f>HYPERLINK("https://ceds.ed.gov/cedselementdetails.aspx?termid=26885")</f>
        <v>https://ceds.ed.gov/cedselementdetails.aspx?termid=26885</v>
      </c>
    </row>
    <row r="590" spans="1:13" ht="43.2" x14ac:dyDescent="0.3">
      <c r="A590" s="16" t="s">
        <v>2352</v>
      </c>
      <c r="B590" s="16" t="s">
        <v>2353</v>
      </c>
      <c r="C590" s="16" t="s">
        <v>32</v>
      </c>
      <c r="D590" s="16" t="s">
        <v>2301</v>
      </c>
      <c r="E590" s="16"/>
      <c r="F590" s="16" t="s">
        <v>81</v>
      </c>
      <c r="G590" s="16"/>
      <c r="H590" s="16"/>
      <c r="I590" s="19" t="s">
        <v>2354</v>
      </c>
      <c r="J590" s="16" t="s">
        <v>2355</v>
      </c>
      <c r="K590" s="16" t="s">
        <v>2356</v>
      </c>
      <c r="L590" s="16"/>
      <c r="M590" s="16" t="str">
        <f>HYPERLINK("https://ceds.ed.gov/cedselementdetails.aspx?termid=26886")</f>
        <v>https://ceds.ed.gov/cedselementdetails.aspx?termid=26886</v>
      </c>
    </row>
    <row r="591" spans="1:13" ht="72" x14ac:dyDescent="0.3">
      <c r="A591" s="16" t="s">
        <v>2357</v>
      </c>
      <c r="B591" s="16" t="s">
        <v>2358</v>
      </c>
      <c r="C591" s="16" t="s">
        <v>32</v>
      </c>
      <c r="D591" s="16" t="s">
        <v>2312</v>
      </c>
      <c r="E591" s="16"/>
      <c r="F591" s="16" t="s">
        <v>50</v>
      </c>
      <c r="G591" s="16"/>
      <c r="H591" s="16" t="s">
        <v>2359</v>
      </c>
      <c r="I591" s="19" t="s">
        <v>2360</v>
      </c>
      <c r="J591" s="16"/>
      <c r="K591" s="16" t="s">
        <v>2361</v>
      </c>
      <c r="L591" s="16"/>
      <c r="M591" s="16" t="str">
        <f>HYPERLINK("https://ceds.ed.gov/cedselementdetails.aspx?termid=27888")</f>
        <v>https://ceds.ed.gov/cedselementdetails.aspx?termid=27888</v>
      </c>
    </row>
    <row r="592" spans="1:13" ht="28.8" x14ac:dyDescent="0.3">
      <c r="A592" s="16" t="s">
        <v>2362</v>
      </c>
      <c r="B592" s="16" t="s">
        <v>2363</v>
      </c>
      <c r="C592" s="16" t="s">
        <v>32</v>
      </c>
      <c r="D592" s="16" t="s">
        <v>2301</v>
      </c>
      <c r="E592" s="16"/>
      <c r="F592" s="16" t="s">
        <v>81</v>
      </c>
      <c r="G592" s="16"/>
      <c r="H592" s="16"/>
      <c r="I592" s="19" t="s">
        <v>2364</v>
      </c>
      <c r="J592" s="16" t="s">
        <v>2365</v>
      </c>
      <c r="K592" s="16" t="s">
        <v>2366</v>
      </c>
      <c r="L592" s="16" t="s">
        <v>779</v>
      </c>
      <c r="M592" s="16" t="str">
        <f>HYPERLINK("https://ceds.ed.gov/cedselementdetails.aspx?termid=26679")</f>
        <v>https://ceds.ed.gov/cedselementdetails.aspx?termid=26679</v>
      </c>
    </row>
    <row r="593" spans="1:13" x14ac:dyDescent="0.3">
      <c r="A593" s="16" t="s">
        <v>2367</v>
      </c>
      <c r="B593" s="16" t="s">
        <v>2368</v>
      </c>
      <c r="C593" s="16" t="s">
        <v>32</v>
      </c>
      <c r="D593" s="16" t="s">
        <v>2301</v>
      </c>
      <c r="E593" s="16"/>
      <c r="F593" s="16" t="s">
        <v>1449</v>
      </c>
      <c r="G593" s="16"/>
      <c r="H593" s="16"/>
      <c r="I593" s="19" t="s">
        <v>2369</v>
      </c>
      <c r="J593" s="16" t="s">
        <v>2370</v>
      </c>
      <c r="K593" s="16" t="s">
        <v>2371</v>
      </c>
      <c r="L593" s="16" t="s">
        <v>779</v>
      </c>
      <c r="M593" s="16" t="str">
        <f>HYPERLINK("https://ceds.ed.gov/cedselementdetails.aspx?termid=26671")</f>
        <v>https://ceds.ed.gov/cedselementdetails.aspx?termid=26671</v>
      </c>
    </row>
    <row r="594" spans="1:13" ht="57.6" x14ac:dyDescent="0.3">
      <c r="A594" s="16" t="s">
        <v>2372</v>
      </c>
      <c r="B594" s="16" t="s">
        <v>2373</v>
      </c>
      <c r="C594" s="16" t="s">
        <v>32</v>
      </c>
      <c r="D594" s="16" t="s">
        <v>2301</v>
      </c>
      <c r="E594" s="16"/>
      <c r="F594" s="16" t="s">
        <v>106</v>
      </c>
      <c r="G594" s="16"/>
      <c r="H594" s="16" t="s">
        <v>131</v>
      </c>
      <c r="I594" s="19" t="s">
        <v>2374</v>
      </c>
      <c r="J594" s="16" t="s">
        <v>2375</v>
      </c>
      <c r="K594" s="16" t="s">
        <v>2376</v>
      </c>
      <c r="L594" s="16"/>
      <c r="M594" s="16" t="str">
        <f>HYPERLINK("https://ceds.ed.gov/cedselementdetails.aspx?termid=26678")</f>
        <v>https://ceds.ed.gov/cedselementdetails.aspx?termid=26678</v>
      </c>
    </row>
    <row r="595" spans="1:13" ht="43.2" x14ac:dyDescent="0.3">
      <c r="A595" s="16" t="s">
        <v>2377</v>
      </c>
      <c r="B595" s="16" t="s">
        <v>2378</v>
      </c>
      <c r="C595" s="16" t="s">
        <v>32</v>
      </c>
      <c r="D595" s="16" t="s">
        <v>2301</v>
      </c>
      <c r="E595" s="16"/>
      <c r="F595" s="16" t="s">
        <v>106</v>
      </c>
      <c r="G595" s="16"/>
      <c r="H595" s="16"/>
      <c r="I595" s="19" t="s">
        <v>2379</v>
      </c>
      <c r="J595" s="16" t="s">
        <v>2380</v>
      </c>
      <c r="K595" s="16" t="s">
        <v>2381</v>
      </c>
      <c r="L595" s="16"/>
      <c r="M595" s="16" t="str">
        <f>HYPERLINK("https://ceds.ed.gov/cedselementdetails.aspx?termid=26677")</f>
        <v>https://ceds.ed.gov/cedselementdetails.aspx?termid=26677</v>
      </c>
    </row>
    <row r="596" spans="1:13" ht="28.8" x14ac:dyDescent="0.3">
      <c r="A596" s="16" t="s">
        <v>2382</v>
      </c>
      <c r="B596" s="16" t="s">
        <v>2383</v>
      </c>
      <c r="C596" s="16" t="s">
        <v>32</v>
      </c>
      <c r="D596" s="16" t="s">
        <v>2301</v>
      </c>
      <c r="E596" s="16"/>
      <c r="F596" s="16" t="s">
        <v>81</v>
      </c>
      <c r="G596" s="16"/>
      <c r="H596" s="16"/>
      <c r="I596" s="19" t="s">
        <v>2384</v>
      </c>
      <c r="J596" s="16" t="s">
        <v>2385</v>
      </c>
      <c r="K596" s="16" t="s">
        <v>2386</v>
      </c>
      <c r="L596" s="16" t="s">
        <v>779</v>
      </c>
      <c r="M596" s="16" t="str">
        <f>HYPERLINK("https://ceds.ed.gov/cedselementdetails.aspx?termid=26672")</f>
        <v>https://ceds.ed.gov/cedselementdetails.aspx?termid=26672</v>
      </c>
    </row>
    <row r="597" spans="1:13" ht="100.8" x14ac:dyDescent="0.3">
      <c r="A597" s="16" t="s">
        <v>2387</v>
      </c>
      <c r="B597" s="16" t="s">
        <v>2388</v>
      </c>
      <c r="C597" s="16" t="s">
        <v>8214</v>
      </c>
      <c r="D597" s="16" t="s">
        <v>9360</v>
      </c>
      <c r="E597" s="16"/>
      <c r="F597" s="16"/>
      <c r="G597" s="16"/>
      <c r="H597" s="16" t="s">
        <v>2389</v>
      </c>
      <c r="I597" s="19" t="s">
        <v>2390</v>
      </c>
      <c r="J597" s="16"/>
      <c r="K597" s="16" t="s">
        <v>2391</v>
      </c>
      <c r="L597" s="16"/>
      <c r="M597" s="16" t="str">
        <f>HYPERLINK("https://ceds.ed.gov/cedselementdetails.aspx?termid=26877")</f>
        <v>https://ceds.ed.gov/cedselementdetails.aspx?termid=26877</v>
      </c>
    </row>
    <row r="598" spans="1:13" ht="72" x14ac:dyDescent="0.3">
      <c r="A598" s="16" t="s">
        <v>2392</v>
      </c>
      <c r="B598" s="16" t="s">
        <v>2393</v>
      </c>
      <c r="C598" s="16" t="s">
        <v>32</v>
      </c>
      <c r="D598" s="16" t="s">
        <v>9360</v>
      </c>
      <c r="E598" s="16"/>
      <c r="F598" s="16" t="s">
        <v>305</v>
      </c>
      <c r="G598" s="16"/>
      <c r="H598" s="16" t="s">
        <v>7911</v>
      </c>
      <c r="I598" s="19" t="s">
        <v>2394</v>
      </c>
      <c r="J598" s="16"/>
      <c r="K598" s="16" t="s">
        <v>2395</v>
      </c>
      <c r="L598" s="16"/>
      <c r="M598" s="16" t="str">
        <f>HYPERLINK("https://ceds.ed.gov/cedselementdetails.aspx?termid=26878")</f>
        <v>https://ceds.ed.gov/cedselementdetails.aspx?termid=26878</v>
      </c>
    </row>
    <row r="599" spans="1:13" ht="43.2" x14ac:dyDescent="0.3">
      <c r="A599" s="16" t="s">
        <v>2396</v>
      </c>
      <c r="B599" s="16" t="s">
        <v>7912</v>
      </c>
      <c r="C599" s="16" t="s">
        <v>32</v>
      </c>
      <c r="D599" s="16" t="s">
        <v>2397</v>
      </c>
      <c r="E599" s="16"/>
      <c r="F599" s="16" t="s">
        <v>106</v>
      </c>
      <c r="G599" s="16"/>
      <c r="H599" s="16"/>
      <c r="I599" s="19" t="s">
        <v>2398</v>
      </c>
      <c r="J599" s="16"/>
      <c r="K599" s="16" t="s">
        <v>2399</v>
      </c>
      <c r="L599" s="16"/>
      <c r="M599" s="16" t="str">
        <f>HYPERLINK("https://ceds.ed.gov/cedselementdetails.aspx?termid=27879")</f>
        <v>https://ceds.ed.gov/cedselementdetails.aspx?termid=27879</v>
      </c>
    </row>
    <row r="600" spans="1:13" ht="57.6" x14ac:dyDescent="0.3">
      <c r="A600" s="16" t="s">
        <v>2400</v>
      </c>
      <c r="B600" s="16" t="s">
        <v>2401</v>
      </c>
      <c r="C600" s="16" t="s">
        <v>32</v>
      </c>
      <c r="D600" s="16" t="s">
        <v>2397</v>
      </c>
      <c r="E600" s="16"/>
      <c r="F600" s="16" t="s">
        <v>106</v>
      </c>
      <c r="G600" s="16"/>
      <c r="H600" s="16"/>
      <c r="I600" s="19" t="s">
        <v>2402</v>
      </c>
      <c r="J600" s="16"/>
      <c r="K600" s="16" t="s">
        <v>2403</v>
      </c>
      <c r="L600" s="16"/>
      <c r="M600" s="16" t="str">
        <f>HYPERLINK("https://ceds.ed.gov/cedselementdetails.aspx?termid=27881")</f>
        <v>https://ceds.ed.gov/cedselementdetails.aspx?termid=27881</v>
      </c>
    </row>
    <row r="601" spans="1:13" ht="43.2" x14ac:dyDescent="0.3">
      <c r="A601" s="16" t="s">
        <v>2404</v>
      </c>
      <c r="B601" s="16" t="s">
        <v>2405</v>
      </c>
      <c r="C601" s="16" t="s">
        <v>32</v>
      </c>
      <c r="D601" s="16" t="s">
        <v>2397</v>
      </c>
      <c r="E601" s="16"/>
      <c r="F601" s="16" t="s">
        <v>106</v>
      </c>
      <c r="G601" s="16"/>
      <c r="H601" s="16"/>
      <c r="I601" s="19" t="s">
        <v>2406</v>
      </c>
      <c r="J601" s="16"/>
      <c r="K601" s="16" t="s">
        <v>2407</v>
      </c>
      <c r="L601" s="16"/>
      <c r="M601" s="16" t="str">
        <f>HYPERLINK("https://ceds.ed.gov/cedselementdetails.aspx?termid=27880")</f>
        <v>https://ceds.ed.gov/cedselementdetails.aspx?termid=27880</v>
      </c>
    </row>
    <row r="602" spans="1:13" ht="72" x14ac:dyDescent="0.3">
      <c r="A602" s="16" t="s">
        <v>2408</v>
      </c>
      <c r="B602" s="16" t="s">
        <v>2409</v>
      </c>
      <c r="C602" s="16" t="s">
        <v>32</v>
      </c>
      <c r="D602" s="16" t="s">
        <v>2397</v>
      </c>
      <c r="E602" s="16"/>
      <c r="F602" s="16" t="s">
        <v>1662</v>
      </c>
      <c r="G602" s="16"/>
      <c r="H602" s="16"/>
      <c r="I602" s="19" t="s">
        <v>2410</v>
      </c>
      <c r="J602" s="16"/>
      <c r="K602" s="16" t="s">
        <v>2411</v>
      </c>
      <c r="L602" s="16"/>
      <c r="M602" s="16" t="str">
        <f>HYPERLINK("https://ceds.ed.gov/cedselementdetails.aspx?termid=27882")</f>
        <v>https://ceds.ed.gov/cedselementdetails.aspx?termid=27882</v>
      </c>
    </row>
    <row r="603" spans="1:13" ht="72" x14ac:dyDescent="0.3">
      <c r="A603" s="16" t="s">
        <v>2412</v>
      </c>
      <c r="B603" s="16" t="s">
        <v>2413</v>
      </c>
      <c r="C603" s="16" t="s">
        <v>32</v>
      </c>
      <c r="D603" s="16" t="s">
        <v>227</v>
      </c>
      <c r="E603" s="16"/>
      <c r="F603" s="16" t="s">
        <v>1481</v>
      </c>
      <c r="G603" s="16"/>
      <c r="H603" s="16" t="s">
        <v>356</v>
      </c>
      <c r="I603" s="19" t="s">
        <v>2414</v>
      </c>
      <c r="J603" s="16"/>
      <c r="K603" s="16" t="s">
        <v>2415</v>
      </c>
      <c r="L603" s="16" t="s">
        <v>1531</v>
      </c>
      <c r="M603" s="16" t="str">
        <f>HYPERLINK("https://ceds.ed.gov/cedselementdetails.aspx?termid=26733")</f>
        <v>https://ceds.ed.gov/cedselementdetails.aspx?termid=26733</v>
      </c>
    </row>
    <row r="604" spans="1:13" ht="100.8" x14ac:dyDescent="0.3">
      <c r="A604" s="16" t="s">
        <v>2416</v>
      </c>
      <c r="B604" s="16" t="s">
        <v>2417</v>
      </c>
      <c r="C604" s="16" t="s">
        <v>8450</v>
      </c>
      <c r="D604" s="16" t="s">
        <v>2474</v>
      </c>
      <c r="E604" s="16"/>
      <c r="F604" s="16"/>
      <c r="G604" s="16"/>
      <c r="H604" s="16"/>
      <c r="I604" s="19" t="s">
        <v>2418</v>
      </c>
      <c r="J604" s="16"/>
      <c r="K604" s="16" t="s">
        <v>2419</v>
      </c>
      <c r="L604" s="16"/>
      <c r="M604" s="16" t="str">
        <f>HYPERLINK("https://ceds.ed.gov/cedselementdetails.aspx?termid=27904")</f>
        <v>https://ceds.ed.gov/cedselementdetails.aspx?termid=27904</v>
      </c>
    </row>
    <row r="605" spans="1:13" ht="28.8" x14ac:dyDescent="0.3">
      <c r="A605" s="16" t="s">
        <v>2420</v>
      </c>
      <c r="B605" s="16" t="s">
        <v>2421</v>
      </c>
      <c r="C605" s="16" t="s">
        <v>32</v>
      </c>
      <c r="D605" s="16" t="s">
        <v>2422</v>
      </c>
      <c r="E605" s="16"/>
      <c r="F605" s="16" t="s">
        <v>106</v>
      </c>
      <c r="G605" s="16"/>
      <c r="H605" s="16"/>
      <c r="I605" s="19" t="s">
        <v>2423</v>
      </c>
      <c r="J605" s="16"/>
      <c r="K605" s="16" t="s">
        <v>2424</v>
      </c>
      <c r="L605" s="16"/>
      <c r="M605" s="16" t="str">
        <f>HYPERLINK("https://ceds.ed.gov/cedselementdetails.aspx?termid=27708")</f>
        <v>https://ceds.ed.gov/cedselementdetails.aspx?termid=27708</v>
      </c>
    </row>
    <row r="606" spans="1:13" ht="43.2" x14ac:dyDescent="0.3">
      <c r="A606" s="16" t="s">
        <v>2425</v>
      </c>
      <c r="B606" s="16" t="s">
        <v>2426</v>
      </c>
      <c r="C606" s="16" t="s">
        <v>22</v>
      </c>
      <c r="D606" s="16" t="s">
        <v>2422</v>
      </c>
      <c r="E606" s="16"/>
      <c r="F606" s="16"/>
      <c r="G606" s="16"/>
      <c r="H606" s="16"/>
      <c r="I606" s="19" t="s">
        <v>2427</v>
      </c>
      <c r="J606" s="16"/>
      <c r="K606" s="16" t="s">
        <v>2428</v>
      </c>
      <c r="L606" s="16"/>
      <c r="M606" s="16" t="str">
        <f>HYPERLINK("https://ceds.ed.gov/cedselementdetails.aspx?termid=27707")</f>
        <v>https://ceds.ed.gov/cedselementdetails.aspx?termid=27707</v>
      </c>
    </row>
    <row r="607" spans="1:13" ht="72" x14ac:dyDescent="0.3">
      <c r="A607" s="16" t="s">
        <v>2429</v>
      </c>
      <c r="B607" s="16" t="s">
        <v>2430</v>
      </c>
      <c r="C607" s="16" t="s">
        <v>8317</v>
      </c>
      <c r="D607" s="16" t="s">
        <v>2431</v>
      </c>
      <c r="E607" s="16"/>
      <c r="F607" s="16"/>
      <c r="G607" s="16"/>
      <c r="H607" s="16"/>
      <c r="I607" s="19" t="s">
        <v>2432</v>
      </c>
      <c r="J607" s="16" t="s">
        <v>2433</v>
      </c>
      <c r="K607" s="16" t="s">
        <v>2434</v>
      </c>
      <c r="L607" s="16" t="s">
        <v>214</v>
      </c>
      <c r="M607" s="16" t="str">
        <f>HYPERLINK("https://ceds.ed.gov/cedselementdetails.aspx?termid=26533")</f>
        <v>https://ceds.ed.gov/cedselementdetails.aspx?termid=26533</v>
      </c>
    </row>
    <row r="608" spans="1:13" ht="115.2" x14ac:dyDescent="0.3">
      <c r="A608" s="16" t="s">
        <v>2435</v>
      </c>
      <c r="B608" s="16" t="s">
        <v>2436</v>
      </c>
      <c r="C608" s="16" t="s">
        <v>8451</v>
      </c>
      <c r="D608" s="16" t="s">
        <v>2437</v>
      </c>
      <c r="E608" s="16"/>
      <c r="F608" s="16"/>
      <c r="G608" s="16"/>
      <c r="H608" s="16"/>
      <c r="I608" s="19" t="s">
        <v>2438</v>
      </c>
      <c r="J608" s="16"/>
      <c r="K608" s="16" t="s">
        <v>2439</v>
      </c>
      <c r="L608" s="16" t="s">
        <v>1516</v>
      </c>
      <c r="M608" s="16" t="str">
        <f>HYPERLINK("https://ceds.ed.gov/cedselementdetails.aspx?termid=26419")</f>
        <v>https://ceds.ed.gov/cedselementdetails.aspx?termid=26419</v>
      </c>
    </row>
    <row r="609" spans="1:13" ht="43.2" x14ac:dyDescent="0.3">
      <c r="A609" s="16" t="s">
        <v>2440</v>
      </c>
      <c r="B609" s="16" t="s">
        <v>2441</v>
      </c>
      <c r="C609" s="16" t="s">
        <v>32</v>
      </c>
      <c r="D609" s="16" t="s">
        <v>7913</v>
      </c>
      <c r="E609" s="16"/>
      <c r="F609" s="16" t="s">
        <v>106</v>
      </c>
      <c r="G609" s="16"/>
      <c r="H609" s="16"/>
      <c r="I609" s="19" t="s">
        <v>2442</v>
      </c>
      <c r="J609" s="16"/>
      <c r="K609" s="16" t="s">
        <v>2443</v>
      </c>
      <c r="L609" s="16" t="s">
        <v>2444</v>
      </c>
      <c r="M609" s="16" t="str">
        <f>HYPERLINK("https://ceds.ed.gov/cedselementdetails.aspx?termid=26348")</f>
        <v>https://ceds.ed.gov/cedselementdetails.aspx?termid=26348</v>
      </c>
    </row>
    <row r="610" spans="1:13" ht="43.2" x14ac:dyDescent="0.3">
      <c r="A610" s="16" t="s">
        <v>2445</v>
      </c>
      <c r="B610" s="16" t="s">
        <v>2446</v>
      </c>
      <c r="C610" s="16" t="s">
        <v>32</v>
      </c>
      <c r="D610" s="16" t="s">
        <v>8554</v>
      </c>
      <c r="E610" s="16"/>
      <c r="F610" s="16" t="s">
        <v>1481</v>
      </c>
      <c r="G610" s="16"/>
      <c r="H610" s="16"/>
      <c r="I610" s="19" t="s">
        <v>2448</v>
      </c>
      <c r="J610" s="16"/>
      <c r="K610" s="16" t="s">
        <v>2449</v>
      </c>
      <c r="L610" s="16" t="s">
        <v>2450</v>
      </c>
      <c r="M610" s="16" t="str">
        <f>HYPERLINK("https://ceds.ed.gov/cedselementdetails.aspx?termid=26047")</f>
        <v>https://ceds.ed.gov/cedselementdetails.aspx?termid=26047</v>
      </c>
    </row>
    <row r="611" spans="1:13" ht="72" x14ac:dyDescent="0.3">
      <c r="A611" s="16" t="s">
        <v>2451</v>
      </c>
      <c r="B611" s="16" t="s">
        <v>2452</v>
      </c>
      <c r="C611" s="16" t="s">
        <v>8215</v>
      </c>
      <c r="D611" s="16" t="s">
        <v>9352</v>
      </c>
      <c r="E611" s="16"/>
      <c r="F611" s="16"/>
      <c r="G611" s="16"/>
      <c r="H611" s="16" t="s">
        <v>2453</v>
      </c>
      <c r="I611" s="19" t="s">
        <v>2454</v>
      </c>
      <c r="J611" s="16"/>
      <c r="K611" s="16" t="s">
        <v>2455</v>
      </c>
      <c r="L611" s="16" t="s">
        <v>69</v>
      </c>
      <c r="M611" s="16" t="str">
        <f>HYPERLINK("https://ceds.ed.gov/cedselementdetails.aspx?termid=26714")</f>
        <v>https://ceds.ed.gov/cedselementdetails.aspx?termid=26714</v>
      </c>
    </row>
    <row r="612" spans="1:13" ht="100.8" x14ac:dyDescent="0.3">
      <c r="A612" s="16" t="s">
        <v>2456</v>
      </c>
      <c r="B612" s="16" t="s">
        <v>7914</v>
      </c>
      <c r="C612" s="16" t="s">
        <v>8216</v>
      </c>
      <c r="D612" s="16" t="s">
        <v>9361</v>
      </c>
      <c r="E612" s="16"/>
      <c r="F612" s="16"/>
      <c r="G612" s="16"/>
      <c r="H612" s="16"/>
      <c r="I612" s="19" t="s">
        <v>2457</v>
      </c>
      <c r="J612" s="16"/>
      <c r="K612" s="16" t="s">
        <v>2458</v>
      </c>
      <c r="L612" s="16" t="s">
        <v>1927</v>
      </c>
      <c r="M612" s="16" t="str">
        <f>HYPERLINK("https://ceds.ed.gov/cedselementdetails.aspx?termid=26048")</f>
        <v>https://ceds.ed.gov/cedselementdetails.aspx?termid=26048</v>
      </c>
    </row>
    <row r="613" spans="1:13" ht="43.2" x14ac:dyDescent="0.3">
      <c r="A613" s="16" t="s">
        <v>2459</v>
      </c>
      <c r="B613" s="16" t="s">
        <v>2460</v>
      </c>
      <c r="C613" s="16" t="s">
        <v>22</v>
      </c>
      <c r="D613" s="16" t="s">
        <v>2461</v>
      </c>
      <c r="E613" s="16"/>
      <c r="F613" s="16"/>
      <c r="G613" s="16"/>
      <c r="H613" s="16"/>
      <c r="I613" s="19" t="s">
        <v>2462</v>
      </c>
      <c r="J613" s="16"/>
      <c r="K613" s="16" t="s">
        <v>2463</v>
      </c>
      <c r="L613" s="16"/>
      <c r="M613" s="16" t="str">
        <f>HYPERLINK("https://ceds.ed.gov/cedselementdetails.aspx?termid=26509")</f>
        <v>https://ceds.ed.gov/cedselementdetails.aspx?termid=26509</v>
      </c>
    </row>
    <row r="614" spans="1:13" ht="115.2" x14ac:dyDescent="0.3">
      <c r="A614" s="16" t="s">
        <v>2464</v>
      </c>
      <c r="B614" s="16" t="s">
        <v>2465</v>
      </c>
      <c r="C614" s="16" t="s">
        <v>8452</v>
      </c>
      <c r="D614" s="16" t="s">
        <v>246</v>
      </c>
      <c r="E614" s="16"/>
      <c r="F614" s="16"/>
      <c r="G614" s="16"/>
      <c r="H614" s="16"/>
      <c r="I614" s="19" t="s">
        <v>2466</v>
      </c>
      <c r="J614" s="16"/>
      <c r="K614" s="16" t="s">
        <v>2467</v>
      </c>
      <c r="L614" s="16"/>
      <c r="M614" s="16" t="str">
        <f>HYPERLINK("https://ceds.ed.gov/cedselementdetails.aspx?termid=27262")</f>
        <v>https://ceds.ed.gov/cedselementdetails.aspx?termid=27262</v>
      </c>
    </row>
    <row r="615" spans="1:13" ht="72" x14ac:dyDescent="0.3">
      <c r="A615" s="16" t="s">
        <v>2468</v>
      </c>
      <c r="B615" s="16" t="s">
        <v>2469</v>
      </c>
      <c r="C615" s="16" t="s">
        <v>22</v>
      </c>
      <c r="D615" s="16" t="s">
        <v>246</v>
      </c>
      <c r="E615" s="16"/>
      <c r="F615" s="16"/>
      <c r="G615" s="16"/>
      <c r="H615" s="16"/>
      <c r="I615" s="19" t="s">
        <v>2470</v>
      </c>
      <c r="J615" s="16"/>
      <c r="K615" s="16" t="s">
        <v>2471</v>
      </c>
      <c r="L615" s="16"/>
      <c r="M615" s="16" t="str">
        <f>HYPERLINK("https://ceds.ed.gov/cedselementdetails.aspx?termid=27263")</f>
        <v>https://ceds.ed.gov/cedselementdetails.aspx?termid=27263</v>
      </c>
    </row>
    <row r="616" spans="1:13" ht="216" x14ac:dyDescent="0.3">
      <c r="A616" s="16" t="s">
        <v>2472</v>
      </c>
      <c r="B616" s="16" t="s">
        <v>2473</v>
      </c>
      <c r="C616" s="16" t="s">
        <v>8453</v>
      </c>
      <c r="D616" s="16" t="s">
        <v>2474</v>
      </c>
      <c r="E616" s="16"/>
      <c r="F616" s="16"/>
      <c r="G616" s="16"/>
      <c r="H616" s="16"/>
      <c r="I616" s="19" t="s">
        <v>2475</v>
      </c>
      <c r="J616" s="16"/>
      <c r="K616" s="16" t="s">
        <v>2476</v>
      </c>
      <c r="L616" s="16" t="s">
        <v>214</v>
      </c>
      <c r="M616" s="16" t="str">
        <f>HYPERLINK("https://ceds.ed.gov/cedselementdetails.aspx?termid=26049")</f>
        <v>https://ceds.ed.gov/cedselementdetails.aspx?termid=26049</v>
      </c>
    </row>
    <row r="617" spans="1:13" ht="100.8" x14ac:dyDescent="0.3">
      <c r="A617" s="16" t="s">
        <v>2477</v>
      </c>
      <c r="B617" s="16" t="s">
        <v>2478</v>
      </c>
      <c r="C617" s="16" t="s">
        <v>32</v>
      </c>
      <c r="D617" s="16" t="s">
        <v>2479</v>
      </c>
      <c r="E617" s="16"/>
      <c r="F617" s="16" t="s">
        <v>106</v>
      </c>
      <c r="G617" s="16"/>
      <c r="H617" s="16" t="s">
        <v>2480</v>
      </c>
      <c r="I617" s="19" t="s">
        <v>2481</v>
      </c>
      <c r="J617" s="16"/>
      <c r="K617" s="16" t="s">
        <v>2482</v>
      </c>
      <c r="L617" s="16"/>
      <c r="M617" s="16" t="str">
        <f>HYPERLINK("https://ceds.ed.gov/cedselementdetails.aspx?termid=27741")</f>
        <v>https://ceds.ed.gov/cedselementdetails.aspx?termid=27741</v>
      </c>
    </row>
    <row r="618" spans="1:13" ht="409.6" x14ac:dyDescent="0.3">
      <c r="A618" s="16" t="s">
        <v>2483</v>
      </c>
      <c r="B618" s="16" t="s">
        <v>2484</v>
      </c>
      <c r="C618" s="16" t="s">
        <v>8454</v>
      </c>
      <c r="D618" s="16" t="s">
        <v>8455</v>
      </c>
      <c r="E618" s="16"/>
      <c r="F618" s="16"/>
      <c r="G618" s="16"/>
      <c r="H618" s="16" t="s">
        <v>7915</v>
      </c>
      <c r="I618" s="19" t="s">
        <v>2485</v>
      </c>
      <c r="J618" s="16"/>
      <c r="K618" s="16" t="s">
        <v>2486</v>
      </c>
      <c r="L618" s="16" t="s">
        <v>2487</v>
      </c>
      <c r="M618" s="16" t="str">
        <f>HYPERLINK("https://ceds.ed.gov/cedselementdetails.aspx?termid=26050")</f>
        <v>https://ceds.ed.gov/cedselementdetails.aspx?termid=26050</v>
      </c>
    </row>
    <row r="619" spans="1:13" ht="409.6" x14ac:dyDescent="0.3">
      <c r="A619" s="16" t="s">
        <v>2488</v>
      </c>
      <c r="B619" s="16" t="s">
        <v>2489</v>
      </c>
      <c r="C619" s="16" t="s">
        <v>8454</v>
      </c>
      <c r="D619" s="16" t="s">
        <v>8371</v>
      </c>
      <c r="E619" s="16"/>
      <c r="F619" s="16"/>
      <c r="G619" s="16"/>
      <c r="H619" s="16" t="s">
        <v>7915</v>
      </c>
      <c r="I619" s="19" t="s">
        <v>2490</v>
      </c>
      <c r="J619" s="16"/>
      <c r="K619" s="16" t="s">
        <v>2491</v>
      </c>
      <c r="L619" s="16" t="s">
        <v>2492</v>
      </c>
      <c r="M619" s="16" t="str">
        <f>HYPERLINK("https://ceds.ed.gov/cedselementdetails.aspx?termid=26051")</f>
        <v>https://ceds.ed.gov/cedselementdetails.aspx?termid=26051</v>
      </c>
    </row>
    <row r="620" spans="1:13" ht="409.6" x14ac:dyDescent="0.3">
      <c r="A620" s="16" t="s">
        <v>2493</v>
      </c>
      <c r="B620" s="16" t="s">
        <v>2494</v>
      </c>
      <c r="C620" s="16" t="s">
        <v>32</v>
      </c>
      <c r="D620" s="16" t="s">
        <v>8456</v>
      </c>
      <c r="E620" s="16"/>
      <c r="F620" s="16" t="s">
        <v>2495</v>
      </c>
      <c r="G620" s="16"/>
      <c r="H620" s="16"/>
      <c r="I620" s="19" t="s">
        <v>2496</v>
      </c>
      <c r="J620" s="16"/>
      <c r="K620" s="16" t="s">
        <v>2497</v>
      </c>
      <c r="L620" s="16"/>
      <c r="M620" s="16" t="str">
        <f>HYPERLINK("https://ceds.ed.gov/cedselementdetails.aspx?termid=27176")</f>
        <v>https://ceds.ed.gov/cedselementdetails.aspx?termid=27176</v>
      </c>
    </row>
    <row r="621" spans="1:13" ht="72" x14ac:dyDescent="0.3">
      <c r="A621" s="16" t="s">
        <v>2498</v>
      </c>
      <c r="B621" s="16" t="s">
        <v>7916</v>
      </c>
      <c r="C621" s="16" t="s">
        <v>32</v>
      </c>
      <c r="D621" s="16" t="s">
        <v>2499</v>
      </c>
      <c r="E621" s="16"/>
      <c r="F621" s="16" t="s">
        <v>2500</v>
      </c>
      <c r="G621" s="16"/>
      <c r="H621" s="16"/>
      <c r="I621" s="19" t="s">
        <v>2501</v>
      </c>
      <c r="J621" s="16"/>
      <c r="K621" s="16" t="s">
        <v>2502</v>
      </c>
      <c r="L621" s="16" t="s">
        <v>1927</v>
      </c>
      <c r="M621" s="16" t="str">
        <f>HYPERLINK("https://ceds.ed.gov/cedselementdetails.aspx?termid=26053")</f>
        <v>https://ceds.ed.gov/cedselementdetails.aspx?termid=26053</v>
      </c>
    </row>
    <row r="622" spans="1:13" ht="129.6" x14ac:dyDescent="0.3">
      <c r="A622" s="16" t="s">
        <v>2503</v>
      </c>
      <c r="B622" s="16" t="s">
        <v>2504</v>
      </c>
      <c r="C622" s="16" t="s">
        <v>32</v>
      </c>
      <c r="D622" s="16" t="s">
        <v>2505</v>
      </c>
      <c r="E622" s="16"/>
      <c r="F622" s="16" t="s">
        <v>2506</v>
      </c>
      <c r="G622" s="16"/>
      <c r="H622" s="16" t="s">
        <v>2507</v>
      </c>
      <c r="I622" s="19" t="s">
        <v>2508</v>
      </c>
      <c r="J622" s="16"/>
      <c r="K622" s="16" t="s">
        <v>2509</v>
      </c>
      <c r="L622" s="16"/>
      <c r="M622" s="16" t="str">
        <f>HYPERLINK("https://ceds.ed.gov/cedselementdetails.aspx?termid=27264")</f>
        <v>https://ceds.ed.gov/cedselementdetails.aspx?termid=27264</v>
      </c>
    </row>
    <row r="623" spans="1:13" ht="273.60000000000002" x14ac:dyDescent="0.3">
      <c r="A623" s="16" t="s">
        <v>2510</v>
      </c>
      <c r="B623" s="16" t="s">
        <v>2511</v>
      </c>
      <c r="C623" s="16" t="s">
        <v>8457</v>
      </c>
      <c r="D623" s="16" t="s">
        <v>2512</v>
      </c>
      <c r="E623" s="16"/>
      <c r="F623" s="16"/>
      <c r="G623" s="16"/>
      <c r="H623" s="16"/>
      <c r="I623" s="19" t="s">
        <v>2513</v>
      </c>
      <c r="J623" s="16"/>
      <c r="K623" s="16" t="s">
        <v>2514</v>
      </c>
      <c r="L623" s="16"/>
      <c r="M623" s="16" t="str">
        <f>HYPERLINK("https://ceds.ed.gov/cedselementdetails.aspx?termid=27265")</f>
        <v>https://ceds.ed.gov/cedselementdetails.aspx?termid=27265</v>
      </c>
    </row>
    <row r="624" spans="1:13" ht="72" x14ac:dyDescent="0.3">
      <c r="A624" s="16" t="s">
        <v>2515</v>
      </c>
      <c r="B624" s="16" t="s">
        <v>2516</v>
      </c>
      <c r="C624" s="16" t="s">
        <v>32</v>
      </c>
      <c r="D624" s="16" t="s">
        <v>2499</v>
      </c>
      <c r="E624" s="16"/>
      <c r="F624" s="16" t="s">
        <v>106</v>
      </c>
      <c r="G624" s="16"/>
      <c r="H624" s="16"/>
      <c r="I624" s="19" t="s">
        <v>2517</v>
      </c>
      <c r="J624" s="16"/>
      <c r="K624" s="16" t="s">
        <v>2518</v>
      </c>
      <c r="L624" s="16"/>
      <c r="M624" s="16" t="str">
        <f>HYPERLINK("https://ceds.ed.gov/cedselementdetails.aspx?termid=27266")</f>
        <v>https://ceds.ed.gov/cedselementdetails.aspx?termid=27266</v>
      </c>
    </row>
    <row r="625" spans="1:13" ht="129.6" x14ac:dyDescent="0.3">
      <c r="A625" s="16" t="s">
        <v>2519</v>
      </c>
      <c r="B625" s="16" t="s">
        <v>2520</v>
      </c>
      <c r="C625" s="16" t="s">
        <v>22</v>
      </c>
      <c r="D625" s="16" t="s">
        <v>150</v>
      </c>
      <c r="E625" s="16"/>
      <c r="F625" s="16"/>
      <c r="G625" s="16"/>
      <c r="H625" s="16"/>
      <c r="I625" s="19" t="s">
        <v>2521</v>
      </c>
      <c r="J625" s="16"/>
      <c r="K625" s="16" t="s">
        <v>2522</v>
      </c>
      <c r="L625" s="16"/>
      <c r="M625" s="16" t="str">
        <f>HYPERLINK("https://ceds.ed.gov/cedselementdetails.aspx?termid=26013")</f>
        <v>https://ceds.ed.gov/cedselementdetails.aspx?termid=26013</v>
      </c>
    </row>
    <row r="626" spans="1:13" ht="409.6" x14ac:dyDescent="0.3">
      <c r="A626" s="16" t="s">
        <v>2523</v>
      </c>
      <c r="B626" s="16" t="s">
        <v>2524</v>
      </c>
      <c r="C626" s="16" t="s">
        <v>8458</v>
      </c>
      <c r="D626" s="16" t="s">
        <v>2525</v>
      </c>
      <c r="E626" s="16"/>
      <c r="F626" s="16"/>
      <c r="G626" s="16"/>
      <c r="H626" s="16" t="s">
        <v>7917</v>
      </c>
      <c r="I626" s="19" t="s">
        <v>2526</v>
      </c>
      <c r="J626" s="16"/>
      <c r="K626" s="16" t="s">
        <v>2527</v>
      </c>
      <c r="L626" s="16"/>
      <c r="M626" s="16" t="str">
        <f>HYPERLINK("https://ceds.ed.gov/cedselementdetails.aspx?termid=27267")</f>
        <v>https://ceds.ed.gov/cedselementdetails.aspx?termid=27267</v>
      </c>
    </row>
    <row r="627" spans="1:13" ht="129.6" x14ac:dyDescent="0.3">
      <c r="A627" s="16" t="s">
        <v>2528</v>
      </c>
      <c r="B627" s="16" t="s">
        <v>2529</v>
      </c>
      <c r="C627" s="16" t="s">
        <v>32</v>
      </c>
      <c r="D627" s="16" t="s">
        <v>13031</v>
      </c>
      <c r="E627" s="16"/>
      <c r="F627" s="16" t="s">
        <v>106</v>
      </c>
      <c r="G627" s="16"/>
      <c r="H627" s="16"/>
      <c r="I627" s="19" t="s">
        <v>2530</v>
      </c>
      <c r="J627" s="16"/>
      <c r="K627" s="16" t="s">
        <v>2531</v>
      </c>
      <c r="L627" s="16" t="s">
        <v>1927</v>
      </c>
      <c r="M627" s="16" t="str">
        <f>HYPERLINK("https://ceds.ed.gov/cedselementdetails.aspx?termid=26054")</f>
        <v>https://ceds.ed.gov/cedselementdetails.aspx?termid=26054</v>
      </c>
    </row>
    <row r="628" spans="1:13" ht="100.8" x14ac:dyDescent="0.3">
      <c r="A628" s="16" t="s">
        <v>2532</v>
      </c>
      <c r="B628" s="16" t="s">
        <v>2533</v>
      </c>
      <c r="C628" s="16" t="s">
        <v>32</v>
      </c>
      <c r="D628" s="16" t="s">
        <v>2525</v>
      </c>
      <c r="E628" s="16"/>
      <c r="F628" s="16" t="s">
        <v>101</v>
      </c>
      <c r="G628" s="16"/>
      <c r="H628" s="16"/>
      <c r="I628" s="19" t="s">
        <v>2534</v>
      </c>
      <c r="J628" s="16"/>
      <c r="K628" s="16" t="s">
        <v>2535</v>
      </c>
      <c r="L628" s="16"/>
      <c r="M628" s="16" t="str">
        <f>HYPERLINK("https://ceds.ed.gov/cedselementdetails.aspx?termid=27268")</f>
        <v>https://ceds.ed.gov/cedselementdetails.aspx?termid=27268</v>
      </c>
    </row>
    <row r="629" spans="1:13" ht="244.8" x14ac:dyDescent="0.3">
      <c r="A629" s="16" t="s">
        <v>2536</v>
      </c>
      <c r="B629" s="16" t="s">
        <v>2537</v>
      </c>
      <c r="C629" s="16" t="s">
        <v>8217</v>
      </c>
      <c r="D629" s="16" t="s">
        <v>13032</v>
      </c>
      <c r="E629" s="16"/>
      <c r="F629" s="16"/>
      <c r="G629" s="16"/>
      <c r="H629" s="16"/>
      <c r="I629" s="19" t="s">
        <v>2538</v>
      </c>
      <c r="J629" s="16"/>
      <c r="K629" s="16" t="s">
        <v>2539</v>
      </c>
      <c r="L629" s="16" t="s">
        <v>1484</v>
      </c>
      <c r="M629" s="16" t="str">
        <f>HYPERLINK("https://ceds.ed.gov/cedselementdetails.aspx?termid=26056")</f>
        <v>https://ceds.ed.gov/cedselementdetails.aspx?termid=26056</v>
      </c>
    </row>
    <row r="630" spans="1:13" ht="409.6" x14ac:dyDescent="0.3">
      <c r="A630" s="16" t="s">
        <v>2540</v>
      </c>
      <c r="B630" s="16" t="s">
        <v>2541</v>
      </c>
      <c r="C630" s="16" t="s">
        <v>8459</v>
      </c>
      <c r="D630" s="16" t="s">
        <v>2505</v>
      </c>
      <c r="E630" s="16"/>
      <c r="F630" s="16"/>
      <c r="G630" s="16"/>
      <c r="H630" s="16"/>
      <c r="I630" s="19" t="s">
        <v>2542</v>
      </c>
      <c r="J630" s="16"/>
      <c r="K630" s="16" t="s">
        <v>2543</v>
      </c>
      <c r="L630" s="16"/>
      <c r="M630" s="16" t="str">
        <f>HYPERLINK("https://ceds.ed.gov/cedselementdetails.aspx?termid=27269")</f>
        <v>https://ceds.ed.gov/cedselementdetails.aspx?termid=27269</v>
      </c>
    </row>
    <row r="631" spans="1:13" ht="216" x14ac:dyDescent="0.3">
      <c r="A631" s="16" t="s">
        <v>2544</v>
      </c>
      <c r="B631" s="16" t="s">
        <v>2545</v>
      </c>
      <c r="C631" s="16" t="s">
        <v>8460</v>
      </c>
      <c r="D631" s="16" t="s">
        <v>2505</v>
      </c>
      <c r="E631" s="16"/>
      <c r="F631" s="16"/>
      <c r="G631" s="16"/>
      <c r="H631" s="16"/>
      <c r="I631" s="19" t="s">
        <v>2546</v>
      </c>
      <c r="J631" s="16"/>
      <c r="K631" s="16" t="s">
        <v>2547</v>
      </c>
      <c r="L631" s="16"/>
      <c r="M631" s="16" t="str">
        <f>HYPERLINK("https://ceds.ed.gov/cedselementdetails.aspx?termid=27270")</f>
        <v>https://ceds.ed.gov/cedselementdetails.aspx?termid=27270</v>
      </c>
    </row>
    <row r="632" spans="1:13" ht="187.2" x14ac:dyDescent="0.3">
      <c r="A632" s="16" t="s">
        <v>2548</v>
      </c>
      <c r="B632" s="16" t="s">
        <v>7918</v>
      </c>
      <c r="C632" s="16" t="s">
        <v>8461</v>
      </c>
      <c r="D632" s="16" t="s">
        <v>8462</v>
      </c>
      <c r="E632" s="16"/>
      <c r="F632" s="16"/>
      <c r="G632" s="16"/>
      <c r="H632" s="16"/>
      <c r="I632" s="19" t="s">
        <v>2549</v>
      </c>
      <c r="J632" s="16"/>
      <c r="K632" s="16" t="s">
        <v>2550</v>
      </c>
      <c r="L632" s="16" t="s">
        <v>58</v>
      </c>
      <c r="M632" s="16" t="str">
        <f>HYPERLINK("https://ceds.ed.gov/cedselementdetails.aspx?termid=26057")</f>
        <v>https://ceds.ed.gov/cedselementdetails.aspx?termid=26057</v>
      </c>
    </row>
    <row r="633" spans="1:13" ht="158.4" x14ac:dyDescent="0.3">
      <c r="A633" s="16" t="s">
        <v>2551</v>
      </c>
      <c r="B633" s="16" t="s">
        <v>2552</v>
      </c>
      <c r="C633" s="16" t="s">
        <v>32</v>
      </c>
      <c r="D633" s="16" t="s">
        <v>2553</v>
      </c>
      <c r="E633" s="16"/>
      <c r="F633" s="16" t="s">
        <v>145</v>
      </c>
      <c r="G633" s="16"/>
      <c r="H633" s="16"/>
      <c r="I633" s="19" t="s">
        <v>2554</v>
      </c>
      <c r="J633" s="16"/>
      <c r="K633" s="16" t="s">
        <v>2555</v>
      </c>
      <c r="L633" s="16"/>
      <c r="M633" s="16" t="str">
        <f>HYPERLINK("https://ceds.ed.gov/cedselementdetails.aspx?termid=27525")</f>
        <v>https://ceds.ed.gov/cedselementdetails.aspx?termid=27525</v>
      </c>
    </row>
    <row r="634" spans="1:13" ht="129.6" x14ac:dyDescent="0.3">
      <c r="A634" s="16" t="s">
        <v>2556</v>
      </c>
      <c r="B634" s="16" t="s">
        <v>2557</v>
      </c>
      <c r="C634" s="16" t="s">
        <v>32</v>
      </c>
      <c r="D634" s="16" t="s">
        <v>150</v>
      </c>
      <c r="E634" s="16"/>
      <c r="F634" s="16" t="s">
        <v>9316</v>
      </c>
      <c r="G634" s="16"/>
      <c r="H634" s="16"/>
      <c r="I634" s="19" t="s">
        <v>2558</v>
      </c>
      <c r="J634" s="16"/>
      <c r="K634" s="16" t="s">
        <v>2559</v>
      </c>
      <c r="L634" s="16"/>
      <c r="M634" s="16" t="str">
        <f>HYPERLINK("https://ceds.ed.gov/cedselementdetails.aspx?termid=26508")</f>
        <v>https://ceds.ed.gov/cedselementdetails.aspx?termid=26508</v>
      </c>
    </row>
    <row r="635" spans="1:13" ht="72" x14ac:dyDescent="0.3">
      <c r="A635" s="16" t="s">
        <v>2560</v>
      </c>
      <c r="B635" s="16" t="s">
        <v>2561</v>
      </c>
      <c r="C635" s="16" t="s">
        <v>32</v>
      </c>
      <c r="D635" s="16" t="s">
        <v>2499</v>
      </c>
      <c r="E635" s="16"/>
      <c r="F635" s="16" t="s">
        <v>106</v>
      </c>
      <c r="G635" s="16"/>
      <c r="H635" s="16"/>
      <c r="I635" s="19" t="s">
        <v>2562</v>
      </c>
      <c r="J635" s="16"/>
      <c r="K635" s="16" t="s">
        <v>2563</v>
      </c>
      <c r="L635" s="16" t="s">
        <v>2564</v>
      </c>
      <c r="M635" s="16" t="str">
        <f>HYPERLINK("https://ceds.ed.gov/cedselementdetails.aspx?termid=27271")</f>
        <v>https://ceds.ed.gov/cedselementdetails.aspx?termid=27271</v>
      </c>
    </row>
    <row r="636" spans="1:13" ht="129.6" x14ac:dyDescent="0.3">
      <c r="A636" s="16" t="s">
        <v>2565</v>
      </c>
      <c r="B636" s="16" t="s">
        <v>2566</v>
      </c>
      <c r="C636" s="16" t="s">
        <v>32</v>
      </c>
      <c r="D636" s="16" t="s">
        <v>13031</v>
      </c>
      <c r="E636" s="16"/>
      <c r="F636" s="16" t="s">
        <v>106</v>
      </c>
      <c r="G636" s="16"/>
      <c r="H636" s="16" t="s">
        <v>131</v>
      </c>
      <c r="I636" s="19" t="s">
        <v>2567</v>
      </c>
      <c r="J636" s="16"/>
      <c r="K636" s="16" t="s">
        <v>2568</v>
      </c>
      <c r="L636" s="16" t="s">
        <v>1927</v>
      </c>
      <c r="M636" s="16" t="str">
        <f>HYPERLINK("https://ceds.ed.gov/cedselementdetails.aspx?termid=26059")</f>
        <v>https://ceds.ed.gov/cedselementdetails.aspx?termid=26059</v>
      </c>
    </row>
    <row r="637" spans="1:13" ht="100.8" x14ac:dyDescent="0.3">
      <c r="A637" s="16" t="s">
        <v>2569</v>
      </c>
      <c r="B637" s="16" t="s">
        <v>2570</v>
      </c>
      <c r="C637" s="16" t="s">
        <v>32</v>
      </c>
      <c r="D637" s="16" t="s">
        <v>2525</v>
      </c>
      <c r="E637" s="16"/>
      <c r="F637" s="16" t="s">
        <v>81</v>
      </c>
      <c r="G637" s="16"/>
      <c r="H637" s="16" t="s">
        <v>2571</v>
      </c>
      <c r="I637" s="19" t="s">
        <v>2572</v>
      </c>
      <c r="J637" s="16"/>
      <c r="K637" s="16" t="s">
        <v>2573</v>
      </c>
      <c r="L637" s="16"/>
      <c r="M637" s="16" t="str">
        <f>HYPERLINK("https://ceds.ed.gov/cedselementdetails.aspx?termid=27272")</f>
        <v>https://ceds.ed.gov/cedselementdetails.aspx?termid=27272</v>
      </c>
    </row>
    <row r="638" spans="1:13" ht="57.6" x14ac:dyDescent="0.3">
      <c r="A638" s="16" t="s">
        <v>8933</v>
      </c>
      <c r="B638" s="16" t="s">
        <v>8934</v>
      </c>
      <c r="C638" s="16" t="s">
        <v>2987</v>
      </c>
      <c r="D638" s="16" t="s">
        <v>13033</v>
      </c>
      <c r="E638" s="16"/>
      <c r="F638" s="16" t="s">
        <v>2</v>
      </c>
      <c r="G638" s="16"/>
      <c r="H638" s="16" t="s">
        <v>8935</v>
      </c>
      <c r="I638" s="19" t="s">
        <v>8936</v>
      </c>
      <c r="J638" s="16"/>
      <c r="K638" s="16" t="s">
        <v>8937</v>
      </c>
      <c r="L638" s="16"/>
      <c r="M638" s="16" t="str">
        <f>HYPERLINK("https://ceds.ed.gov/cedselementdetails.aspx?termid=28010")</f>
        <v>https://ceds.ed.gov/cedselementdetails.aspx?termid=28010</v>
      </c>
    </row>
    <row r="639" spans="1:13" ht="158.4" x14ac:dyDescent="0.3">
      <c r="A639" s="16" t="s">
        <v>2574</v>
      </c>
      <c r="B639" s="16" t="s">
        <v>2575</v>
      </c>
      <c r="C639" s="16" t="s">
        <v>8463</v>
      </c>
      <c r="D639" s="16" t="s">
        <v>2576</v>
      </c>
      <c r="E639" s="16"/>
      <c r="F639" s="16"/>
      <c r="G639" s="16"/>
      <c r="H639" s="16"/>
      <c r="I639" s="19" t="s">
        <v>2577</v>
      </c>
      <c r="J639" s="16" t="s">
        <v>2578</v>
      </c>
      <c r="K639" s="16" t="s">
        <v>2579</v>
      </c>
      <c r="L639" s="16" t="s">
        <v>1484</v>
      </c>
      <c r="M639" s="16" t="str">
        <f>HYPERLINK("https://ceds.ed.gov/cedselementdetails.aspx?termid=26060")</f>
        <v>https://ceds.ed.gov/cedselementdetails.aspx?termid=26060</v>
      </c>
    </row>
    <row r="640" spans="1:13" ht="72" x14ac:dyDescent="0.3">
      <c r="A640" s="16" t="s">
        <v>2580</v>
      </c>
      <c r="B640" s="16" t="s">
        <v>2581</v>
      </c>
      <c r="C640" s="16" t="s">
        <v>8464</v>
      </c>
      <c r="D640" s="16" t="s">
        <v>2505</v>
      </c>
      <c r="E640" s="16"/>
      <c r="F640" s="16"/>
      <c r="G640" s="16"/>
      <c r="H640" s="16"/>
      <c r="I640" s="19" t="s">
        <v>2582</v>
      </c>
      <c r="J640" s="16"/>
      <c r="K640" s="16" t="s">
        <v>2583</v>
      </c>
      <c r="L640" s="16"/>
      <c r="M640" s="16" t="str">
        <f>HYPERLINK("https://ceds.ed.gov/cedselementdetails.aspx?termid=27273")</f>
        <v>https://ceds.ed.gov/cedselementdetails.aspx?termid=27273</v>
      </c>
    </row>
    <row r="641" spans="1:13" ht="216" x14ac:dyDescent="0.3">
      <c r="A641" s="16" t="s">
        <v>2584</v>
      </c>
      <c r="B641" s="16" t="s">
        <v>2585</v>
      </c>
      <c r="C641" s="16" t="s">
        <v>32</v>
      </c>
      <c r="D641" s="16" t="s">
        <v>13034</v>
      </c>
      <c r="E641" s="16"/>
      <c r="F641" s="16" t="s">
        <v>120</v>
      </c>
      <c r="G641" s="16"/>
      <c r="H641" s="16" t="s">
        <v>7817</v>
      </c>
      <c r="I641" s="19" t="s">
        <v>2586</v>
      </c>
      <c r="J641" s="16"/>
      <c r="K641" s="16" t="s">
        <v>2587</v>
      </c>
      <c r="L641" s="16" t="s">
        <v>2588</v>
      </c>
      <c r="M641" s="16" t="str">
        <f>HYPERLINK("https://ceds.ed.gov/cedselementdetails.aspx?termid=26055")</f>
        <v>https://ceds.ed.gov/cedselementdetails.aspx?termid=26055</v>
      </c>
    </row>
    <row r="642" spans="1:13" ht="409.6" x14ac:dyDescent="0.3">
      <c r="A642" s="16" t="s">
        <v>2589</v>
      </c>
      <c r="B642" s="16" t="s">
        <v>2590</v>
      </c>
      <c r="C642" s="16" t="s">
        <v>8465</v>
      </c>
      <c r="D642" s="16" t="s">
        <v>2505</v>
      </c>
      <c r="E642" s="16"/>
      <c r="F642" s="16"/>
      <c r="G642" s="16"/>
      <c r="H642" s="16"/>
      <c r="I642" s="19" t="s">
        <v>2591</v>
      </c>
      <c r="J642" s="16"/>
      <c r="K642" s="16" t="s">
        <v>2592</v>
      </c>
      <c r="L642" s="16"/>
      <c r="M642" s="16" t="str">
        <f>HYPERLINK("https://ceds.ed.gov/cedselementdetails.aspx?termid=27274")</f>
        <v>https://ceds.ed.gov/cedselementdetails.aspx?termid=27274</v>
      </c>
    </row>
    <row r="643" spans="1:13" ht="72" x14ac:dyDescent="0.3">
      <c r="A643" s="16" t="s">
        <v>2593</v>
      </c>
      <c r="B643" s="16" t="s">
        <v>2594</v>
      </c>
      <c r="C643" s="16" t="s">
        <v>32</v>
      </c>
      <c r="D643" s="16" t="s">
        <v>2505</v>
      </c>
      <c r="E643" s="16"/>
      <c r="F643" s="16" t="s">
        <v>145</v>
      </c>
      <c r="G643" s="16"/>
      <c r="H643" s="16"/>
      <c r="I643" s="19" t="s">
        <v>2595</v>
      </c>
      <c r="J643" s="16"/>
      <c r="K643" s="16" t="s">
        <v>2596</v>
      </c>
      <c r="L643" s="16"/>
      <c r="M643" s="16" t="str">
        <f>HYPERLINK("https://ceds.ed.gov/cedselementdetails.aspx?termid=27275")</f>
        <v>https://ceds.ed.gov/cedselementdetails.aspx?termid=27275</v>
      </c>
    </row>
    <row r="644" spans="1:13" ht="172.8" x14ac:dyDescent="0.3">
      <c r="A644" s="16" t="s">
        <v>2597</v>
      </c>
      <c r="B644" s="16" t="s">
        <v>2598</v>
      </c>
      <c r="C644" s="16" t="s">
        <v>8466</v>
      </c>
      <c r="D644" s="16" t="s">
        <v>2505</v>
      </c>
      <c r="E644" s="16"/>
      <c r="F644" s="16"/>
      <c r="G644" s="16"/>
      <c r="H644" s="16"/>
      <c r="I644" s="19" t="s">
        <v>2599</v>
      </c>
      <c r="J644" s="16"/>
      <c r="K644" s="16" t="s">
        <v>2600</v>
      </c>
      <c r="L644" s="16"/>
      <c r="M644" s="16" t="str">
        <f>HYPERLINK("https://ceds.ed.gov/cedselementdetails.aspx?termid=27276")</f>
        <v>https://ceds.ed.gov/cedselementdetails.aspx?termid=27276</v>
      </c>
    </row>
    <row r="645" spans="1:13" ht="100.8" x14ac:dyDescent="0.3">
      <c r="A645" s="16" t="s">
        <v>2601</v>
      </c>
      <c r="B645" s="16" t="s">
        <v>2602</v>
      </c>
      <c r="C645" s="16" t="s">
        <v>8467</v>
      </c>
      <c r="D645" s="16" t="s">
        <v>2525</v>
      </c>
      <c r="E645" s="16"/>
      <c r="F645" s="16"/>
      <c r="G645" s="16"/>
      <c r="H645" s="16" t="s">
        <v>2603</v>
      </c>
      <c r="I645" s="19" t="s">
        <v>2604</v>
      </c>
      <c r="J645" s="16"/>
      <c r="K645" s="16" t="s">
        <v>2605</v>
      </c>
      <c r="L645" s="16"/>
      <c r="M645" s="16" t="str">
        <f>HYPERLINK("https://ceds.ed.gov/cedselementdetails.aspx?termid=27277")</f>
        <v>https://ceds.ed.gov/cedselementdetails.aspx?termid=27277</v>
      </c>
    </row>
    <row r="646" spans="1:13" ht="129.6" x14ac:dyDescent="0.3">
      <c r="A646" s="16" t="s">
        <v>7919</v>
      </c>
      <c r="B646" s="16" t="s">
        <v>7920</v>
      </c>
      <c r="C646" s="16" t="s">
        <v>22</v>
      </c>
      <c r="D646" s="16" t="s">
        <v>1480</v>
      </c>
      <c r="E646" s="16"/>
      <c r="F646" s="16" t="s">
        <v>2</v>
      </c>
      <c r="G646" s="16"/>
      <c r="H646" s="16" t="s">
        <v>7921</v>
      </c>
      <c r="I646" s="19" t="s">
        <v>8177</v>
      </c>
      <c r="J646" s="16"/>
      <c r="K646" s="16" t="s">
        <v>7922</v>
      </c>
      <c r="L646" s="16"/>
      <c r="M646" s="16" t="str">
        <f>HYPERLINK("https://ceds.ed.gov/cedselementdetails.aspx?termid=27975")</f>
        <v>https://ceds.ed.gov/cedselementdetails.aspx?termid=27975</v>
      </c>
    </row>
    <row r="647" spans="1:13" ht="360" x14ac:dyDescent="0.3">
      <c r="A647" s="16" t="s">
        <v>2606</v>
      </c>
      <c r="B647" s="16" t="s">
        <v>2607</v>
      </c>
      <c r="C647" s="16" t="s">
        <v>8468</v>
      </c>
      <c r="D647" s="16" t="s">
        <v>1480</v>
      </c>
      <c r="E647" s="16"/>
      <c r="F647" s="16"/>
      <c r="G647" s="16"/>
      <c r="H647" s="16"/>
      <c r="I647" s="19" t="s">
        <v>2608</v>
      </c>
      <c r="J647" s="16"/>
      <c r="K647" s="16" t="s">
        <v>2609</v>
      </c>
      <c r="L647" s="16" t="s">
        <v>2588</v>
      </c>
      <c r="M647" s="16" t="str">
        <f>HYPERLINK("https://ceds.ed.gov/cedselementdetails.aspx?termid=26061")</f>
        <v>https://ceds.ed.gov/cedselementdetails.aspx?termid=26061</v>
      </c>
    </row>
    <row r="648" spans="1:13" ht="345.6" x14ac:dyDescent="0.3">
      <c r="A648" s="16" t="s">
        <v>2610</v>
      </c>
      <c r="B648" s="16" t="s">
        <v>2611</v>
      </c>
      <c r="C648" s="16" t="s">
        <v>8218</v>
      </c>
      <c r="D648" s="16" t="s">
        <v>9362</v>
      </c>
      <c r="E648" s="16"/>
      <c r="F648" s="16"/>
      <c r="G648" s="16"/>
      <c r="H648" s="16"/>
      <c r="I648" s="19" t="s">
        <v>2612</v>
      </c>
      <c r="J648" s="16"/>
      <c r="K648" s="16" t="s">
        <v>2613</v>
      </c>
      <c r="L648" s="16"/>
      <c r="M648" s="16" t="str">
        <f>HYPERLINK("https://ceds.ed.gov/cedselementdetails.aspx?termid=27278")</f>
        <v>https://ceds.ed.gov/cedselementdetails.aspx?termid=27278</v>
      </c>
    </row>
    <row r="649" spans="1:13" ht="86.4" x14ac:dyDescent="0.3">
      <c r="A649" s="16" t="s">
        <v>2614</v>
      </c>
      <c r="B649" s="16" t="s">
        <v>2615</v>
      </c>
      <c r="C649" s="16" t="s">
        <v>32</v>
      </c>
      <c r="D649" s="16" t="s">
        <v>2505</v>
      </c>
      <c r="E649" s="16"/>
      <c r="F649" s="16" t="s">
        <v>316</v>
      </c>
      <c r="G649" s="16"/>
      <c r="H649" s="16"/>
      <c r="I649" s="19" t="s">
        <v>2616</v>
      </c>
      <c r="J649" s="16"/>
      <c r="K649" s="16" t="s">
        <v>2617</v>
      </c>
      <c r="L649" s="16"/>
      <c r="M649" s="16" t="str">
        <f>HYPERLINK("https://ceds.ed.gov/cedselementdetails.aspx?termid=27279")</f>
        <v>https://ceds.ed.gov/cedselementdetails.aspx?termid=27279</v>
      </c>
    </row>
    <row r="650" spans="1:13" ht="100.8" x14ac:dyDescent="0.3">
      <c r="A650" s="16" t="s">
        <v>2618</v>
      </c>
      <c r="B650" s="16" t="s">
        <v>7923</v>
      </c>
      <c r="C650" s="16" t="s">
        <v>32</v>
      </c>
      <c r="D650" s="16" t="s">
        <v>2619</v>
      </c>
      <c r="E650" s="16"/>
      <c r="F650" s="16" t="s">
        <v>81</v>
      </c>
      <c r="G650" s="16"/>
      <c r="H650" s="16"/>
      <c r="I650" s="19" t="s">
        <v>2620</v>
      </c>
      <c r="J650" s="16"/>
      <c r="K650" s="16" t="s">
        <v>2621</v>
      </c>
      <c r="L650" s="16"/>
      <c r="M650" s="16" t="str">
        <f>HYPERLINK("https://ceds.ed.gov/cedselementdetails.aspx?termid=27280")</f>
        <v>https://ceds.ed.gov/cedselementdetails.aspx?termid=27280</v>
      </c>
    </row>
    <row r="651" spans="1:13" ht="72" x14ac:dyDescent="0.3">
      <c r="A651" s="16" t="s">
        <v>2622</v>
      </c>
      <c r="B651" s="16" t="s">
        <v>7924</v>
      </c>
      <c r="C651" s="16" t="s">
        <v>32</v>
      </c>
      <c r="D651" s="16" t="s">
        <v>2499</v>
      </c>
      <c r="E651" s="16"/>
      <c r="F651" s="16" t="s">
        <v>55</v>
      </c>
      <c r="G651" s="16"/>
      <c r="H651" s="16"/>
      <c r="I651" s="19" t="s">
        <v>2623</v>
      </c>
      <c r="J651" s="16"/>
      <c r="K651" s="16" t="s">
        <v>2624</v>
      </c>
      <c r="L651" s="16" t="s">
        <v>58</v>
      </c>
      <c r="M651" s="16" t="str">
        <f>HYPERLINK("https://ceds.ed.gov/cedselementdetails.aspx?termid=26063")</f>
        <v>https://ceds.ed.gov/cedselementdetails.aspx?termid=26063</v>
      </c>
    </row>
    <row r="652" spans="1:13" ht="72" x14ac:dyDescent="0.3">
      <c r="A652" s="16" t="s">
        <v>2625</v>
      </c>
      <c r="B652" s="16" t="s">
        <v>7925</v>
      </c>
      <c r="C652" s="16" t="s">
        <v>32</v>
      </c>
      <c r="D652" s="16" t="s">
        <v>2499</v>
      </c>
      <c r="E652" s="16"/>
      <c r="F652" s="16" t="s">
        <v>1481</v>
      </c>
      <c r="G652" s="16"/>
      <c r="H652" s="16"/>
      <c r="I652" s="19" t="s">
        <v>2626</v>
      </c>
      <c r="J652" s="16"/>
      <c r="K652" s="16" t="s">
        <v>2627</v>
      </c>
      <c r="L652" s="16" t="s">
        <v>58</v>
      </c>
      <c r="M652" s="16" t="str">
        <f>HYPERLINK("https://ceds.ed.gov/cedselementdetails.aspx?termid=26064")</f>
        <v>https://ceds.ed.gov/cedselementdetails.aspx?termid=26064</v>
      </c>
    </row>
    <row r="653" spans="1:13" ht="201.6" x14ac:dyDescent="0.3">
      <c r="A653" s="16" t="s">
        <v>2628</v>
      </c>
      <c r="B653" s="16" t="s">
        <v>2629</v>
      </c>
      <c r="C653" s="16" t="s">
        <v>8469</v>
      </c>
      <c r="D653" s="16" t="s">
        <v>13035</v>
      </c>
      <c r="E653" s="16"/>
      <c r="F653" s="16"/>
      <c r="G653" s="16"/>
      <c r="H653" s="16"/>
      <c r="I653" s="19" t="s">
        <v>2630</v>
      </c>
      <c r="J653" s="16"/>
      <c r="K653" s="16" t="s">
        <v>2631</v>
      </c>
      <c r="L653" s="16" t="s">
        <v>64</v>
      </c>
      <c r="M653" s="16" t="str">
        <f>HYPERLINK("https://ceds.ed.gov/cedselementdetails.aspx?termid=26065")</f>
        <v>https://ceds.ed.gov/cedselementdetails.aspx?termid=26065</v>
      </c>
    </row>
    <row r="654" spans="1:13" ht="129.6" x14ac:dyDescent="0.3">
      <c r="A654" s="16" t="s">
        <v>2632</v>
      </c>
      <c r="B654" s="16" t="s">
        <v>2633</v>
      </c>
      <c r="C654" s="16" t="s">
        <v>32</v>
      </c>
      <c r="D654" s="16" t="s">
        <v>1480</v>
      </c>
      <c r="E654" s="16"/>
      <c r="F654" s="16" t="s">
        <v>1662</v>
      </c>
      <c r="G654" s="16"/>
      <c r="H654" s="16"/>
      <c r="I654" s="19" t="s">
        <v>2634</v>
      </c>
      <c r="J654" s="16"/>
      <c r="K654" s="16" t="s">
        <v>2635</v>
      </c>
      <c r="L654" s="16"/>
      <c r="M654" s="16" t="str">
        <f>HYPERLINK("https://ceds.ed.gov/cedselementdetails.aspx?termid=27648")</f>
        <v>https://ceds.ed.gov/cedselementdetails.aspx?termid=27648</v>
      </c>
    </row>
    <row r="655" spans="1:13" ht="409.6" x14ac:dyDescent="0.3">
      <c r="A655" s="16" t="s">
        <v>2636</v>
      </c>
      <c r="B655" s="16" t="s">
        <v>2637</v>
      </c>
      <c r="C655" s="16" t="s">
        <v>9353</v>
      </c>
      <c r="D655" s="16" t="s">
        <v>2638</v>
      </c>
      <c r="E655" s="16"/>
      <c r="F655" s="16"/>
      <c r="G655" s="16"/>
      <c r="H655" s="16"/>
      <c r="I655" s="19" t="s">
        <v>2639</v>
      </c>
      <c r="J655" s="16"/>
      <c r="K655" s="16" t="s">
        <v>2640</v>
      </c>
      <c r="L655" s="16" t="s">
        <v>2641</v>
      </c>
      <c r="M655" s="16" t="str">
        <f>HYPERLINK("https://ceds.ed.gov/cedselementdetails.aspx?termid=26027")</f>
        <v>https://ceds.ed.gov/cedselementdetails.aspx?termid=26027</v>
      </c>
    </row>
    <row r="656" spans="1:13" ht="172.8" x14ac:dyDescent="0.3">
      <c r="A656" s="16" t="s">
        <v>2642</v>
      </c>
      <c r="B656" s="16" t="s">
        <v>2643</v>
      </c>
      <c r="C656" s="16" t="s">
        <v>32</v>
      </c>
      <c r="D656" s="16" t="s">
        <v>9363</v>
      </c>
      <c r="E656" s="16"/>
      <c r="F656" s="16" t="s">
        <v>106</v>
      </c>
      <c r="G656" s="16"/>
      <c r="H656" s="16" t="s">
        <v>2645</v>
      </c>
      <c r="I656" s="19" t="s">
        <v>2646</v>
      </c>
      <c r="J656" s="16"/>
      <c r="K656" s="16" t="s">
        <v>2647</v>
      </c>
      <c r="L656" s="16"/>
      <c r="M656" s="16" t="str">
        <f>HYPERLINK("https://ceds.ed.gov/cedselementdetails.aspx?termid=26976")</f>
        <v>https://ceds.ed.gov/cedselementdetails.aspx?termid=26976</v>
      </c>
    </row>
    <row r="657" spans="1:13" ht="115.2" x14ac:dyDescent="0.3">
      <c r="A657" s="16" t="s">
        <v>2648</v>
      </c>
      <c r="B657" s="16" t="s">
        <v>2649</v>
      </c>
      <c r="C657" s="16" t="s">
        <v>32</v>
      </c>
      <c r="D657" s="16" t="s">
        <v>9363</v>
      </c>
      <c r="E657" s="16"/>
      <c r="F657" s="16" t="s">
        <v>106</v>
      </c>
      <c r="G657" s="16"/>
      <c r="H657" s="16" t="s">
        <v>2650</v>
      </c>
      <c r="I657" s="19" t="s">
        <v>2651</v>
      </c>
      <c r="J657" s="16"/>
      <c r="K657" s="16" t="s">
        <v>2652</v>
      </c>
      <c r="L657" s="16"/>
      <c r="M657" s="16" t="str">
        <f>HYPERLINK("https://ceds.ed.gov/cedselementdetails.aspx?termid=26975")</f>
        <v>https://ceds.ed.gov/cedselementdetails.aspx?termid=26975</v>
      </c>
    </row>
    <row r="658" spans="1:13" ht="115.2" x14ac:dyDescent="0.3">
      <c r="A658" s="16" t="s">
        <v>2653</v>
      </c>
      <c r="B658" s="16" t="s">
        <v>2654</v>
      </c>
      <c r="C658" s="16" t="s">
        <v>8470</v>
      </c>
      <c r="D658" s="16" t="s">
        <v>2644</v>
      </c>
      <c r="E658" s="16"/>
      <c r="F658" s="16"/>
      <c r="G658" s="16"/>
      <c r="H658" s="16" t="s">
        <v>2650</v>
      </c>
      <c r="I658" s="19" t="s">
        <v>2655</v>
      </c>
      <c r="J658" s="16"/>
      <c r="K658" s="16" t="s">
        <v>2656</v>
      </c>
      <c r="L658" s="16"/>
      <c r="M658" s="16" t="str">
        <f>HYPERLINK("https://ceds.ed.gov/cedselementdetails.aspx?termid=26977")</f>
        <v>https://ceds.ed.gov/cedselementdetails.aspx?termid=26977</v>
      </c>
    </row>
    <row r="659" spans="1:13" ht="43.2" x14ac:dyDescent="0.3">
      <c r="A659" s="16" t="s">
        <v>2657</v>
      </c>
      <c r="B659" s="16" t="s">
        <v>2658</v>
      </c>
      <c r="C659" s="16" t="s">
        <v>8471</v>
      </c>
      <c r="D659" s="16" t="s">
        <v>2644</v>
      </c>
      <c r="E659" s="16"/>
      <c r="F659" s="16"/>
      <c r="G659" s="16"/>
      <c r="H659" s="16"/>
      <c r="I659" s="19" t="s">
        <v>2659</v>
      </c>
      <c r="J659" s="16"/>
      <c r="K659" s="16" t="s">
        <v>2660</v>
      </c>
      <c r="L659" s="16" t="s">
        <v>2661</v>
      </c>
      <c r="M659" s="16" t="str">
        <f>HYPERLINK("https://ceds.ed.gov/cedselementdetails.aspx?termid=26652")</f>
        <v>https://ceds.ed.gov/cedselementdetails.aspx?termid=26652</v>
      </c>
    </row>
    <row r="660" spans="1:13" ht="187.2" x14ac:dyDescent="0.3">
      <c r="A660" s="16" t="s">
        <v>2662</v>
      </c>
      <c r="B660" s="16" t="s">
        <v>2663</v>
      </c>
      <c r="C660" s="16" t="s">
        <v>8472</v>
      </c>
      <c r="D660" s="16" t="s">
        <v>2644</v>
      </c>
      <c r="E660" s="16"/>
      <c r="F660" s="16"/>
      <c r="G660" s="16"/>
      <c r="H660" s="16"/>
      <c r="I660" s="19" t="s">
        <v>2664</v>
      </c>
      <c r="J660" s="16"/>
      <c r="K660" s="16" t="s">
        <v>2665</v>
      </c>
      <c r="L660" s="16" t="s">
        <v>2661</v>
      </c>
      <c r="M660" s="16" t="str">
        <f>HYPERLINK("https://ceds.ed.gov/cedselementdetails.aspx?termid=26654")</f>
        <v>https://ceds.ed.gov/cedselementdetails.aspx?termid=26654</v>
      </c>
    </row>
    <row r="661" spans="1:13" ht="57.6" x14ac:dyDescent="0.3">
      <c r="A661" s="16" t="s">
        <v>2666</v>
      </c>
      <c r="B661" s="16" t="s">
        <v>2667</v>
      </c>
      <c r="C661" s="16" t="s">
        <v>32</v>
      </c>
      <c r="D661" s="16" t="s">
        <v>2644</v>
      </c>
      <c r="E661" s="16"/>
      <c r="F661" s="16" t="s">
        <v>106</v>
      </c>
      <c r="G661" s="16"/>
      <c r="H661" s="16" t="s">
        <v>131</v>
      </c>
      <c r="I661" s="19" t="s">
        <v>2668</v>
      </c>
      <c r="J661" s="16"/>
      <c r="K661" s="16" t="s">
        <v>2669</v>
      </c>
      <c r="L661" s="16" t="s">
        <v>2661</v>
      </c>
      <c r="M661" s="16" t="str">
        <f>HYPERLINK("https://ceds.ed.gov/cedselementdetails.aspx?termid=26653")</f>
        <v>https://ceds.ed.gov/cedselementdetails.aspx?termid=26653</v>
      </c>
    </row>
    <row r="662" spans="1:13" ht="172.8" x14ac:dyDescent="0.3">
      <c r="A662" s="16" t="s">
        <v>2670</v>
      </c>
      <c r="B662" s="16" t="s">
        <v>2671</v>
      </c>
      <c r="C662" s="16" t="s">
        <v>32</v>
      </c>
      <c r="D662" s="16" t="s">
        <v>2032</v>
      </c>
      <c r="E662" s="16"/>
      <c r="F662" s="16" t="s">
        <v>120</v>
      </c>
      <c r="G662" s="16"/>
      <c r="H662" s="16" t="s">
        <v>7817</v>
      </c>
      <c r="I662" s="19" t="s">
        <v>2672</v>
      </c>
      <c r="J662" s="16"/>
      <c r="K662" s="16" t="s">
        <v>2673</v>
      </c>
      <c r="L662" s="16"/>
      <c r="M662" s="16" t="str">
        <f>HYPERLINK("https://ceds.ed.gov/cedselementdetails.aspx?termid=26979")</f>
        <v>https://ceds.ed.gov/cedselementdetails.aspx?termid=26979</v>
      </c>
    </row>
    <row r="663" spans="1:13" ht="129.6" x14ac:dyDescent="0.3">
      <c r="A663" s="16" t="s">
        <v>2674</v>
      </c>
      <c r="B663" s="16" t="s">
        <v>2675</v>
      </c>
      <c r="C663" s="16" t="s">
        <v>8473</v>
      </c>
      <c r="D663" s="16" t="s">
        <v>2032</v>
      </c>
      <c r="E663" s="16"/>
      <c r="F663" s="16"/>
      <c r="G663" s="16"/>
      <c r="H663" s="16"/>
      <c r="I663" s="19" t="s">
        <v>2676</v>
      </c>
      <c r="J663" s="16"/>
      <c r="K663" s="16" t="s">
        <v>2677</v>
      </c>
      <c r="L663" s="16"/>
      <c r="M663" s="16" t="str">
        <f>HYPERLINK("https://ceds.ed.gov/cedselementdetails.aspx?termid=27168")</f>
        <v>https://ceds.ed.gov/cedselementdetails.aspx?termid=27168</v>
      </c>
    </row>
    <row r="664" spans="1:13" ht="129.6" x14ac:dyDescent="0.3">
      <c r="A664" s="16" t="s">
        <v>2678</v>
      </c>
      <c r="B664" s="16" t="s">
        <v>2679</v>
      </c>
      <c r="C664" s="16" t="s">
        <v>32</v>
      </c>
      <c r="D664" s="16" t="s">
        <v>294</v>
      </c>
      <c r="E664" s="16"/>
      <c r="F664" s="16" t="s">
        <v>305</v>
      </c>
      <c r="G664" s="16"/>
      <c r="H664" s="16"/>
      <c r="I664" s="19" t="s">
        <v>2680</v>
      </c>
      <c r="J664" s="16"/>
      <c r="K664" s="16" t="s">
        <v>2681</v>
      </c>
      <c r="L664" s="16"/>
      <c r="M664" s="16" t="str">
        <f>HYPERLINK("https://ceds.ed.gov/cedselementdetails.aspx?termid=27636")</f>
        <v>https://ceds.ed.gov/cedselementdetails.aspx?termid=27636</v>
      </c>
    </row>
    <row r="665" spans="1:13" ht="72" x14ac:dyDescent="0.3">
      <c r="A665" s="16" t="s">
        <v>2682</v>
      </c>
      <c r="B665" s="16" t="s">
        <v>2683</v>
      </c>
      <c r="C665" s="16" t="s">
        <v>32</v>
      </c>
      <c r="D665" s="16" t="s">
        <v>2505</v>
      </c>
      <c r="E665" s="16"/>
      <c r="F665" s="16" t="s">
        <v>81</v>
      </c>
      <c r="G665" s="16"/>
      <c r="H665" s="16"/>
      <c r="I665" s="19" t="s">
        <v>2684</v>
      </c>
      <c r="J665" s="16"/>
      <c r="K665" s="16" t="s">
        <v>2685</v>
      </c>
      <c r="L665" s="16"/>
      <c r="M665" s="16" t="str">
        <f>HYPERLINK("https://ceds.ed.gov/cedselementdetails.aspx?termid=27281")</f>
        <v>https://ceds.ed.gov/cedselementdetails.aspx?termid=27281</v>
      </c>
    </row>
    <row r="666" spans="1:13" ht="72" x14ac:dyDescent="0.3">
      <c r="A666" s="16" t="s">
        <v>2686</v>
      </c>
      <c r="B666" s="16" t="s">
        <v>2687</v>
      </c>
      <c r="C666" s="16" t="s">
        <v>8474</v>
      </c>
      <c r="D666" s="16" t="s">
        <v>2032</v>
      </c>
      <c r="E666" s="16"/>
      <c r="F666" s="16"/>
      <c r="G666" s="16"/>
      <c r="H666" s="16"/>
      <c r="I666" s="19" t="s">
        <v>2688</v>
      </c>
      <c r="J666" s="16"/>
      <c r="K666" s="16" t="s">
        <v>2689</v>
      </c>
      <c r="L666" s="16" t="s">
        <v>2690</v>
      </c>
      <c r="M666" s="16" t="str">
        <f>HYPERLINK("https://ceds.ed.gov/cedselementdetails.aspx?termid=26258")</f>
        <v>https://ceds.ed.gov/cedselementdetails.aspx?termid=26258</v>
      </c>
    </row>
    <row r="667" spans="1:13" ht="129.6" x14ac:dyDescent="0.3">
      <c r="A667" s="16" t="s">
        <v>2691</v>
      </c>
      <c r="B667" s="16" t="s">
        <v>2692</v>
      </c>
      <c r="C667" s="16" t="s">
        <v>32</v>
      </c>
      <c r="D667" s="16" t="s">
        <v>2525</v>
      </c>
      <c r="E667" s="16"/>
      <c r="F667" s="16" t="s">
        <v>305</v>
      </c>
      <c r="G667" s="16"/>
      <c r="H667" s="16"/>
      <c r="I667" s="19" t="s">
        <v>2693</v>
      </c>
      <c r="J667" s="16"/>
      <c r="K667" s="16" t="s">
        <v>2694</v>
      </c>
      <c r="L667" s="16" t="s">
        <v>2695</v>
      </c>
      <c r="M667" s="16" t="str">
        <f>HYPERLINK("https://ceds.ed.gov/cedselementdetails.aspx?termid=26101")</f>
        <v>https://ceds.ed.gov/cedselementdetails.aspx?termid=26101</v>
      </c>
    </row>
    <row r="668" spans="1:13" ht="100.8" x14ac:dyDescent="0.3">
      <c r="A668" s="16" t="s">
        <v>2696</v>
      </c>
      <c r="B668" s="16" t="s">
        <v>7926</v>
      </c>
      <c r="C668" s="16" t="s">
        <v>32</v>
      </c>
      <c r="D668" s="16" t="s">
        <v>8475</v>
      </c>
      <c r="E668" s="16"/>
      <c r="F668" s="16" t="s">
        <v>2697</v>
      </c>
      <c r="G668" s="16"/>
      <c r="H668" s="16"/>
      <c r="I668" s="19" t="s">
        <v>2698</v>
      </c>
      <c r="J668" s="16"/>
      <c r="K668" s="16" t="s">
        <v>2699</v>
      </c>
      <c r="L668" s="16" t="s">
        <v>58</v>
      </c>
      <c r="M668" s="16" t="str">
        <f>HYPERLINK("https://ceds.ed.gov/cedselementdetails.aspx?termid=26066")</f>
        <v>https://ceds.ed.gov/cedselementdetails.aspx?termid=26066</v>
      </c>
    </row>
    <row r="669" spans="1:13" ht="187.2" x14ac:dyDescent="0.3">
      <c r="A669" s="16" t="s">
        <v>2700</v>
      </c>
      <c r="B669" s="16"/>
      <c r="C669" s="16" t="s">
        <v>32</v>
      </c>
      <c r="D669" s="16" t="s">
        <v>12959</v>
      </c>
      <c r="E669" s="16" t="s">
        <v>160</v>
      </c>
      <c r="F669" s="16" t="s">
        <v>13077</v>
      </c>
      <c r="G669" s="16" t="s">
        <v>12939</v>
      </c>
      <c r="H669" s="16"/>
      <c r="I669" s="19" t="s">
        <v>2701</v>
      </c>
      <c r="J669" s="16"/>
      <c r="K669" s="16"/>
      <c r="L669" s="16" t="s">
        <v>1484</v>
      </c>
      <c r="M669" s="16" t="str">
        <f>HYPERLINK("https://ceds.ed.gov/cedselementdetails.aspx?termid=26067")</f>
        <v>https://ceds.ed.gov/cedselementdetails.aspx?termid=26067</v>
      </c>
    </row>
    <row r="670" spans="1:13" ht="43.2" x14ac:dyDescent="0.3">
      <c r="A670" s="16" t="s">
        <v>2702</v>
      </c>
      <c r="B670" s="16" t="s">
        <v>2703</v>
      </c>
      <c r="C670" s="16" t="s">
        <v>32</v>
      </c>
      <c r="D670" s="16" t="s">
        <v>304</v>
      </c>
      <c r="E670" s="16"/>
      <c r="F670" s="16" t="s">
        <v>305</v>
      </c>
      <c r="G670" s="16"/>
      <c r="H670" s="16"/>
      <c r="I670" s="19" t="s">
        <v>2704</v>
      </c>
      <c r="J670" s="16"/>
      <c r="K670" s="16" t="s">
        <v>2705</v>
      </c>
      <c r="L670" s="16"/>
      <c r="M670" s="16" t="str">
        <f>HYPERLINK("https://ceds.ed.gov/cedselementdetails.aspx?termid=27282")</f>
        <v>https://ceds.ed.gov/cedselementdetails.aspx?termid=27282</v>
      </c>
    </row>
    <row r="671" spans="1:13" ht="43.2" x14ac:dyDescent="0.3">
      <c r="A671" s="16" t="s">
        <v>2706</v>
      </c>
      <c r="B671" s="16" t="s">
        <v>2707</v>
      </c>
      <c r="C671" s="16" t="s">
        <v>32</v>
      </c>
      <c r="D671" s="16" t="s">
        <v>2708</v>
      </c>
      <c r="E671" s="16"/>
      <c r="F671" s="16" t="s">
        <v>316</v>
      </c>
      <c r="G671" s="16"/>
      <c r="H671" s="16"/>
      <c r="I671" s="19" t="s">
        <v>2709</v>
      </c>
      <c r="J671" s="16"/>
      <c r="K671" s="16" t="s">
        <v>2710</v>
      </c>
      <c r="L671" s="16"/>
      <c r="M671" s="16" t="str">
        <f>HYPERLINK("https://ceds.ed.gov/cedselementdetails.aspx?termid=27715")</f>
        <v>https://ceds.ed.gov/cedselementdetails.aspx?termid=27715</v>
      </c>
    </row>
    <row r="672" spans="1:13" ht="43.2" x14ac:dyDescent="0.3">
      <c r="A672" s="16" t="s">
        <v>2711</v>
      </c>
      <c r="B672" s="16" t="s">
        <v>2712</v>
      </c>
      <c r="C672" s="16" t="s">
        <v>32</v>
      </c>
      <c r="D672" s="16" t="s">
        <v>2708</v>
      </c>
      <c r="E672" s="16"/>
      <c r="F672" s="16" t="s">
        <v>50</v>
      </c>
      <c r="G672" s="16"/>
      <c r="H672" s="16"/>
      <c r="I672" s="19" t="s">
        <v>2713</v>
      </c>
      <c r="J672" s="16"/>
      <c r="K672" s="16" t="s">
        <v>2714</v>
      </c>
      <c r="L672" s="16"/>
      <c r="M672" s="16" t="str">
        <f>HYPERLINK("https://ceds.ed.gov/cedselementdetails.aspx?termid=27716")</f>
        <v>https://ceds.ed.gov/cedselementdetails.aspx?termid=27716</v>
      </c>
    </row>
    <row r="673" spans="1:13" ht="28.8" x14ac:dyDescent="0.3">
      <c r="A673" s="16" t="s">
        <v>2715</v>
      </c>
      <c r="B673" s="16" t="s">
        <v>2716</v>
      </c>
      <c r="C673" s="16" t="s">
        <v>32</v>
      </c>
      <c r="D673" s="16" t="s">
        <v>2708</v>
      </c>
      <c r="E673" s="16"/>
      <c r="F673" s="16" t="s">
        <v>101</v>
      </c>
      <c r="G673" s="16"/>
      <c r="H673" s="16"/>
      <c r="I673" s="19" t="s">
        <v>2717</v>
      </c>
      <c r="J673" s="16"/>
      <c r="K673" s="16" t="s">
        <v>2718</v>
      </c>
      <c r="L673" s="16"/>
      <c r="M673" s="16" t="str">
        <f>HYPERLINK("https://ceds.ed.gov/cedselementdetails.aspx?termid=27718")</f>
        <v>https://ceds.ed.gov/cedselementdetails.aspx?termid=27718</v>
      </c>
    </row>
    <row r="674" spans="1:13" ht="57.6" x14ac:dyDescent="0.3">
      <c r="A674" s="16" t="s">
        <v>2719</v>
      </c>
      <c r="B674" s="16" t="s">
        <v>7347</v>
      </c>
      <c r="C674" s="16" t="s">
        <v>32</v>
      </c>
      <c r="D674" s="16" t="s">
        <v>2708</v>
      </c>
      <c r="E674" s="16"/>
      <c r="F674" s="16" t="s">
        <v>106</v>
      </c>
      <c r="G674" s="16"/>
      <c r="H674" s="16" t="s">
        <v>131</v>
      </c>
      <c r="I674" s="19" t="s">
        <v>2720</v>
      </c>
      <c r="J674" s="16" t="s">
        <v>2721</v>
      </c>
      <c r="K674" s="16" t="s">
        <v>2722</v>
      </c>
      <c r="L674" s="16"/>
      <c r="M674" s="16" t="str">
        <f>HYPERLINK("https://ceds.ed.gov/cedselementdetails.aspx?termid=27121")</f>
        <v>https://ceds.ed.gov/cedselementdetails.aspx?termid=27121</v>
      </c>
    </row>
    <row r="675" spans="1:13" ht="43.2" x14ac:dyDescent="0.3">
      <c r="A675" s="16" t="s">
        <v>2723</v>
      </c>
      <c r="B675" s="16" t="s">
        <v>2724</v>
      </c>
      <c r="C675" s="16" t="s">
        <v>32</v>
      </c>
      <c r="D675" s="16" t="s">
        <v>2708</v>
      </c>
      <c r="E675" s="16"/>
      <c r="F675" s="16" t="s">
        <v>50</v>
      </c>
      <c r="G675" s="16"/>
      <c r="H675" s="16"/>
      <c r="I675" s="19" t="s">
        <v>2725</v>
      </c>
      <c r="J675" s="16"/>
      <c r="K675" s="16" t="s">
        <v>2726</v>
      </c>
      <c r="L675" s="16"/>
      <c r="M675" s="16" t="str">
        <f>HYPERLINK("https://ceds.ed.gov/cedselementdetails.aspx?termid=27650")</f>
        <v>https://ceds.ed.gov/cedselementdetails.aspx?termid=27650</v>
      </c>
    </row>
    <row r="676" spans="1:13" ht="57.6" x14ac:dyDescent="0.3">
      <c r="A676" s="16" t="s">
        <v>2727</v>
      </c>
      <c r="B676" s="16" t="s">
        <v>7348</v>
      </c>
      <c r="C676" s="16" t="s">
        <v>32</v>
      </c>
      <c r="D676" s="16" t="s">
        <v>2708</v>
      </c>
      <c r="E676" s="16"/>
      <c r="F676" s="16" t="s">
        <v>2728</v>
      </c>
      <c r="G676" s="16"/>
      <c r="H676" s="16"/>
      <c r="I676" s="19" t="s">
        <v>2729</v>
      </c>
      <c r="J676" s="16"/>
      <c r="K676" s="16" t="s">
        <v>2730</v>
      </c>
      <c r="L676" s="16"/>
      <c r="M676" s="16" t="str">
        <f>HYPERLINK("https://ceds.ed.gov/cedselementdetails.aspx?termid=26898")</f>
        <v>https://ceds.ed.gov/cedselementdetails.aspx?termid=26898</v>
      </c>
    </row>
    <row r="677" spans="1:13" ht="57.6" x14ac:dyDescent="0.3">
      <c r="A677" s="16" t="s">
        <v>2731</v>
      </c>
      <c r="B677" s="16" t="s">
        <v>7349</v>
      </c>
      <c r="C677" s="16" t="s">
        <v>32</v>
      </c>
      <c r="D677" s="16" t="s">
        <v>2708</v>
      </c>
      <c r="E677" s="16"/>
      <c r="F677" s="16" t="s">
        <v>50</v>
      </c>
      <c r="G677" s="16"/>
      <c r="H677" s="16" t="s">
        <v>2732</v>
      </c>
      <c r="I677" s="19" t="s">
        <v>2733</v>
      </c>
      <c r="J677" s="16"/>
      <c r="K677" s="16" t="s">
        <v>2734</v>
      </c>
      <c r="L677" s="16"/>
      <c r="M677" s="16" t="str">
        <f>HYPERLINK("https://ceds.ed.gov/cedselementdetails.aspx?termid=26900")</f>
        <v>https://ceds.ed.gov/cedselementdetails.aspx?termid=26900</v>
      </c>
    </row>
    <row r="678" spans="1:13" ht="28.8" x14ac:dyDescent="0.3">
      <c r="A678" s="16" t="s">
        <v>8938</v>
      </c>
      <c r="B678" s="16" t="s">
        <v>8939</v>
      </c>
      <c r="C678" s="16" t="s">
        <v>9433</v>
      </c>
      <c r="D678" s="16" t="s">
        <v>2708</v>
      </c>
      <c r="E678" s="16"/>
      <c r="F678" s="16" t="s">
        <v>2</v>
      </c>
      <c r="G678" s="16"/>
      <c r="H678" s="16"/>
      <c r="I678" s="19" t="s">
        <v>8940</v>
      </c>
      <c r="J678" s="16"/>
      <c r="K678" s="16" t="s">
        <v>8941</v>
      </c>
      <c r="L678" s="16"/>
      <c r="M678" s="16" t="str">
        <f>HYPERLINK("https://ceds.ed.gov/cedselementdetails.aspx?termid=28011")</f>
        <v>https://ceds.ed.gov/cedselementdetails.aspx?termid=28011</v>
      </c>
    </row>
    <row r="679" spans="1:13" ht="57.6" x14ac:dyDescent="0.3">
      <c r="A679" s="16" t="s">
        <v>2735</v>
      </c>
      <c r="B679" s="16" t="s">
        <v>7350</v>
      </c>
      <c r="C679" s="16" t="s">
        <v>32</v>
      </c>
      <c r="D679" s="16" t="s">
        <v>2708</v>
      </c>
      <c r="E679" s="16"/>
      <c r="F679" s="16" t="s">
        <v>106</v>
      </c>
      <c r="G679" s="16"/>
      <c r="H679" s="16" t="s">
        <v>2736</v>
      </c>
      <c r="I679" s="19" t="s">
        <v>2737</v>
      </c>
      <c r="J679" s="16" t="s">
        <v>2738</v>
      </c>
      <c r="K679" s="16" t="s">
        <v>2739</v>
      </c>
      <c r="L679" s="16"/>
      <c r="M679" s="16" t="str">
        <f>HYPERLINK("https://ceds.ed.gov/cedselementdetails.aspx?termid=27120")</f>
        <v>https://ceds.ed.gov/cedselementdetails.aspx?termid=27120</v>
      </c>
    </row>
    <row r="680" spans="1:13" ht="43.2" x14ac:dyDescent="0.3">
      <c r="A680" s="16" t="s">
        <v>2740</v>
      </c>
      <c r="B680" s="16" t="s">
        <v>2741</v>
      </c>
      <c r="C680" s="16" t="s">
        <v>32</v>
      </c>
      <c r="D680" s="16" t="s">
        <v>2708</v>
      </c>
      <c r="E680" s="16"/>
      <c r="F680" s="16" t="s">
        <v>106</v>
      </c>
      <c r="G680" s="16"/>
      <c r="H680" s="16"/>
      <c r="I680" s="19" t="s">
        <v>2742</v>
      </c>
      <c r="J680" s="16"/>
      <c r="K680" s="16" t="s">
        <v>2743</v>
      </c>
      <c r="L680" s="16"/>
      <c r="M680" s="16" t="str">
        <f>HYPERLINK("https://ceds.ed.gov/cedselementdetails.aspx?termid=27645")</f>
        <v>https://ceds.ed.gov/cedselementdetails.aspx?termid=27645</v>
      </c>
    </row>
    <row r="681" spans="1:13" ht="129.6" x14ac:dyDescent="0.3">
      <c r="A681" s="16" t="s">
        <v>2744</v>
      </c>
      <c r="B681" s="16" t="s">
        <v>2745</v>
      </c>
      <c r="C681" s="16" t="s">
        <v>8476</v>
      </c>
      <c r="D681" s="16" t="s">
        <v>2746</v>
      </c>
      <c r="E681" s="16"/>
      <c r="F681" s="16"/>
      <c r="G681" s="16"/>
      <c r="H681" s="16" t="s">
        <v>7927</v>
      </c>
      <c r="I681" s="19" t="s">
        <v>2747</v>
      </c>
      <c r="J681" s="16"/>
      <c r="K681" s="16" t="s">
        <v>2748</v>
      </c>
      <c r="L681" s="16"/>
      <c r="M681" s="16" t="str">
        <f>HYPERLINK("https://ceds.ed.gov/cedselementdetails.aspx?termid=27895")</f>
        <v>https://ceds.ed.gov/cedselementdetails.aspx?termid=27895</v>
      </c>
    </row>
    <row r="682" spans="1:13" ht="72" x14ac:dyDescent="0.3">
      <c r="A682" s="16" t="s">
        <v>2749</v>
      </c>
      <c r="B682" s="16" t="s">
        <v>2750</v>
      </c>
      <c r="C682" s="16" t="s">
        <v>32</v>
      </c>
      <c r="D682" s="16" t="s">
        <v>2751</v>
      </c>
      <c r="E682" s="16"/>
      <c r="F682" s="16" t="s">
        <v>101</v>
      </c>
      <c r="G682" s="16"/>
      <c r="H682" s="16"/>
      <c r="I682" s="19" t="s">
        <v>2752</v>
      </c>
      <c r="J682" s="16" t="s">
        <v>2753</v>
      </c>
      <c r="K682" s="16" t="s">
        <v>2754</v>
      </c>
      <c r="L682" s="16"/>
      <c r="M682" s="16" t="str">
        <f>HYPERLINK("https://ceds.ed.gov/cedselementdetails.aspx?termid=27717")</f>
        <v>https://ceds.ed.gov/cedselementdetails.aspx?termid=27717</v>
      </c>
    </row>
    <row r="683" spans="1:13" ht="57.6" x14ac:dyDescent="0.3">
      <c r="A683" s="16" t="s">
        <v>2755</v>
      </c>
      <c r="B683" s="16" t="s">
        <v>2756</v>
      </c>
      <c r="C683" s="16" t="s">
        <v>8477</v>
      </c>
      <c r="D683" s="16" t="s">
        <v>2751</v>
      </c>
      <c r="E683" s="16"/>
      <c r="F683" s="16"/>
      <c r="G683" s="16"/>
      <c r="H683" s="16"/>
      <c r="I683" s="19" t="s">
        <v>2757</v>
      </c>
      <c r="J683" s="16" t="s">
        <v>2758</v>
      </c>
      <c r="K683" s="16" t="s">
        <v>2759</v>
      </c>
      <c r="L683" s="16"/>
      <c r="M683" s="16" t="str">
        <f>HYPERLINK("https://ceds.ed.gov/cedselementdetails.aspx?termid=27719")</f>
        <v>https://ceds.ed.gov/cedselementdetails.aspx?termid=27719</v>
      </c>
    </row>
    <row r="684" spans="1:13" ht="72" x14ac:dyDescent="0.3">
      <c r="A684" s="16" t="s">
        <v>2760</v>
      </c>
      <c r="B684" s="16" t="s">
        <v>7351</v>
      </c>
      <c r="C684" s="16" t="s">
        <v>32</v>
      </c>
      <c r="D684" s="16" t="s">
        <v>2751</v>
      </c>
      <c r="E684" s="16"/>
      <c r="F684" s="16" t="s">
        <v>81</v>
      </c>
      <c r="G684" s="16"/>
      <c r="H684" s="16" t="s">
        <v>2761</v>
      </c>
      <c r="I684" s="19" t="s">
        <v>2762</v>
      </c>
      <c r="J684" s="16" t="s">
        <v>2763</v>
      </c>
      <c r="K684" s="16" t="s">
        <v>2764</v>
      </c>
      <c r="L684" s="16"/>
      <c r="M684" s="16" t="str">
        <f>HYPERLINK("https://ceds.ed.gov/cedselementdetails.aspx?termid=27211")</f>
        <v>https://ceds.ed.gov/cedselementdetails.aspx?termid=27211</v>
      </c>
    </row>
    <row r="685" spans="1:13" ht="244.8" x14ac:dyDescent="0.3">
      <c r="A685" s="16" t="s">
        <v>2765</v>
      </c>
      <c r="B685" s="16" t="s">
        <v>7352</v>
      </c>
      <c r="C685" s="16" t="s">
        <v>32</v>
      </c>
      <c r="D685" s="16" t="s">
        <v>2751</v>
      </c>
      <c r="E685" s="16"/>
      <c r="F685" s="16" t="s">
        <v>145</v>
      </c>
      <c r="G685" s="16"/>
      <c r="H685" s="16" t="s">
        <v>7928</v>
      </c>
      <c r="I685" s="19" t="s">
        <v>2766</v>
      </c>
      <c r="J685" s="16" t="s">
        <v>2767</v>
      </c>
      <c r="K685" s="16" t="s">
        <v>2768</v>
      </c>
      <c r="L685" s="16"/>
      <c r="M685" s="16" t="str">
        <f>HYPERLINK("https://ceds.ed.gov/cedselementdetails.aspx?termid=26892")</f>
        <v>https://ceds.ed.gov/cedselementdetails.aspx?termid=26892</v>
      </c>
    </row>
    <row r="686" spans="1:13" ht="57.6" x14ac:dyDescent="0.3">
      <c r="A686" s="16" t="s">
        <v>2769</v>
      </c>
      <c r="B686" s="16" t="s">
        <v>7353</v>
      </c>
      <c r="C686" s="16" t="s">
        <v>32</v>
      </c>
      <c r="D686" s="16" t="s">
        <v>2751</v>
      </c>
      <c r="E686" s="16"/>
      <c r="F686" s="16" t="s">
        <v>101</v>
      </c>
      <c r="G686" s="16"/>
      <c r="H686" s="16"/>
      <c r="I686" s="19" t="s">
        <v>2770</v>
      </c>
      <c r="J686" s="16" t="s">
        <v>2771</v>
      </c>
      <c r="K686" s="16" t="s">
        <v>2772</v>
      </c>
      <c r="L686" s="16"/>
      <c r="M686" s="16" t="str">
        <f>HYPERLINK("https://ceds.ed.gov/cedselementdetails.aspx?termid=26896")</f>
        <v>https://ceds.ed.gov/cedselementdetails.aspx?termid=26896</v>
      </c>
    </row>
    <row r="687" spans="1:13" ht="86.4" x14ac:dyDescent="0.3">
      <c r="A687" s="16" t="s">
        <v>2773</v>
      </c>
      <c r="B687" s="16" t="s">
        <v>7354</v>
      </c>
      <c r="C687" s="16" t="s">
        <v>32</v>
      </c>
      <c r="D687" s="16" t="s">
        <v>2751</v>
      </c>
      <c r="E687" s="16"/>
      <c r="F687" s="16" t="s">
        <v>50</v>
      </c>
      <c r="G687" s="16"/>
      <c r="H687" s="16"/>
      <c r="I687" s="19" t="s">
        <v>2774</v>
      </c>
      <c r="J687" s="16" t="s">
        <v>2775</v>
      </c>
      <c r="K687" s="16" t="s">
        <v>2776</v>
      </c>
      <c r="L687" s="16"/>
      <c r="M687" s="16" t="str">
        <f>HYPERLINK("https://ceds.ed.gov/cedselementdetails.aspx?termid=27113")</f>
        <v>https://ceds.ed.gov/cedselementdetails.aspx?termid=27113</v>
      </c>
    </row>
    <row r="688" spans="1:13" ht="72" x14ac:dyDescent="0.3">
      <c r="A688" s="16" t="s">
        <v>2777</v>
      </c>
      <c r="B688" s="16" t="s">
        <v>2778</v>
      </c>
      <c r="C688" s="16" t="s">
        <v>32</v>
      </c>
      <c r="D688" s="16" t="s">
        <v>2751</v>
      </c>
      <c r="E688" s="16"/>
      <c r="F688" s="16" t="s">
        <v>106</v>
      </c>
      <c r="G688" s="16"/>
      <c r="H688" s="16" t="s">
        <v>2779</v>
      </c>
      <c r="I688" s="19" t="s">
        <v>2780</v>
      </c>
      <c r="J688" s="16"/>
      <c r="K688" s="16" t="s">
        <v>2781</v>
      </c>
      <c r="L688" s="16"/>
      <c r="M688" s="16" t="str">
        <f>HYPERLINK("https://ceds.ed.gov/cedselementdetails.aspx?termid=27891")</f>
        <v>https://ceds.ed.gov/cedselementdetails.aspx?termid=27891</v>
      </c>
    </row>
    <row r="689" spans="1:13" ht="43.2" x14ac:dyDescent="0.3">
      <c r="A689" s="16" t="s">
        <v>2782</v>
      </c>
      <c r="B689" s="16" t="s">
        <v>7355</v>
      </c>
      <c r="C689" s="16" t="s">
        <v>32</v>
      </c>
      <c r="D689" s="16" t="s">
        <v>2751</v>
      </c>
      <c r="E689" s="16"/>
      <c r="F689" s="16" t="s">
        <v>101</v>
      </c>
      <c r="G689" s="16"/>
      <c r="H689" s="16"/>
      <c r="I689" s="19" t="s">
        <v>2783</v>
      </c>
      <c r="J689" s="16" t="s">
        <v>2784</v>
      </c>
      <c r="K689" s="16" t="s">
        <v>2785</v>
      </c>
      <c r="L689" s="16"/>
      <c r="M689" s="16" t="str">
        <f>HYPERLINK("https://ceds.ed.gov/cedselementdetails.aspx?termid=26895")</f>
        <v>https://ceds.ed.gov/cedselementdetails.aspx?termid=26895</v>
      </c>
    </row>
    <row r="690" spans="1:13" ht="28.8" x14ac:dyDescent="0.3">
      <c r="A690" s="16" t="s">
        <v>2786</v>
      </c>
      <c r="B690" s="16" t="s">
        <v>2787</v>
      </c>
      <c r="C690" s="16" t="s">
        <v>32</v>
      </c>
      <c r="D690" s="16" t="s">
        <v>2751</v>
      </c>
      <c r="E690" s="16"/>
      <c r="F690" s="16" t="s">
        <v>2788</v>
      </c>
      <c r="G690" s="16"/>
      <c r="H690" s="16"/>
      <c r="I690" s="19" t="s">
        <v>2789</v>
      </c>
      <c r="J690" s="16" t="s">
        <v>2790</v>
      </c>
      <c r="K690" s="16" t="s">
        <v>2791</v>
      </c>
      <c r="L690" s="16"/>
      <c r="M690" s="16" t="str">
        <f>HYPERLINK("https://ceds.ed.gov/cedselementdetails.aspx?termid=27722")</f>
        <v>https://ceds.ed.gov/cedselementdetails.aspx?termid=27722</v>
      </c>
    </row>
    <row r="691" spans="1:13" ht="100.8" x14ac:dyDescent="0.3">
      <c r="A691" s="16" t="s">
        <v>2792</v>
      </c>
      <c r="B691" s="16" t="s">
        <v>7356</v>
      </c>
      <c r="C691" s="16" t="s">
        <v>32</v>
      </c>
      <c r="D691" s="16" t="s">
        <v>2793</v>
      </c>
      <c r="E691" s="16"/>
      <c r="F691" s="16" t="s">
        <v>50</v>
      </c>
      <c r="G691" s="16"/>
      <c r="H691" s="16" t="s">
        <v>12977</v>
      </c>
      <c r="I691" s="19"/>
      <c r="J691" s="16"/>
      <c r="K691" s="16"/>
      <c r="L691" s="16"/>
      <c r="M691" s="16"/>
    </row>
    <row r="692" spans="1:13" x14ac:dyDescent="0.3">
      <c r="A692" s="16"/>
      <c r="B692" s="16"/>
      <c r="C692" s="16"/>
      <c r="D692" s="16"/>
      <c r="E692" s="16"/>
      <c r="F692" s="16"/>
      <c r="G692" s="16"/>
      <c r="H692" s="16"/>
      <c r="I692" s="19"/>
      <c r="J692" s="16"/>
      <c r="K692" s="16"/>
      <c r="L692" s="16"/>
      <c r="M692" s="16"/>
    </row>
    <row r="693" spans="1:13" ht="86.4" x14ac:dyDescent="0.3">
      <c r="A693" s="16" t="s">
        <v>124</v>
      </c>
      <c r="B693" s="16">
        <v>1658</v>
      </c>
      <c r="C693" s="16" t="s">
        <v>2794</v>
      </c>
      <c r="D693" s="16" t="s">
        <v>2795</v>
      </c>
      <c r="E693" s="16"/>
      <c r="F693" s="16" t="str">
        <f>HYPERLINK("https://ceds.ed.gov/cedselementdetails.aspx?termid=27639")</f>
        <v>https://ceds.ed.gov/cedselementdetails.aspx?termid=27639</v>
      </c>
      <c r="G693" s="16"/>
      <c r="H693" s="16"/>
      <c r="I693" s="19"/>
      <c r="J693" s="16"/>
      <c r="K693" s="16"/>
      <c r="L693" s="16"/>
      <c r="M693" s="16"/>
    </row>
    <row r="694" spans="1:13" ht="129.6" x14ac:dyDescent="0.3">
      <c r="A694" s="16" t="s">
        <v>2796</v>
      </c>
      <c r="B694" s="16" t="s">
        <v>7357</v>
      </c>
      <c r="C694" s="16" t="s">
        <v>8478</v>
      </c>
      <c r="D694" s="16" t="s">
        <v>2793</v>
      </c>
      <c r="E694" s="16"/>
      <c r="F694" s="16"/>
      <c r="G694" s="16"/>
      <c r="H694" s="16"/>
      <c r="I694" s="19" t="s">
        <v>2797</v>
      </c>
      <c r="J694" s="16" t="s">
        <v>2798</v>
      </c>
      <c r="K694" s="16" t="s">
        <v>2799</v>
      </c>
      <c r="L694" s="16"/>
      <c r="M694" s="16" t="str">
        <f>HYPERLINK("https://ceds.ed.gov/cedselementdetails.aspx?termid=27720")</f>
        <v>https://ceds.ed.gov/cedselementdetails.aspx?termid=27720</v>
      </c>
    </row>
    <row r="695" spans="1:13" ht="86.4" x14ac:dyDescent="0.3">
      <c r="A695" s="16" t="s">
        <v>2800</v>
      </c>
      <c r="B695" s="16" t="s">
        <v>2801</v>
      </c>
      <c r="C695" s="16" t="s">
        <v>8479</v>
      </c>
      <c r="D695" s="16" t="s">
        <v>2751</v>
      </c>
      <c r="E695" s="16"/>
      <c r="F695" s="16"/>
      <c r="G695" s="16"/>
      <c r="H695" s="16"/>
      <c r="I695" s="19" t="s">
        <v>2802</v>
      </c>
      <c r="J695" s="16" t="s">
        <v>2803</v>
      </c>
      <c r="K695" s="16" t="s">
        <v>2804</v>
      </c>
      <c r="L695" s="16"/>
      <c r="M695" s="16" t="str">
        <f>HYPERLINK("https://ceds.ed.gov/cedselementdetails.aspx?termid=27730")</f>
        <v>https://ceds.ed.gov/cedselementdetails.aspx?termid=27730</v>
      </c>
    </row>
    <row r="696" spans="1:13" ht="43.2" x14ac:dyDescent="0.3">
      <c r="A696" s="16" t="s">
        <v>2805</v>
      </c>
      <c r="B696" s="16" t="s">
        <v>2806</v>
      </c>
      <c r="C696" s="16" t="s">
        <v>32</v>
      </c>
      <c r="D696" s="16" t="s">
        <v>2751</v>
      </c>
      <c r="E696" s="16"/>
      <c r="F696" s="16" t="s">
        <v>2807</v>
      </c>
      <c r="G696" s="16"/>
      <c r="H696" s="16" t="s">
        <v>7929</v>
      </c>
      <c r="I696" s="19" t="s">
        <v>2808</v>
      </c>
      <c r="J696" s="16" t="s">
        <v>2809</v>
      </c>
      <c r="K696" s="16" t="s">
        <v>2810</v>
      </c>
      <c r="L696" s="16"/>
      <c r="M696" s="16" t="str">
        <f>HYPERLINK("https://ceds.ed.gov/cedselementdetails.aspx?termid=27724")</f>
        <v>https://ceds.ed.gov/cedselementdetails.aspx?termid=27724</v>
      </c>
    </row>
    <row r="697" spans="1:13" ht="43.2" x14ac:dyDescent="0.3">
      <c r="A697" s="16" t="s">
        <v>2811</v>
      </c>
      <c r="B697" s="16" t="s">
        <v>2812</v>
      </c>
      <c r="C697" s="16" t="s">
        <v>32</v>
      </c>
      <c r="D697" s="16" t="s">
        <v>2751</v>
      </c>
      <c r="E697" s="16"/>
      <c r="F697" s="16" t="s">
        <v>2807</v>
      </c>
      <c r="G697" s="16"/>
      <c r="H697" s="16" t="s">
        <v>7929</v>
      </c>
      <c r="I697" s="19" t="s">
        <v>2813</v>
      </c>
      <c r="J697" s="16" t="s">
        <v>2814</v>
      </c>
      <c r="K697" s="16" t="s">
        <v>2815</v>
      </c>
      <c r="L697" s="16"/>
      <c r="M697" s="16" t="str">
        <f>HYPERLINK("https://ceds.ed.gov/cedselementdetails.aspx?termid=27725")</f>
        <v>https://ceds.ed.gov/cedselementdetails.aspx?termid=27725</v>
      </c>
    </row>
    <row r="698" spans="1:13" ht="43.2" x14ac:dyDescent="0.3">
      <c r="A698" s="16" t="s">
        <v>2816</v>
      </c>
      <c r="B698" s="16" t="s">
        <v>2817</v>
      </c>
      <c r="C698" s="16" t="s">
        <v>32</v>
      </c>
      <c r="D698" s="16" t="s">
        <v>2751</v>
      </c>
      <c r="E698" s="16"/>
      <c r="F698" s="16" t="s">
        <v>316</v>
      </c>
      <c r="G698" s="16"/>
      <c r="H698" s="16"/>
      <c r="I698" s="19" t="s">
        <v>2818</v>
      </c>
      <c r="J698" s="16" t="s">
        <v>2819</v>
      </c>
      <c r="K698" s="16" t="s">
        <v>2820</v>
      </c>
      <c r="L698" s="16"/>
      <c r="M698" s="16" t="str">
        <f>HYPERLINK("https://ceds.ed.gov/cedselementdetails.aspx?termid=27726")</f>
        <v>https://ceds.ed.gov/cedselementdetails.aspx?termid=27726</v>
      </c>
    </row>
    <row r="699" spans="1:13" ht="28.8" x14ac:dyDescent="0.3">
      <c r="A699" s="16" t="s">
        <v>2821</v>
      </c>
      <c r="B699" s="16" t="s">
        <v>2822</v>
      </c>
      <c r="C699" s="16" t="s">
        <v>32</v>
      </c>
      <c r="D699" s="16" t="s">
        <v>2751</v>
      </c>
      <c r="E699" s="16"/>
      <c r="F699" s="16" t="s">
        <v>2788</v>
      </c>
      <c r="G699" s="16"/>
      <c r="H699" s="16"/>
      <c r="I699" s="19" t="s">
        <v>2823</v>
      </c>
      <c r="J699" s="16" t="s">
        <v>2824</v>
      </c>
      <c r="K699" s="16" t="s">
        <v>2825</v>
      </c>
      <c r="L699" s="16"/>
      <c r="M699" s="16" t="str">
        <f>HYPERLINK("https://ceds.ed.gov/cedselementdetails.aspx?termid=27727")</f>
        <v>https://ceds.ed.gov/cedselementdetails.aspx?termid=27727</v>
      </c>
    </row>
    <row r="700" spans="1:13" ht="43.2" x14ac:dyDescent="0.3">
      <c r="A700" s="16" t="s">
        <v>2826</v>
      </c>
      <c r="B700" s="16" t="s">
        <v>2827</v>
      </c>
      <c r="C700" s="16" t="s">
        <v>32</v>
      </c>
      <c r="D700" s="16" t="s">
        <v>2751</v>
      </c>
      <c r="E700" s="16"/>
      <c r="F700" s="16" t="s">
        <v>1662</v>
      </c>
      <c r="G700" s="16"/>
      <c r="H700" s="16"/>
      <c r="I700" s="19" t="s">
        <v>2828</v>
      </c>
      <c r="J700" s="16" t="s">
        <v>2829</v>
      </c>
      <c r="K700" s="16" t="s">
        <v>2830</v>
      </c>
      <c r="L700" s="16"/>
      <c r="M700" s="16" t="str">
        <f>HYPERLINK("https://ceds.ed.gov/cedselementdetails.aspx?termid=27728")</f>
        <v>https://ceds.ed.gov/cedselementdetails.aspx?termid=27728</v>
      </c>
    </row>
    <row r="701" spans="1:13" ht="28.8" x14ac:dyDescent="0.3">
      <c r="A701" s="16" t="s">
        <v>2831</v>
      </c>
      <c r="B701" s="16" t="s">
        <v>2832</v>
      </c>
      <c r="C701" s="16" t="s">
        <v>32</v>
      </c>
      <c r="D701" s="16" t="s">
        <v>2751</v>
      </c>
      <c r="E701" s="16"/>
      <c r="F701" s="16" t="s">
        <v>2788</v>
      </c>
      <c r="G701" s="16"/>
      <c r="H701" s="16"/>
      <c r="I701" s="19" t="s">
        <v>2833</v>
      </c>
      <c r="J701" s="16" t="s">
        <v>2834</v>
      </c>
      <c r="K701" s="16" t="s">
        <v>2835</v>
      </c>
      <c r="L701" s="16"/>
      <c r="M701" s="16" t="str">
        <f>HYPERLINK("https://ceds.ed.gov/cedselementdetails.aspx?termid=27729")</f>
        <v>https://ceds.ed.gov/cedselementdetails.aspx?termid=27729</v>
      </c>
    </row>
    <row r="702" spans="1:13" ht="43.2" x14ac:dyDescent="0.3">
      <c r="A702" s="16" t="s">
        <v>2836</v>
      </c>
      <c r="B702" s="16" t="s">
        <v>2837</v>
      </c>
      <c r="C702" s="16" t="s">
        <v>2838</v>
      </c>
      <c r="D702" s="16" t="s">
        <v>2751</v>
      </c>
      <c r="E702" s="16"/>
      <c r="F702" s="16" t="s">
        <v>2839</v>
      </c>
      <c r="G702" s="16"/>
      <c r="H702" s="16"/>
      <c r="I702" s="19" t="s">
        <v>2840</v>
      </c>
      <c r="J702" s="16" t="s">
        <v>2841</v>
      </c>
      <c r="K702" s="16" t="s">
        <v>2842</v>
      </c>
      <c r="L702" s="16"/>
      <c r="M702" s="16" t="str">
        <f>HYPERLINK("https://ceds.ed.gov/cedselementdetails.aspx?termid=27723")</f>
        <v>https://ceds.ed.gov/cedselementdetails.aspx?termid=27723</v>
      </c>
    </row>
    <row r="703" spans="1:13" ht="72" x14ac:dyDescent="0.3">
      <c r="A703" s="16" t="s">
        <v>2843</v>
      </c>
      <c r="B703" s="16" t="s">
        <v>2844</v>
      </c>
      <c r="C703" s="16" t="s">
        <v>8480</v>
      </c>
      <c r="D703" s="16" t="s">
        <v>2751</v>
      </c>
      <c r="E703" s="16"/>
      <c r="F703" s="16"/>
      <c r="G703" s="16"/>
      <c r="H703" s="16"/>
      <c r="I703" s="19" t="s">
        <v>2845</v>
      </c>
      <c r="J703" s="16" t="s">
        <v>2846</v>
      </c>
      <c r="K703" s="16" t="s">
        <v>2847</v>
      </c>
      <c r="L703" s="16"/>
      <c r="M703" s="16" t="str">
        <f>HYPERLINK("https://ceds.ed.gov/cedselementdetails.aspx?termid=27721")</f>
        <v>https://ceds.ed.gov/cedselementdetails.aspx?termid=27721</v>
      </c>
    </row>
    <row r="704" spans="1:13" ht="57.6" x14ac:dyDescent="0.3">
      <c r="A704" s="16" t="s">
        <v>7358</v>
      </c>
      <c r="B704" s="16" t="s">
        <v>7359</v>
      </c>
      <c r="C704" s="16" t="s">
        <v>2987</v>
      </c>
      <c r="D704" s="16" t="s">
        <v>2751</v>
      </c>
      <c r="E704" s="16"/>
      <c r="F704" s="16"/>
      <c r="G704" s="16"/>
      <c r="H704" s="16"/>
      <c r="I704" s="19" t="s">
        <v>7360</v>
      </c>
      <c r="J704" s="16"/>
      <c r="K704" s="16" t="s">
        <v>7361</v>
      </c>
      <c r="L704" s="16"/>
      <c r="M704" s="16" t="str">
        <f>HYPERLINK("https://ceds.ed.gov/cedselementdetails.aspx?termid=27919")</f>
        <v>https://ceds.ed.gov/cedselementdetails.aspx?termid=27919</v>
      </c>
    </row>
    <row r="705" spans="1:13" ht="43.2" x14ac:dyDescent="0.3">
      <c r="A705" s="16" t="s">
        <v>2848</v>
      </c>
      <c r="B705" s="16" t="s">
        <v>7362</v>
      </c>
      <c r="C705" s="16" t="s">
        <v>32</v>
      </c>
      <c r="D705" s="16" t="s">
        <v>2751</v>
      </c>
      <c r="E705" s="16"/>
      <c r="F705" s="16" t="s">
        <v>101</v>
      </c>
      <c r="G705" s="16"/>
      <c r="H705" s="16"/>
      <c r="I705" s="19" t="s">
        <v>2849</v>
      </c>
      <c r="J705" s="16" t="s">
        <v>2850</v>
      </c>
      <c r="K705" s="16" t="s">
        <v>2851</v>
      </c>
      <c r="L705" s="16"/>
      <c r="M705" s="16" t="str">
        <f>HYPERLINK("https://ceds.ed.gov/cedselementdetails.aspx?termid=26893")</f>
        <v>https://ceds.ed.gov/cedselementdetails.aspx?termid=26893</v>
      </c>
    </row>
    <row r="706" spans="1:13" ht="43.2" x14ac:dyDescent="0.3">
      <c r="A706" s="16" t="s">
        <v>2852</v>
      </c>
      <c r="B706" s="16" t="s">
        <v>2853</v>
      </c>
      <c r="C706" s="16" t="s">
        <v>32</v>
      </c>
      <c r="D706" s="16" t="s">
        <v>2751</v>
      </c>
      <c r="E706" s="16"/>
      <c r="F706" s="16" t="s">
        <v>316</v>
      </c>
      <c r="G706" s="16"/>
      <c r="H706" s="16"/>
      <c r="I706" s="19" t="s">
        <v>2854</v>
      </c>
      <c r="J706" s="16" t="s">
        <v>2855</v>
      </c>
      <c r="K706" s="16" t="s">
        <v>2856</v>
      </c>
      <c r="L706" s="16"/>
      <c r="M706" s="16" t="str">
        <f>HYPERLINK("https://ceds.ed.gov/cedselementdetails.aspx?termid=27733")</f>
        <v>https://ceds.ed.gov/cedselementdetails.aspx?termid=27733</v>
      </c>
    </row>
    <row r="707" spans="1:13" ht="57.6" x14ac:dyDescent="0.3">
      <c r="A707" s="16" t="s">
        <v>2857</v>
      </c>
      <c r="B707" s="16" t="s">
        <v>2858</v>
      </c>
      <c r="C707" s="16" t="s">
        <v>8481</v>
      </c>
      <c r="D707" s="16" t="s">
        <v>2751</v>
      </c>
      <c r="E707" s="16"/>
      <c r="F707" s="16"/>
      <c r="G707" s="16"/>
      <c r="H707" s="16"/>
      <c r="I707" s="19" t="s">
        <v>2859</v>
      </c>
      <c r="J707" s="16" t="s">
        <v>2860</v>
      </c>
      <c r="K707" s="16" t="s">
        <v>2861</v>
      </c>
      <c r="L707" s="16"/>
      <c r="M707" s="16" t="str">
        <f>HYPERLINK("https://ceds.ed.gov/cedselementdetails.aspx?termid=27734")</f>
        <v>https://ceds.ed.gov/cedselementdetails.aspx?termid=27734</v>
      </c>
    </row>
    <row r="708" spans="1:13" ht="43.2" x14ac:dyDescent="0.3">
      <c r="A708" s="16" t="s">
        <v>2862</v>
      </c>
      <c r="B708" s="16" t="s">
        <v>2863</v>
      </c>
      <c r="C708" s="16" t="s">
        <v>32</v>
      </c>
      <c r="D708" s="16" t="s">
        <v>2751</v>
      </c>
      <c r="E708" s="16"/>
      <c r="F708" s="16" t="s">
        <v>136</v>
      </c>
      <c r="G708" s="16"/>
      <c r="H708" s="16"/>
      <c r="I708" s="19" t="s">
        <v>2864</v>
      </c>
      <c r="J708" s="16" t="s">
        <v>2865</v>
      </c>
      <c r="K708" s="16" t="s">
        <v>2866</v>
      </c>
      <c r="L708" s="16"/>
      <c r="M708" s="16" t="str">
        <f>HYPERLINK("https://ceds.ed.gov/cedselementdetails.aspx?termid=27735")</f>
        <v>https://ceds.ed.gov/cedselementdetails.aspx?termid=27735</v>
      </c>
    </row>
    <row r="709" spans="1:13" ht="100.8" x14ac:dyDescent="0.3">
      <c r="A709" s="16" t="s">
        <v>2867</v>
      </c>
      <c r="B709" s="16" t="s">
        <v>7363</v>
      </c>
      <c r="C709" s="16" t="s">
        <v>32</v>
      </c>
      <c r="D709" s="16" t="s">
        <v>2708</v>
      </c>
      <c r="E709" s="16"/>
      <c r="F709" s="16" t="s">
        <v>101</v>
      </c>
      <c r="G709" s="16"/>
      <c r="H709" s="16" t="s">
        <v>2868</v>
      </c>
      <c r="I709" s="19" t="s">
        <v>2869</v>
      </c>
      <c r="J709" s="16"/>
      <c r="K709" s="16" t="s">
        <v>2870</v>
      </c>
      <c r="L709" s="16"/>
      <c r="M709" s="16" t="str">
        <f>HYPERLINK("https://ceds.ed.gov/cedselementdetails.aspx?termid=26901")</f>
        <v>https://ceds.ed.gov/cedselementdetails.aspx?termid=26901</v>
      </c>
    </row>
    <row r="710" spans="1:13" ht="129.6" x14ac:dyDescent="0.3">
      <c r="A710" s="16" t="s">
        <v>2871</v>
      </c>
      <c r="B710" s="16" t="s">
        <v>2872</v>
      </c>
      <c r="C710" s="16" t="s">
        <v>32</v>
      </c>
      <c r="D710" s="16" t="s">
        <v>8482</v>
      </c>
      <c r="E710" s="16"/>
      <c r="F710" s="16" t="s">
        <v>106</v>
      </c>
      <c r="G710" s="16"/>
      <c r="H710" s="16"/>
      <c r="I710" s="19" t="s">
        <v>2873</v>
      </c>
      <c r="J710" s="16"/>
      <c r="K710" s="16" t="s">
        <v>2874</v>
      </c>
      <c r="L710" s="16" t="s">
        <v>195</v>
      </c>
      <c r="M710" s="16" t="str">
        <f>HYPERLINK("https://ceds.ed.gov/cedselementdetails.aspx?termid=26069")</f>
        <v>https://ceds.ed.gov/cedselementdetails.aspx?termid=26069</v>
      </c>
    </row>
    <row r="711" spans="1:13" ht="86.4" x14ac:dyDescent="0.3">
      <c r="A711" s="16" t="s">
        <v>2875</v>
      </c>
      <c r="B711" s="16" t="s">
        <v>7364</v>
      </c>
      <c r="C711" s="16" t="s">
        <v>32</v>
      </c>
      <c r="D711" s="16" t="s">
        <v>2751</v>
      </c>
      <c r="E711" s="16"/>
      <c r="F711" s="16" t="s">
        <v>50</v>
      </c>
      <c r="G711" s="16"/>
      <c r="H711" s="16" t="s">
        <v>2876</v>
      </c>
      <c r="I711" s="19" t="s">
        <v>2877</v>
      </c>
      <c r="J711" s="16"/>
      <c r="K711" s="16" t="s">
        <v>2878</v>
      </c>
      <c r="L711" s="16"/>
      <c r="M711" s="16" t="str">
        <f>HYPERLINK("https://ceds.ed.gov/cedselementdetails.aspx?termid=26894")</f>
        <v>https://ceds.ed.gov/cedselementdetails.aspx?termid=26894</v>
      </c>
    </row>
    <row r="712" spans="1:13" ht="43.2" x14ac:dyDescent="0.3">
      <c r="A712" s="16" t="s">
        <v>2879</v>
      </c>
      <c r="B712" s="16"/>
      <c r="C712" s="16" t="s">
        <v>32</v>
      </c>
      <c r="D712" s="16" t="s">
        <v>8483</v>
      </c>
      <c r="E712" s="16" t="s">
        <v>160</v>
      </c>
      <c r="F712" s="16"/>
      <c r="G712" s="16" t="s">
        <v>12941</v>
      </c>
      <c r="H712" s="16"/>
      <c r="I712" s="19" t="s">
        <v>2880</v>
      </c>
      <c r="J712" s="16"/>
      <c r="K712" s="16"/>
      <c r="L712" s="16" t="s">
        <v>195</v>
      </c>
      <c r="M712" s="16" t="str">
        <f>HYPERLINK("https://ceds.ed.gov/cedselementdetails.aspx?termid=26070")</f>
        <v>https://ceds.ed.gov/cedselementdetails.aspx?termid=26070</v>
      </c>
    </row>
    <row r="713" spans="1:13" ht="86.4" x14ac:dyDescent="0.3">
      <c r="A713" s="16" t="s">
        <v>2881</v>
      </c>
      <c r="B713" s="16" t="s">
        <v>2882</v>
      </c>
      <c r="C713" s="16" t="s">
        <v>32</v>
      </c>
      <c r="D713" s="16" t="s">
        <v>2708</v>
      </c>
      <c r="E713" s="16"/>
      <c r="F713" s="16" t="s">
        <v>50</v>
      </c>
      <c r="G713" s="16"/>
      <c r="H713" s="16" t="s">
        <v>7930</v>
      </c>
      <c r="I713" s="19" t="s">
        <v>2883</v>
      </c>
      <c r="J713" s="16"/>
      <c r="K713" s="16" t="s">
        <v>2884</v>
      </c>
      <c r="L713" s="16"/>
      <c r="M713" s="16" t="str">
        <f>HYPERLINK("https://ceds.ed.gov/cedselementdetails.aspx?termid=27643")</f>
        <v>https://ceds.ed.gov/cedselementdetails.aspx?termid=27643</v>
      </c>
    </row>
    <row r="714" spans="1:13" ht="57.6" x14ac:dyDescent="0.3">
      <c r="A714" s="16" t="s">
        <v>2885</v>
      </c>
      <c r="B714" s="16" t="s">
        <v>2886</v>
      </c>
      <c r="C714" s="16" t="s">
        <v>32</v>
      </c>
      <c r="D714" s="16" t="s">
        <v>2887</v>
      </c>
      <c r="E714" s="16"/>
      <c r="F714" s="16" t="s">
        <v>106</v>
      </c>
      <c r="G714" s="16"/>
      <c r="H714" s="16" t="s">
        <v>131</v>
      </c>
      <c r="I714" s="19" t="s">
        <v>2888</v>
      </c>
      <c r="J714" s="16"/>
      <c r="K714" s="16" t="s">
        <v>2889</v>
      </c>
      <c r="L714" s="16"/>
      <c r="M714" s="16" t="str">
        <f>HYPERLINK("https://ceds.ed.gov/cedselementdetails.aspx?termid=27893")</f>
        <v>https://ceds.ed.gov/cedselementdetails.aspx?termid=27893</v>
      </c>
    </row>
    <row r="715" spans="1:13" x14ac:dyDescent="0.3">
      <c r="A715" s="16" t="s">
        <v>2890</v>
      </c>
      <c r="B715" s="16" t="s">
        <v>2891</v>
      </c>
      <c r="C715" s="16" t="s">
        <v>32</v>
      </c>
      <c r="D715" s="16" t="s">
        <v>2887</v>
      </c>
      <c r="E715" s="16"/>
      <c r="F715" s="16" t="s">
        <v>106</v>
      </c>
      <c r="G715" s="16"/>
      <c r="H715" s="16"/>
      <c r="I715" s="19" t="s">
        <v>2892</v>
      </c>
      <c r="J715" s="16"/>
      <c r="K715" s="16" t="s">
        <v>2893</v>
      </c>
      <c r="L715" s="16"/>
      <c r="M715" s="16" t="str">
        <f>HYPERLINK("https://ceds.ed.gov/cedselementdetails.aspx?termid=27892")</f>
        <v>https://ceds.ed.gov/cedselementdetails.aspx?termid=27892</v>
      </c>
    </row>
    <row r="716" spans="1:13" ht="72" x14ac:dyDescent="0.3">
      <c r="A716" s="16" t="s">
        <v>2894</v>
      </c>
      <c r="B716" s="16" t="s">
        <v>2895</v>
      </c>
      <c r="C716" s="16" t="s">
        <v>32</v>
      </c>
      <c r="D716" s="16" t="s">
        <v>8484</v>
      </c>
      <c r="E716" s="16"/>
      <c r="F716" s="16" t="s">
        <v>145</v>
      </c>
      <c r="G716" s="16"/>
      <c r="H716" s="16"/>
      <c r="I716" s="19" t="s">
        <v>2896</v>
      </c>
      <c r="J716" s="16"/>
      <c r="K716" s="16" t="s">
        <v>2897</v>
      </c>
      <c r="L716" s="16"/>
      <c r="M716" s="16" t="str">
        <f>HYPERLINK("https://ceds.ed.gov/cedselementdetails.aspx?termid=27566")</f>
        <v>https://ceds.ed.gov/cedselementdetails.aspx?termid=27566</v>
      </c>
    </row>
    <row r="717" spans="1:13" ht="57.6" x14ac:dyDescent="0.3">
      <c r="A717" s="16" t="s">
        <v>2898</v>
      </c>
      <c r="B717" s="16" t="s">
        <v>7365</v>
      </c>
      <c r="C717" s="16" t="s">
        <v>32</v>
      </c>
      <c r="D717" s="16" t="s">
        <v>2708</v>
      </c>
      <c r="E717" s="16"/>
      <c r="F717" s="16" t="s">
        <v>106</v>
      </c>
      <c r="G717" s="16"/>
      <c r="H717" s="16" t="s">
        <v>2899</v>
      </c>
      <c r="I717" s="19" t="s">
        <v>2900</v>
      </c>
      <c r="J717" s="16"/>
      <c r="K717" s="16" t="s">
        <v>2901</v>
      </c>
      <c r="L717" s="16"/>
      <c r="M717" s="16" t="str">
        <f>HYPERLINK("https://ceds.ed.gov/cedselementdetails.aspx?termid=27641")</f>
        <v>https://ceds.ed.gov/cedselementdetails.aspx?termid=27641</v>
      </c>
    </row>
    <row r="718" spans="1:13" ht="43.2" x14ac:dyDescent="0.3">
      <c r="A718" s="16" t="s">
        <v>2902</v>
      </c>
      <c r="B718" s="16" t="s">
        <v>2903</v>
      </c>
      <c r="C718" s="16" t="s">
        <v>22</v>
      </c>
      <c r="D718" s="16" t="s">
        <v>2708</v>
      </c>
      <c r="E718" s="16"/>
      <c r="F718" s="16"/>
      <c r="G718" s="16"/>
      <c r="H718" s="16"/>
      <c r="I718" s="19" t="s">
        <v>2904</v>
      </c>
      <c r="J718" s="16"/>
      <c r="K718" s="16" t="s">
        <v>2905</v>
      </c>
      <c r="L718" s="16"/>
      <c r="M718" s="16" t="str">
        <f>HYPERLINK("https://ceds.ed.gov/cedselementdetails.aspx?termid=27732")</f>
        <v>https://ceds.ed.gov/cedselementdetails.aspx?termid=27732</v>
      </c>
    </row>
    <row r="719" spans="1:13" ht="28.8" x14ac:dyDescent="0.3">
      <c r="A719" s="16" t="s">
        <v>2906</v>
      </c>
      <c r="B719" s="16" t="s">
        <v>2907</v>
      </c>
      <c r="C719" s="16" t="s">
        <v>32</v>
      </c>
      <c r="D719" s="16" t="s">
        <v>2708</v>
      </c>
      <c r="E719" s="16"/>
      <c r="F719" s="16" t="s">
        <v>316</v>
      </c>
      <c r="G719" s="16"/>
      <c r="H719" s="16"/>
      <c r="I719" s="19" t="s">
        <v>2908</v>
      </c>
      <c r="J719" s="16"/>
      <c r="K719" s="16" t="s">
        <v>2909</v>
      </c>
      <c r="L719" s="16"/>
      <c r="M719" s="16" t="str">
        <f>HYPERLINK("https://ceds.ed.gov/cedselementdetails.aspx?termid=27642")</f>
        <v>https://ceds.ed.gov/cedselementdetails.aspx?termid=27642</v>
      </c>
    </row>
    <row r="720" spans="1:13" ht="144" x14ac:dyDescent="0.3">
      <c r="A720" s="16" t="s">
        <v>2910</v>
      </c>
      <c r="B720" s="16" t="s">
        <v>2911</v>
      </c>
      <c r="C720" s="16" t="s">
        <v>13481</v>
      </c>
      <c r="D720" s="16" t="s">
        <v>12960</v>
      </c>
      <c r="E720" s="16" t="s">
        <v>160</v>
      </c>
      <c r="F720" s="16"/>
      <c r="G720" s="16" t="s">
        <v>12934</v>
      </c>
      <c r="H720" s="16"/>
      <c r="I720" s="19" t="s">
        <v>2912</v>
      </c>
      <c r="J720" s="16"/>
      <c r="K720" s="16" t="s">
        <v>2913</v>
      </c>
      <c r="L720" s="16"/>
      <c r="M720" s="16" t="str">
        <f>HYPERLINK("https://ceds.ed.gov/cedselementdetails.aspx?termid=26071")</f>
        <v>https://ceds.ed.gov/cedselementdetails.aspx?termid=26071</v>
      </c>
    </row>
    <row r="721" spans="1:13" ht="259.2" x14ac:dyDescent="0.3">
      <c r="A721" s="16" t="s">
        <v>2914</v>
      </c>
      <c r="B721" s="16" t="s">
        <v>2915</v>
      </c>
      <c r="C721" s="16" t="s">
        <v>8485</v>
      </c>
      <c r="D721" s="16" t="s">
        <v>2916</v>
      </c>
      <c r="E721" s="16"/>
      <c r="F721" s="16"/>
      <c r="G721" s="16"/>
      <c r="H721" s="16"/>
      <c r="I721" s="19" t="s">
        <v>2917</v>
      </c>
      <c r="J721" s="16"/>
      <c r="K721" s="16" t="s">
        <v>2918</v>
      </c>
      <c r="L721" s="16"/>
      <c r="M721" s="16" t="str">
        <f>HYPERLINK("https://ceds.ed.gov/cedselementdetails.aspx?termid=27283")</f>
        <v>https://ceds.ed.gov/cedselementdetails.aspx?termid=27283</v>
      </c>
    </row>
    <row r="722" spans="1:13" ht="331.2" x14ac:dyDescent="0.3">
      <c r="A722" s="16" t="s">
        <v>2919</v>
      </c>
      <c r="B722" s="16" t="s">
        <v>2920</v>
      </c>
      <c r="C722" s="16" t="s">
        <v>8486</v>
      </c>
      <c r="D722" s="16" t="s">
        <v>13036</v>
      </c>
      <c r="E722" s="16"/>
      <c r="F722" s="16"/>
      <c r="G722" s="16"/>
      <c r="H722" s="16"/>
      <c r="I722" s="19" t="s">
        <v>2921</v>
      </c>
      <c r="J722" s="16"/>
      <c r="K722" s="16" t="s">
        <v>2922</v>
      </c>
      <c r="L722" s="16" t="s">
        <v>64</v>
      </c>
      <c r="M722" s="16" t="str">
        <f>HYPERLINK("https://ceds.ed.gov/cedselementdetails.aspx?termid=26072")</f>
        <v>https://ceds.ed.gov/cedselementdetails.aspx?termid=26072</v>
      </c>
    </row>
    <row r="723" spans="1:13" ht="158.4" x14ac:dyDescent="0.3">
      <c r="A723" s="16" t="s">
        <v>2923</v>
      </c>
      <c r="B723" s="16" t="s">
        <v>2924</v>
      </c>
      <c r="C723" s="16" t="s">
        <v>32</v>
      </c>
      <c r="D723" s="16" t="s">
        <v>2925</v>
      </c>
      <c r="E723" s="16"/>
      <c r="F723" s="16" t="s">
        <v>1481</v>
      </c>
      <c r="G723" s="16"/>
      <c r="H723" s="16" t="s">
        <v>7931</v>
      </c>
      <c r="I723" s="19" t="s">
        <v>2926</v>
      </c>
      <c r="J723" s="16"/>
      <c r="K723" s="16" t="s">
        <v>2927</v>
      </c>
      <c r="L723" s="16" t="s">
        <v>58</v>
      </c>
      <c r="M723" s="16" t="str">
        <f>HYPERLINK("https://ceds.ed.gov/cedselementdetails.aspx?termid=26058")</f>
        <v>https://ceds.ed.gov/cedselementdetails.aspx?termid=26058</v>
      </c>
    </row>
    <row r="724" spans="1:13" ht="100.8" x14ac:dyDescent="0.3">
      <c r="A724" s="16" t="s">
        <v>2928</v>
      </c>
      <c r="B724" s="16" t="s">
        <v>7366</v>
      </c>
      <c r="C724" s="16" t="s">
        <v>32</v>
      </c>
      <c r="D724" s="16" t="s">
        <v>8487</v>
      </c>
      <c r="E724" s="16"/>
      <c r="F724" s="16" t="s">
        <v>1481</v>
      </c>
      <c r="G724" s="16"/>
      <c r="H724" s="16"/>
      <c r="I724" s="19" t="s">
        <v>2929</v>
      </c>
      <c r="J724" s="16"/>
      <c r="K724" s="16" t="s">
        <v>2930</v>
      </c>
      <c r="L724" s="16" t="s">
        <v>64</v>
      </c>
      <c r="M724" s="16" t="str">
        <f>HYPERLINK("https://ceds.ed.gov/cedselementdetails.aspx?termid=26073")</f>
        <v>https://ceds.ed.gov/cedselementdetails.aspx?termid=26073</v>
      </c>
    </row>
    <row r="725" spans="1:13" ht="100.8" x14ac:dyDescent="0.3">
      <c r="A725" s="16" t="s">
        <v>2931</v>
      </c>
      <c r="B725" s="16" t="s">
        <v>7367</v>
      </c>
      <c r="C725" s="16" t="s">
        <v>32</v>
      </c>
      <c r="D725" s="16" t="s">
        <v>13037</v>
      </c>
      <c r="E725" s="16"/>
      <c r="F725" s="16" t="s">
        <v>1481</v>
      </c>
      <c r="G725" s="16"/>
      <c r="H725" s="16"/>
      <c r="I725" s="19" t="s">
        <v>2932</v>
      </c>
      <c r="J725" s="16"/>
      <c r="K725" s="16" t="s">
        <v>2933</v>
      </c>
      <c r="L725" s="16" t="s">
        <v>64</v>
      </c>
      <c r="M725" s="16" t="str">
        <f>HYPERLINK("https://ceds.ed.gov/cedselementdetails.aspx?termid=26074")</f>
        <v>https://ceds.ed.gov/cedselementdetails.aspx?termid=26074</v>
      </c>
    </row>
    <row r="726" spans="1:13" ht="100.8" x14ac:dyDescent="0.3">
      <c r="A726" s="16" t="s">
        <v>2934</v>
      </c>
      <c r="B726" s="16" t="s">
        <v>2935</v>
      </c>
      <c r="C726" s="16" t="s">
        <v>32</v>
      </c>
      <c r="D726" s="16" t="s">
        <v>2936</v>
      </c>
      <c r="E726" s="16"/>
      <c r="F726" s="16" t="s">
        <v>1481</v>
      </c>
      <c r="G726" s="16"/>
      <c r="H726" s="16" t="s">
        <v>2937</v>
      </c>
      <c r="I726" s="19" t="s">
        <v>2938</v>
      </c>
      <c r="J726" s="16"/>
      <c r="K726" s="16" t="s">
        <v>2939</v>
      </c>
      <c r="L726" s="16"/>
      <c r="M726" s="16" t="str">
        <f>HYPERLINK("https://ceds.ed.gov/cedselementdetails.aspx?termid=27553")</f>
        <v>https://ceds.ed.gov/cedselementdetails.aspx?termid=27553</v>
      </c>
    </row>
    <row r="727" spans="1:13" ht="172.8" x14ac:dyDescent="0.3">
      <c r="A727" s="16" t="s">
        <v>2940</v>
      </c>
      <c r="B727" s="16" t="s">
        <v>2941</v>
      </c>
      <c r="C727" s="16" t="s">
        <v>32</v>
      </c>
      <c r="D727" s="16" t="s">
        <v>2942</v>
      </c>
      <c r="E727" s="16"/>
      <c r="F727" s="16" t="s">
        <v>81</v>
      </c>
      <c r="G727" s="16"/>
      <c r="H727" s="16"/>
      <c r="I727" s="19" t="s">
        <v>2943</v>
      </c>
      <c r="J727" s="16"/>
      <c r="K727" s="16" t="s">
        <v>2944</v>
      </c>
      <c r="L727" s="16"/>
      <c r="M727" s="16" t="str">
        <f>HYPERLINK("https://ceds.ed.gov/cedselementdetails.aspx?termid=26604")</f>
        <v>https://ceds.ed.gov/cedselementdetails.aspx?termid=26604</v>
      </c>
    </row>
    <row r="728" spans="1:13" ht="28.8" x14ac:dyDescent="0.3">
      <c r="A728" s="16" t="s">
        <v>2945</v>
      </c>
      <c r="B728" s="16" t="s">
        <v>2946</v>
      </c>
      <c r="C728" s="16" t="s">
        <v>32</v>
      </c>
      <c r="D728" s="16" t="s">
        <v>2942</v>
      </c>
      <c r="E728" s="16"/>
      <c r="F728" s="16" t="s">
        <v>101</v>
      </c>
      <c r="G728" s="16"/>
      <c r="H728" s="16"/>
      <c r="I728" s="19" t="s">
        <v>2947</v>
      </c>
      <c r="J728" s="16"/>
      <c r="K728" s="16" t="s">
        <v>2948</v>
      </c>
      <c r="L728" s="16"/>
      <c r="M728" s="16" t="str">
        <f>HYPERLINK("https://ceds.ed.gov/cedselementdetails.aspx?termid=27526")</f>
        <v>https://ceds.ed.gov/cedselementdetails.aspx?termid=27526</v>
      </c>
    </row>
    <row r="729" spans="1:13" ht="57.6" x14ac:dyDescent="0.3">
      <c r="A729" s="16" t="s">
        <v>2949</v>
      </c>
      <c r="B729" s="16" t="s">
        <v>2950</v>
      </c>
      <c r="C729" s="16" t="s">
        <v>32</v>
      </c>
      <c r="D729" s="16" t="s">
        <v>2942</v>
      </c>
      <c r="E729" s="16"/>
      <c r="F729" s="16" t="s">
        <v>106</v>
      </c>
      <c r="G729" s="16"/>
      <c r="H729" s="16" t="s">
        <v>131</v>
      </c>
      <c r="I729" s="19" t="s">
        <v>2951</v>
      </c>
      <c r="J729" s="16"/>
      <c r="K729" s="16" t="s">
        <v>2952</v>
      </c>
      <c r="L729" s="16"/>
      <c r="M729" s="16" t="str">
        <f>HYPERLINK("https://ceds.ed.gov/cedselementdetails.aspx?termid=27528")</f>
        <v>https://ceds.ed.gov/cedselementdetails.aspx?termid=27528</v>
      </c>
    </row>
    <row r="730" spans="1:13" ht="28.8" x14ac:dyDescent="0.3">
      <c r="A730" s="16" t="s">
        <v>2953</v>
      </c>
      <c r="B730" s="16" t="s">
        <v>2954</v>
      </c>
      <c r="C730" s="16" t="s">
        <v>32</v>
      </c>
      <c r="D730" s="16" t="s">
        <v>2942</v>
      </c>
      <c r="E730" s="16"/>
      <c r="F730" s="16" t="s">
        <v>1304</v>
      </c>
      <c r="G730" s="16"/>
      <c r="H730" s="16"/>
      <c r="I730" s="19" t="s">
        <v>2955</v>
      </c>
      <c r="J730" s="16"/>
      <c r="K730" s="16" t="s">
        <v>2956</v>
      </c>
      <c r="L730" s="16"/>
      <c r="M730" s="16" t="str">
        <f>HYPERLINK("https://ceds.ed.gov/cedselementdetails.aspx?termid=26605")</f>
        <v>https://ceds.ed.gov/cedselementdetails.aspx?termid=26605</v>
      </c>
    </row>
    <row r="731" spans="1:13" ht="72" x14ac:dyDescent="0.3">
      <c r="A731" s="16" t="s">
        <v>2957</v>
      </c>
      <c r="B731" s="16" t="s">
        <v>2958</v>
      </c>
      <c r="C731" s="16" t="s">
        <v>32</v>
      </c>
      <c r="D731" s="16" t="s">
        <v>2942</v>
      </c>
      <c r="E731" s="16"/>
      <c r="F731" s="16" t="s">
        <v>106</v>
      </c>
      <c r="G731" s="16"/>
      <c r="H731" s="16"/>
      <c r="I731" s="19" t="s">
        <v>2959</v>
      </c>
      <c r="J731" s="16"/>
      <c r="K731" s="16" t="s">
        <v>2960</v>
      </c>
      <c r="L731" s="16"/>
      <c r="M731" s="16" t="str">
        <f>HYPERLINK("https://ceds.ed.gov/cedselementdetails.aspx?termid=26607")</f>
        <v>https://ceds.ed.gov/cedselementdetails.aspx?termid=26607</v>
      </c>
    </row>
    <row r="732" spans="1:13" ht="28.8" x14ac:dyDescent="0.3">
      <c r="A732" s="16" t="s">
        <v>2961</v>
      </c>
      <c r="B732" s="16" t="s">
        <v>2962</v>
      </c>
      <c r="C732" s="16" t="s">
        <v>32</v>
      </c>
      <c r="D732" s="16" t="s">
        <v>2942</v>
      </c>
      <c r="E732" s="16"/>
      <c r="F732" s="16" t="s">
        <v>1304</v>
      </c>
      <c r="G732" s="16"/>
      <c r="H732" s="16"/>
      <c r="I732" s="19" t="s">
        <v>2963</v>
      </c>
      <c r="J732" s="16"/>
      <c r="K732" s="16" t="s">
        <v>2964</v>
      </c>
      <c r="L732" s="16"/>
      <c r="M732" s="16" t="str">
        <f>HYPERLINK("https://ceds.ed.gov/cedselementdetails.aspx?termid=26606")</f>
        <v>https://ceds.ed.gov/cedselementdetails.aspx?termid=26606</v>
      </c>
    </row>
    <row r="733" spans="1:13" ht="57.6" x14ac:dyDescent="0.3">
      <c r="A733" s="16" t="s">
        <v>2965</v>
      </c>
      <c r="B733" s="16" t="s">
        <v>2966</v>
      </c>
      <c r="C733" s="16" t="s">
        <v>8317</v>
      </c>
      <c r="D733" s="16" t="s">
        <v>340</v>
      </c>
      <c r="E733" s="16"/>
      <c r="F733" s="16"/>
      <c r="G733" s="16"/>
      <c r="H733" s="16" t="s">
        <v>2967</v>
      </c>
      <c r="I733" s="19" t="s">
        <v>2968</v>
      </c>
      <c r="J733" s="16"/>
      <c r="K733" s="16" t="s">
        <v>2969</v>
      </c>
      <c r="L733" s="16" t="s">
        <v>343</v>
      </c>
      <c r="M733" s="16" t="str">
        <f>HYPERLINK("https://ceds.ed.gov/cedselementdetails.aspx?termid=26753")</f>
        <v>https://ceds.ed.gov/cedselementdetails.aspx?termid=26753</v>
      </c>
    </row>
    <row r="734" spans="1:13" ht="409.6" x14ac:dyDescent="0.3">
      <c r="A734" s="16" t="s">
        <v>2970</v>
      </c>
      <c r="B734" s="16" t="s">
        <v>2971</v>
      </c>
      <c r="C734" s="16" t="s">
        <v>8488</v>
      </c>
      <c r="D734" s="16" t="s">
        <v>2751</v>
      </c>
      <c r="E734" s="16"/>
      <c r="F734" s="16"/>
      <c r="G734" s="16"/>
      <c r="H734" s="16" t="s">
        <v>7932</v>
      </c>
      <c r="I734" s="19" t="s">
        <v>2972</v>
      </c>
      <c r="J734" s="16" t="s">
        <v>2973</v>
      </c>
      <c r="K734" s="16" t="s">
        <v>2974</v>
      </c>
      <c r="L734" s="16"/>
      <c r="M734" s="16" t="str">
        <f>HYPERLINK("https://ceds.ed.gov/cedselementdetails.aspx?termid=27894")</f>
        <v>https://ceds.ed.gov/cedselementdetails.aspx?termid=27894</v>
      </c>
    </row>
    <row r="735" spans="1:13" ht="388.8" x14ac:dyDescent="0.3">
      <c r="A735" s="16" t="s">
        <v>2975</v>
      </c>
      <c r="B735" s="16" t="s">
        <v>2976</v>
      </c>
      <c r="C735" s="16" t="s">
        <v>8489</v>
      </c>
      <c r="D735" s="16" t="s">
        <v>2977</v>
      </c>
      <c r="E735" s="16"/>
      <c r="F735" s="16"/>
      <c r="G735" s="16"/>
      <c r="H735" s="16" t="s">
        <v>2978</v>
      </c>
      <c r="I735" s="19" t="s">
        <v>2979</v>
      </c>
      <c r="J735" s="16"/>
      <c r="K735" s="16" t="s">
        <v>2980</v>
      </c>
      <c r="L735" s="16"/>
      <c r="M735" s="16" t="str">
        <f>HYPERLINK("https://ceds.ed.gov/cedselementdetails.aspx?termid=27736")</f>
        <v>https://ceds.ed.gov/cedselementdetails.aspx?termid=27736</v>
      </c>
    </row>
    <row r="736" spans="1:13" ht="144" x14ac:dyDescent="0.3">
      <c r="A736" s="16" t="s">
        <v>2981</v>
      </c>
      <c r="B736" s="16" t="s">
        <v>2982</v>
      </c>
      <c r="C736" s="16" t="s">
        <v>8490</v>
      </c>
      <c r="D736" s="16" t="s">
        <v>2461</v>
      </c>
      <c r="E736" s="16"/>
      <c r="F736" s="16"/>
      <c r="G736" s="16"/>
      <c r="H736" s="16"/>
      <c r="I736" s="19" t="s">
        <v>2983</v>
      </c>
      <c r="J736" s="16"/>
      <c r="K736" s="16" t="s">
        <v>2984</v>
      </c>
      <c r="L736" s="16"/>
      <c r="M736" s="16" t="str">
        <f>HYPERLINK("https://ceds.ed.gov/cedselementdetails.aspx?termid=26688")</f>
        <v>https://ceds.ed.gov/cedselementdetails.aspx?termid=26688</v>
      </c>
    </row>
    <row r="737" spans="1:13" ht="100.8" x14ac:dyDescent="0.3">
      <c r="A737" s="16" t="s">
        <v>2985</v>
      </c>
      <c r="B737" s="16" t="s">
        <v>2986</v>
      </c>
      <c r="C737" s="16" t="s">
        <v>2987</v>
      </c>
      <c r="D737" s="16" t="s">
        <v>7368</v>
      </c>
      <c r="E737" s="16"/>
      <c r="F737" s="16"/>
      <c r="G737" s="16"/>
      <c r="H737" s="16"/>
      <c r="I737" s="19" t="s">
        <v>2988</v>
      </c>
      <c r="J737" s="16"/>
      <c r="K737" s="16" t="s">
        <v>2989</v>
      </c>
      <c r="L737" s="16" t="s">
        <v>372</v>
      </c>
      <c r="M737" s="16" t="str">
        <f>HYPERLINK("https://ceds.ed.gov/cedselementdetails.aspx?termid=26328")</f>
        <v>https://ceds.ed.gov/cedselementdetails.aspx?termid=26328</v>
      </c>
    </row>
    <row r="738" spans="1:13" ht="28.8" x14ac:dyDescent="0.3">
      <c r="A738" s="16" t="s">
        <v>7369</v>
      </c>
      <c r="B738" s="16" t="s">
        <v>7370</v>
      </c>
      <c r="C738" s="16" t="s">
        <v>32</v>
      </c>
      <c r="D738" s="16" t="s">
        <v>7933</v>
      </c>
      <c r="E738" s="16"/>
      <c r="F738" s="16" t="s">
        <v>1807</v>
      </c>
      <c r="G738" s="16"/>
      <c r="H738" s="16"/>
      <c r="I738" s="19" t="s">
        <v>7371</v>
      </c>
      <c r="J738" s="16"/>
      <c r="K738" s="16" t="s">
        <v>7372</v>
      </c>
      <c r="L738" s="16"/>
      <c r="M738" s="16" t="str">
        <f>HYPERLINK("https://ceds.ed.gov/cedselementdetails.aspx?termid=27920")</f>
        <v>https://ceds.ed.gov/cedselementdetails.aspx?termid=27920</v>
      </c>
    </row>
    <row r="739" spans="1:13" ht="28.8" x14ac:dyDescent="0.3">
      <c r="A739" s="16" t="s">
        <v>7373</v>
      </c>
      <c r="B739" s="16" t="s">
        <v>7374</v>
      </c>
      <c r="C739" s="16" t="s">
        <v>32</v>
      </c>
      <c r="D739" s="16" t="s">
        <v>7933</v>
      </c>
      <c r="E739" s="16"/>
      <c r="F739" s="16" t="s">
        <v>106</v>
      </c>
      <c r="G739" s="16"/>
      <c r="H739" s="16"/>
      <c r="I739" s="19" t="s">
        <v>7375</v>
      </c>
      <c r="J739" s="16"/>
      <c r="K739" s="16" t="s">
        <v>7376</v>
      </c>
      <c r="L739" s="16"/>
      <c r="M739" s="16" t="str">
        <f>HYPERLINK("https://ceds.ed.gov/cedselementdetails.aspx?termid=27921")</f>
        <v>https://ceds.ed.gov/cedselementdetails.aspx?termid=27921</v>
      </c>
    </row>
    <row r="740" spans="1:13" ht="86.4" x14ac:dyDescent="0.3">
      <c r="A740" s="16" t="s">
        <v>7377</v>
      </c>
      <c r="B740" s="16" t="s">
        <v>7378</v>
      </c>
      <c r="C740" s="16" t="s">
        <v>32</v>
      </c>
      <c r="D740" s="16" t="s">
        <v>7933</v>
      </c>
      <c r="E740" s="16"/>
      <c r="F740" s="16" t="s">
        <v>316</v>
      </c>
      <c r="G740" s="16"/>
      <c r="H740" s="16"/>
      <c r="I740" s="19" t="s">
        <v>7379</v>
      </c>
      <c r="J740" s="16"/>
      <c r="K740" s="16" t="s">
        <v>7380</v>
      </c>
      <c r="L740" s="16"/>
      <c r="M740" s="16" t="str">
        <f>HYPERLINK("https://ceds.ed.gov/cedselementdetails.aspx?termid=27922")</f>
        <v>https://ceds.ed.gov/cedselementdetails.aspx?termid=27922</v>
      </c>
    </row>
    <row r="741" spans="1:13" ht="28.8" x14ac:dyDescent="0.3">
      <c r="A741" s="16" t="s">
        <v>7381</v>
      </c>
      <c r="B741" s="16" t="s">
        <v>7382</v>
      </c>
      <c r="C741" s="16" t="s">
        <v>32</v>
      </c>
      <c r="D741" s="16" t="s">
        <v>7933</v>
      </c>
      <c r="E741" s="16"/>
      <c r="F741" s="16" t="s">
        <v>316</v>
      </c>
      <c r="G741" s="16"/>
      <c r="H741" s="16"/>
      <c r="I741" s="19" t="s">
        <v>7383</v>
      </c>
      <c r="J741" s="16"/>
      <c r="K741" s="16" t="s">
        <v>7384</v>
      </c>
      <c r="L741" s="16"/>
      <c r="M741" s="16" t="str">
        <f>HYPERLINK("https://ceds.ed.gov/cedselementdetails.aspx?termid=27923")</f>
        <v>https://ceds.ed.gov/cedselementdetails.aspx?termid=27923</v>
      </c>
    </row>
    <row r="742" spans="1:13" ht="28.8" x14ac:dyDescent="0.3">
      <c r="A742" s="16" t="s">
        <v>7385</v>
      </c>
      <c r="B742" s="16" t="s">
        <v>7386</v>
      </c>
      <c r="C742" s="16" t="s">
        <v>32</v>
      </c>
      <c r="D742" s="16" t="s">
        <v>7933</v>
      </c>
      <c r="E742" s="16"/>
      <c r="F742" s="16" t="s">
        <v>106</v>
      </c>
      <c r="G742" s="16"/>
      <c r="H742" s="16"/>
      <c r="I742" s="19" t="s">
        <v>7387</v>
      </c>
      <c r="J742" s="16"/>
      <c r="K742" s="16" t="s">
        <v>7388</v>
      </c>
      <c r="L742" s="16"/>
      <c r="M742" s="16" t="str">
        <f>HYPERLINK("https://ceds.ed.gov/cedselementdetails.aspx?termid=27924")</f>
        <v>https://ceds.ed.gov/cedselementdetails.aspx?termid=27924</v>
      </c>
    </row>
    <row r="743" spans="1:13" ht="28.8" x14ac:dyDescent="0.3">
      <c r="A743" s="16" t="s">
        <v>7389</v>
      </c>
      <c r="B743" s="16" t="s">
        <v>7390</v>
      </c>
      <c r="C743" s="16" t="s">
        <v>32</v>
      </c>
      <c r="D743" s="16" t="s">
        <v>7933</v>
      </c>
      <c r="E743" s="16"/>
      <c r="F743" s="16" t="s">
        <v>1807</v>
      </c>
      <c r="G743" s="16"/>
      <c r="H743" s="16"/>
      <c r="I743" s="19" t="s">
        <v>7391</v>
      </c>
      <c r="J743" s="16"/>
      <c r="K743" s="16" t="s">
        <v>7392</v>
      </c>
      <c r="L743" s="16"/>
      <c r="M743" s="16" t="str">
        <f>HYPERLINK("https://ceds.ed.gov/cedselementdetails.aspx?termid=27925")</f>
        <v>https://ceds.ed.gov/cedselementdetails.aspx?termid=27925</v>
      </c>
    </row>
    <row r="744" spans="1:13" ht="115.2" x14ac:dyDescent="0.3">
      <c r="A744" s="16" t="s">
        <v>7393</v>
      </c>
      <c r="B744" s="16" t="s">
        <v>7394</v>
      </c>
      <c r="C744" s="16" t="s">
        <v>8491</v>
      </c>
      <c r="D744" s="16" t="s">
        <v>7933</v>
      </c>
      <c r="E744" s="16"/>
      <c r="F744" s="16"/>
      <c r="G744" s="16"/>
      <c r="H744" s="16"/>
      <c r="I744" s="19" t="s">
        <v>7395</v>
      </c>
      <c r="J744" s="16"/>
      <c r="K744" s="16" t="s">
        <v>7396</v>
      </c>
      <c r="L744" s="16"/>
      <c r="M744" s="16" t="str">
        <f>HYPERLINK("https://ceds.ed.gov/cedselementdetails.aspx?termid=27926")</f>
        <v>https://ceds.ed.gov/cedselementdetails.aspx?termid=27926</v>
      </c>
    </row>
    <row r="745" spans="1:13" ht="28.8" x14ac:dyDescent="0.3">
      <c r="A745" s="16" t="s">
        <v>2990</v>
      </c>
      <c r="B745" s="16" t="s">
        <v>2991</v>
      </c>
      <c r="C745" s="16" t="s">
        <v>32</v>
      </c>
      <c r="D745" s="16" t="s">
        <v>7934</v>
      </c>
      <c r="E745" s="16"/>
      <c r="F745" s="16" t="s">
        <v>106</v>
      </c>
      <c r="G745" s="16"/>
      <c r="H745" s="16"/>
      <c r="I745" s="19" t="s">
        <v>2992</v>
      </c>
      <c r="J745" s="16"/>
      <c r="K745" s="16" t="s">
        <v>2993</v>
      </c>
      <c r="L745" s="16"/>
      <c r="M745" s="16" t="str">
        <f>HYPERLINK("https://ceds.ed.gov/cedselementdetails.aspx?termid=27335")</f>
        <v>https://ceds.ed.gov/cedselementdetails.aspx?termid=27335</v>
      </c>
    </row>
    <row r="746" spans="1:13" ht="43.2" x14ac:dyDescent="0.3">
      <c r="A746" s="16" t="s">
        <v>2994</v>
      </c>
      <c r="B746" s="16" t="s">
        <v>2995</v>
      </c>
      <c r="C746" s="16" t="s">
        <v>32</v>
      </c>
      <c r="D746" s="16" t="s">
        <v>2996</v>
      </c>
      <c r="E746" s="16"/>
      <c r="F746" s="16" t="s">
        <v>106</v>
      </c>
      <c r="G746" s="16"/>
      <c r="H746" s="16"/>
      <c r="I746" s="19" t="s">
        <v>2997</v>
      </c>
      <c r="J746" s="16"/>
      <c r="K746" s="16" t="s">
        <v>2998</v>
      </c>
      <c r="L746" s="16" t="s">
        <v>202</v>
      </c>
      <c r="M746" s="16" t="str">
        <f>HYPERLINK("https://ceds.ed.gov/cedselementdetails.aspx?termid=26445")</f>
        <v>https://ceds.ed.gov/cedselementdetails.aspx?termid=26445</v>
      </c>
    </row>
    <row r="747" spans="1:13" ht="28.8" x14ac:dyDescent="0.3">
      <c r="A747" s="16" t="s">
        <v>2999</v>
      </c>
      <c r="B747" s="16" t="s">
        <v>3000</v>
      </c>
      <c r="C747" s="16" t="s">
        <v>32</v>
      </c>
      <c r="D747" s="16" t="s">
        <v>2996</v>
      </c>
      <c r="E747" s="16"/>
      <c r="F747" s="16" t="s">
        <v>106</v>
      </c>
      <c r="G747" s="16"/>
      <c r="H747" s="16"/>
      <c r="I747" s="19" t="s">
        <v>3001</v>
      </c>
      <c r="J747" s="16"/>
      <c r="K747" s="16" t="s">
        <v>3002</v>
      </c>
      <c r="L747" s="16" t="s">
        <v>202</v>
      </c>
      <c r="M747" s="16" t="str">
        <f>HYPERLINK("https://ceds.ed.gov/cedselementdetails.aspx?termid=26446")</f>
        <v>https://ceds.ed.gov/cedselementdetails.aspx?termid=26446</v>
      </c>
    </row>
    <row r="748" spans="1:13" ht="57.6" x14ac:dyDescent="0.3">
      <c r="A748" s="16" t="s">
        <v>3003</v>
      </c>
      <c r="B748" s="16" t="s">
        <v>3004</v>
      </c>
      <c r="C748" s="16" t="s">
        <v>32</v>
      </c>
      <c r="D748" s="16" t="s">
        <v>8492</v>
      </c>
      <c r="E748" s="16"/>
      <c r="F748" s="16" t="s">
        <v>305</v>
      </c>
      <c r="G748" s="16"/>
      <c r="H748" s="16"/>
      <c r="I748" s="19" t="s">
        <v>3005</v>
      </c>
      <c r="J748" s="16"/>
      <c r="K748" s="16" t="s">
        <v>3006</v>
      </c>
      <c r="L748" s="16" t="s">
        <v>3007</v>
      </c>
      <c r="M748" s="16" t="str">
        <f>HYPERLINK("https://ceds.ed.gov/cedselementdetails.aspx?termid=26354")</f>
        <v>https://ceds.ed.gov/cedselementdetails.aspx?termid=26354</v>
      </c>
    </row>
    <row r="749" spans="1:13" ht="115.2" x14ac:dyDescent="0.3">
      <c r="A749" s="16" t="s">
        <v>3008</v>
      </c>
      <c r="B749" s="16" t="s">
        <v>3009</v>
      </c>
      <c r="C749" s="16" t="s">
        <v>32</v>
      </c>
      <c r="D749" s="16" t="s">
        <v>3010</v>
      </c>
      <c r="E749" s="16"/>
      <c r="F749" s="16" t="s">
        <v>305</v>
      </c>
      <c r="G749" s="16"/>
      <c r="H749" s="16"/>
      <c r="I749" s="19" t="s">
        <v>3011</v>
      </c>
      <c r="J749" s="16"/>
      <c r="K749" s="16" t="s">
        <v>3012</v>
      </c>
      <c r="L749" s="16"/>
      <c r="M749" s="16" t="str">
        <f>HYPERLINK("https://ceds.ed.gov/cedselementdetails.aspx?termid=26487")</f>
        <v>https://ceds.ed.gov/cedselementdetails.aspx?termid=26487</v>
      </c>
    </row>
    <row r="750" spans="1:13" ht="28.8" x14ac:dyDescent="0.3">
      <c r="A750" s="16" t="s">
        <v>3013</v>
      </c>
      <c r="B750" s="16" t="s">
        <v>3014</v>
      </c>
      <c r="C750" s="16" t="s">
        <v>32</v>
      </c>
      <c r="D750" s="16" t="s">
        <v>3015</v>
      </c>
      <c r="E750" s="16"/>
      <c r="F750" s="16" t="s">
        <v>106</v>
      </c>
      <c r="G750" s="16"/>
      <c r="H750" s="16"/>
      <c r="I750" s="19" t="s">
        <v>3016</v>
      </c>
      <c r="J750" s="16"/>
      <c r="K750" s="16" t="s">
        <v>3017</v>
      </c>
      <c r="L750" s="16"/>
      <c r="M750" s="16" t="str">
        <f>HYPERLINK("https://ceds.ed.gov/cedselementdetails.aspx?termid=27693")</f>
        <v>https://ceds.ed.gov/cedselementdetails.aspx?termid=27693</v>
      </c>
    </row>
    <row r="751" spans="1:13" ht="72" x14ac:dyDescent="0.3">
      <c r="A751" s="16" t="s">
        <v>3018</v>
      </c>
      <c r="B751" s="16" t="s">
        <v>7935</v>
      </c>
      <c r="C751" s="16" t="s">
        <v>22</v>
      </c>
      <c r="D751" s="16" t="s">
        <v>2499</v>
      </c>
      <c r="E751" s="16"/>
      <c r="F751" s="16"/>
      <c r="G751" s="16"/>
      <c r="H751" s="16"/>
      <c r="I751" s="19" t="s">
        <v>3019</v>
      </c>
      <c r="J751" s="16"/>
      <c r="K751" s="16" t="s">
        <v>3020</v>
      </c>
      <c r="L751" s="16" t="s">
        <v>58</v>
      </c>
      <c r="M751" s="16" t="str">
        <f>HYPERLINK("https://ceds.ed.gov/cedselementdetails.aspx?termid=26077")</f>
        <v>https://ceds.ed.gov/cedselementdetails.aspx?termid=26077</v>
      </c>
    </row>
    <row r="752" spans="1:13" ht="100.8" x14ac:dyDescent="0.3">
      <c r="A752" s="16" t="s">
        <v>12736</v>
      </c>
      <c r="B752" s="16" t="s">
        <v>12737</v>
      </c>
      <c r="C752" s="16" t="s">
        <v>12904</v>
      </c>
      <c r="D752" s="16" t="s">
        <v>8505</v>
      </c>
      <c r="E752" s="16" t="s">
        <v>155</v>
      </c>
      <c r="F752" s="16" t="s">
        <v>2</v>
      </c>
      <c r="G752" s="16" t="s">
        <v>12636</v>
      </c>
      <c r="H752" s="16"/>
      <c r="I752" s="19" t="s">
        <v>12738</v>
      </c>
      <c r="J752" s="16"/>
      <c r="K752" s="16" t="s">
        <v>12739</v>
      </c>
      <c r="L752" s="16"/>
      <c r="M752" s="16" t="str">
        <f>HYPERLINK("https://ceds.ed.gov/cedselementdetails.aspx?termid=28112")</f>
        <v>https://ceds.ed.gov/cedselementdetails.aspx?termid=28112</v>
      </c>
    </row>
    <row r="753" spans="1:13" ht="158.4" x14ac:dyDescent="0.3">
      <c r="A753" s="16" t="s">
        <v>3021</v>
      </c>
      <c r="B753" s="16" t="s">
        <v>3022</v>
      </c>
      <c r="C753" s="16" t="s">
        <v>32</v>
      </c>
      <c r="D753" s="16" t="s">
        <v>13038</v>
      </c>
      <c r="E753" s="16"/>
      <c r="F753" s="16" t="s">
        <v>106</v>
      </c>
      <c r="G753" s="16"/>
      <c r="H753" s="16"/>
      <c r="I753" s="19" t="s">
        <v>3023</v>
      </c>
      <c r="J753" s="16"/>
      <c r="K753" s="16" t="s">
        <v>3024</v>
      </c>
      <c r="L753" s="16" t="s">
        <v>3025</v>
      </c>
      <c r="M753" s="16" t="str">
        <f>HYPERLINK("https://ceds.ed.gov/cedselementdetails.aspx?termid=26343")</f>
        <v>https://ceds.ed.gov/cedselementdetails.aspx?termid=26343</v>
      </c>
    </row>
    <row r="754" spans="1:13" ht="86.4" x14ac:dyDescent="0.3">
      <c r="A754" s="16" t="s">
        <v>3026</v>
      </c>
      <c r="B754" s="16" t="s">
        <v>3027</v>
      </c>
      <c r="C754" s="16" t="s">
        <v>22</v>
      </c>
      <c r="D754" s="16" t="s">
        <v>2074</v>
      </c>
      <c r="E754" s="16"/>
      <c r="F754" s="16"/>
      <c r="G754" s="16"/>
      <c r="H754" s="16"/>
      <c r="I754" s="19" t="s">
        <v>3028</v>
      </c>
      <c r="J754" s="16"/>
      <c r="K754" s="16" t="s">
        <v>3029</v>
      </c>
      <c r="L754" s="16" t="s">
        <v>42</v>
      </c>
      <c r="M754" s="16" t="str">
        <f>HYPERLINK("https://ceds.ed.gov/cedselementdetails.aspx?termid=26078")</f>
        <v>https://ceds.ed.gov/cedselementdetails.aspx?termid=26078</v>
      </c>
    </row>
    <row r="755" spans="1:13" ht="158.4" x14ac:dyDescent="0.3">
      <c r="A755" s="16" t="s">
        <v>3030</v>
      </c>
      <c r="B755" s="16" t="s">
        <v>3031</v>
      </c>
      <c r="C755" s="16" t="s">
        <v>32</v>
      </c>
      <c r="D755" s="16" t="s">
        <v>13038</v>
      </c>
      <c r="E755" s="16"/>
      <c r="F755" s="16" t="s">
        <v>1304</v>
      </c>
      <c r="G755" s="16"/>
      <c r="H755" s="16"/>
      <c r="I755" s="19" t="s">
        <v>3032</v>
      </c>
      <c r="J755" s="16"/>
      <c r="K755" s="16" t="s">
        <v>3033</v>
      </c>
      <c r="L755" s="16" t="s">
        <v>3025</v>
      </c>
      <c r="M755" s="16" t="str">
        <f>HYPERLINK("https://ceds.ed.gov/cedselementdetails.aspx?termid=26341")</f>
        <v>https://ceds.ed.gov/cedselementdetails.aspx?termid=26341</v>
      </c>
    </row>
    <row r="756" spans="1:13" ht="345.6" x14ac:dyDescent="0.3">
      <c r="A756" s="16" t="s">
        <v>3034</v>
      </c>
      <c r="B756" s="16" t="s">
        <v>3035</v>
      </c>
      <c r="C756" s="16" t="s">
        <v>8493</v>
      </c>
      <c r="D756" s="16" t="s">
        <v>13038</v>
      </c>
      <c r="E756" s="16"/>
      <c r="F756" s="16"/>
      <c r="G756" s="16"/>
      <c r="H756" s="16"/>
      <c r="I756" s="19" t="s">
        <v>3036</v>
      </c>
      <c r="J756" s="16"/>
      <c r="K756" s="16" t="s">
        <v>3037</v>
      </c>
      <c r="L756" s="16" t="s">
        <v>3025</v>
      </c>
      <c r="M756" s="16" t="str">
        <f>HYPERLINK("https://ceds.ed.gov/cedselementdetails.aspx?termid=26342")</f>
        <v>https://ceds.ed.gov/cedselementdetails.aspx?termid=26342</v>
      </c>
    </row>
    <row r="757" spans="1:13" ht="201.6" x14ac:dyDescent="0.3">
      <c r="A757" s="16" t="s">
        <v>8942</v>
      </c>
      <c r="B757" s="16" t="s">
        <v>8943</v>
      </c>
      <c r="C757" s="16" t="s">
        <v>9291</v>
      </c>
      <c r="D757" s="16" t="s">
        <v>5466</v>
      </c>
      <c r="E757" s="16"/>
      <c r="F757" s="16" t="s">
        <v>2</v>
      </c>
      <c r="G757" s="16"/>
      <c r="H757" s="16"/>
      <c r="I757" s="19" t="s">
        <v>8944</v>
      </c>
      <c r="J757" s="16"/>
      <c r="K757" s="16" t="s">
        <v>8945</v>
      </c>
      <c r="L757" s="16"/>
      <c r="M757" s="16" t="str">
        <f>HYPERLINK("https://ceds.ed.gov/cedselementdetails.aspx?termid=28012")</f>
        <v>https://ceds.ed.gov/cedselementdetails.aspx?termid=28012</v>
      </c>
    </row>
    <row r="758" spans="1:13" ht="244.8" x14ac:dyDescent="0.3">
      <c r="A758" s="16" t="s">
        <v>3038</v>
      </c>
      <c r="B758" s="16" t="s">
        <v>3039</v>
      </c>
      <c r="C758" s="16" t="s">
        <v>22</v>
      </c>
      <c r="D758" s="16" t="s">
        <v>8320</v>
      </c>
      <c r="E758" s="16"/>
      <c r="F758" s="16"/>
      <c r="G758" s="16"/>
      <c r="H758" s="16" t="s">
        <v>3040</v>
      </c>
      <c r="I758" s="19" t="s">
        <v>3041</v>
      </c>
      <c r="J758" s="16"/>
      <c r="K758" s="16" t="s">
        <v>3042</v>
      </c>
      <c r="L758" s="16"/>
      <c r="M758" s="16" t="str">
        <f>HYPERLINK("https://ceds.ed.gov/cedselementdetails.aspx?termid=26974")</f>
        <v>https://ceds.ed.gov/cedselementdetails.aspx?termid=26974</v>
      </c>
    </row>
    <row r="759" spans="1:13" ht="187.2" x14ac:dyDescent="0.3">
      <c r="A759" s="16" t="s">
        <v>3043</v>
      </c>
      <c r="B759" s="16" t="s">
        <v>3044</v>
      </c>
      <c r="C759" s="16" t="s">
        <v>8494</v>
      </c>
      <c r="D759" s="16" t="s">
        <v>8495</v>
      </c>
      <c r="E759" s="16"/>
      <c r="F759" s="16"/>
      <c r="G759" s="16"/>
      <c r="H759" s="16" t="s">
        <v>7936</v>
      </c>
      <c r="I759" s="19" t="s">
        <v>3045</v>
      </c>
      <c r="J759" s="16"/>
      <c r="K759" s="16" t="s">
        <v>3046</v>
      </c>
      <c r="L759" s="16" t="s">
        <v>3047</v>
      </c>
      <c r="M759" s="16" t="str">
        <f>HYPERLINK("https://ceds.ed.gov/cedselementdetails.aspx?termid=26335")</f>
        <v>https://ceds.ed.gov/cedselementdetails.aspx?termid=26335</v>
      </c>
    </row>
    <row r="760" spans="1:13" ht="43.2" x14ac:dyDescent="0.3">
      <c r="A760" s="16" t="s">
        <v>3048</v>
      </c>
      <c r="B760" s="16" t="s">
        <v>3049</v>
      </c>
      <c r="C760" s="16" t="s">
        <v>32</v>
      </c>
      <c r="D760" s="16" t="s">
        <v>8496</v>
      </c>
      <c r="E760" s="16"/>
      <c r="F760" s="16" t="s">
        <v>106</v>
      </c>
      <c r="G760" s="16"/>
      <c r="H760" s="16"/>
      <c r="I760" s="19" t="s">
        <v>3050</v>
      </c>
      <c r="J760" s="16"/>
      <c r="K760" s="16" t="s">
        <v>3051</v>
      </c>
      <c r="L760" s="16"/>
      <c r="M760" s="16" t="str">
        <f>HYPERLINK("https://ceds.ed.gov/cedselementdetails.aspx?termid=26682")</f>
        <v>https://ceds.ed.gov/cedselementdetails.aspx?termid=26682</v>
      </c>
    </row>
    <row r="761" spans="1:13" ht="115.2" x14ac:dyDescent="0.3">
      <c r="A761" s="16" t="s">
        <v>3052</v>
      </c>
      <c r="B761" s="16" t="s">
        <v>3053</v>
      </c>
      <c r="C761" s="16" t="s">
        <v>8497</v>
      </c>
      <c r="D761" s="16" t="s">
        <v>8496</v>
      </c>
      <c r="E761" s="16"/>
      <c r="F761" s="16"/>
      <c r="G761" s="16"/>
      <c r="H761" s="16"/>
      <c r="I761" s="19" t="s">
        <v>3054</v>
      </c>
      <c r="J761" s="16"/>
      <c r="K761" s="16" t="s">
        <v>3055</v>
      </c>
      <c r="L761" s="16" t="s">
        <v>1977</v>
      </c>
      <c r="M761" s="16" t="str">
        <f>HYPERLINK("https://ceds.ed.gov/cedselementdetails.aspx?termid=26310")</f>
        <v>https://ceds.ed.gov/cedselementdetails.aspx?termid=26310</v>
      </c>
    </row>
    <row r="762" spans="1:13" ht="57.6" x14ac:dyDescent="0.3">
      <c r="A762" s="16" t="s">
        <v>3056</v>
      </c>
      <c r="B762" s="16" t="s">
        <v>3057</v>
      </c>
      <c r="C762" s="16" t="s">
        <v>8498</v>
      </c>
      <c r="D762" s="16" t="s">
        <v>1837</v>
      </c>
      <c r="E762" s="16"/>
      <c r="F762" s="16"/>
      <c r="G762" s="16"/>
      <c r="H762" s="16"/>
      <c r="I762" s="19" t="s">
        <v>3058</v>
      </c>
      <c r="J762" s="16"/>
      <c r="K762" s="16" t="s">
        <v>3059</v>
      </c>
      <c r="L762" s="16" t="s">
        <v>3060</v>
      </c>
      <c r="M762" s="16" t="str">
        <f>HYPERLINK("https://ceds.ed.gov/cedselementdetails.aspx?termid=26079")</f>
        <v>https://ceds.ed.gov/cedselementdetails.aspx?termid=26079</v>
      </c>
    </row>
    <row r="763" spans="1:13" ht="72" x14ac:dyDescent="0.3">
      <c r="A763" s="16" t="s">
        <v>3061</v>
      </c>
      <c r="B763" s="16" t="s">
        <v>3062</v>
      </c>
      <c r="C763" s="16" t="s">
        <v>22</v>
      </c>
      <c r="D763" s="16" t="s">
        <v>1499</v>
      </c>
      <c r="E763" s="16"/>
      <c r="F763" s="16"/>
      <c r="G763" s="16"/>
      <c r="H763" s="16"/>
      <c r="I763" s="19" t="s">
        <v>3063</v>
      </c>
      <c r="J763" s="16"/>
      <c r="K763" s="16" t="s">
        <v>3064</v>
      </c>
      <c r="L763" s="16" t="s">
        <v>25</v>
      </c>
      <c r="M763" s="16" t="str">
        <f>HYPERLINK("https://ceds.ed.gov/cedselementdetails.aspx?termid=26080")</f>
        <v>https://ceds.ed.gov/cedselementdetails.aspx?termid=26080</v>
      </c>
    </row>
    <row r="764" spans="1:13" ht="172.8" x14ac:dyDescent="0.3">
      <c r="A764" s="16" t="s">
        <v>3065</v>
      </c>
      <c r="B764" s="16" t="s">
        <v>3066</v>
      </c>
      <c r="C764" s="16" t="s">
        <v>32</v>
      </c>
      <c r="D764" s="16" t="s">
        <v>2437</v>
      </c>
      <c r="E764" s="16"/>
      <c r="F764" s="16" t="s">
        <v>120</v>
      </c>
      <c r="G764" s="16"/>
      <c r="H764" s="16" t="s">
        <v>7817</v>
      </c>
      <c r="I764" s="19" t="s">
        <v>3067</v>
      </c>
      <c r="J764" s="16"/>
      <c r="K764" s="16" t="s">
        <v>3068</v>
      </c>
      <c r="L764" s="16" t="s">
        <v>1516</v>
      </c>
      <c r="M764" s="16" t="str">
        <f>HYPERLINK("https://ceds.ed.gov/cedselementdetails.aspx?termid=26426")</f>
        <v>https://ceds.ed.gov/cedselementdetails.aspx?termid=26426</v>
      </c>
    </row>
    <row r="765" spans="1:13" ht="43.2" x14ac:dyDescent="0.3">
      <c r="A765" s="16" t="s">
        <v>3069</v>
      </c>
      <c r="B765" s="16" t="s">
        <v>7937</v>
      </c>
      <c r="C765" s="16" t="s">
        <v>8499</v>
      </c>
      <c r="D765" s="16" t="s">
        <v>2074</v>
      </c>
      <c r="E765" s="16"/>
      <c r="F765" s="16"/>
      <c r="G765" s="16"/>
      <c r="H765" s="16"/>
      <c r="I765" s="19" t="s">
        <v>3070</v>
      </c>
      <c r="J765" s="16"/>
      <c r="K765" s="16" t="s">
        <v>3071</v>
      </c>
      <c r="L765" s="16" t="s">
        <v>3072</v>
      </c>
      <c r="M765" s="16" t="str">
        <f>HYPERLINK("https://ceds.ed.gov/cedselementdetails.aspx?termid=27567")</f>
        <v>https://ceds.ed.gov/cedselementdetails.aspx?termid=27567</v>
      </c>
    </row>
    <row r="766" spans="1:13" ht="158.4" x14ac:dyDescent="0.3">
      <c r="A766" s="16" t="s">
        <v>3073</v>
      </c>
      <c r="B766" s="16" t="s">
        <v>3074</v>
      </c>
      <c r="C766" s="16" t="s">
        <v>8500</v>
      </c>
      <c r="D766" s="16" t="s">
        <v>3075</v>
      </c>
      <c r="E766" s="16"/>
      <c r="F766" s="16"/>
      <c r="G766" s="16"/>
      <c r="H766" s="16"/>
      <c r="I766" s="19" t="s">
        <v>3076</v>
      </c>
      <c r="J766" s="16"/>
      <c r="K766" s="16" t="s">
        <v>3077</v>
      </c>
      <c r="L766" s="16" t="s">
        <v>3072</v>
      </c>
      <c r="M766" s="16" t="str">
        <f>HYPERLINK("https://ceds.ed.gov/cedselementdetails.aspx?termid=27568")</f>
        <v>https://ceds.ed.gov/cedselementdetails.aspx?termid=27568</v>
      </c>
    </row>
    <row r="767" spans="1:13" ht="216" x14ac:dyDescent="0.3">
      <c r="A767" s="16" t="s">
        <v>3078</v>
      </c>
      <c r="B767" s="16" t="s">
        <v>3079</v>
      </c>
      <c r="C767" s="16" t="s">
        <v>8501</v>
      </c>
      <c r="D767" s="16" t="s">
        <v>7899</v>
      </c>
      <c r="E767" s="16"/>
      <c r="F767" s="16"/>
      <c r="G767" s="16"/>
      <c r="H767" s="16"/>
      <c r="I767" s="19" t="s">
        <v>3080</v>
      </c>
      <c r="J767" s="16"/>
      <c r="K767" s="16" t="s">
        <v>3081</v>
      </c>
      <c r="L767" s="16" t="s">
        <v>1977</v>
      </c>
      <c r="M767" s="16" t="str">
        <f>HYPERLINK("https://ceds.ed.gov/cedselementdetails.aspx?termid=26315")</f>
        <v>https://ceds.ed.gov/cedselementdetails.aspx?termid=26315</v>
      </c>
    </row>
    <row r="768" spans="1:13" ht="43.2" x14ac:dyDescent="0.3">
      <c r="A768" s="16" t="s">
        <v>3082</v>
      </c>
      <c r="B768" s="16" t="s">
        <v>3083</v>
      </c>
      <c r="C768" s="16" t="s">
        <v>32</v>
      </c>
      <c r="D768" s="16" t="s">
        <v>1217</v>
      </c>
      <c r="E768" s="16"/>
      <c r="F768" s="16" t="s">
        <v>101</v>
      </c>
      <c r="G768" s="16"/>
      <c r="H768" s="16"/>
      <c r="I768" s="19" t="s">
        <v>3084</v>
      </c>
      <c r="J768" s="16"/>
      <c r="K768" s="16" t="s">
        <v>3085</v>
      </c>
      <c r="L768" s="16"/>
      <c r="M768" s="16" t="str">
        <f>HYPERLINK("https://ceds.ed.gov/cedselementdetails.aspx?termid=27011")</f>
        <v>https://ceds.ed.gov/cedselementdetails.aspx?termid=27011</v>
      </c>
    </row>
    <row r="769" spans="1:13" ht="57.6" x14ac:dyDescent="0.3">
      <c r="A769" s="16" t="s">
        <v>3086</v>
      </c>
      <c r="B769" s="16" t="s">
        <v>3087</v>
      </c>
      <c r="C769" s="16" t="s">
        <v>8317</v>
      </c>
      <c r="D769" s="16" t="s">
        <v>7938</v>
      </c>
      <c r="E769" s="16"/>
      <c r="F769" s="16"/>
      <c r="G769" s="16"/>
      <c r="H769" s="16"/>
      <c r="I769" s="19" t="s">
        <v>3088</v>
      </c>
      <c r="J769" s="16"/>
      <c r="K769" s="16" t="s">
        <v>3089</v>
      </c>
      <c r="L769" s="16" t="s">
        <v>195</v>
      </c>
      <c r="M769" s="16" t="str">
        <f>HYPERLINK("https://ceds.ed.gov/cedselementdetails.aspx?termid=26868")</f>
        <v>https://ceds.ed.gov/cedselementdetails.aspx?termid=26868</v>
      </c>
    </row>
    <row r="770" spans="1:13" ht="187.2" x14ac:dyDescent="0.3">
      <c r="A770" s="16" t="s">
        <v>3090</v>
      </c>
      <c r="B770" s="16" t="s">
        <v>3091</v>
      </c>
      <c r="C770" s="16" t="s">
        <v>32</v>
      </c>
      <c r="D770" s="16" t="s">
        <v>3092</v>
      </c>
      <c r="E770" s="16"/>
      <c r="F770" s="16" t="s">
        <v>3093</v>
      </c>
      <c r="G770" s="16"/>
      <c r="H770" s="16"/>
      <c r="I770" s="19" t="s">
        <v>3094</v>
      </c>
      <c r="J770" s="16"/>
      <c r="K770" s="16" t="s">
        <v>3095</v>
      </c>
      <c r="L770" s="16" t="s">
        <v>3096</v>
      </c>
      <c r="M770" s="16" t="str">
        <f>HYPERLINK("https://ceds.ed.gov/cedselementdetails.aspx?termid=26081")</f>
        <v>https://ceds.ed.gov/cedselementdetails.aspx?termid=26081</v>
      </c>
    </row>
    <row r="771" spans="1:13" ht="72" x14ac:dyDescent="0.3">
      <c r="A771" s="16" t="s">
        <v>3097</v>
      </c>
      <c r="B771" s="16" t="s">
        <v>3098</v>
      </c>
      <c r="C771" s="16" t="s">
        <v>8502</v>
      </c>
      <c r="D771" s="16" t="s">
        <v>3099</v>
      </c>
      <c r="E771" s="16"/>
      <c r="F771" s="16"/>
      <c r="G771" s="16"/>
      <c r="H771" s="16"/>
      <c r="I771" s="19" t="s">
        <v>3100</v>
      </c>
      <c r="J771" s="16"/>
      <c r="K771" s="16" t="s">
        <v>3101</v>
      </c>
      <c r="L771" s="16" t="s">
        <v>3102</v>
      </c>
      <c r="M771" s="16" t="str">
        <f>HYPERLINK("https://ceds.ed.gov/cedselementdetails.aspx?termid=27569")</f>
        <v>https://ceds.ed.gov/cedselementdetails.aspx?termid=27569</v>
      </c>
    </row>
    <row r="772" spans="1:13" ht="72" x14ac:dyDescent="0.3">
      <c r="A772" s="16" t="s">
        <v>3103</v>
      </c>
      <c r="B772" s="16" t="s">
        <v>3104</v>
      </c>
      <c r="C772" s="16" t="s">
        <v>8503</v>
      </c>
      <c r="D772" s="16" t="s">
        <v>86</v>
      </c>
      <c r="E772" s="16"/>
      <c r="F772" s="16"/>
      <c r="G772" s="16"/>
      <c r="H772" s="16"/>
      <c r="I772" s="19" t="s">
        <v>3105</v>
      </c>
      <c r="J772" s="16" t="s">
        <v>3106</v>
      </c>
      <c r="K772" s="16" t="s">
        <v>3107</v>
      </c>
      <c r="L772" s="16"/>
      <c r="M772" s="16" t="str">
        <f>HYPERLINK("https://ceds.ed.gov/cedselementdetails.aspx?termid=27285")</f>
        <v>https://ceds.ed.gov/cedselementdetails.aspx?termid=27285</v>
      </c>
    </row>
    <row r="773" spans="1:13" ht="230.4" x14ac:dyDescent="0.3">
      <c r="A773" s="16" t="s">
        <v>3108</v>
      </c>
      <c r="B773" s="16" t="s">
        <v>3109</v>
      </c>
      <c r="C773" s="16" t="s">
        <v>8504</v>
      </c>
      <c r="D773" s="16" t="s">
        <v>8505</v>
      </c>
      <c r="E773" s="16"/>
      <c r="F773" s="16"/>
      <c r="G773" s="16"/>
      <c r="H773" s="16" t="s">
        <v>3110</v>
      </c>
      <c r="I773" s="19" t="s">
        <v>3111</v>
      </c>
      <c r="J773" s="16"/>
      <c r="K773" s="16" t="s">
        <v>3112</v>
      </c>
      <c r="L773" s="16"/>
      <c r="M773" s="16" t="str">
        <f>HYPERLINK("https://ceds.ed.gov/cedselementdetails.aspx?termid=27286")</f>
        <v>https://ceds.ed.gov/cedselementdetails.aspx?termid=27286</v>
      </c>
    </row>
    <row r="774" spans="1:13" ht="172.8" x14ac:dyDescent="0.3">
      <c r="A774" s="16" t="s">
        <v>3113</v>
      </c>
      <c r="B774" s="16" t="s">
        <v>3114</v>
      </c>
      <c r="C774" s="16" t="s">
        <v>8506</v>
      </c>
      <c r="D774" s="16" t="s">
        <v>8507</v>
      </c>
      <c r="E774" s="16"/>
      <c r="F774" s="16"/>
      <c r="G774" s="16"/>
      <c r="H774" s="16" t="s">
        <v>3110</v>
      </c>
      <c r="I774" s="19" t="s">
        <v>3115</v>
      </c>
      <c r="J774" s="16"/>
      <c r="K774" s="16" t="s">
        <v>3116</v>
      </c>
      <c r="L774" s="16"/>
      <c r="M774" s="16" t="str">
        <f>HYPERLINK("https://ceds.ed.gov/cedselementdetails.aspx?termid=27287")</f>
        <v>https://ceds.ed.gov/cedselementdetails.aspx?termid=27287</v>
      </c>
    </row>
    <row r="775" spans="1:13" ht="158.4" x14ac:dyDescent="0.3">
      <c r="A775" s="16" t="s">
        <v>3117</v>
      </c>
      <c r="B775" s="16" t="s">
        <v>3118</v>
      </c>
      <c r="C775" s="16" t="s">
        <v>22</v>
      </c>
      <c r="D775" s="16" t="s">
        <v>8508</v>
      </c>
      <c r="E775" s="16"/>
      <c r="F775" s="16"/>
      <c r="G775" s="16"/>
      <c r="H775" s="16"/>
      <c r="I775" s="19" t="s">
        <v>3119</v>
      </c>
      <c r="J775" s="16"/>
      <c r="K775" s="16" t="s">
        <v>3120</v>
      </c>
      <c r="L775" s="16" t="s">
        <v>214</v>
      </c>
      <c r="M775" s="16" t="str">
        <f>HYPERLINK("https://ceds.ed.gov/cedselementdetails.aspx?termid=26569")</f>
        <v>https://ceds.ed.gov/cedselementdetails.aspx?termid=26569</v>
      </c>
    </row>
    <row r="776" spans="1:13" ht="57.6" x14ac:dyDescent="0.3">
      <c r="A776" s="16" t="s">
        <v>3121</v>
      </c>
      <c r="B776" s="16" t="s">
        <v>3122</v>
      </c>
      <c r="C776" s="16" t="s">
        <v>32</v>
      </c>
      <c r="D776" s="16" t="s">
        <v>3123</v>
      </c>
      <c r="E776" s="16"/>
      <c r="F776" s="16" t="s">
        <v>106</v>
      </c>
      <c r="G776" s="16"/>
      <c r="H776" s="16" t="s">
        <v>131</v>
      </c>
      <c r="I776" s="19" t="s">
        <v>3124</v>
      </c>
      <c r="J776" s="16"/>
      <c r="K776" s="16" t="s">
        <v>3125</v>
      </c>
      <c r="L776" s="16" t="s">
        <v>25</v>
      </c>
      <c r="M776" s="16" t="str">
        <f>HYPERLINK("https://ceds.ed.gov/cedselementdetails.aspx?termid=26082")</f>
        <v>https://ceds.ed.gov/cedselementdetails.aspx?termid=26082</v>
      </c>
    </row>
    <row r="777" spans="1:13" ht="72" x14ac:dyDescent="0.3">
      <c r="A777" s="16" t="s">
        <v>3126</v>
      </c>
      <c r="B777" s="16" t="s">
        <v>3127</v>
      </c>
      <c r="C777" s="16" t="s">
        <v>22</v>
      </c>
      <c r="D777" s="16" t="s">
        <v>3128</v>
      </c>
      <c r="E777" s="16"/>
      <c r="F777" s="16"/>
      <c r="G777" s="16"/>
      <c r="H777" s="16"/>
      <c r="I777" s="19" t="s">
        <v>3129</v>
      </c>
      <c r="J777" s="16"/>
      <c r="K777" s="16" t="s">
        <v>3130</v>
      </c>
      <c r="L777" s="16"/>
      <c r="M777" s="16" t="str">
        <f>HYPERLINK("https://ceds.ed.gov/cedselementdetails.aspx?termid=27288")</f>
        <v>https://ceds.ed.gov/cedselementdetails.aspx?termid=27288</v>
      </c>
    </row>
    <row r="778" spans="1:13" ht="43.2" x14ac:dyDescent="0.3">
      <c r="A778" s="16" t="s">
        <v>3131</v>
      </c>
      <c r="B778" s="16" t="s">
        <v>3132</v>
      </c>
      <c r="C778" s="16" t="s">
        <v>32</v>
      </c>
      <c r="D778" s="16" t="s">
        <v>3123</v>
      </c>
      <c r="E778" s="16"/>
      <c r="F778" s="16" t="s">
        <v>106</v>
      </c>
      <c r="G778" s="16"/>
      <c r="H778" s="16"/>
      <c r="I778" s="19" t="s">
        <v>3133</v>
      </c>
      <c r="J778" s="16"/>
      <c r="K778" s="16" t="s">
        <v>3134</v>
      </c>
      <c r="L778" s="16" t="s">
        <v>25</v>
      </c>
      <c r="M778" s="16" t="str">
        <f>HYPERLINK("https://ceds.ed.gov/cedselementdetails.aspx?termid=26083")</f>
        <v>https://ceds.ed.gov/cedselementdetails.aspx?termid=26083</v>
      </c>
    </row>
    <row r="779" spans="1:13" ht="409.6" x14ac:dyDescent="0.3">
      <c r="A779" s="16" t="s">
        <v>3135</v>
      </c>
      <c r="B779" s="16" t="s">
        <v>3136</v>
      </c>
      <c r="C779" s="16" t="s">
        <v>9429</v>
      </c>
      <c r="D779" s="16" t="s">
        <v>3123</v>
      </c>
      <c r="E779" s="16"/>
      <c r="F779" s="16"/>
      <c r="G779" s="16"/>
      <c r="H779" s="16"/>
      <c r="I779" s="19" t="s">
        <v>3137</v>
      </c>
      <c r="J779" s="16"/>
      <c r="K779" s="16" t="s">
        <v>3138</v>
      </c>
      <c r="L779" s="16" t="s">
        <v>25</v>
      </c>
      <c r="M779" s="16" t="str">
        <f>HYPERLINK("https://ceds.ed.gov/cedselementdetails.aspx?termid=26479")</f>
        <v>https://ceds.ed.gov/cedselementdetails.aspx?termid=26479</v>
      </c>
    </row>
    <row r="780" spans="1:13" ht="259.2" x14ac:dyDescent="0.3">
      <c r="A780" s="16" t="s">
        <v>3139</v>
      </c>
      <c r="B780" s="16" t="s">
        <v>3140</v>
      </c>
      <c r="C780" s="16" t="s">
        <v>8509</v>
      </c>
      <c r="D780" s="16" t="s">
        <v>3123</v>
      </c>
      <c r="E780" s="16"/>
      <c r="F780" s="16"/>
      <c r="G780" s="16"/>
      <c r="H780" s="16"/>
      <c r="I780" s="19" t="s">
        <v>3141</v>
      </c>
      <c r="J780" s="16"/>
      <c r="K780" s="16" t="s">
        <v>3142</v>
      </c>
      <c r="L780" s="16"/>
      <c r="M780" s="16" t="str">
        <f>HYPERLINK("https://ceds.ed.gov/cedselementdetails.aspx?termid=26602")</f>
        <v>https://ceds.ed.gov/cedselementdetails.aspx?termid=26602</v>
      </c>
    </row>
    <row r="781" spans="1:13" ht="216" x14ac:dyDescent="0.3">
      <c r="A781" s="16" t="s">
        <v>3143</v>
      </c>
      <c r="B781" s="16" t="s">
        <v>3144</v>
      </c>
      <c r="C781" s="16" t="s">
        <v>8510</v>
      </c>
      <c r="D781" s="16" t="s">
        <v>3128</v>
      </c>
      <c r="E781" s="16"/>
      <c r="F781" s="16"/>
      <c r="G781" s="16"/>
      <c r="H781" s="16"/>
      <c r="I781" s="19" t="s">
        <v>3145</v>
      </c>
      <c r="J781" s="16"/>
      <c r="K781" s="16" t="s">
        <v>3146</v>
      </c>
      <c r="L781" s="16" t="s">
        <v>214</v>
      </c>
      <c r="M781" s="16" t="str">
        <f>HYPERLINK("https://ceds.ed.gov/cedselementdetails.aspx?termid=26546")</f>
        <v>https://ceds.ed.gov/cedselementdetails.aspx?termid=26546</v>
      </c>
    </row>
    <row r="782" spans="1:13" ht="57.6" x14ac:dyDescent="0.3">
      <c r="A782" s="16" t="s">
        <v>3147</v>
      </c>
      <c r="B782" s="16" t="s">
        <v>3148</v>
      </c>
      <c r="C782" s="16" t="s">
        <v>8511</v>
      </c>
      <c r="D782" s="16" t="s">
        <v>3128</v>
      </c>
      <c r="E782" s="16"/>
      <c r="F782" s="16"/>
      <c r="G782" s="16"/>
      <c r="H782" s="16"/>
      <c r="I782" s="19" t="s">
        <v>3149</v>
      </c>
      <c r="J782" s="16"/>
      <c r="K782" s="16" t="s">
        <v>3150</v>
      </c>
      <c r="L782" s="16" t="s">
        <v>214</v>
      </c>
      <c r="M782" s="16" t="str">
        <f>HYPERLINK("https://ceds.ed.gov/cedselementdetails.aspx?termid=26529")</f>
        <v>https://ceds.ed.gov/cedselementdetails.aspx?termid=26529</v>
      </c>
    </row>
    <row r="783" spans="1:13" ht="158.4" x14ac:dyDescent="0.3">
      <c r="A783" s="16" t="s">
        <v>3151</v>
      </c>
      <c r="B783" s="16" t="s">
        <v>3152</v>
      </c>
      <c r="C783" s="16" t="s">
        <v>8512</v>
      </c>
      <c r="D783" s="16" t="s">
        <v>3123</v>
      </c>
      <c r="E783" s="16"/>
      <c r="F783" s="16"/>
      <c r="G783" s="16"/>
      <c r="H783" s="16"/>
      <c r="I783" s="19" t="s">
        <v>3153</v>
      </c>
      <c r="J783" s="16"/>
      <c r="K783" s="16" t="s">
        <v>3154</v>
      </c>
      <c r="L783" s="16" t="s">
        <v>214</v>
      </c>
      <c r="M783" s="16" t="str">
        <f>HYPERLINK("https://ceds.ed.gov/cedselementdetails.aspx?termid=26536")</f>
        <v>https://ceds.ed.gov/cedselementdetails.aspx?termid=26536</v>
      </c>
    </row>
    <row r="784" spans="1:13" ht="115.2" x14ac:dyDescent="0.3">
      <c r="A784" s="16" t="s">
        <v>3155</v>
      </c>
      <c r="B784" s="16" t="s">
        <v>3156</v>
      </c>
      <c r="C784" s="16" t="s">
        <v>22</v>
      </c>
      <c r="D784" s="16" t="s">
        <v>13039</v>
      </c>
      <c r="E784" s="16"/>
      <c r="F784" s="16"/>
      <c r="G784" s="16"/>
      <c r="H784" s="16"/>
      <c r="I784" s="19" t="s">
        <v>3157</v>
      </c>
      <c r="J784" s="16"/>
      <c r="K784" s="16" t="s">
        <v>3158</v>
      </c>
      <c r="L784" s="16"/>
      <c r="M784" s="16" t="str">
        <f>HYPERLINK("https://ceds.ed.gov/cedselementdetails.aspx?termid=26759")</f>
        <v>https://ceds.ed.gov/cedselementdetails.aspx?termid=26759</v>
      </c>
    </row>
    <row r="785" spans="1:13" ht="43.2" x14ac:dyDescent="0.3">
      <c r="A785" s="16" t="s">
        <v>3159</v>
      </c>
      <c r="B785" s="16" t="s">
        <v>3160</v>
      </c>
      <c r="C785" s="16" t="s">
        <v>22</v>
      </c>
      <c r="D785" s="16" t="s">
        <v>3099</v>
      </c>
      <c r="E785" s="16"/>
      <c r="F785" s="16"/>
      <c r="G785" s="16"/>
      <c r="H785" s="16"/>
      <c r="I785" s="19" t="s">
        <v>3162</v>
      </c>
      <c r="J785" s="16"/>
      <c r="K785" s="16" t="s">
        <v>3163</v>
      </c>
      <c r="L785" s="16"/>
      <c r="M785" s="16" t="str">
        <f>HYPERLINK("https://ceds.ed.gov/cedselementdetails.aspx?termid=26603")</f>
        <v>https://ceds.ed.gov/cedselementdetails.aspx?termid=26603</v>
      </c>
    </row>
    <row r="786" spans="1:13" ht="57.6" x14ac:dyDescent="0.3">
      <c r="A786" s="16" t="s">
        <v>12740</v>
      </c>
      <c r="B786" s="16" t="s">
        <v>12741</v>
      </c>
      <c r="C786" s="16" t="s">
        <v>12905</v>
      </c>
      <c r="D786" s="16" t="s">
        <v>12887</v>
      </c>
      <c r="E786" s="16" t="s">
        <v>155</v>
      </c>
      <c r="F786" s="16" t="s">
        <v>2</v>
      </c>
      <c r="G786" s="16" t="s">
        <v>12636</v>
      </c>
      <c r="H786" s="16"/>
      <c r="I786" s="19" t="s">
        <v>12742</v>
      </c>
      <c r="J786" s="16"/>
      <c r="K786" s="16" t="s">
        <v>12743</v>
      </c>
      <c r="L786" s="16"/>
      <c r="M786" s="16" t="str">
        <f>HYPERLINK("https://ceds.ed.gov/cedselementdetails.aspx?termid=28135")</f>
        <v>https://ceds.ed.gov/cedselementdetails.aspx?termid=28135</v>
      </c>
    </row>
    <row r="787" spans="1:13" ht="302.39999999999998" x14ac:dyDescent="0.3">
      <c r="A787" s="16" t="s">
        <v>3164</v>
      </c>
      <c r="B787" s="16" t="s">
        <v>7939</v>
      </c>
      <c r="C787" s="16" t="s">
        <v>8513</v>
      </c>
      <c r="D787" s="16" t="s">
        <v>3165</v>
      </c>
      <c r="E787" s="16"/>
      <c r="F787" s="16"/>
      <c r="G787" s="16"/>
      <c r="H787" s="16" t="s">
        <v>3166</v>
      </c>
      <c r="I787" s="19" t="s">
        <v>3167</v>
      </c>
      <c r="J787" s="16"/>
      <c r="K787" s="16" t="s">
        <v>3168</v>
      </c>
      <c r="L787" s="16" t="s">
        <v>3169</v>
      </c>
      <c r="M787" s="16" t="str">
        <f>HYPERLINK("https://ceds.ed.gov/cedselementdetails.aspx?termid=26704")</f>
        <v>https://ceds.ed.gov/cedselementdetails.aspx?termid=26704</v>
      </c>
    </row>
    <row r="788" spans="1:13" ht="158.4" x14ac:dyDescent="0.3">
      <c r="A788" s="16" t="s">
        <v>3170</v>
      </c>
      <c r="B788" s="16" t="s">
        <v>3171</v>
      </c>
      <c r="C788" s="16" t="s">
        <v>22</v>
      </c>
      <c r="D788" s="16" t="s">
        <v>3172</v>
      </c>
      <c r="E788" s="16"/>
      <c r="F788" s="16"/>
      <c r="G788" s="16"/>
      <c r="H788" s="16" t="s">
        <v>3166</v>
      </c>
      <c r="I788" s="19" t="s">
        <v>3173</v>
      </c>
      <c r="J788" s="16"/>
      <c r="K788" s="16" t="s">
        <v>3174</v>
      </c>
      <c r="L788" s="16"/>
      <c r="M788" s="16" t="str">
        <f>HYPERLINK("https://ceds.ed.gov/cedselementdetails.aspx?termid=27289")</f>
        <v>https://ceds.ed.gov/cedselementdetails.aspx?termid=27289</v>
      </c>
    </row>
    <row r="789" spans="1:13" ht="43.2" x14ac:dyDescent="0.3">
      <c r="A789" s="16" t="s">
        <v>8946</v>
      </c>
      <c r="B789" s="16" t="s">
        <v>8947</v>
      </c>
      <c r="C789" s="16" t="s">
        <v>22</v>
      </c>
      <c r="D789" s="16" t="s">
        <v>12978</v>
      </c>
      <c r="E789" s="16"/>
      <c r="F789" s="16" t="s">
        <v>2</v>
      </c>
      <c r="G789" s="16"/>
      <c r="H789" s="16"/>
      <c r="I789" s="19" t="s">
        <v>8948</v>
      </c>
      <c r="J789" s="16"/>
      <c r="K789" s="16" t="s">
        <v>8949</v>
      </c>
      <c r="L789" s="16"/>
      <c r="M789" s="16" t="str">
        <f>HYPERLINK("https://ceds.ed.gov/cedselementdetails.aspx?termid=28013")</f>
        <v>https://ceds.ed.gov/cedselementdetails.aspx?termid=28013</v>
      </c>
    </row>
    <row r="790" spans="1:13" ht="409.6" x14ac:dyDescent="0.3">
      <c r="A790" s="16" t="s">
        <v>3175</v>
      </c>
      <c r="B790" s="16" t="s">
        <v>3176</v>
      </c>
      <c r="C790" s="16" t="s">
        <v>2987</v>
      </c>
      <c r="D790" s="16" t="s">
        <v>9364</v>
      </c>
      <c r="E790" s="16"/>
      <c r="F790" s="16"/>
      <c r="G790" s="16"/>
      <c r="H790" s="16"/>
      <c r="I790" s="19" t="s">
        <v>3177</v>
      </c>
      <c r="J790" s="16"/>
      <c r="K790" s="16" t="s">
        <v>3178</v>
      </c>
      <c r="L790" s="16"/>
      <c r="M790" s="16" t="str">
        <f>HYPERLINK("https://ceds.ed.gov/cedselementdetails.aspx?termid=27905")</f>
        <v>https://ceds.ed.gov/cedselementdetails.aspx?termid=27905</v>
      </c>
    </row>
    <row r="791" spans="1:13" ht="72" x14ac:dyDescent="0.3">
      <c r="A791" s="16" t="s">
        <v>3179</v>
      </c>
      <c r="B791" s="16" t="s">
        <v>3180</v>
      </c>
      <c r="C791" s="16" t="s">
        <v>8514</v>
      </c>
      <c r="D791" s="16" t="s">
        <v>3181</v>
      </c>
      <c r="E791" s="16"/>
      <c r="F791" s="16"/>
      <c r="G791" s="16"/>
      <c r="H791" s="16"/>
      <c r="I791" s="19" t="s">
        <v>3182</v>
      </c>
      <c r="J791" s="16"/>
      <c r="K791" s="16" t="s">
        <v>3183</v>
      </c>
      <c r="L791" s="16"/>
      <c r="M791" s="16" t="str">
        <f>HYPERLINK("https://ceds.ed.gov/cedselementdetails.aspx?termid=27290")</f>
        <v>https://ceds.ed.gov/cedselementdetails.aspx?termid=27290</v>
      </c>
    </row>
    <row r="792" spans="1:13" ht="28.8" x14ac:dyDescent="0.3">
      <c r="A792" s="16" t="s">
        <v>3184</v>
      </c>
      <c r="B792" s="16" t="s">
        <v>3185</v>
      </c>
      <c r="C792" s="16" t="s">
        <v>32</v>
      </c>
      <c r="D792" s="16" t="s">
        <v>3181</v>
      </c>
      <c r="E792" s="16"/>
      <c r="F792" s="16" t="s">
        <v>106</v>
      </c>
      <c r="G792" s="16"/>
      <c r="H792" s="16"/>
      <c r="I792" s="19" t="s">
        <v>3186</v>
      </c>
      <c r="J792" s="16"/>
      <c r="K792" s="16" t="s">
        <v>3187</v>
      </c>
      <c r="L792" s="16"/>
      <c r="M792" s="16" t="str">
        <f>HYPERLINK("https://ceds.ed.gov/cedselementdetails.aspx?termid=27291")</f>
        <v>https://ceds.ed.gov/cedselementdetails.aspx?termid=27291</v>
      </c>
    </row>
    <row r="793" spans="1:13" ht="43.2" x14ac:dyDescent="0.3">
      <c r="A793" s="16" t="s">
        <v>3188</v>
      </c>
      <c r="B793" s="16" t="s">
        <v>3189</v>
      </c>
      <c r="C793" s="16" t="s">
        <v>32</v>
      </c>
      <c r="D793" s="16" t="s">
        <v>3181</v>
      </c>
      <c r="E793" s="16"/>
      <c r="F793" s="16" t="s">
        <v>106</v>
      </c>
      <c r="G793" s="16"/>
      <c r="H793" s="16"/>
      <c r="I793" s="19" t="s">
        <v>3190</v>
      </c>
      <c r="J793" s="16"/>
      <c r="K793" s="16" t="s">
        <v>3191</v>
      </c>
      <c r="L793" s="16"/>
      <c r="M793" s="16" t="str">
        <f>HYPERLINK("https://ceds.ed.gov/cedselementdetails.aspx?termid=27292")</f>
        <v>https://ceds.ed.gov/cedselementdetails.aspx?termid=27292</v>
      </c>
    </row>
    <row r="794" spans="1:13" ht="129.6" x14ac:dyDescent="0.3">
      <c r="A794" s="16" t="s">
        <v>3192</v>
      </c>
      <c r="B794" s="16" t="s">
        <v>3193</v>
      </c>
      <c r="C794" s="16" t="s">
        <v>8515</v>
      </c>
      <c r="D794" s="16" t="s">
        <v>3181</v>
      </c>
      <c r="E794" s="16"/>
      <c r="F794" s="16"/>
      <c r="G794" s="16"/>
      <c r="H794" s="16"/>
      <c r="I794" s="19" t="s">
        <v>3194</v>
      </c>
      <c r="J794" s="16"/>
      <c r="K794" s="16" t="s">
        <v>3195</v>
      </c>
      <c r="L794" s="16"/>
      <c r="M794" s="16" t="str">
        <f>HYPERLINK("https://ceds.ed.gov/cedselementdetails.aspx?termid=27293")</f>
        <v>https://ceds.ed.gov/cedselementdetails.aspx?termid=27293</v>
      </c>
    </row>
    <row r="795" spans="1:13" ht="144" x14ac:dyDescent="0.3">
      <c r="A795" s="16" t="s">
        <v>3196</v>
      </c>
      <c r="B795" s="16" t="s">
        <v>12979</v>
      </c>
      <c r="C795" s="16" t="s">
        <v>8516</v>
      </c>
      <c r="D795" s="16" t="s">
        <v>3197</v>
      </c>
      <c r="E795" s="16"/>
      <c r="F795" s="16"/>
      <c r="G795" s="16"/>
      <c r="H795" s="16" t="s">
        <v>7940</v>
      </c>
      <c r="I795" s="19" t="s">
        <v>3198</v>
      </c>
      <c r="J795" s="16"/>
      <c r="K795" s="16" t="s">
        <v>3199</v>
      </c>
      <c r="L795" s="16"/>
      <c r="M795" s="16" t="str">
        <f>HYPERLINK("https://ceds.ed.gov/cedselementdetails.aspx?termid=27622")</f>
        <v>https://ceds.ed.gov/cedselementdetails.aspx?termid=27622</v>
      </c>
    </row>
    <row r="796" spans="1:13" ht="409.6" x14ac:dyDescent="0.3">
      <c r="A796" s="16" t="s">
        <v>8950</v>
      </c>
      <c r="B796" s="16" t="s">
        <v>8951</v>
      </c>
      <c r="C796" s="16" t="s">
        <v>9424</v>
      </c>
      <c r="D796" s="16" t="s">
        <v>13040</v>
      </c>
      <c r="E796" s="16"/>
      <c r="F796" s="16" t="s">
        <v>2</v>
      </c>
      <c r="G796" s="16"/>
      <c r="H796" s="16"/>
      <c r="I796" s="19" t="s">
        <v>8952</v>
      </c>
      <c r="J796" s="16"/>
      <c r="K796" s="16" t="s">
        <v>8953</v>
      </c>
      <c r="L796" s="16"/>
      <c r="M796" s="16" t="str">
        <f>HYPERLINK("https://ceds.ed.gov/cedselementdetails.aspx?termid=28014")</f>
        <v>https://ceds.ed.gov/cedselementdetails.aspx?termid=28014</v>
      </c>
    </row>
    <row r="797" spans="1:13" ht="57.6" x14ac:dyDescent="0.3">
      <c r="A797" s="16" t="s">
        <v>3200</v>
      </c>
      <c r="B797" s="16" t="s">
        <v>7941</v>
      </c>
      <c r="C797" s="16" t="s">
        <v>32</v>
      </c>
      <c r="D797" s="16" t="s">
        <v>304</v>
      </c>
      <c r="E797" s="16"/>
      <c r="F797" s="16" t="s">
        <v>1481</v>
      </c>
      <c r="G797" s="16"/>
      <c r="H797" s="16"/>
      <c r="I797" s="19" t="s">
        <v>3201</v>
      </c>
      <c r="J797" s="16"/>
      <c r="K797" s="16" t="s">
        <v>3202</v>
      </c>
      <c r="L797" s="16" t="s">
        <v>58</v>
      </c>
      <c r="M797" s="16" t="str">
        <f>HYPERLINK("https://ceds.ed.gov/cedselementdetails.aspx?termid=26085")</f>
        <v>https://ceds.ed.gov/cedselementdetails.aspx?termid=26085</v>
      </c>
    </row>
    <row r="798" spans="1:13" ht="43.2" x14ac:dyDescent="0.3">
      <c r="A798" s="16" t="s">
        <v>3203</v>
      </c>
      <c r="B798" s="16" t="s">
        <v>3204</v>
      </c>
      <c r="C798" s="16" t="s">
        <v>32</v>
      </c>
      <c r="D798" s="16" t="s">
        <v>9365</v>
      </c>
      <c r="E798" s="16"/>
      <c r="F798" s="16" t="s">
        <v>1662</v>
      </c>
      <c r="G798" s="16"/>
      <c r="H798" s="16"/>
      <c r="I798" s="19" t="s">
        <v>3205</v>
      </c>
      <c r="J798" s="16"/>
      <c r="K798" s="16" t="s">
        <v>3206</v>
      </c>
      <c r="L798" s="16"/>
      <c r="M798" s="16" t="str">
        <f>HYPERLINK("https://ceds.ed.gov/cedselementdetails.aspx?termid=27697")</f>
        <v>https://ceds.ed.gov/cedselementdetails.aspx?termid=27697</v>
      </c>
    </row>
    <row r="799" spans="1:13" ht="43.2" x14ac:dyDescent="0.3">
      <c r="A799" s="16" t="s">
        <v>3207</v>
      </c>
      <c r="B799" s="16" t="s">
        <v>3208</v>
      </c>
      <c r="C799" s="16" t="s">
        <v>32</v>
      </c>
      <c r="D799" s="16" t="s">
        <v>3123</v>
      </c>
      <c r="E799" s="16"/>
      <c r="F799" s="16" t="s">
        <v>1481</v>
      </c>
      <c r="G799" s="16"/>
      <c r="H799" s="16"/>
      <c r="I799" s="19" t="s">
        <v>3209</v>
      </c>
      <c r="J799" s="16"/>
      <c r="K799" s="16" t="s">
        <v>3210</v>
      </c>
      <c r="L799" s="16"/>
      <c r="M799" s="16" t="str">
        <f>HYPERLINK("https://ceds.ed.gov/cedselementdetails.aspx?termid=26502")</f>
        <v>https://ceds.ed.gov/cedselementdetails.aspx?termid=26502</v>
      </c>
    </row>
    <row r="800" spans="1:13" ht="172.8" x14ac:dyDescent="0.3">
      <c r="A800" s="16" t="s">
        <v>3211</v>
      </c>
      <c r="B800" s="16" t="s">
        <v>3212</v>
      </c>
      <c r="C800" s="16" t="s">
        <v>8517</v>
      </c>
      <c r="D800" s="16" t="s">
        <v>7898</v>
      </c>
      <c r="E800" s="16"/>
      <c r="F800" s="16"/>
      <c r="G800" s="16"/>
      <c r="H800" s="16"/>
      <c r="I800" s="19" t="s">
        <v>3213</v>
      </c>
      <c r="J800" s="16"/>
      <c r="K800" s="16" t="s">
        <v>3214</v>
      </c>
      <c r="L800" s="16" t="s">
        <v>3025</v>
      </c>
      <c r="M800" s="16" t="str">
        <f>HYPERLINK("https://ceds.ed.gov/cedselementdetails.aspx?termid=26344")</f>
        <v>https://ceds.ed.gov/cedselementdetails.aspx?termid=26344</v>
      </c>
    </row>
    <row r="801" spans="1:13" ht="43.2" x14ac:dyDescent="0.3">
      <c r="A801" s="16" t="s">
        <v>3215</v>
      </c>
      <c r="B801" s="16" t="s">
        <v>3216</v>
      </c>
      <c r="C801" s="16" t="s">
        <v>22</v>
      </c>
      <c r="D801" s="16" t="s">
        <v>7942</v>
      </c>
      <c r="E801" s="16"/>
      <c r="F801" s="16"/>
      <c r="G801" s="16"/>
      <c r="H801" s="16"/>
      <c r="I801" s="19" t="s">
        <v>3217</v>
      </c>
      <c r="J801" s="16"/>
      <c r="K801" s="16" t="s">
        <v>3218</v>
      </c>
      <c r="L801" s="16" t="s">
        <v>195</v>
      </c>
      <c r="M801" s="16" t="str">
        <f>HYPERLINK("https://ceds.ed.gov/cedselementdetails.aspx?termid=26786")</f>
        <v>https://ceds.ed.gov/cedselementdetails.aspx?termid=26786</v>
      </c>
    </row>
    <row r="802" spans="1:13" ht="57.6" x14ac:dyDescent="0.3">
      <c r="A802" s="16" t="s">
        <v>3219</v>
      </c>
      <c r="B802" s="16" t="s">
        <v>3220</v>
      </c>
      <c r="C802" s="16" t="s">
        <v>22</v>
      </c>
      <c r="D802" s="16" t="s">
        <v>7943</v>
      </c>
      <c r="E802" s="16"/>
      <c r="F802" s="16"/>
      <c r="G802" s="16"/>
      <c r="H802" s="16"/>
      <c r="I802" s="19" t="s">
        <v>3221</v>
      </c>
      <c r="J802" s="16"/>
      <c r="K802" s="16" t="s">
        <v>3222</v>
      </c>
      <c r="L802" s="16"/>
      <c r="M802" s="16" t="str">
        <f>HYPERLINK("https://ceds.ed.gov/cedselementdetails.aspx?termid=27570")</f>
        <v>https://ceds.ed.gov/cedselementdetails.aspx?termid=27570</v>
      </c>
    </row>
    <row r="803" spans="1:13" ht="316.8" x14ac:dyDescent="0.3">
      <c r="A803" s="16" t="s">
        <v>3223</v>
      </c>
      <c r="B803" s="16" t="s">
        <v>3224</v>
      </c>
      <c r="C803" s="16" t="s">
        <v>9329</v>
      </c>
      <c r="D803" s="16" t="s">
        <v>8442</v>
      </c>
      <c r="E803" s="16"/>
      <c r="F803" s="16"/>
      <c r="G803" s="16"/>
      <c r="H803" s="16"/>
      <c r="I803" s="19" t="s">
        <v>3225</v>
      </c>
      <c r="J803" s="16"/>
      <c r="K803" s="16" t="s">
        <v>3226</v>
      </c>
      <c r="L803" s="16" t="s">
        <v>98</v>
      </c>
      <c r="M803" s="16" t="str">
        <f>HYPERLINK("https://ceds.ed.gov/cedselementdetails.aspx?termid=26829")</f>
        <v>https://ceds.ed.gov/cedselementdetails.aspx?termid=26829</v>
      </c>
    </row>
    <row r="804" spans="1:13" ht="316.8" x14ac:dyDescent="0.3">
      <c r="A804" s="16" t="s">
        <v>3227</v>
      </c>
      <c r="B804" s="16" t="s">
        <v>3228</v>
      </c>
      <c r="C804" s="16" t="s">
        <v>8518</v>
      </c>
      <c r="D804" s="16" t="s">
        <v>7943</v>
      </c>
      <c r="E804" s="16"/>
      <c r="F804" s="16"/>
      <c r="G804" s="16"/>
      <c r="H804" s="16"/>
      <c r="I804" s="19" t="s">
        <v>3229</v>
      </c>
      <c r="J804" s="16"/>
      <c r="K804" s="16" t="s">
        <v>3230</v>
      </c>
      <c r="L804" s="16"/>
      <c r="M804" s="16" t="str">
        <f>HYPERLINK("https://ceds.ed.gov/cedselementdetails.aspx?termid=27529")</f>
        <v>https://ceds.ed.gov/cedselementdetails.aspx?termid=27529</v>
      </c>
    </row>
    <row r="805" spans="1:13" ht="316.8" x14ac:dyDescent="0.3">
      <c r="A805" s="16" t="s">
        <v>3231</v>
      </c>
      <c r="B805" s="16" t="s">
        <v>3232</v>
      </c>
      <c r="C805" s="16" t="s">
        <v>8518</v>
      </c>
      <c r="D805" s="16" t="s">
        <v>7943</v>
      </c>
      <c r="E805" s="16"/>
      <c r="F805" s="16"/>
      <c r="G805" s="16"/>
      <c r="H805" s="16"/>
      <c r="I805" s="19" t="s">
        <v>3233</v>
      </c>
      <c r="J805" s="16"/>
      <c r="K805" s="16" t="s">
        <v>3234</v>
      </c>
      <c r="L805" s="16" t="s">
        <v>1977</v>
      </c>
      <c r="M805" s="16" t="str">
        <f>HYPERLINK("https://ceds.ed.gov/cedselementdetails.aspx?termid=26321")</f>
        <v>https://ceds.ed.gov/cedselementdetails.aspx?termid=26321</v>
      </c>
    </row>
    <row r="806" spans="1:13" ht="172.8" x14ac:dyDescent="0.3">
      <c r="A806" s="16" t="s">
        <v>3235</v>
      </c>
      <c r="B806" s="16" t="s">
        <v>7944</v>
      </c>
      <c r="C806" s="16" t="s">
        <v>8519</v>
      </c>
      <c r="D806" s="16" t="s">
        <v>8492</v>
      </c>
      <c r="E806" s="16"/>
      <c r="F806" s="16"/>
      <c r="G806" s="16"/>
      <c r="H806" s="16"/>
      <c r="I806" s="19" t="s">
        <v>3236</v>
      </c>
      <c r="J806" s="16"/>
      <c r="K806" s="16" t="s">
        <v>3237</v>
      </c>
      <c r="L806" s="16" t="s">
        <v>3007</v>
      </c>
      <c r="M806" s="16" t="str">
        <f>HYPERLINK("https://ceds.ed.gov/cedselementdetails.aspx?termid=26355")</f>
        <v>https://ceds.ed.gov/cedselementdetails.aspx?termid=26355</v>
      </c>
    </row>
    <row r="807" spans="1:13" ht="43.2" x14ac:dyDescent="0.3">
      <c r="A807" s="16" t="s">
        <v>7945</v>
      </c>
      <c r="B807" s="16" t="s">
        <v>7946</v>
      </c>
      <c r="C807" s="16" t="s">
        <v>32</v>
      </c>
      <c r="D807" s="16" t="s">
        <v>8492</v>
      </c>
      <c r="E807" s="16"/>
      <c r="F807" s="16" t="s">
        <v>136</v>
      </c>
      <c r="G807" s="16"/>
      <c r="H807" s="16"/>
      <c r="I807" s="19" t="s">
        <v>8178</v>
      </c>
      <c r="J807" s="16"/>
      <c r="K807" s="16" t="s">
        <v>7947</v>
      </c>
      <c r="L807" s="16"/>
      <c r="M807" s="16" t="str">
        <f>HYPERLINK("https://ceds.ed.gov/cedselementdetails.aspx?termid=27976")</f>
        <v>https://ceds.ed.gov/cedselementdetails.aspx?termid=27976</v>
      </c>
    </row>
    <row r="808" spans="1:13" ht="43.2" x14ac:dyDescent="0.3">
      <c r="A808" s="16" t="s">
        <v>7948</v>
      </c>
      <c r="B808" s="16" t="s">
        <v>7949</v>
      </c>
      <c r="C808" s="16" t="s">
        <v>32</v>
      </c>
      <c r="D808" s="16" t="s">
        <v>8492</v>
      </c>
      <c r="E808" s="16"/>
      <c r="F808" s="16" t="s">
        <v>136</v>
      </c>
      <c r="G808" s="16"/>
      <c r="H808" s="16"/>
      <c r="I808" s="19" t="s">
        <v>8179</v>
      </c>
      <c r="J808" s="16"/>
      <c r="K808" s="16" t="s">
        <v>7950</v>
      </c>
      <c r="L808" s="16"/>
      <c r="M808" s="16" t="str">
        <f>HYPERLINK("https://ceds.ed.gov/cedselementdetails.aspx?termid=27977")</f>
        <v>https://ceds.ed.gov/cedselementdetails.aspx?termid=27977</v>
      </c>
    </row>
    <row r="809" spans="1:13" ht="172.8" x14ac:dyDescent="0.3">
      <c r="A809" s="16" t="s">
        <v>3238</v>
      </c>
      <c r="B809" s="16" t="s">
        <v>3239</v>
      </c>
      <c r="C809" s="16" t="s">
        <v>32</v>
      </c>
      <c r="D809" s="16" t="s">
        <v>7951</v>
      </c>
      <c r="E809" s="16"/>
      <c r="F809" s="16" t="s">
        <v>120</v>
      </c>
      <c r="G809" s="16"/>
      <c r="H809" s="16" t="s">
        <v>7817</v>
      </c>
      <c r="I809" s="19" t="s">
        <v>3240</v>
      </c>
      <c r="J809" s="16"/>
      <c r="K809" s="16" t="s">
        <v>3241</v>
      </c>
      <c r="L809" s="16"/>
      <c r="M809" s="16" t="str">
        <f>HYPERLINK("https://ceds.ed.gov/cedselementdetails.aspx?termid=27576")</f>
        <v>https://ceds.ed.gov/cedselementdetails.aspx?termid=27576</v>
      </c>
    </row>
    <row r="810" spans="1:13" ht="43.2" x14ac:dyDescent="0.3">
      <c r="A810" s="16" t="s">
        <v>3242</v>
      </c>
      <c r="B810" s="16" t="s">
        <v>3243</v>
      </c>
      <c r="C810" s="16" t="s">
        <v>22</v>
      </c>
      <c r="D810" s="16" t="s">
        <v>7951</v>
      </c>
      <c r="E810" s="16"/>
      <c r="F810" s="16"/>
      <c r="G810" s="16"/>
      <c r="H810" s="16"/>
      <c r="I810" s="19" t="s">
        <v>3244</v>
      </c>
      <c r="J810" s="16"/>
      <c r="K810" s="16" t="s">
        <v>3245</v>
      </c>
      <c r="L810" s="16"/>
      <c r="M810" s="16" t="str">
        <f>HYPERLINK("https://ceds.ed.gov/cedselementdetails.aspx?termid=27578")</f>
        <v>https://ceds.ed.gov/cedselementdetails.aspx?termid=27578</v>
      </c>
    </row>
    <row r="811" spans="1:13" ht="144" x14ac:dyDescent="0.3">
      <c r="A811" s="16" t="s">
        <v>3246</v>
      </c>
      <c r="B811" s="16" t="s">
        <v>3247</v>
      </c>
      <c r="C811" s="16" t="s">
        <v>8520</v>
      </c>
      <c r="D811" s="16" t="s">
        <v>7952</v>
      </c>
      <c r="E811" s="16"/>
      <c r="F811" s="16" t="s">
        <v>145</v>
      </c>
      <c r="G811" s="16"/>
      <c r="H811" s="16"/>
      <c r="I811" s="19" t="s">
        <v>3248</v>
      </c>
      <c r="J811" s="16"/>
      <c r="K811" s="16" t="s">
        <v>3249</v>
      </c>
      <c r="L811" s="16" t="s">
        <v>98</v>
      </c>
      <c r="M811" s="16" t="str">
        <f>HYPERLINK("https://ceds.ed.gov/cedselementdetails.aspx?termid=26822")</f>
        <v>https://ceds.ed.gov/cedselementdetails.aspx?termid=26822</v>
      </c>
    </row>
    <row r="812" spans="1:13" ht="172.8" x14ac:dyDescent="0.3">
      <c r="A812" s="16" t="s">
        <v>3250</v>
      </c>
      <c r="B812" s="16" t="s">
        <v>3251</v>
      </c>
      <c r="C812" s="16" t="s">
        <v>32</v>
      </c>
      <c r="D812" s="16" t="s">
        <v>7952</v>
      </c>
      <c r="E812" s="16"/>
      <c r="F812" s="16" t="s">
        <v>120</v>
      </c>
      <c r="G812" s="16"/>
      <c r="H812" s="16" t="s">
        <v>7817</v>
      </c>
      <c r="I812" s="19" t="s">
        <v>3252</v>
      </c>
      <c r="J812" s="16"/>
      <c r="K812" s="16" t="s">
        <v>3253</v>
      </c>
      <c r="L812" s="16" t="s">
        <v>1982</v>
      </c>
      <c r="M812" s="16" t="str">
        <f>HYPERLINK("https://ceds.ed.gov/cedselementdetails.aspx?termid=26819")</f>
        <v>https://ceds.ed.gov/cedselementdetails.aspx?termid=26819</v>
      </c>
    </row>
    <row r="813" spans="1:13" ht="57.6" x14ac:dyDescent="0.3">
      <c r="A813" s="16" t="s">
        <v>3254</v>
      </c>
      <c r="B813" s="16" t="s">
        <v>3255</v>
      </c>
      <c r="C813" s="16" t="s">
        <v>32</v>
      </c>
      <c r="D813" s="16" t="s">
        <v>7952</v>
      </c>
      <c r="E813" s="16"/>
      <c r="F813" s="16" t="s">
        <v>145</v>
      </c>
      <c r="G813" s="16"/>
      <c r="H813" s="16"/>
      <c r="I813" s="19" t="s">
        <v>3256</v>
      </c>
      <c r="J813" s="16"/>
      <c r="K813" s="16" t="s">
        <v>3257</v>
      </c>
      <c r="L813" s="16" t="s">
        <v>1982</v>
      </c>
      <c r="M813" s="16" t="str">
        <f>HYPERLINK("https://ceds.ed.gov/cedselementdetails.aspx?termid=26820")</f>
        <v>https://ceds.ed.gov/cedselementdetails.aspx?termid=26820</v>
      </c>
    </row>
    <row r="814" spans="1:13" ht="129.6" x14ac:dyDescent="0.3">
      <c r="A814" s="16" t="s">
        <v>3258</v>
      </c>
      <c r="B814" s="16" t="s">
        <v>3259</v>
      </c>
      <c r="C814" s="16" t="s">
        <v>8521</v>
      </c>
      <c r="D814" s="16" t="s">
        <v>7895</v>
      </c>
      <c r="E814" s="16"/>
      <c r="F814" s="16"/>
      <c r="G814" s="16"/>
      <c r="H814" s="16"/>
      <c r="I814" s="19" t="s">
        <v>3260</v>
      </c>
      <c r="J814" s="16"/>
      <c r="K814" s="16" t="s">
        <v>3261</v>
      </c>
      <c r="L814" s="16" t="s">
        <v>195</v>
      </c>
      <c r="M814" s="16" t="str">
        <f>HYPERLINK("https://ceds.ed.gov/cedselementdetails.aspx?termid=26812")</f>
        <v>https://ceds.ed.gov/cedselementdetails.aspx?termid=26812</v>
      </c>
    </row>
    <row r="815" spans="1:13" ht="409.6" x14ac:dyDescent="0.3">
      <c r="A815" s="16" t="s">
        <v>3262</v>
      </c>
      <c r="B815" s="16" t="s">
        <v>3263</v>
      </c>
      <c r="C815" s="16" t="s">
        <v>8522</v>
      </c>
      <c r="D815" s="16" t="s">
        <v>7953</v>
      </c>
      <c r="E815" s="16"/>
      <c r="F815" s="16"/>
      <c r="G815" s="16"/>
      <c r="H815" s="16"/>
      <c r="I815" s="19" t="s">
        <v>3264</v>
      </c>
      <c r="J815" s="16"/>
      <c r="K815" s="16" t="s">
        <v>3265</v>
      </c>
      <c r="L815" s="16"/>
      <c r="M815" s="16" t="str">
        <f>HYPERLINK("https://ceds.ed.gov/cedselementdetails.aspx?termid=27581")</f>
        <v>https://ceds.ed.gov/cedselementdetails.aspx?termid=27581</v>
      </c>
    </row>
    <row r="816" spans="1:13" ht="360" x14ac:dyDescent="0.3">
      <c r="A816" s="16" t="s">
        <v>3266</v>
      </c>
      <c r="B816" s="16"/>
      <c r="C816" s="16" t="s">
        <v>8523</v>
      </c>
      <c r="D816" s="16" t="s">
        <v>7953</v>
      </c>
      <c r="E816" s="16" t="s">
        <v>160</v>
      </c>
      <c r="F816" s="16"/>
      <c r="G816" s="16" t="s">
        <v>12941</v>
      </c>
      <c r="H816" s="16"/>
      <c r="I816" s="19" t="s">
        <v>3268</v>
      </c>
      <c r="J816" s="16"/>
      <c r="K816" s="16"/>
      <c r="L816" s="16"/>
      <c r="M816" s="16" t="str">
        <f>HYPERLINK("https://ceds.ed.gov/cedselementdetails.aspx?termid=27613")</f>
        <v>https://ceds.ed.gov/cedselementdetails.aspx?termid=27613</v>
      </c>
    </row>
    <row r="817" spans="1:13" ht="172.8" x14ac:dyDescent="0.3">
      <c r="A817" s="16" t="s">
        <v>3269</v>
      </c>
      <c r="B817" s="16" t="s">
        <v>3270</v>
      </c>
      <c r="C817" s="16" t="s">
        <v>32</v>
      </c>
      <c r="D817" s="16" t="s">
        <v>7951</v>
      </c>
      <c r="E817" s="16"/>
      <c r="F817" s="16" t="s">
        <v>120</v>
      </c>
      <c r="G817" s="16"/>
      <c r="H817" s="16" t="s">
        <v>7817</v>
      </c>
      <c r="I817" s="19" t="s">
        <v>3271</v>
      </c>
      <c r="J817" s="16"/>
      <c r="K817" s="16" t="s">
        <v>3272</v>
      </c>
      <c r="L817" s="16"/>
      <c r="M817" s="16" t="str">
        <f>HYPERLINK("https://ceds.ed.gov/cedselementdetails.aspx?termid=27572")</f>
        <v>https://ceds.ed.gov/cedselementdetails.aspx?termid=27572</v>
      </c>
    </row>
    <row r="818" spans="1:13" ht="28.8" x14ac:dyDescent="0.3">
      <c r="A818" s="16" t="s">
        <v>3273</v>
      </c>
      <c r="B818" s="16" t="s">
        <v>3274</v>
      </c>
      <c r="C818" s="16" t="s">
        <v>32</v>
      </c>
      <c r="D818" s="16" t="s">
        <v>7951</v>
      </c>
      <c r="E818" s="16"/>
      <c r="F818" s="16" t="s">
        <v>145</v>
      </c>
      <c r="G818" s="16"/>
      <c r="H818" s="16"/>
      <c r="I818" s="19" t="s">
        <v>3275</v>
      </c>
      <c r="J818" s="16"/>
      <c r="K818" s="16" t="s">
        <v>3276</v>
      </c>
      <c r="L818" s="16"/>
      <c r="M818" s="16" t="str">
        <f>HYPERLINK("https://ceds.ed.gov/cedselementdetails.aspx?termid=27573")</f>
        <v>https://ceds.ed.gov/cedselementdetails.aspx?termid=27573</v>
      </c>
    </row>
    <row r="819" spans="1:13" ht="28.8" x14ac:dyDescent="0.3">
      <c r="A819" s="16" t="s">
        <v>3277</v>
      </c>
      <c r="B819" s="16" t="s">
        <v>3278</v>
      </c>
      <c r="C819" s="16" t="s">
        <v>32</v>
      </c>
      <c r="D819" s="16" t="s">
        <v>7951</v>
      </c>
      <c r="E819" s="16"/>
      <c r="F819" s="16" t="s">
        <v>747</v>
      </c>
      <c r="G819" s="16"/>
      <c r="H819" s="16"/>
      <c r="I819" s="19" t="s">
        <v>3279</v>
      </c>
      <c r="J819" s="16"/>
      <c r="K819" s="16" t="s">
        <v>3280</v>
      </c>
      <c r="L819" s="16"/>
      <c r="M819" s="16" t="str">
        <f>HYPERLINK("https://ceds.ed.gov/cedselementdetails.aspx?termid=27574")</f>
        <v>https://ceds.ed.gov/cedselementdetails.aspx?termid=27574</v>
      </c>
    </row>
    <row r="820" spans="1:13" ht="28.8" x14ac:dyDescent="0.3">
      <c r="A820" s="16" t="s">
        <v>3281</v>
      </c>
      <c r="B820" s="16" t="s">
        <v>3282</v>
      </c>
      <c r="C820" s="16" t="s">
        <v>32</v>
      </c>
      <c r="D820" s="16" t="s">
        <v>7951</v>
      </c>
      <c r="E820" s="16"/>
      <c r="F820" s="16" t="s">
        <v>106</v>
      </c>
      <c r="G820" s="16"/>
      <c r="H820" s="16"/>
      <c r="I820" s="19" t="s">
        <v>3283</v>
      </c>
      <c r="J820" s="16"/>
      <c r="K820" s="16" t="s">
        <v>3284</v>
      </c>
      <c r="L820" s="16"/>
      <c r="M820" s="16" t="str">
        <f>HYPERLINK("https://ceds.ed.gov/cedselementdetails.aspx?termid=27571")</f>
        <v>https://ceds.ed.gov/cedselementdetails.aspx?termid=27571</v>
      </c>
    </row>
    <row r="821" spans="1:13" ht="28.8" x14ac:dyDescent="0.3">
      <c r="A821" s="16" t="s">
        <v>3285</v>
      </c>
      <c r="B821" s="16" t="s">
        <v>3286</v>
      </c>
      <c r="C821" s="16" t="s">
        <v>32</v>
      </c>
      <c r="D821" s="16" t="s">
        <v>7951</v>
      </c>
      <c r="E821" s="16"/>
      <c r="F821" s="16" t="s">
        <v>747</v>
      </c>
      <c r="G821" s="16"/>
      <c r="H821" s="16"/>
      <c r="I821" s="19" t="s">
        <v>3287</v>
      </c>
      <c r="J821" s="16"/>
      <c r="K821" s="16" t="s">
        <v>3288</v>
      </c>
      <c r="L821" s="16"/>
      <c r="M821" s="16" t="str">
        <f>HYPERLINK("https://ceds.ed.gov/cedselementdetails.aspx?termid=27579")</f>
        <v>https://ceds.ed.gov/cedselementdetails.aspx?termid=27579</v>
      </c>
    </row>
    <row r="822" spans="1:13" ht="409.6" x14ac:dyDescent="0.3">
      <c r="A822" s="16" t="s">
        <v>3289</v>
      </c>
      <c r="B822" s="16" t="s">
        <v>3290</v>
      </c>
      <c r="C822" s="16" t="s">
        <v>8219</v>
      </c>
      <c r="D822" s="16" t="s">
        <v>8220</v>
      </c>
      <c r="E822" s="16"/>
      <c r="F822" s="16"/>
      <c r="G822" s="16"/>
      <c r="H822" s="16"/>
      <c r="I822" s="19" t="s">
        <v>3291</v>
      </c>
      <c r="J822" s="16"/>
      <c r="K822" s="16" t="s">
        <v>3292</v>
      </c>
      <c r="L822" s="16"/>
      <c r="M822" s="16" t="str">
        <f>HYPERLINK("https://ceds.ed.gov/cedselementdetails.aspx?termid=27294")</f>
        <v>https://ceds.ed.gov/cedselementdetails.aspx?termid=27294</v>
      </c>
    </row>
    <row r="823" spans="1:13" x14ac:dyDescent="0.3">
      <c r="A823" s="16" t="s">
        <v>3293</v>
      </c>
      <c r="B823" s="16" t="s">
        <v>3294</v>
      </c>
      <c r="C823" s="16" t="s">
        <v>32</v>
      </c>
      <c r="D823" s="16" t="s">
        <v>7952</v>
      </c>
      <c r="E823" s="16"/>
      <c r="F823" s="16" t="s">
        <v>305</v>
      </c>
      <c r="G823" s="16"/>
      <c r="H823" s="16"/>
      <c r="I823" s="19" t="s">
        <v>3295</v>
      </c>
      <c r="J823" s="16"/>
      <c r="K823" s="16" t="s">
        <v>3296</v>
      </c>
      <c r="L823" s="16"/>
      <c r="M823" s="16" t="str">
        <f>HYPERLINK("https://ceds.ed.gov/cedselementdetails.aspx?termid=27295")</f>
        <v>https://ceds.ed.gov/cedselementdetails.aspx?termid=27295</v>
      </c>
    </row>
    <row r="824" spans="1:13" ht="129.6" x14ac:dyDescent="0.3">
      <c r="A824" s="16" t="s">
        <v>3297</v>
      </c>
      <c r="B824" s="16" t="s">
        <v>3298</v>
      </c>
      <c r="C824" s="16" t="s">
        <v>8524</v>
      </c>
      <c r="D824" s="16" t="s">
        <v>7952</v>
      </c>
      <c r="E824" s="16"/>
      <c r="F824" s="16"/>
      <c r="G824" s="16"/>
      <c r="H824" s="16"/>
      <c r="I824" s="19" t="s">
        <v>3299</v>
      </c>
      <c r="J824" s="16"/>
      <c r="K824" s="16" t="s">
        <v>3300</v>
      </c>
      <c r="L824" s="16" t="s">
        <v>98</v>
      </c>
      <c r="M824" s="16" t="str">
        <f>HYPERLINK("https://ceds.ed.gov/cedselementdetails.aspx?termid=26823")</f>
        <v>https://ceds.ed.gov/cedselementdetails.aspx?termid=26823</v>
      </c>
    </row>
    <row r="825" spans="1:13" ht="158.4" x14ac:dyDescent="0.3">
      <c r="A825" s="16" t="s">
        <v>3301</v>
      </c>
      <c r="B825" s="16" t="s">
        <v>3302</v>
      </c>
      <c r="C825" s="16" t="s">
        <v>8525</v>
      </c>
      <c r="D825" s="16" t="s">
        <v>1504</v>
      </c>
      <c r="E825" s="16"/>
      <c r="F825" s="16"/>
      <c r="G825" s="16"/>
      <c r="H825" s="16"/>
      <c r="I825" s="19" t="s">
        <v>3303</v>
      </c>
      <c r="J825" s="16"/>
      <c r="K825" s="16" t="s">
        <v>3304</v>
      </c>
      <c r="L825" s="16"/>
      <c r="M825" s="16" t="str">
        <f>HYPERLINK("https://ceds.ed.gov/cedselementdetails.aspx?termid=27582")</f>
        <v>https://ceds.ed.gov/cedselementdetails.aspx?termid=27582</v>
      </c>
    </row>
    <row r="826" spans="1:13" ht="57.6" x14ac:dyDescent="0.3">
      <c r="A826" s="16" t="s">
        <v>3305</v>
      </c>
      <c r="B826" s="16" t="s">
        <v>7954</v>
      </c>
      <c r="C826" s="16" t="s">
        <v>32</v>
      </c>
      <c r="D826" s="16" t="s">
        <v>8492</v>
      </c>
      <c r="E826" s="16"/>
      <c r="F826" s="16" t="s">
        <v>305</v>
      </c>
      <c r="G826" s="16"/>
      <c r="H826" s="16"/>
      <c r="I826" s="19" t="s">
        <v>3306</v>
      </c>
      <c r="J826" s="16"/>
      <c r="K826" s="16" t="s">
        <v>3307</v>
      </c>
      <c r="L826" s="16" t="s">
        <v>3308</v>
      </c>
      <c r="M826" s="16" t="str">
        <f>HYPERLINK("https://ceds.ed.gov/cedselementdetails.aspx?termid=27189")</f>
        <v>https://ceds.ed.gov/cedselementdetails.aspx?termid=27189</v>
      </c>
    </row>
    <row r="827" spans="1:13" ht="115.2" x14ac:dyDescent="0.3">
      <c r="A827" s="16" t="s">
        <v>3309</v>
      </c>
      <c r="B827" s="16" t="s">
        <v>3310</v>
      </c>
      <c r="C827" s="16" t="s">
        <v>8526</v>
      </c>
      <c r="D827" s="16" t="s">
        <v>8220</v>
      </c>
      <c r="E827" s="16"/>
      <c r="F827" s="16"/>
      <c r="G827" s="16"/>
      <c r="H827" s="16"/>
      <c r="I827" s="19" t="s">
        <v>3311</v>
      </c>
      <c r="J827" s="16"/>
      <c r="K827" s="16" t="s">
        <v>3312</v>
      </c>
      <c r="L827" s="16"/>
      <c r="M827" s="16" t="str">
        <f>HYPERLINK("https://ceds.ed.gov/cedselementdetails.aspx?termid=27302")</f>
        <v>https://ceds.ed.gov/cedselementdetails.aspx?termid=27302</v>
      </c>
    </row>
    <row r="828" spans="1:13" ht="28.8" x14ac:dyDescent="0.3">
      <c r="A828" s="16" t="s">
        <v>12744</v>
      </c>
      <c r="B828" s="16" t="s">
        <v>12745</v>
      </c>
      <c r="C828" s="16" t="s">
        <v>32</v>
      </c>
      <c r="D828" s="16" t="s">
        <v>7900</v>
      </c>
      <c r="E828" s="16" t="s">
        <v>155</v>
      </c>
      <c r="F828" s="16" t="s">
        <v>106</v>
      </c>
      <c r="G828" s="16" t="s">
        <v>12636</v>
      </c>
      <c r="H828" s="16"/>
      <c r="I828" s="19" t="s">
        <v>12746</v>
      </c>
      <c r="J828" s="16"/>
      <c r="K828" s="16" t="s">
        <v>12747</v>
      </c>
      <c r="L828" s="16"/>
      <c r="M828" s="16" t="str">
        <f>HYPERLINK("https://ceds.ed.gov/cedselementdetails.aspx?termid=28107")</f>
        <v>https://ceds.ed.gov/cedselementdetails.aspx?termid=28107</v>
      </c>
    </row>
    <row r="829" spans="1:13" ht="72" x14ac:dyDescent="0.3">
      <c r="A829" s="16" t="s">
        <v>3313</v>
      </c>
      <c r="B829" s="16" t="s">
        <v>3314</v>
      </c>
      <c r="C829" s="16" t="s">
        <v>8527</v>
      </c>
      <c r="D829" s="16" t="s">
        <v>7900</v>
      </c>
      <c r="E829" s="16"/>
      <c r="F829" s="16"/>
      <c r="G829" s="16"/>
      <c r="H829" s="16"/>
      <c r="I829" s="19" t="s">
        <v>3315</v>
      </c>
      <c r="J829" s="16"/>
      <c r="K829" s="16" t="s">
        <v>3316</v>
      </c>
      <c r="L829" s="16"/>
      <c r="M829" s="16" t="str">
        <f>HYPERLINK("https://ceds.ed.gov/cedselementdetails.aspx?termid=27303")</f>
        <v>https://ceds.ed.gov/cedselementdetails.aspx?termid=27303</v>
      </c>
    </row>
    <row r="830" spans="1:13" ht="72" x14ac:dyDescent="0.3">
      <c r="A830" s="16" t="s">
        <v>3317</v>
      </c>
      <c r="B830" s="16" t="s">
        <v>3318</v>
      </c>
      <c r="C830" s="16" t="s">
        <v>8528</v>
      </c>
      <c r="D830" s="16" t="s">
        <v>7900</v>
      </c>
      <c r="E830" s="16"/>
      <c r="F830" s="16"/>
      <c r="G830" s="16"/>
      <c r="H830" s="16"/>
      <c r="I830" s="19" t="s">
        <v>3319</v>
      </c>
      <c r="J830" s="16"/>
      <c r="K830" s="16" t="s">
        <v>3320</v>
      </c>
      <c r="L830" s="16"/>
      <c r="M830" s="16" t="str">
        <f>HYPERLINK("https://ceds.ed.gov/cedselementdetails.aspx?termid=27475")</f>
        <v>https://ceds.ed.gov/cedselementdetails.aspx?termid=27475</v>
      </c>
    </row>
    <row r="831" spans="1:13" ht="172.8" x14ac:dyDescent="0.3">
      <c r="A831" s="16" t="s">
        <v>3321</v>
      </c>
      <c r="B831" s="16" t="s">
        <v>3322</v>
      </c>
      <c r="C831" s="16" t="s">
        <v>8529</v>
      </c>
      <c r="D831" s="16" t="s">
        <v>7895</v>
      </c>
      <c r="E831" s="16"/>
      <c r="F831" s="16"/>
      <c r="G831" s="16"/>
      <c r="H831" s="16"/>
      <c r="I831" s="19" t="s">
        <v>3323</v>
      </c>
      <c r="J831" s="16"/>
      <c r="K831" s="16" t="s">
        <v>3324</v>
      </c>
      <c r="L831" s="16"/>
      <c r="M831" s="16" t="str">
        <f>HYPERLINK("https://ceds.ed.gov/cedselementdetails.aspx?termid=27304")</f>
        <v>https://ceds.ed.gov/cedselementdetails.aspx?termid=27304</v>
      </c>
    </row>
    <row r="832" spans="1:13" ht="43.2" x14ac:dyDescent="0.3">
      <c r="A832" s="16" t="s">
        <v>3325</v>
      </c>
      <c r="B832" s="16" t="s">
        <v>3326</v>
      </c>
      <c r="C832" s="16" t="s">
        <v>32</v>
      </c>
      <c r="D832" s="16" t="s">
        <v>8530</v>
      </c>
      <c r="E832" s="16"/>
      <c r="F832" s="16" t="s">
        <v>3327</v>
      </c>
      <c r="G832" s="16"/>
      <c r="H832" s="16"/>
      <c r="I832" s="19" t="s">
        <v>3328</v>
      </c>
      <c r="J832" s="16"/>
      <c r="K832" s="16" t="s">
        <v>3329</v>
      </c>
      <c r="L832" s="16" t="s">
        <v>2025</v>
      </c>
      <c r="M832" s="16" t="str">
        <f>HYPERLINK("https://ceds.ed.gov/cedselementdetails.aspx?termid=26824")</f>
        <v>https://ceds.ed.gov/cedselementdetails.aspx?termid=26824</v>
      </c>
    </row>
    <row r="833" spans="1:13" ht="57.6" x14ac:dyDescent="0.3">
      <c r="A833" s="16" t="s">
        <v>3330</v>
      </c>
      <c r="B833" s="16" t="s">
        <v>3331</v>
      </c>
      <c r="C833" s="16" t="s">
        <v>22</v>
      </c>
      <c r="D833" s="16" t="s">
        <v>7955</v>
      </c>
      <c r="E833" s="16"/>
      <c r="F833" s="16"/>
      <c r="G833" s="16"/>
      <c r="H833" s="16"/>
      <c r="I833" s="19" t="s">
        <v>3332</v>
      </c>
      <c r="J833" s="16"/>
      <c r="K833" s="16" t="s">
        <v>3333</v>
      </c>
      <c r="L833" s="16" t="s">
        <v>98</v>
      </c>
      <c r="M833" s="16" t="str">
        <f>HYPERLINK("https://ceds.ed.gov/cedselementdetails.aspx?termid=26848")</f>
        <v>https://ceds.ed.gov/cedselementdetails.aspx?termid=26848</v>
      </c>
    </row>
    <row r="834" spans="1:13" ht="259.2" x14ac:dyDescent="0.3">
      <c r="A834" s="16" t="s">
        <v>3334</v>
      </c>
      <c r="B834" s="16" t="s">
        <v>3335</v>
      </c>
      <c r="C834" s="16" t="s">
        <v>8531</v>
      </c>
      <c r="D834" s="16" t="s">
        <v>7956</v>
      </c>
      <c r="E834" s="16"/>
      <c r="F834" s="16"/>
      <c r="G834" s="16"/>
      <c r="H834" s="16"/>
      <c r="I834" s="19" t="s">
        <v>3336</v>
      </c>
      <c r="J834" s="16"/>
      <c r="K834" s="16" t="s">
        <v>3337</v>
      </c>
      <c r="L834" s="16" t="s">
        <v>3047</v>
      </c>
      <c r="M834" s="16" t="str">
        <f>HYPERLINK("https://ceds.ed.gov/cedselementdetails.aspx?termid=26304")</f>
        <v>https://ceds.ed.gov/cedselementdetails.aspx?termid=26304</v>
      </c>
    </row>
    <row r="835" spans="1:13" ht="28.8" x14ac:dyDescent="0.3">
      <c r="A835" s="16" t="s">
        <v>3338</v>
      </c>
      <c r="B835" s="16" t="s">
        <v>7957</v>
      </c>
      <c r="C835" s="16" t="s">
        <v>32</v>
      </c>
      <c r="D835" s="16" t="s">
        <v>7956</v>
      </c>
      <c r="E835" s="16"/>
      <c r="F835" s="16" t="s">
        <v>106</v>
      </c>
      <c r="G835" s="16"/>
      <c r="H835" s="16"/>
      <c r="I835" s="19" t="s">
        <v>3339</v>
      </c>
      <c r="J835" s="16"/>
      <c r="K835" s="16" t="s">
        <v>3340</v>
      </c>
      <c r="L835" s="16"/>
      <c r="M835" s="16" t="str">
        <f>HYPERLINK("https://ceds.ed.gov/cedselementdetails.aspx?termid=27305")</f>
        <v>https://ceds.ed.gov/cedselementdetails.aspx?termid=27305</v>
      </c>
    </row>
    <row r="836" spans="1:13" ht="72" x14ac:dyDescent="0.3">
      <c r="A836" s="16" t="s">
        <v>3341</v>
      </c>
      <c r="B836" s="16" t="s">
        <v>3342</v>
      </c>
      <c r="C836" s="16" t="s">
        <v>8532</v>
      </c>
      <c r="D836" s="16" t="s">
        <v>7956</v>
      </c>
      <c r="E836" s="16"/>
      <c r="F836" s="16"/>
      <c r="G836" s="16"/>
      <c r="H836" s="16"/>
      <c r="I836" s="19" t="s">
        <v>3343</v>
      </c>
      <c r="J836" s="16"/>
      <c r="K836" s="16" t="s">
        <v>3344</v>
      </c>
      <c r="L836" s="16"/>
      <c r="M836" s="16" t="str">
        <f>HYPERLINK("https://ceds.ed.gov/cedselementdetails.aspx?termid=27306")</f>
        <v>https://ceds.ed.gov/cedselementdetails.aspx?termid=27306</v>
      </c>
    </row>
    <row r="837" spans="1:13" ht="28.8" x14ac:dyDescent="0.3">
      <c r="A837" s="16" t="s">
        <v>3345</v>
      </c>
      <c r="B837" s="16" t="s">
        <v>3346</v>
      </c>
      <c r="C837" s="16" t="s">
        <v>32</v>
      </c>
      <c r="D837" s="16" t="s">
        <v>7956</v>
      </c>
      <c r="E837" s="16"/>
      <c r="F837" s="16" t="s">
        <v>106</v>
      </c>
      <c r="G837" s="16"/>
      <c r="H837" s="16"/>
      <c r="I837" s="19" t="s">
        <v>3347</v>
      </c>
      <c r="J837" s="16"/>
      <c r="K837" s="16" t="s">
        <v>3348</v>
      </c>
      <c r="L837" s="16"/>
      <c r="M837" s="16" t="str">
        <f>HYPERLINK("https://ceds.ed.gov/cedselementdetails.aspx?termid=27307")</f>
        <v>https://ceds.ed.gov/cedselementdetails.aspx?termid=27307</v>
      </c>
    </row>
    <row r="838" spans="1:13" ht="43.2" x14ac:dyDescent="0.3">
      <c r="A838" s="16" t="s">
        <v>3349</v>
      </c>
      <c r="B838" s="16" t="s">
        <v>3350</v>
      </c>
      <c r="C838" s="16" t="s">
        <v>22</v>
      </c>
      <c r="D838" s="16" t="s">
        <v>7913</v>
      </c>
      <c r="E838" s="16"/>
      <c r="F838" s="16"/>
      <c r="G838" s="16"/>
      <c r="H838" s="16"/>
      <c r="I838" s="19" t="s">
        <v>3351</v>
      </c>
      <c r="J838" s="16"/>
      <c r="K838" s="16" t="s">
        <v>3352</v>
      </c>
      <c r="L838" s="16" t="s">
        <v>98</v>
      </c>
      <c r="M838" s="16" t="str">
        <f>HYPERLINK("https://ceds.ed.gov/cedselementdetails.aspx?termid=26838")</f>
        <v>https://ceds.ed.gov/cedselementdetails.aspx?termid=26838</v>
      </c>
    </row>
    <row r="839" spans="1:13" ht="43.2" x14ac:dyDescent="0.3">
      <c r="A839" s="16" t="s">
        <v>3353</v>
      </c>
      <c r="B839" s="16" t="s">
        <v>3354</v>
      </c>
      <c r="C839" s="16" t="s">
        <v>22</v>
      </c>
      <c r="D839" s="16" t="s">
        <v>7913</v>
      </c>
      <c r="E839" s="16"/>
      <c r="F839" s="16"/>
      <c r="G839" s="16"/>
      <c r="H839" s="16"/>
      <c r="I839" s="19" t="s">
        <v>3355</v>
      </c>
      <c r="J839" s="16"/>
      <c r="K839" s="16" t="s">
        <v>3356</v>
      </c>
      <c r="L839" s="16" t="s">
        <v>98</v>
      </c>
      <c r="M839" s="16" t="str">
        <f>HYPERLINK("https://ceds.ed.gov/cedselementdetails.aspx?termid=26837")</f>
        <v>https://ceds.ed.gov/cedselementdetails.aspx?termid=26837</v>
      </c>
    </row>
    <row r="840" spans="1:13" ht="86.4" x14ac:dyDescent="0.3">
      <c r="A840" s="16" t="s">
        <v>3357</v>
      </c>
      <c r="B840" s="16" t="s">
        <v>3358</v>
      </c>
      <c r="C840" s="16" t="s">
        <v>8533</v>
      </c>
      <c r="D840" s="16" t="s">
        <v>7913</v>
      </c>
      <c r="E840" s="16"/>
      <c r="F840" s="16"/>
      <c r="G840" s="16"/>
      <c r="H840" s="16"/>
      <c r="I840" s="19" t="s">
        <v>3359</v>
      </c>
      <c r="J840" s="16"/>
      <c r="K840" s="16" t="s">
        <v>3360</v>
      </c>
      <c r="L840" s="16" t="s">
        <v>98</v>
      </c>
      <c r="M840" s="16" t="str">
        <f>HYPERLINK("https://ceds.ed.gov/cedselementdetails.aspx?termid=26828")</f>
        <v>https://ceds.ed.gov/cedselementdetails.aspx?termid=26828</v>
      </c>
    </row>
    <row r="841" spans="1:13" ht="28.8" x14ac:dyDescent="0.3">
      <c r="A841" s="16" t="s">
        <v>3361</v>
      </c>
      <c r="B841" s="16" t="s">
        <v>3362</v>
      </c>
      <c r="C841" s="16" t="s">
        <v>32</v>
      </c>
      <c r="D841" s="16" t="s">
        <v>7938</v>
      </c>
      <c r="E841" s="16"/>
      <c r="F841" s="16" t="s">
        <v>1807</v>
      </c>
      <c r="G841" s="16"/>
      <c r="H841" s="16"/>
      <c r="I841" s="19" t="s">
        <v>3363</v>
      </c>
      <c r="J841" s="16"/>
      <c r="K841" s="16" t="s">
        <v>3364</v>
      </c>
      <c r="L841" s="16" t="s">
        <v>2025</v>
      </c>
      <c r="M841" s="16" t="str">
        <f>HYPERLINK("https://ceds.ed.gov/cedselementdetails.aspx?termid=26864")</f>
        <v>https://ceds.ed.gov/cedselementdetails.aspx?termid=26864</v>
      </c>
    </row>
    <row r="842" spans="1:13" ht="409.6" x14ac:dyDescent="0.3">
      <c r="A842" s="16" t="s">
        <v>3365</v>
      </c>
      <c r="B842" s="16" t="s">
        <v>3366</v>
      </c>
      <c r="C842" s="16" t="s">
        <v>8534</v>
      </c>
      <c r="D842" s="16" t="s">
        <v>7953</v>
      </c>
      <c r="E842" s="16"/>
      <c r="F842" s="16"/>
      <c r="G842" s="16"/>
      <c r="H842" s="16"/>
      <c r="I842" s="19" t="s">
        <v>3367</v>
      </c>
      <c r="J842" s="16"/>
      <c r="K842" s="16" t="s">
        <v>3368</v>
      </c>
      <c r="L842" s="16"/>
      <c r="M842" s="16" t="str">
        <f>HYPERLINK("https://ceds.ed.gov/cedselementdetails.aspx?termid=27617")</f>
        <v>https://ceds.ed.gov/cedselementdetails.aspx?termid=27617</v>
      </c>
    </row>
    <row r="843" spans="1:13" ht="115.2" x14ac:dyDescent="0.3">
      <c r="A843" s="16" t="s">
        <v>3369</v>
      </c>
      <c r="B843" s="16" t="s">
        <v>3370</v>
      </c>
      <c r="C843" s="16" t="s">
        <v>8535</v>
      </c>
      <c r="D843" s="16" t="s">
        <v>7943</v>
      </c>
      <c r="E843" s="16"/>
      <c r="F843" s="16"/>
      <c r="G843" s="16"/>
      <c r="H843" s="16"/>
      <c r="I843" s="19" t="s">
        <v>3371</v>
      </c>
      <c r="J843" s="16"/>
      <c r="K843" s="16" t="s">
        <v>3372</v>
      </c>
      <c r="L843" s="16"/>
      <c r="M843" s="16" t="str">
        <f>HYPERLINK("https://ceds.ed.gov/cedselementdetails.aspx?termid=27583")</f>
        <v>https://ceds.ed.gov/cedselementdetails.aspx?termid=27583</v>
      </c>
    </row>
    <row r="844" spans="1:13" ht="57.6" x14ac:dyDescent="0.3">
      <c r="A844" s="16" t="s">
        <v>3373</v>
      </c>
      <c r="B844" s="16" t="s">
        <v>3374</v>
      </c>
      <c r="C844" s="16" t="s">
        <v>32</v>
      </c>
      <c r="D844" s="16" t="s">
        <v>7942</v>
      </c>
      <c r="E844" s="16"/>
      <c r="F844" s="16" t="s">
        <v>1481</v>
      </c>
      <c r="G844" s="16"/>
      <c r="H844" s="16"/>
      <c r="I844" s="19" t="s">
        <v>3375</v>
      </c>
      <c r="J844" s="16"/>
      <c r="K844" s="16" t="s">
        <v>3376</v>
      </c>
      <c r="L844" s="16" t="s">
        <v>195</v>
      </c>
      <c r="M844" s="16" t="str">
        <f>HYPERLINK("https://ceds.ed.gov/cedselementdetails.aspx?termid=26791")</f>
        <v>https://ceds.ed.gov/cedselementdetails.aspx?termid=26791</v>
      </c>
    </row>
    <row r="845" spans="1:13" ht="374.4" x14ac:dyDescent="0.3">
      <c r="A845" s="16" t="s">
        <v>3377</v>
      </c>
      <c r="B845" s="16" t="s">
        <v>7958</v>
      </c>
      <c r="C845" s="16" t="s">
        <v>8536</v>
      </c>
      <c r="D845" s="16" t="s">
        <v>1504</v>
      </c>
      <c r="E845" s="16"/>
      <c r="F845" s="16"/>
      <c r="G845" s="16"/>
      <c r="H845" s="16"/>
      <c r="I845" s="19" t="s">
        <v>3378</v>
      </c>
      <c r="J845" s="16"/>
      <c r="K845" s="16" t="s">
        <v>3379</v>
      </c>
      <c r="L845" s="16"/>
      <c r="M845" s="16" t="str">
        <f>HYPERLINK("https://ceds.ed.gov/cedselementdetails.aspx?termid=27584")</f>
        <v>https://ceds.ed.gov/cedselementdetails.aspx?termid=27584</v>
      </c>
    </row>
    <row r="846" spans="1:13" ht="144" x14ac:dyDescent="0.3">
      <c r="A846" s="16" t="s">
        <v>3380</v>
      </c>
      <c r="B846" s="16" t="s">
        <v>3381</v>
      </c>
      <c r="C846" s="16" t="s">
        <v>8537</v>
      </c>
      <c r="D846" s="16" t="s">
        <v>8538</v>
      </c>
      <c r="E846" s="16"/>
      <c r="F846" s="16"/>
      <c r="G846" s="16"/>
      <c r="H846" s="16"/>
      <c r="I846" s="19" t="s">
        <v>3382</v>
      </c>
      <c r="J846" s="16"/>
      <c r="K846" s="16" t="s">
        <v>3383</v>
      </c>
      <c r="L846" s="16"/>
      <c r="M846" s="16" t="str">
        <f>HYPERLINK("https://ceds.ed.gov/cedselementdetails.aspx?termid=27585")</f>
        <v>https://ceds.ed.gov/cedselementdetails.aspx?termid=27585</v>
      </c>
    </row>
    <row r="847" spans="1:13" ht="57.6" x14ac:dyDescent="0.3">
      <c r="A847" s="16" t="s">
        <v>3384</v>
      </c>
      <c r="B847" s="16" t="s">
        <v>7959</v>
      </c>
      <c r="C847" s="16" t="s">
        <v>32</v>
      </c>
      <c r="D847" s="16" t="s">
        <v>8492</v>
      </c>
      <c r="E847" s="16"/>
      <c r="F847" s="16" t="s">
        <v>305</v>
      </c>
      <c r="G847" s="16"/>
      <c r="H847" s="16"/>
      <c r="I847" s="19" t="s">
        <v>3385</v>
      </c>
      <c r="J847" s="16"/>
      <c r="K847" s="16" t="s">
        <v>3386</v>
      </c>
      <c r="L847" s="16" t="s">
        <v>3308</v>
      </c>
      <c r="M847" s="16" t="str">
        <f>HYPERLINK("https://ceds.ed.gov/cedselementdetails.aspx?termid=26626")</f>
        <v>https://ceds.ed.gov/cedselementdetails.aspx?termid=26626</v>
      </c>
    </row>
    <row r="848" spans="1:13" ht="86.4" x14ac:dyDescent="0.3">
      <c r="A848" s="16" t="s">
        <v>3387</v>
      </c>
      <c r="B848" s="16" t="s">
        <v>3388</v>
      </c>
      <c r="C848" s="16" t="s">
        <v>22</v>
      </c>
      <c r="D848" s="16" t="s">
        <v>8539</v>
      </c>
      <c r="E848" s="16"/>
      <c r="F848" s="16"/>
      <c r="G848" s="16"/>
      <c r="H848" s="16"/>
      <c r="I848" s="19" t="s">
        <v>3390</v>
      </c>
      <c r="J848" s="16"/>
      <c r="K848" s="16" t="s">
        <v>3391</v>
      </c>
      <c r="L848" s="16" t="s">
        <v>1863</v>
      </c>
      <c r="M848" s="16" t="str">
        <f>HYPERLINK("https://ceds.ed.gov/cedselementdetails.aspx?termid=26086")</f>
        <v>https://ceds.ed.gov/cedselementdetails.aspx?termid=26086</v>
      </c>
    </row>
    <row r="849" spans="1:13" ht="302.39999999999998" x14ac:dyDescent="0.3">
      <c r="A849" s="16" t="s">
        <v>3392</v>
      </c>
      <c r="B849" s="16" t="s">
        <v>3393</v>
      </c>
      <c r="C849" s="16" t="s">
        <v>8540</v>
      </c>
      <c r="D849" s="16" t="s">
        <v>7960</v>
      </c>
      <c r="E849" s="16"/>
      <c r="F849" s="16"/>
      <c r="G849" s="16"/>
      <c r="H849" s="16"/>
      <c r="I849" s="19" t="s">
        <v>3394</v>
      </c>
      <c r="J849" s="16" t="s">
        <v>3395</v>
      </c>
      <c r="K849" s="16" t="s">
        <v>3396</v>
      </c>
      <c r="L849" s="16" t="s">
        <v>3397</v>
      </c>
      <c r="M849" s="16" t="str">
        <f>HYPERLINK("https://ceds.ed.gov/cedselementdetails.aspx?termid=26862")</f>
        <v>https://ceds.ed.gov/cedselementdetails.aspx?termid=26862</v>
      </c>
    </row>
    <row r="850" spans="1:13" ht="187.2" x14ac:dyDescent="0.3">
      <c r="A850" s="16" t="s">
        <v>7397</v>
      </c>
      <c r="B850" s="16" t="s">
        <v>7398</v>
      </c>
      <c r="C850" s="16" t="s">
        <v>8541</v>
      </c>
      <c r="D850" s="16" t="s">
        <v>5466</v>
      </c>
      <c r="E850" s="16"/>
      <c r="F850" s="16"/>
      <c r="G850" s="16"/>
      <c r="H850" s="16"/>
      <c r="I850" s="19" t="s">
        <v>7399</v>
      </c>
      <c r="J850" s="16"/>
      <c r="K850" s="16" t="s">
        <v>7400</v>
      </c>
      <c r="L850" s="16"/>
      <c r="M850" s="16" t="str">
        <f>HYPERLINK("https://ceds.ed.gov/cedselementdetails.aspx?termid=27927")</f>
        <v>https://ceds.ed.gov/cedselementdetails.aspx?termid=27927</v>
      </c>
    </row>
    <row r="851" spans="1:13" ht="158.4" x14ac:dyDescent="0.3">
      <c r="A851" s="16" t="s">
        <v>7401</v>
      </c>
      <c r="B851" s="16" t="s">
        <v>7402</v>
      </c>
      <c r="C851" s="16" t="s">
        <v>8542</v>
      </c>
      <c r="D851" s="16" t="s">
        <v>5466</v>
      </c>
      <c r="E851" s="16"/>
      <c r="F851" s="16"/>
      <c r="G851" s="16"/>
      <c r="H851" s="16"/>
      <c r="I851" s="19" t="s">
        <v>7403</v>
      </c>
      <c r="J851" s="16"/>
      <c r="K851" s="16" t="s">
        <v>7404</v>
      </c>
      <c r="L851" s="16"/>
      <c r="M851" s="16" t="str">
        <f>HYPERLINK("https://ceds.ed.gov/cedselementdetails.aspx?termid=27928")</f>
        <v>https://ceds.ed.gov/cedselementdetails.aspx?termid=27928</v>
      </c>
    </row>
    <row r="852" spans="1:13" ht="43.2" x14ac:dyDescent="0.3">
      <c r="A852" s="16" t="s">
        <v>7961</v>
      </c>
      <c r="B852" s="16" t="s">
        <v>7962</v>
      </c>
      <c r="C852" s="16" t="s">
        <v>8199</v>
      </c>
      <c r="D852" s="16" t="s">
        <v>4275</v>
      </c>
      <c r="E852" s="16"/>
      <c r="F852" s="16" t="s">
        <v>2</v>
      </c>
      <c r="G852" s="16"/>
      <c r="H852" s="16"/>
      <c r="I852" s="19" t="s">
        <v>8180</v>
      </c>
      <c r="J852" s="16"/>
      <c r="K852" s="16" t="s">
        <v>7963</v>
      </c>
      <c r="L852" s="16"/>
      <c r="M852" s="16" t="str">
        <f>HYPERLINK("https://ceds.ed.gov/cedselementdetails.aspx?termid=27978")</f>
        <v>https://ceds.ed.gov/cedselementdetails.aspx?termid=27978</v>
      </c>
    </row>
    <row r="853" spans="1:13" ht="43.2" x14ac:dyDescent="0.3">
      <c r="A853" s="16" t="s">
        <v>7405</v>
      </c>
      <c r="B853" s="16" t="s">
        <v>7406</v>
      </c>
      <c r="C853" s="16" t="s">
        <v>8543</v>
      </c>
      <c r="D853" s="16" t="s">
        <v>4275</v>
      </c>
      <c r="E853" s="16"/>
      <c r="F853" s="16"/>
      <c r="G853" s="16"/>
      <c r="H853" s="16" t="s">
        <v>7407</v>
      </c>
      <c r="I853" s="19" t="s">
        <v>7408</v>
      </c>
      <c r="J853" s="16"/>
      <c r="K853" s="16" t="s">
        <v>7409</v>
      </c>
      <c r="L853" s="16"/>
      <c r="M853" s="16" t="str">
        <f>HYPERLINK("https://ceds.ed.gov/cedselementdetails.aspx?termid=27929")</f>
        <v>https://ceds.ed.gov/cedselementdetails.aspx?termid=27929</v>
      </c>
    </row>
    <row r="854" spans="1:13" ht="57.6" x14ac:dyDescent="0.3">
      <c r="A854" s="16" t="s">
        <v>7410</v>
      </c>
      <c r="B854" s="16" t="s">
        <v>7411</v>
      </c>
      <c r="C854" s="16" t="s">
        <v>8544</v>
      </c>
      <c r="D854" s="16" t="s">
        <v>4275</v>
      </c>
      <c r="E854" s="16"/>
      <c r="F854" s="16"/>
      <c r="G854" s="16"/>
      <c r="H854" s="16" t="s">
        <v>7407</v>
      </c>
      <c r="I854" s="19" t="s">
        <v>7412</v>
      </c>
      <c r="J854" s="16"/>
      <c r="K854" s="16" t="s">
        <v>7413</v>
      </c>
      <c r="L854" s="16"/>
      <c r="M854" s="16" t="str">
        <f>HYPERLINK("https://ceds.ed.gov/cedselementdetails.aspx?termid=27930")</f>
        <v>https://ceds.ed.gov/cedselementdetails.aspx?termid=27930</v>
      </c>
    </row>
    <row r="855" spans="1:13" ht="158.4" x14ac:dyDescent="0.3">
      <c r="A855" s="16" t="s">
        <v>8954</v>
      </c>
      <c r="B855" s="16" t="s">
        <v>8955</v>
      </c>
      <c r="C855" s="16" t="s">
        <v>9422</v>
      </c>
      <c r="D855" s="16" t="s">
        <v>13029</v>
      </c>
      <c r="E855" s="16"/>
      <c r="F855" s="16" t="s">
        <v>2</v>
      </c>
      <c r="G855" s="16"/>
      <c r="H855" s="16"/>
      <c r="I855" s="19" t="s">
        <v>8956</v>
      </c>
      <c r="J855" s="16"/>
      <c r="K855" s="16" t="s">
        <v>8957</v>
      </c>
      <c r="L855" s="16"/>
      <c r="M855" s="16" t="str">
        <f>HYPERLINK("https://ceds.ed.gov/cedselementdetails.aspx?termid=28015")</f>
        <v>https://ceds.ed.gov/cedselementdetails.aspx?termid=28015</v>
      </c>
    </row>
    <row r="856" spans="1:13" ht="86.4" x14ac:dyDescent="0.3">
      <c r="A856" s="16" t="s">
        <v>3398</v>
      </c>
      <c r="B856" s="16" t="s">
        <v>3399</v>
      </c>
      <c r="C856" s="16" t="s">
        <v>8545</v>
      </c>
      <c r="D856" s="16" t="s">
        <v>8546</v>
      </c>
      <c r="E856" s="16"/>
      <c r="F856" s="16"/>
      <c r="G856" s="16"/>
      <c r="H856" s="16"/>
      <c r="I856" s="19" t="s">
        <v>3400</v>
      </c>
      <c r="J856" s="16"/>
      <c r="K856" s="16" t="s">
        <v>3401</v>
      </c>
      <c r="L856" s="16"/>
      <c r="M856" s="16" t="str">
        <f>HYPERLINK("https://ceds.ed.gov/cedselementdetails.aspx?termid=27586")</f>
        <v>https://ceds.ed.gov/cedselementdetails.aspx?termid=27586</v>
      </c>
    </row>
    <row r="857" spans="1:13" ht="57.6" x14ac:dyDescent="0.3">
      <c r="A857" s="16" t="s">
        <v>3402</v>
      </c>
      <c r="B857" s="16" t="s">
        <v>3403</v>
      </c>
      <c r="C857" s="16" t="s">
        <v>22</v>
      </c>
      <c r="D857" s="16" t="s">
        <v>3123</v>
      </c>
      <c r="E857" s="16"/>
      <c r="F857" s="16"/>
      <c r="G857" s="16"/>
      <c r="H857" s="16"/>
      <c r="I857" s="19" t="s">
        <v>3404</v>
      </c>
      <c r="J857" s="16"/>
      <c r="K857" s="16" t="s">
        <v>3405</v>
      </c>
      <c r="L857" s="16"/>
      <c r="M857" s="16" t="str">
        <f>HYPERLINK("https://ceds.ed.gov/cedselementdetails.aspx?termid=26570")</f>
        <v>https://ceds.ed.gov/cedselementdetails.aspx?termid=26570</v>
      </c>
    </row>
    <row r="858" spans="1:13" ht="409.6" x14ac:dyDescent="0.3">
      <c r="A858" s="16" t="s">
        <v>3406</v>
      </c>
      <c r="B858" s="16" t="s">
        <v>3407</v>
      </c>
      <c r="C858" s="16" t="s">
        <v>32</v>
      </c>
      <c r="D858" s="16" t="s">
        <v>9331</v>
      </c>
      <c r="E858" s="16"/>
      <c r="F858" s="16" t="s">
        <v>3408</v>
      </c>
      <c r="G858" s="16"/>
      <c r="H858" s="16"/>
      <c r="I858" s="19" t="s">
        <v>3409</v>
      </c>
      <c r="J858" s="16" t="s">
        <v>3410</v>
      </c>
      <c r="K858" s="16" t="s">
        <v>3411</v>
      </c>
      <c r="L858" s="16" t="s">
        <v>64</v>
      </c>
      <c r="M858" s="16" t="str">
        <f>HYPERLINK("https://ceds.ed.gov/cedselementdetails.aspx?termid=26088")</f>
        <v>https://ceds.ed.gov/cedselementdetails.aspx?termid=26088</v>
      </c>
    </row>
    <row r="859" spans="1:13" ht="409.6" x14ac:dyDescent="0.3">
      <c r="A859" s="16" t="s">
        <v>3412</v>
      </c>
      <c r="B859" s="16" t="s">
        <v>3413</v>
      </c>
      <c r="C859" s="16" t="s">
        <v>9330</v>
      </c>
      <c r="D859" s="16" t="s">
        <v>9331</v>
      </c>
      <c r="E859" s="16"/>
      <c r="F859" s="16"/>
      <c r="G859" s="16"/>
      <c r="H859" s="16"/>
      <c r="I859" s="19" t="s">
        <v>3414</v>
      </c>
      <c r="J859" s="16" t="s">
        <v>3415</v>
      </c>
      <c r="K859" s="16" t="s">
        <v>3416</v>
      </c>
      <c r="L859" s="16" t="s">
        <v>64</v>
      </c>
      <c r="M859" s="16" t="str">
        <f>HYPERLINK("https://ceds.ed.gov/cedselementdetails.aspx?termid=26089")</f>
        <v>https://ceds.ed.gov/cedselementdetails.aspx?termid=26089</v>
      </c>
    </row>
    <row r="860" spans="1:13" ht="100.8" x14ac:dyDescent="0.3">
      <c r="A860" s="16" t="s">
        <v>3417</v>
      </c>
      <c r="B860" s="16" t="s">
        <v>7964</v>
      </c>
      <c r="C860" s="16" t="s">
        <v>8547</v>
      </c>
      <c r="D860" s="16" t="s">
        <v>198</v>
      </c>
      <c r="E860" s="16"/>
      <c r="F860" s="16"/>
      <c r="G860" s="16"/>
      <c r="H860" s="16"/>
      <c r="I860" s="19" t="s">
        <v>3418</v>
      </c>
      <c r="J860" s="16"/>
      <c r="K860" s="16" t="s">
        <v>3419</v>
      </c>
      <c r="L860" s="16" t="s">
        <v>214</v>
      </c>
      <c r="M860" s="16" t="str">
        <f>HYPERLINK("https://ceds.ed.gov/cedselementdetails.aspx?termid=26091")</f>
        <v>https://ceds.ed.gov/cedselementdetails.aspx?termid=26091</v>
      </c>
    </row>
    <row r="861" spans="1:13" ht="86.4" x14ac:dyDescent="0.3">
      <c r="A861" s="16" t="s">
        <v>12748</v>
      </c>
      <c r="B861" s="16" t="s">
        <v>12749</v>
      </c>
      <c r="C861" s="16" t="s">
        <v>32</v>
      </c>
      <c r="D861" s="16" t="s">
        <v>4321</v>
      </c>
      <c r="E861" s="16" t="s">
        <v>155</v>
      </c>
      <c r="F861" s="16" t="s">
        <v>106</v>
      </c>
      <c r="G861" s="16" t="s">
        <v>12636</v>
      </c>
      <c r="H861" s="16"/>
      <c r="I861" s="19" t="s">
        <v>12750</v>
      </c>
      <c r="J861" s="16"/>
      <c r="K861" s="16" t="s">
        <v>12751</v>
      </c>
      <c r="L861" s="16"/>
      <c r="M861" s="16" t="str">
        <f>HYPERLINK("https://ceds.ed.gov/cedselementdetails.aspx?termid=28101")</f>
        <v>https://ceds.ed.gov/cedselementdetails.aspx?termid=28101</v>
      </c>
    </row>
    <row r="862" spans="1:13" ht="28.8" x14ac:dyDescent="0.3">
      <c r="A862" s="16" t="s">
        <v>3420</v>
      </c>
      <c r="B862" s="16" t="s">
        <v>3421</v>
      </c>
      <c r="C862" s="16" t="s">
        <v>32</v>
      </c>
      <c r="D862" s="16" t="s">
        <v>3422</v>
      </c>
      <c r="E862" s="16"/>
      <c r="F862" s="16" t="s">
        <v>106</v>
      </c>
      <c r="G862" s="16"/>
      <c r="H862" s="16"/>
      <c r="I862" s="19" t="s">
        <v>3423</v>
      </c>
      <c r="J862" s="16"/>
      <c r="K862" s="16" t="s">
        <v>3424</v>
      </c>
      <c r="L862" s="16"/>
      <c r="M862" s="16" t="str">
        <f>HYPERLINK("https://ceds.ed.gov/cedselementdetails.aspx?termid=27712")</f>
        <v>https://ceds.ed.gov/cedselementdetails.aspx?termid=27712</v>
      </c>
    </row>
    <row r="863" spans="1:13" ht="28.8" x14ac:dyDescent="0.3">
      <c r="A863" s="16" t="s">
        <v>3425</v>
      </c>
      <c r="B863" s="16" t="s">
        <v>3426</v>
      </c>
      <c r="C863" s="16" t="s">
        <v>32</v>
      </c>
      <c r="D863" s="16" t="s">
        <v>3422</v>
      </c>
      <c r="E863" s="16"/>
      <c r="F863" s="16" t="s">
        <v>316</v>
      </c>
      <c r="G863" s="16"/>
      <c r="H863" s="16"/>
      <c r="I863" s="19" t="s">
        <v>3427</v>
      </c>
      <c r="J863" s="16"/>
      <c r="K863" s="16" t="s">
        <v>3428</v>
      </c>
      <c r="L863" s="16"/>
      <c r="M863" s="16" t="str">
        <f>HYPERLINK("https://ceds.ed.gov/cedselementdetails.aspx?termid=27711")</f>
        <v>https://ceds.ed.gov/cedselementdetails.aspx?termid=27711</v>
      </c>
    </row>
    <row r="864" spans="1:13" ht="43.2" x14ac:dyDescent="0.3">
      <c r="A864" s="16" t="s">
        <v>3429</v>
      </c>
      <c r="B864" s="16" t="s">
        <v>3430</v>
      </c>
      <c r="C864" s="16" t="s">
        <v>32</v>
      </c>
      <c r="D864" s="16" t="s">
        <v>3422</v>
      </c>
      <c r="E864" s="16"/>
      <c r="F864" s="16" t="s">
        <v>316</v>
      </c>
      <c r="G864" s="16"/>
      <c r="H864" s="16"/>
      <c r="I864" s="19" t="s">
        <v>3431</v>
      </c>
      <c r="J864" s="16"/>
      <c r="K864" s="16" t="s">
        <v>3432</v>
      </c>
      <c r="L864" s="16"/>
      <c r="M864" s="16" t="str">
        <f>HYPERLINK("https://ceds.ed.gov/cedselementdetails.aspx?termid=27713")</f>
        <v>https://ceds.ed.gov/cedselementdetails.aspx?termid=27713</v>
      </c>
    </row>
    <row r="865" spans="1:13" ht="28.8" x14ac:dyDescent="0.3">
      <c r="A865" s="16" t="s">
        <v>3433</v>
      </c>
      <c r="B865" s="16" t="s">
        <v>3434</v>
      </c>
      <c r="C865" s="16" t="s">
        <v>32</v>
      </c>
      <c r="D865" s="16" t="s">
        <v>7943</v>
      </c>
      <c r="E865" s="16"/>
      <c r="F865" s="16" t="s">
        <v>747</v>
      </c>
      <c r="G865" s="16"/>
      <c r="H865" s="16"/>
      <c r="I865" s="19" t="s">
        <v>3435</v>
      </c>
      <c r="J865" s="16"/>
      <c r="K865" s="16" t="s">
        <v>3436</v>
      </c>
      <c r="L865" s="16"/>
      <c r="M865" s="16" t="str">
        <f>HYPERLINK("https://ceds.ed.gov/cedselementdetails.aspx?termid=27597")</f>
        <v>https://ceds.ed.gov/cedselementdetails.aspx?termid=27597</v>
      </c>
    </row>
    <row r="866" spans="1:13" ht="72" x14ac:dyDescent="0.3">
      <c r="A866" s="16" t="s">
        <v>3437</v>
      </c>
      <c r="B866" s="16" t="s">
        <v>3438</v>
      </c>
      <c r="C866" s="16" t="s">
        <v>8548</v>
      </c>
      <c r="D866" s="16" t="s">
        <v>3389</v>
      </c>
      <c r="E866" s="16"/>
      <c r="F866" s="16"/>
      <c r="G866" s="16"/>
      <c r="H866" s="16"/>
      <c r="I866" s="19" t="s">
        <v>3439</v>
      </c>
      <c r="J866" s="16"/>
      <c r="K866" s="16" t="s">
        <v>3440</v>
      </c>
      <c r="L866" s="16" t="s">
        <v>64</v>
      </c>
      <c r="M866" s="16" t="str">
        <f>HYPERLINK("https://ceds.ed.gov/cedselementdetails.aspx?termid=26092")</f>
        <v>https://ceds.ed.gov/cedselementdetails.aspx?termid=26092</v>
      </c>
    </row>
    <row r="867" spans="1:13" ht="57.6" x14ac:dyDescent="0.3">
      <c r="A867" s="16" t="s">
        <v>7414</v>
      </c>
      <c r="B867" s="16" t="s">
        <v>7415</v>
      </c>
      <c r="C867" s="16" t="s">
        <v>8437</v>
      </c>
      <c r="D867" s="16" t="s">
        <v>1837</v>
      </c>
      <c r="E867" s="16"/>
      <c r="F867" s="16"/>
      <c r="G867" s="16"/>
      <c r="H867" s="16"/>
      <c r="I867" s="19" t="s">
        <v>7416</v>
      </c>
      <c r="J867" s="16"/>
      <c r="K867" s="16" t="s">
        <v>7417</v>
      </c>
      <c r="L867" s="16"/>
      <c r="M867" s="16" t="str">
        <f>HYPERLINK("https://ceds.ed.gov/cedselementdetails.aspx?termid=27931")</f>
        <v>https://ceds.ed.gov/cedselementdetails.aspx?termid=27931</v>
      </c>
    </row>
    <row r="868" spans="1:13" ht="43.2" x14ac:dyDescent="0.3">
      <c r="A868" s="16" t="s">
        <v>3441</v>
      </c>
      <c r="B868" s="16" t="s">
        <v>13078</v>
      </c>
      <c r="C868" s="16" t="s">
        <v>22</v>
      </c>
      <c r="D868" s="16" t="s">
        <v>3442</v>
      </c>
      <c r="E868" s="16" t="s">
        <v>160</v>
      </c>
      <c r="F868" s="16"/>
      <c r="G868" s="16" t="s">
        <v>12942</v>
      </c>
      <c r="H868" s="16"/>
      <c r="I868" s="19" t="s">
        <v>3443</v>
      </c>
      <c r="J868" s="16"/>
      <c r="K868" s="16"/>
      <c r="L868" s="16"/>
      <c r="M868" s="16" t="str">
        <f>HYPERLINK("https://ceds.ed.gov/cedselementdetails.aspx?termid=27308")</f>
        <v>https://ceds.ed.gov/cedselementdetails.aspx?termid=27308</v>
      </c>
    </row>
    <row r="869" spans="1:13" ht="230.4" x14ac:dyDescent="0.3">
      <c r="A869" s="16" t="s">
        <v>3444</v>
      </c>
      <c r="B869" s="16" t="s">
        <v>3445</v>
      </c>
      <c r="C869" s="16" t="s">
        <v>3446</v>
      </c>
      <c r="D869" s="16" t="s">
        <v>3447</v>
      </c>
      <c r="E869" s="16"/>
      <c r="F869" s="16"/>
      <c r="G869" s="16"/>
      <c r="H869" s="16" t="s">
        <v>7965</v>
      </c>
      <c r="I869" s="19" t="s">
        <v>3448</v>
      </c>
      <c r="J869" s="16"/>
      <c r="K869" s="16" t="s">
        <v>3449</v>
      </c>
      <c r="L869" s="16" t="s">
        <v>3450</v>
      </c>
      <c r="M869" s="16" t="str">
        <f>HYPERLINK("https://ceds.ed.gov/cedselementdetails.aspx?termid=26990")</f>
        <v>https://ceds.ed.gov/cedselementdetails.aspx?termid=26990</v>
      </c>
    </row>
    <row r="870" spans="1:13" ht="201.6" x14ac:dyDescent="0.3">
      <c r="A870" s="16" t="s">
        <v>3451</v>
      </c>
      <c r="B870" s="16" t="s">
        <v>3452</v>
      </c>
      <c r="C870" s="16" t="s">
        <v>3446</v>
      </c>
      <c r="D870" s="16" t="s">
        <v>3453</v>
      </c>
      <c r="E870" s="16"/>
      <c r="F870" s="16"/>
      <c r="G870" s="16"/>
      <c r="H870" s="16" t="s">
        <v>3454</v>
      </c>
      <c r="I870" s="19" t="s">
        <v>3455</v>
      </c>
      <c r="J870" s="16"/>
      <c r="K870" s="16" t="s">
        <v>3456</v>
      </c>
      <c r="L870" s="16"/>
      <c r="M870" s="16" t="str">
        <f>HYPERLINK("https://ceds.ed.gov/cedselementdetails.aspx?termid=27309")</f>
        <v>https://ceds.ed.gov/cedselementdetails.aspx?termid=27309</v>
      </c>
    </row>
    <row r="871" spans="1:13" ht="201.6" x14ac:dyDescent="0.3">
      <c r="A871" s="16" t="s">
        <v>3457</v>
      </c>
      <c r="B871" s="16" t="s">
        <v>3458</v>
      </c>
      <c r="C871" s="16" t="s">
        <v>3446</v>
      </c>
      <c r="D871" s="16" t="s">
        <v>3447</v>
      </c>
      <c r="E871" s="16"/>
      <c r="F871" s="16"/>
      <c r="G871" s="16"/>
      <c r="H871" s="16" t="s">
        <v>3459</v>
      </c>
      <c r="I871" s="19" t="s">
        <v>3460</v>
      </c>
      <c r="J871" s="16"/>
      <c r="K871" s="16" t="s">
        <v>3461</v>
      </c>
      <c r="L871" s="16" t="s">
        <v>3450</v>
      </c>
      <c r="M871" s="16" t="str">
        <f>HYPERLINK("https://ceds.ed.gov/cedselementdetails.aspx?termid=26989")</f>
        <v>https://ceds.ed.gov/cedselementdetails.aspx?termid=26989</v>
      </c>
    </row>
    <row r="872" spans="1:13" ht="216" x14ac:dyDescent="0.3">
      <c r="A872" s="16" t="s">
        <v>3462</v>
      </c>
      <c r="B872" s="16" t="s">
        <v>3463</v>
      </c>
      <c r="C872" s="16" t="s">
        <v>32</v>
      </c>
      <c r="D872" s="16" t="s">
        <v>8549</v>
      </c>
      <c r="E872" s="16"/>
      <c r="F872" s="16" t="s">
        <v>106</v>
      </c>
      <c r="G872" s="16"/>
      <c r="H872" s="16" t="s">
        <v>131</v>
      </c>
      <c r="I872" s="19" t="s">
        <v>3464</v>
      </c>
      <c r="J872" s="16"/>
      <c r="K872" s="16" t="s">
        <v>3465</v>
      </c>
      <c r="L872" s="16" t="s">
        <v>195</v>
      </c>
      <c r="M872" s="16" t="str">
        <f>HYPERLINK("https://ceds.ed.gov/cedselementdetails.aspx?termid=26794")</f>
        <v>https://ceds.ed.gov/cedselementdetails.aspx?termid=26794</v>
      </c>
    </row>
    <row r="873" spans="1:13" ht="409.6" x14ac:dyDescent="0.3">
      <c r="A873" s="16" t="s">
        <v>3466</v>
      </c>
      <c r="B873" s="16" t="s">
        <v>3467</v>
      </c>
      <c r="C873" s="16" t="s">
        <v>8550</v>
      </c>
      <c r="D873" s="16" t="s">
        <v>3453</v>
      </c>
      <c r="E873" s="16"/>
      <c r="F873" s="16"/>
      <c r="G873" s="16"/>
      <c r="H873" s="16" t="s">
        <v>3468</v>
      </c>
      <c r="I873" s="19" t="s">
        <v>3469</v>
      </c>
      <c r="J873" s="16"/>
      <c r="K873" s="16" t="s">
        <v>3470</v>
      </c>
      <c r="L873" s="16"/>
      <c r="M873" s="16" t="str">
        <f>HYPERLINK("https://ceds.ed.gov/cedselementdetails.aspx?termid=26992")</f>
        <v>https://ceds.ed.gov/cedselementdetails.aspx?termid=26992</v>
      </c>
    </row>
    <row r="874" spans="1:13" ht="158.4" x14ac:dyDescent="0.3">
      <c r="A874" s="16" t="s">
        <v>3471</v>
      </c>
      <c r="B874" s="16" t="s">
        <v>3472</v>
      </c>
      <c r="C874" s="16" t="s">
        <v>2838</v>
      </c>
      <c r="D874" s="16" t="s">
        <v>3473</v>
      </c>
      <c r="E874" s="16"/>
      <c r="F874" s="16" t="s">
        <v>2839</v>
      </c>
      <c r="G874" s="16"/>
      <c r="H874" s="16"/>
      <c r="I874" s="19" t="s">
        <v>3474</v>
      </c>
      <c r="J874" s="16"/>
      <c r="K874" s="16" t="s">
        <v>3475</v>
      </c>
      <c r="L874" s="16"/>
      <c r="M874" s="16" t="str">
        <f>HYPERLINK("https://ceds.ed.gov/cedselementdetails.aspx?termid=27070")</f>
        <v>https://ceds.ed.gov/cedselementdetails.aspx?termid=27070</v>
      </c>
    </row>
    <row r="875" spans="1:13" ht="244.8" x14ac:dyDescent="0.3">
      <c r="A875" s="16" t="s">
        <v>3476</v>
      </c>
      <c r="B875" s="16" t="s">
        <v>3477</v>
      </c>
      <c r="C875" s="16" t="s">
        <v>8551</v>
      </c>
      <c r="D875" s="16" t="s">
        <v>3453</v>
      </c>
      <c r="E875" s="16"/>
      <c r="F875" s="16"/>
      <c r="G875" s="16"/>
      <c r="H875" s="16" t="s">
        <v>3478</v>
      </c>
      <c r="I875" s="19" t="s">
        <v>3479</v>
      </c>
      <c r="J875" s="16"/>
      <c r="K875" s="16" t="s">
        <v>3480</v>
      </c>
      <c r="L875" s="16"/>
      <c r="M875" s="16" t="str">
        <f>HYPERLINK("https://ceds.ed.gov/cedselementdetails.aspx?termid=26996")</f>
        <v>https://ceds.ed.gov/cedselementdetails.aspx?termid=26996</v>
      </c>
    </row>
    <row r="876" spans="1:13" ht="316.8" x14ac:dyDescent="0.3">
      <c r="A876" s="16" t="s">
        <v>3481</v>
      </c>
      <c r="B876" s="16" t="s">
        <v>3482</v>
      </c>
      <c r="C876" s="16" t="s">
        <v>32</v>
      </c>
      <c r="D876" s="16" t="s">
        <v>3453</v>
      </c>
      <c r="E876" s="16"/>
      <c r="F876" s="16" t="s">
        <v>106</v>
      </c>
      <c r="G876" s="16"/>
      <c r="H876" s="16" t="s">
        <v>3483</v>
      </c>
      <c r="I876" s="19" t="s">
        <v>3484</v>
      </c>
      <c r="J876" s="16"/>
      <c r="K876" s="16" t="s">
        <v>3485</v>
      </c>
      <c r="L876" s="16"/>
      <c r="M876" s="16" t="str">
        <f>HYPERLINK("https://ceds.ed.gov/cedselementdetails.aspx?termid=26995")</f>
        <v>https://ceds.ed.gov/cedselementdetails.aspx?termid=26995</v>
      </c>
    </row>
    <row r="877" spans="1:13" ht="316.8" x14ac:dyDescent="0.3">
      <c r="A877" s="16" t="s">
        <v>3486</v>
      </c>
      <c r="B877" s="16" t="s">
        <v>3487</v>
      </c>
      <c r="C877" s="16" t="s">
        <v>32</v>
      </c>
      <c r="D877" s="16" t="s">
        <v>3453</v>
      </c>
      <c r="E877" s="16"/>
      <c r="F877" s="16" t="s">
        <v>106</v>
      </c>
      <c r="G877" s="16"/>
      <c r="H877" s="16" t="s">
        <v>3488</v>
      </c>
      <c r="I877" s="19" t="s">
        <v>3489</v>
      </c>
      <c r="J877" s="16"/>
      <c r="K877" s="16" t="s">
        <v>3490</v>
      </c>
      <c r="L877" s="16"/>
      <c r="M877" s="16" t="str">
        <f>HYPERLINK("https://ceds.ed.gov/cedselementdetails.aspx?termid=26994")</f>
        <v>https://ceds.ed.gov/cedselementdetails.aspx?termid=26994</v>
      </c>
    </row>
    <row r="878" spans="1:13" ht="409.6" x14ac:dyDescent="0.3">
      <c r="A878" s="16" t="s">
        <v>3491</v>
      </c>
      <c r="B878" s="16" t="s">
        <v>3267</v>
      </c>
      <c r="C878" s="16" t="s">
        <v>8552</v>
      </c>
      <c r="D878" s="16" t="s">
        <v>13041</v>
      </c>
      <c r="E878" s="16"/>
      <c r="F878" s="16"/>
      <c r="G878" s="16"/>
      <c r="H878" s="16"/>
      <c r="I878" s="19" t="s">
        <v>3492</v>
      </c>
      <c r="J878" s="16"/>
      <c r="K878" s="16" t="s">
        <v>3493</v>
      </c>
      <c r="L878" s="16"/>
      <c r="M878" s="16" t="str">
        <f>HYPERLINK("https://ceds.ed.gov/cedselementdetails.aspx?termid=26613")</f>
        <v>https://ceds.ed.gov/cedselementdetails.aspx?termid=26613</v>
      </c>
    </row>
    <row r="879" spans="1:13" ht="72" x14ac:dyDescent="0.3">
      <c r="A879" s="16" t="s">
        <v>3494</v>
      </c>
      <c r="B879" s="16" t="s">
        <v>3495</v>
      </c>
      <c r="C879" s="16" t="s">
        <v>8553</v>
      </c>
      <c r="D879" s="16" t="s">
        <v>13042</v>
      </c>
      <c r="E879" s="16"/>
      <c r="F879" s="16"/>
      <c r="G879" s="16"/>
      <c r="H879" s="16"/>
      <c r="I879" s="19" t="s">
        <v>3496</v>
      </c>
      <c r="J879" s="16"/>
      <c r="K879" s="16" t="s">
        <v>3497</v>
      </c>
      <c r="L879" s="16"/>
      <c r="M879" s="16" t="str">
        <f>HYPERLINK("https://ceds.ed.gov/cedselementdetails.aspx?termid=26614")</f>
        <v>https://ceds.ed.gov/cedselementdetails.aspx?termid=26614</v>
      </c>
    </row>
    <row r="880" spans="1:13" ht="216" x14ac:dyDescent="0.3">
      <c r="A880" s="16" t="s">
        <v>3498</v>
      </c>
      <c r="B880" s="16" t="s">
        <v>3499</v>
      </c>
      <c r="C880" s="16" t="s">
        <v>32</v>
      </c>
      <c r="D880" s="16" t="s">
        <v>8549</v>
      </c>
      <c r="E880" s="16"/>
      <c r="F880" s="16" t="s">
        <v>106</v>
      </c>
      <c r="G880" s="16"/>
      <c r="H880" s="16"/>
      <c r="I880" s="19" t="s">
        <v>3500</v>
      </c>
      <c r="J880" s="16"/>
      <c r="K880" s="16" t="s">
        <v>3501</v>
      </c>
      <c r="L880" s="16" t="s">
        <v>3502</v>
      </c>
      <c r="M880" s="16" t="str">
        <f>HYPERLINK("https://ceds.ed.gov/cedselementdetails.aspx?termid=26345")</f>
        <v>https://ceds.ed.gov/cedselementdetails.aspx?termid=26345</v>
      </c>
    </row>
    <row r="881" spans="1:13" ht="201.6" x14ac:dyDescent="0.3">
      <c r="A881" s="16" t="s">
        <v>3503</v>
      </c>
      <c r="B881" s="16" t="s">
        <v>282</v>
      </c>
      <c r="C881" s="16" t="s">
        <v>8555</v>
      </c>
      <c r="D881" s="16" t="s">
        <v>13042</v>
      </c>
      <c r="E881" s="16"/>
      <c r="F881" s="16"/>
      <c r="G881" s="16"/>
      <c r="H881" s="16"/>
      <c r="I881" s="19" t="s">
        <v>3504</v>
      </c>
      <c r="J881" s="16"/>
      <c r="K881" s="16" t="s">
        <v>3505</v>
      </c>
      <c r="L881" s="16" t="s">
        <v>3025</v>
      </c>
      <c r="M881" s="16" t="str">
        <f>HYPERLINK("https://ceds.ed.gov/cedselementdetails.aspx?termid=26346")</f>
        <v>https://ceds.ed.gov/cedselementdetails.aspx?termid=26346</v>
      </c>
    </row>
    <row r="882" spans="1:13" ht="72" x14ac:dyDescent="0.3">
      <c r="A882" s="16" t="s">
        <v>3506</v>
      </c>
      <c r="B882" s="16" t="s">
        <v>3507</v>
      </c>
      <c r="C882" s="16" t="s">
        <v>8556</v>
      </c>
      <c r="D882" s="16" t="s">
        <v>12961</v>
      </c>
      <c r="E882" s="16" t="s">
        <v>160</v>
      </c>
      <c r="F882" s="16"/>
      <c r="G882" s="16" t="s">
        <v>12935</v>
      </c>
      <c r="H882" s="16"/>
      <c r="I882" s="19" t="s">
        <v>3508</v>
      </c>
      <c r="J882" s="16"/>
      <c r="K882" s="16" t="s">
        <v>3509</v>
      </c>
      <c r="L882" s="16"/>
      <c r="M882" s="16" t="str">
        <f>HYPERLINK("https://ceds.ed.gov/cedselementdetails.aspx?termid=27310")</f>
        <v>https://ceds.ed.gov/cedselementdetails.aspx?termid=27310</v>
      </c>
    </row>
    <row r="883" spans="1:13" ht="43.2" x14ac:dyDescent="0.3">
      <c r="A883" s="16" t="s">
        <v>3510</v>
      </c>
      <c r="B883" s="16" t="s">
        <v>3511</v>
      </c>
      <c r="C883" s="16" t="s">
        <v>8557</v>
      </c>
      <c r="D883" s="16" t="s">
        <v>61</v>
      </c>
      <c r="E883" s="16"/>
      <c r="F883" s="16"/>
      <c r="G883" s="16"/>
      <c r="H883" s="16"/>
      <c r="I883" s="19" t="s">
        <v>3512</v>
      </c>
      <c r="J883" s="16"/>
      <c r="K883" s="16" t="s">
        <v>3513</v>
      </c>
      <c r="L883" s="16" t="s">
        <v>25</v>
      </c>
      <c r="M883" s="16" t="str">
        <f>HYPERLINK("https://ceds.ed.gov/cedselementdetails.aspx?termid=26093")</f>
        <v>https://ceds.ed.gov/cedselementdetails.aspx?termid=26093</v>
      </c>
    </row>
    <row r="884" spans="1:13" ht="43.2" x14ac:dyDescent="0.3">
      <c r="A884" s="16" t="s">
        <v>3514</v>
      </c>
      <c r="B884" s="16" t="s">
        <v>3515</v>
      </c>
      <c r="C884" s="16" t="s">
        <v>32</v>
      </c>
      <c r="D884" s="16" t="s">
        <v>3516</v>
      </c>
      <c r="E884" s="16"/>
      <c r="F884" s="16"/>
      <c r="G884" s="16"/>
      <c r="H884" s="16"/>
      <c r="I884" s="19" t="s">
        <v>3517</v>
      </c>
      <c r="J884" s="16"/>
      <c r="K884" s="16" t="s">
        <v>3518</v>
      </c>
      <c r="L884" s="16"/>
      <c r="M884" s="16" t="str">
        <f>HYPERLINK("https://ceds.ed.gov/cedselementdetails.aspx?termid=27901")</f>
        <v>https://ceds.ed.gov/cedselementdetails.aspx?termid=27901</v>
      </c>
    </row>
    <row r="885" spans="1:13" ht="72" x14ac:dyDescent="0.3">
      <c r="A885" s="16" t="s">
        <v>3519</v>
      </c>
      <c r="B885" s="16" t="s">
        <v>12980</v>
      </c>
      <c r="C885" s="16"/>
      <c r="D885" s="16"/>
      <c r="E885" s="16"/>
      <c r="F885" s="16"/>
      <c r="G885" s="16"/>
      <c r="H885" s="16"/>
      <c r="I885" s="19"/>
      <c r="J885" s="16"/>
      <c r="K885" s="16"/>
      <c r="L885" s="16"/>
      <c r="M885" s="16"/>
    </row>
    <row r="886" spans="1:13" x14ac:dyDescent="0.3">
      <c r="A886" s="16" t="s">
        <v>12981</v>
      </c>
      <c r="B886" s="16"/>
      <c r="C886" s="16"/>
      <c r="D886" s="16"/>
      <c r="E886" s="16"/>
      <c r="F886" s="16"/>
      <c r="G886" s="16"/>
      <c r="H886" s="16"/>
      <c r="I886" s="19"/>
      <c r="J886" s="16"/>
      <c r="K886" s="16"/>
      <c r="L886" s="16"/>
      <c r="M886" s="16"/>
    </row>
    <row r="887" spans="1:13" ht="43.2" x14ac:dyDescent="0.3">
      <c r="A887" s="16" t="s">
        <v>12982</v>
      </c>
      <c r="B887" s="16"/>
      <c r="C887" s="16"/>
      <c r="D887" s="16"/>
      <c r="E887" s="16"/>
      <c r="F887" s="16"/>
      <c r="G887" s="16"/>
      <c r="H887" s="16"/>
      <c r="I887" s="19"/>
      <c r="J887" s="16"/>
      <c r="K887" s="16"/>
      <c r="L887" s="16"/>
      <c r="M887" s="16"/>
    </row>
    <row r="888" spans="1:13" x14ac:dyDescent="0.3">
      <c r="A888" s="16" t="s">
        <v>12983</v>
      </c>
      <c r="B888" s="16"/>
      <c r="C888" s="16"/>
      <c r="D888" s="16"/>
      <c r="E888" s="16"/>
      <c r="F888" s="16"/>
      <c r="G888" s="16"/>
      <c r="H888" s="16"/>
      <c r="I888" s="19"/>
      <c r="J888" s="16"/>
      <c r="K888" s="16"/>
      <c r="L888" s="16"/>
      <c r="M888" s="16"/>
    </row>
    <row r="889" spans="1:13" ht="43.2" x14ac:dyDescent="0.3">
      <c r="A889" s="16" t="s">
        <v>12984</v>
      </c>
      <c r="B889" s="16"/>
      <c r="C889" s="16"/>
      <c r="D889" s="16"/>
      <c r="E889" s="16"/>
      <c r="F889" s="16"/>
      <c r="G889" s="16"/>
      <c r="H889" s="16"/>
      <c r="I889" s="19"/>
      <c r="J889" s="16"/>
      <c r="K889" s="16"/>
      <c r="L889" s="16"/>
      <c r="M889" s="16"/>
    </row>
    <row r="890" spans="1:13" x14ac:dyDescent="0.3">
      <c r="A890" s="16" t="s">
        <v>12985</v>
      </c>
      <c r="B890" s="16"/>
      <c r="C890" s="16"/>
      <c r="D890" s="16"/>
      <c r="E890" s="16"/>
      <c r="F890" s="16"/>
      <c r="G890" s="16"/>
      <c r="H890" s="16"/>
      <c r="I890" s="19"/>
      <c r="J890" s="16"/>
      <c r="K890" s="16"/>
      <c r="L890" s="16"/>
      <c r="M890" s="16"/>
    </row>
    <row r="891" spans="1:13" ht="43.2" x14ac:dyDescent="0.3">
      <c r="A891" s="16" t="s">
        <v>12986</v>
      </c>
      <c r="B891" s="16"/>
      <c r="C891" s="16"/>
      <c r="D891" s="16"/>
      <c r="E891" s="16"/>
      <c r="F891" s="16"/>
      <c r="G891" s="16"/>
      <c r="H891" s="16"/>
      <c r="I891" s="19"/>
      <c r="J891" s="16"/>
      <c r="K891" s="16"/>
      <c r="L891" s="16"/>
      <c r="M891" s="16"/>
    </row>
    <row r="892" spans="1:13" ht="57.6" x14ac:dyDescent="0.3">
      <c r="A892" s="16" t="s">
        <v>12987</v>
      </c>
      <c r="B892" s="16"/>
      <c r="C892" s="16"/>
      <c r="D892" s="16"/>
      <c r="E892" s="16"/>
      <c r="F892" s="16"/>
      <c r="G892" s="16"/>
      <c r="H892" s="16"/>
      <c r="I892" s="19"/>
      <c r="J892" s="16"/>
      <c r="K892" s="16"/>
      <c r="L892" s="16"/>
      <c r="M892" s="16"/>
    </row>
    <row r="893" spans="1:13" ht="72" x14ac:dyDescent="0.3">
      <c r="A893" s="16" t="s">
        <v>12988</v>
      </c>
      <c r="B893" s="16"/>
      <c r="C893" s="16"/>
      <c r="D893" s="16"/>
      <c r="E893" s="16"/>
      <c r="F893" s="16"/>
      <c r="G893" s="16"/>
      <c r="H893" s="16"/>
      <c r="I893" s="19"/>
      <c r="J893" s="16"/>
      <c r="K893" s="16"/>
      <c r="L893" s="16"/>
      <c r="M893" s="16"/>
    </row>
    <row r="894" spans="1:13" ht="57.6" x14ac:dyDescent="0.3">
      <c r="A894" s="16" t="s">
        <v>12989</v>
      </c>
      <c r="B894" s="16"/>
      <c r="C894" s="16"/>
      <c r="D894" s="16"/>
      <c r="E894" s="16"/>
      <c r="F894" s="16"/>
      <c r="G894" s="16"/>
      <c r="H894" s="16"/>
      <c r="I894" s="19"/>
      <c r="J894" s="16"/>
      <c r="K894" s="16"/>
      <c r="L894" s="16"/>
      <c r="M894" s="16"/>
    </row>
    <row r="895" spans="1:13" ht="28.8" x14ac:dyDescent="0.3">
      <c r="A895" s="16" t="s">
        <v>12990</v>
      </c>
      <c r="B895" s="16"/>
      <c r="C895" s="16"/>
      <c r="D895" s="16"/>
      <c r="E895" s="16"/>
      <c r="F895" s="16"/>
      <c r="G895" s="16"/>
      <c r="H895" s="16"/>
      <c r="I895" s="19"/>
      <c r="J895" s="16"/>
      <c r="K895" s="16"/>
      <c r="L895" s="16"/>
      <c r="M895" s="16"/>
    </row>
    <row r="896" spans="1:13" ht="43.2" x14ac:dyDescent="0.3">
      <c r="A896" s="16" t="s">
        <v>12991</v>
      </c>
      <c r="B896" s="16"/>
      <c r="C896" s="16"/>
      <c r="D896" s="16"/>
      <c r="E896" s="16"/>
      <c r="F896" s="16"/>
      <c r="G896" s="16"/>
      <c r="H896" s="16"/>
      <c r="I896" s="19"/>
      <c r="J896" s="16"/>
      <c r="K896" s="16"/>
      <c r="L896" s="16"/>
      <c r="M896" s="16"/>
    </row>
    <row r="897" spans="1:13" ht="86.4" x14ac:dyDescent="0.3">
      <c r="A897" s="16" t="s">
        <v>12992</v>
      </c>
      <c r="B897" s="16" t="s">
        <v>22</v>
      </c>
      <c r="C897" s="16" t="s">
        <v>9366</v>
      </c>
      <c r="D897" s="16"/>
      <c r="E897" s="16"/>
      <c r="F897" s="16"/>
      <c r="G897" s="16" t="s">
        <v>3520</v>
      </c>
      <c r="H897" s="16">
        <v>180</v>
      </c>
      <c r="I897" s="19"/>
      <c r="J897" s="16" t="s">
        <v>3521</v>
      </c>
      <c r="K897" s="16" t="s">
        <v>1863</v>
      </c>
      <c r="L897" s="16" t="str">
        <f>HYPERLINK("https://ceds.ed.gov/cedselementdetails.aspx?termid=26180")</f>
        <v>https://ceds.ed.gov/cedselementdetails.aspx?termid=26180</v>
      </c>
      <c r="M897" s="16"/>
    </row>
    <row r="898" spans="1:13" ht="331.2" x14ac:dyDescent="0.3">
      <c r="A898" s="16" t="s">
        <v>7966</v>
      </c>
      <c r="B898" s="16" t="s">
        <v>7967</v>
      </c>
      <c r="C898" s="16" t="s">
        <v>32</v>
      </c>
      <c r="D898" s="16" t="s">
        <v>9367</v>
      </c>
      <c r="E898" s="16"/>
      <c r="F898" s="16" t="s">
        <v>1662</v>
      </c>
      <c r="G898" s="16"/>
      <c r="H898" s="16" t="s">
        <v>7968</v>
      </c>
      <c r="I898" s="19" t="s">
        <v>8181</v>
      </c>
      <c r="J898" s="16"/>
      <c r="K898" s="16" t="s">
        <v>7969</v>
      </c>
      <c r="L898" s="16"/>
      <c r="M898" s="16" t="str">
        <f>HYPERLINK("https://ceds.ed.gov/cedselementdetails.aspx?termid=27979")</f>
        <v>https://ceds.ed.gov/cedselementdetails.aspx?termid=27979</v>
      </c>
    </row>
    <row r="899" spans="1:13" ht="43.2" x14ac:dyDescent="0.3">
      <c r="A899" s="16" t="s">
        <v>3522</v>
      </c>
      <c r="B899" s="16" t="s">
        <v>3523</v>
      </c>
      <c r="C899" s="16" t="s">
        <v>32</v>
      </c>
      <c r="D899" s="16" t="s">
        <v>8558</v>
      </c>
      <c r="E899" s="16"/>
      <c r="F899" s="16" t="s">
        <v>106</v>
      </c>
      <c r="G899" s="16"/>
      <c r="H899" s="16"/>
      <c r="I899" s="19" t="s">
        <v>3524</v>
      </c>
      <c r="J899" s="16"/>
      <c r="K899" s="16" t="s">
        <v>3525</v>
      </c>
      <c r="L899" s="16" t="s">
        <v>372</v>
      </c>
      <c r="M899" s="16" t="str">
        <f>HYPERLINK("https://ceds.ed.gov/cedselementdetails.aspx?termid=26324")</f>
        <v>https://ceds.ed.gov/cedselementdetails.aspx?termid=26324</v>
      </c>
    </row>
    <row r="900" spans="1:13" ht="172.8" x14ac:dyDescent="0.3">
      <c r="A900" s="16" t="s">
        <v>3526</v>
      </c>
      <c r="B900" s="16" t="s">
        <v>3527</v>
      </c>
      <c r="C900" s="16" t="s">
        <v>32</v>
      </c>
      <c r="D900" s="16" t="s">
        <v>9368</v>
      </c>
      <c r="E900" s="16"/>
      <c r="F900" s="16" t="s">
        <v>106</v>
      </c>
      <c r="G900" s="16"/>
      <c r="H900" s="16"/>
      <c r="I900" s="19" t="s">
        <v>3528</v>
      </c>
      <c r="J900" s="16"/>
      <c r="K900" s="16" t="s">
        <v>3529</v>
      </c>
      <c r="L900" s="16" t="s">
        <v>3530</v>
      </c>
      <c r="M900" s="16" t="str">
        <f>HYPERLINK("https://ceds.ed.gov/cedselementdetails.aspx?termid=26097")</f>
        <v>https://ceds.ed.gov/cedselementdetails.aspx?termid=26097</v>
      </c>
    </row>
    <row r="901" spans="1:13" ht="100.8" x14ac:dyDescent="0.3">
      <c r="A901" s="16" t="s">
        <v>3531</v>
      </c>
      <c r="B901" s="16" t="s">
        <v>3532</v>
      </c>
      <c r="C901" s="16" t="s">
        <v>32</v>
      </c>
      <c r="D901" s="16" t="s">
        <v>8559</v>
      </c>
      <c r="E901" s="16"/>
      <c r="F901" s="16" t="s">
        <v>106</v>
      </c>
      <c r="G901" s="16"/>
      <c r="H901" s="16" t="s">
        <v>131</v>
      </c>
      <c r="I901" s="19" t="s">
        <v>3533</v>
      </c>
      <c r="J901" s="16"/>
      <c r="K901" s="16" t="s">
        <v>3534</v>
      </c>
      <c r="L901" s="16" t="s">
        <v>58</v>
      </c>
      <c r="M901" s="16" t="str">
        <f>HYPERLINK("https://ceds.ed.gov/cedselementdetails.aspx?termid=26107")</f>
        <v>https://ceds.ed.gov/cedselementdetails.aspx?termid=26107</v>
      </c>
    </row>
    <row r="902" spans="1:13" ht="244.8" x14ac:dyDescent="0.3">
      <c r="A902" s="16" t="s">
        <v>3535</v>
      </c>
      <c r="B902" s="16" t="s">
        <v>3536</v>
      </c>
      <c r="C902" s="16" t="s">
        <v>8281</v>
      </c>
      <c r="D902" s="16" t="s">
        <v>3537</v>
      </c>
      <c r="E902" s="16"/>
      <c r="F902" s="16"/>
      <c r="G902" s="16"/>
      <c r="H902" s="16"/>
      <c r="I902" s="19" t="s">
        <v>3538</v>
      </c>
      <c r="J902" s="16"/>
      <c r="K902" s="16" t="s">
        <v>3539</v>
      </c>
      <c r="L902" s="16" t="s">
        <v>186</v>
      </c>
      <c r="M902" s="16" t="str">
        <f>HYPERLINK("https://ceds.ed.gov/cedselementdetails.aspx?termid=26360")</f>
        <v>https://ceds.ed.gov/cedselementdetails.aspx?termid=26360</v>
      </c>
    </row>
    <row r="903" spans="1:13" ht="72" x14ac:dyDescent="0.3">
      <c r="A903" s="16" t="s">
        <v>3540</v>
      </c>
      <c r="B903" s="16" t="s">
        <v>3541</v>
      </c>
      <c r="C903" s="16" t="s">
        <v>8560</v>
      </c>
      <c r="D903" s="16" t="s">
        <v>3161</v>
      </c>
      <c r="E903" s="16"/>
      <c r="F903" s="16"/>
      <c r="G903" s="16"/>
      <c r="H903" s="16"/>
      <c r="I903" s="19" t="s">
        <v>3542</v>
      </c>
      <c r="J903" s="16"/>
      <c r="K903" s="16" t="s">
        <v>3543</v>
      </c>
      <c r="L903" s="16" t="s">
        <v>214</v>
      </c>
      <c r="M903" s="16" t="str">
        <f>HYPERLINK("https://ceds.ed.gov/cedselementdetails.aspx?termid=26094")</f>
        <v>https://ceds.ed.gov/cedselementdetails.aspx?termid=26094</v>
      </c>
    </row>
    <row r="904" spans="1:13" ht="28.8" x14ac:dyDescent="0.3">
      <c r="A904" s="16" t="s">
        <v>12752</v>
      </c>
      <c r="B904" s="16" t="s">
        <v>12753</v>
      </c>
      <c r="C904" s="16" t="s">
        <v>32</v>
      </c>
      <c r="D904" s="16" t="s">
        <v>3161</v>
      </c>
      <c r="E904" s="16" t="s">
        <v>155</v>
      </c>
      <c r="F904" s="16" t="s">
        <v>106</v>
      </c>
      <c r="G904" s="16" t="s">
        <v>12636</v>
      </c>
      <c r="H904" s="16" t="s">
        <v>12754</v>
      </c>
      <c r="I904" s="19" t="s">
        <v>12755</v>
      </c>
      <c r="J904" s="16"/>
      <c r="K904" s="16" t="s">
        <v>12756</v>
      </c>
      <c r="L904" s="16"/>
      <c r="M904" s="16" t="str">
        <f>HYPERLINK("https://ceds.ed.gov/cedselementdetails.aspx?termid=28110")</f>
        <v>https://ceds.ed.gov/cedselementdetails.aspx?termid=28110</v>
      </c>
    </row>
    <row r="905" spans="1:13" ht="72" x14ac:dyDescent="0.3">
      <c r="A905" s="16" t="s">
        <v>3544</v>
      </c>
      <c r="B905" s="16" t="s">
        <v>7970</v>
      </c>
      <c r="C905" s="16" t="s">
        <v>32</v>
      </c>
      <c r="D905" s="16" t="s">
        <v>2074</v>
      </c>
      <c r="E905" s="16"/>
      <c r="F905" s="16" t="s">
        <v>106</v>
      </c>
      <c r="G905" s="16"/>
      <c r="H905" s="16"/>
      <c r="I905" s="19" t="s">
        <v>3545</v>
      </c>
      <c r="J905" s="16"/>
      <c r="K905" s="16" t="s">
        <v>3546</v>
      </c>
      <c r="L905" s="16" t="s">
        <v>3547</v>
      </c>
      <c r="M905" s="16" t="str">
        <f>HYPERLINK("https://ceds.ed.gov/cedselementdetails.aspx?termid=26098")</f>
        <v>https://ceds.ed.gov/cedselementdetails.aspx?termid=26098</v>
      </c>
    </row>
    <row r="906" spans="1:13" ht="331.2" x14ac:dyDescent="0.3">
      <c r="A906" s="16" t="s">
        <v>3548</v>
      </c>
      <c r="B906" s="16" t="s">
        <v>3549</v>
      </c>
      <c r="C906" s="16" t="s">
        <v>8235</v>
      </c>
      <c r="D906" s="16" t="s">
        <v>3550</v>
      </c>
      <c r="E906" s="16"/>
      <c r="F906" s="16"/>
      <c r="G906" s="16"/>
      <c r="H906" s="16"/>
      <c r="I906" s="19" t="s">
        <v>3551</v>
      </c>
      <c r="J906" s="16"/>
      <c r="K906" s="16" t="s">
        <v>3552</v>
      </c>
      <c r="L906" s="16" t="s">
        <v>1863</v>
      </c>
      <c r="M906" s="16" t="str">
        <f>HYPERLINK("https://ceds.ed.gov/cedselementdetails.aspx?termid=26100")</f>
        <v>https://ceds.ed.gov/cedselementdetails.aspx?termid=26100</v>
      </c>
    </row>
    <row r="907" spans="1:13" ht="409.6" x14ac:dyDescent="0.3">
      <c r="A907" s="16" t="s">
        <v>3553</v>
      </c>
      <c r="B907" s="16" t="s">
        <v>3554</v>
      </c>
      <c r="C907" s="16" t="s">
        <v>13043</v>
      </c>
      <c r="D907" s="16" t="s">
        <v>3161</v>
      </c>
      <c r="E907" s="16"/>
      <c r="F907" s="16"/>
      <c r="G907" s="16"/>
      <c r="H907" s="16"/>
      <c r="I907" s="19" t="s">
        <v>3555</v>
      </c>
      <c r="J907" s="16"/>
      <c r="K907" s="16" t="s">
        <v>3556</v>
      </c>
      <c r="L907" s="16" t="s">
        <v>64</v>
      </c>
      <c r="M907" s="16" t="str">
        <f>HYPERLINK("https://ceds.ed.gov/cedselementdetails.aspx?termid=26099")</f>
        <v>https://ceds.ed.gov/cedselementdetails.aspx?termid=26099</v>
      </c>
    </row>
    <row r="908" spans="1:13" ht="331.2" x14ac:dyDescent="0.3">
      <c r="A908" s="16" t="s">
        <v>3557</v>
      </c>
      <c r="B908" s="16" t="s">
        <v>3558</v>
      </c>
      <c r="C908" s="16" t="s">
        <v>8235</v>
      </c>
      <c r="D908" s="16" t="s">
        <v>3550</v>
      </c>
      <c r="E908" s="16"/>
      <c r="F908" s="16"/>
      <c r="G908" s="16"/>
      <c r="H908" s="16"/>
      <c r="I908" s="19" t="s">
        <v>3559</v>
      </c>
      <c r="J908" s="16"/>
      <c r="K908" s="16" t="s">
        <v>3560</v>
      </c>
      <c r="L908" s="16"/>
      <c r="M908" s="16" t="str">
        <f>HYPERLINK("https://ceds.ed.gov/cedselementdetails.aspx?termid=27177")</f>
        <v>https://ceds.ed.gov/cedselementdetails.aspx?termid=27177</v>
      </c>
    </row>
    <row r="909" spans="1:13" ht="72" x14ac:dyDescent="0.3">
      <c r="A909" s="16" t="s">
        <v>3561</v>
      </c>
      <c r="B909" s="16" t="s">
        <v>3562</v>
      </c>
      <c r="C909" s="16" t="s">
        <v>8221</v>
      </c>
      <c r="D909" s="16" t="s">
        <v>9369</v>
      </c>
      <c r="E909" s="16"/>
      <c r="F909" s="16"/>
      <c r="G909" s="16"/>
      <c r="H909" s="16"/>
      <c r="I909" s="19" t="s">
        <v>3564</v>
      </c>
      <c r="J909" s="16"/>
      <c r="K909" s="16" t="s">
        <v>3565</v>
      </c>
      <c r="L909" s="16" t="s">
        <v>2661</v>
      </c>
      <c r="M909" s="16" t="str">
        <f>HYPERLINK("https://ceds.ed.gov/cedselementdetails.aspx?termid=26108")</f>
        <v>https://ceds.ed.gov/cedselementdetails.aspx?termid=26108</v>
      </c>
    </row>
    <row r="910" spans="1:13" ht="409.6" x14ac:dyDescent="0.3">
      <c r="A910" s="16" t="s">
        <v>3566</v>
      </c>
      <c r="B910" s="16" t="s">
        <v>7971</v>
      </c>
      <c r="C910" s="16" t="s">
        <v>9426</v>
      </c>
      <c r="D910" s="16" t="s">
        <v>3161</v>
      </c>
      <c r="E910" s="16"/>
      <c r="F910" s="16"/>
      <c r="G910" s="16"/>
      <c r="H910" s="16" t="s">
        <v>12993</v>
      </c>
      <c r="I910" s="19"/>
      <c r="J910" s="16"/>
      <c r="K910" s="16"/>
      <c r="L910" s="16"/>
      <c r="M910" s="16"/>
    </row>
    <row r="911" spans="1:13" ht="57.6" x14ac:dyDescent="0.3">
      <c r="A911" s="16"/>
      <c r="B911" s="16" t="s">
        <v>12994</v>
      </c>
      <c r="C911" s="16"/>
      <c r="D911" s="16"/>
      <c r="E911" s="16"/>
      <c r="F911" s="16"/>
      <c r="G911" s="16"/>
      <c r="H911" s="16"/>
      <c r="I911" s="19"/>
      <c r="J911" s="16"/>
      <c r="K911" s="16"/>
      <c r="L911" s="16"/>
      <c r="M911" s="16"/>
    </row>
    <row r="912" spans="1:13" ht="57.6" x14ac:dyDescent="0.3">
      <c r="A912" s="16"/>
      <c r="B912" s="16" t="s">
        <v>12995</v>
      </c>
      <c r="C912" s="16"/>
      <c r="D912" s="16"/>
      <c r="E912" s="16"/>
      <c r="F912" s="16"/>
      <c r="G912" s="16"/>
      <c r="H912" s="16"/>
      <c r="I912" s="19"/>
      <c r="J912" s="16"/>
      <c r="K912" s="16"/>
      <c r="L912" s="16"/>
      <c r="M912" s="16"/>
    </row>
    <row r="913" spans="1:13" ht="100.8" x14ac:dyDescent="0.3">
      <c r="A913" s="16"/>
      <c r="B913" s="16" t="s">
        <v>12996</v>
      </c>
      <c r="C913" s="16"/>
      <c r="D913" s="16"/>
      <c r="E913" s="16"/>
      <c r="F913" s="16"/>
      <c r="G913" s="16"/>
      <c r="H913" s="16"/>
      <c r="I913" s="19"/>
      <c r="J913" s="16"/>
      <c r="K913" s="16"/>
      <c r="L913" s="16"/>
      <c r="M913" s="16"/>
    </row>
    <row r="914" spans="1:13" ht="115.2" x14ac:dyDescent="0.3">
      <c r="A914" s="16"/>
      <c r="B914" s="16" t="s">
        <v>12997</v>
      </c>
      <c r="C914" s="16">
        <v>110</v>
      </c>
      <c r="D914" s="16"/>
      <c r="E914" s="16" t="s">
        <v>3567</v>
      </c>
      <c r="F914" s="16" t="s">
        <v>3568</v>
      </c>
      <c r="G914" s="16" t="str">
        <f>HYPERLINK("https://ceds.ed.gov/cedselementdetails.aspx?termid=26110")</f>
        <v>https://ceds.ed.gov/cedselementdetails.aspx?termid=26110</v>
      </c>
      <c r="H914" s="16"/>
      <c r="I914" s="19"/>
      <c r="J914" s="16"/>
      <c r="K914" s="16"/>
      <c r="L914" s="16"/>
      <c r="M914" s="16"/>
    </row>
    <row r="915" spans="1:13" ht="409.6" x14ac:dyDescent="0.3">
      <c r="A915" s="16" t="s">
        <v>3569</v>
      </c>
      <c r="B915" s="16" t="s">
        <v>3570</v>
      </c>
      <c r="C915" s="16" t="s">
        <v>8561</v>
      </c>
      <c r="D915" s="16" t="s">
        <v>12962</v>
      </c>
      <c r="E915" s="16" t="s">
        <v>160</v>
      </c>
      <c r="F915" s="16"/>
      <c r="G915" s="16" t="s">
        <v>12935</v>
      </c>
      <c r="H915" s="16"/>
      <c r="I915" s="19" t="s">
        <v>3571</v>
      </c>
      <c r="J915" s="16"/>
      <c r="K915" s="16" t="s">
        <v>3572</v>
      </c>
      <c r="L915" s="16"/>
      <c r="M915" s="16" t="str">
        <f>HYPERLINK("https://ceds.ed.gov/cedselementdetails.aspx?termid=26222")</f>
        <v>https://ceds.ed.gov/cedselementdetails.aspx?termid=26222</v>
      </c>
    </row>
    <row r="916" spans="1:13" ht="172.8" x14ac:dyDescent="0.3">
      <c r="A916" s="16" t="s">
        <v>3573</v>
      </c>
      <c r="B916" s="16" t="s">
        <v>3574</v>
      </c>
      <c r="C916" s="16" t="s">
        <v>32</v>
      </c>
      <c r="D916" s="16" t="s">
        <v>9370</v>
      </c>
      <c r="E916" s="16"/>
      <c r="F916" s="16" t="s">
        <v>120</v>
      </c>
      <c r="G916" s="16"/>
      <c r="H916" s="16" t="s">
        <v>7817</v>
      </c>
      <c r="I916" s="19" t="s">
        <v>3575</v>
      </c>
      <c r="J916" s="16"/>
      <c r="K916" s="16" t="s">
        <v>3576</v>
      </c>
      <c r="L916" s="16"/>
      <c r="M916" s="16" t="str">
        <f>HYPERLINK("https://ceds.ed.gov/cedselementdetails.aspx?termid=26495")</f>
        <v>https://ceds.ed.gov/cedselementdetails.aspx?termid=26495</v>
      </c>
    </row>
    <row r="917" spans="1:13" ht="331.2" x14ac:dyDescent="0.3">
      <c r="A917" s="16" t="s">
        <v>3577</v>
      </c>
      <c r="B917" s="16" t="s">
        <v>3578</v>
      </c>
      <c r="C917" s="16" t="s">
        <v>8562</v>
      </c>
      <c r="D917" s="16" t="s">
        <v>1589</v>
      </c>
      <c r="E917" s="16"/>
      <c r="F917" s="16"/>
      <c r="G917" s="16"/>
      <c r="H917" s="16"/>
      <c r="I917" s="19" t="s">
        <v>3579</v>
      </c>
      <c r="J917" s="16"/>
      <c r="K917" s="16" t="s">
        <v>3580</v>
      </c>
      <c r="L917" s="16"/>
      <c r="M917" s="16" t="str">
        <f>HYPERLINK("https://ceds.ed.gov/cedselementdetails.aspx?termid=27852")</f>
        <v>https://ceds.ed.gov/cedselementdetails.aspx?termid=27852</v>
      </c>
    </row>
    <row r="918" spans="1:13" ht="57.6" x14ac:dyDescent="0.3">
      <c r="A918" s="16" t="s">
        <v>3581</v>
      </c>
      <c r="B918" s="16" t="s">
        <v>3582</v>
      </c>
      <c r="C918" s="16" t="s">
        <v>8563</v>
      </c>
      <c r="D918" s="16" t="s">
        <v>1589</v>
      </c>
      <c r="E918" s="16"/>
      <c r="F918" s="16"/>
      <c r="G918" s="16"/>
      <c r="H918" s="16"/>
      <c r="I918" s="19" t="s">
        <v>3583</v>
      </c>
      <c r="J918" s="16"/>
      <c r="K918" s="16" t="s">
        <v>3584</v>
      </c>
      <c r="L918" s="16"/>
      <c r="M918" s="16" t="str">
        <f>HYPERLINK("https://ceds.ed.gov/cedselementdetails.aspx?termid=27866")</f>
        <v>https://ceds.ed.gov/cedselementdetails.aspx?termid=27866</v>
      </c>
    </row>
    <row r="919" spans="1:13" ht="28.8" x14ac:dyDescent="0.3">
      <c r="A919" s="16" t="s">
        <v>3585</v>
      </c>
      <c r="B919" s="16" t="s">
        <v>3586</v>
      </c>
      <c r="C919" s="16" t="s">
        <v>32</v>
      </c>
      <c r="D919" s="16" t="s">
        <v>1589</v>
      </c>
      <c r="E919" s="16"/>
      <c r="F919" s="16" t="s">
        <v>55</v>
      </c>
      <c r="G919" s="16"/>
      <c r="H919" s="16"/>
      <c r="I919" s="19" t="s">
        <v>3587</v>
      </c>
      <c r="J919" s="16"/>
      <c r="K919" s="16" t="s">
        <v>3588</v>
      </c>
      <c r="L919" s="16"/>
      <c r="M919" s="16" t="str">
        <f>HYPERLINK("https://ceds.ed.gov/cedselementdetails.aspx?termid=27863")</f>
        <v>https://ceds.ed.gov/cedselementdetails.aspx?termid=27863</v>
      </c>
    </row>
    <row r="920" spans="1:13" ht="129.6" x14ac:dyDescent="0.3">
      <c r="A920" s="16" t="s">
        <v>3589</v>
      </c>
      <c r="B920" s="16" t="s">
        <v>3590</v>
      </c>
      <c r="C920" s="16" t="s">
        <v>8564</v>
      </c>
      <c r="D920" s="16" t="s">
        <v>1589</v>
      </c>
      <c r="E920" s="16"/>
      <c r="F920" s="16"/>
      <c r="G920" s="16"/>
      <c r="H920" s="16"/>
      <c r="I920" s="19" t="s">
        <v>3591</v>
      </c>
      <c r="J920" s="16"/>
      <c r="K920" s="16" t="s">
        <v>3592</v>
      </c>
      <c r="L920" s="16"/>
      <c r="M920" s="16" t="str">
        <f>HYPERLINK("https://ceds.ed.gov/cedselementdetails.aspx?termid=27864")</f>
        <v>https://ceds.ed.gov/cedselementdetails.aspx?termid=27864</v>
      </c>
    </row>
    <row r="921" spans="1:13" ht="28.8" x14ac:dyDescent="0.3">
      <c r="A921" s="16" t="s">
        <v>3593</v>
      </c>
      <c r="B921" s="16" t="s">
        <v>3594</v>
      </c>
      <c r="C921" s="16" t="s">
        <v>32</v>
      </c>
      <c r="D921" s="16" t="s">
        <v>1538</v>
      </c>
      <c r="E921" s="16"/>
      <c r="F921" s="16" t="s">
        <v>106</v>
      </c>
      <c r="G921" s="16"/>
      <c r="H921" s="16"/>
      <c r="I921" s="19" t="s">
        <v>3595</v>
      </c>
      <c r="J921" s="16"/>
      <c r="K921" s="16" t="s">
        <v>3596</v>
      </c>
      <c r="L921" s="16"/>
      <c r="M921" s="16" t="str">
        <f>HYPERLINK("https://ceds.ed.gov/cedselementdetails.aspx?termid=27749")</f>
        <v>https://ceds.ed.gov/cedselementdetails.aspx?termid=27749</v>
      </c>
    </row>
    <row r="922" spans="1:13" ht="28.8" x14ac:dyDescent="0.3">
      <c r="A922" s="16" t="s">
        <v>3597</v>
      </c>
      <c r="B922" s="16" t="s">
        <v>3598</v>
      </c>
      <c r="C922" s="16" t="s">
        <v>32</v>
      </c>
      <c r="D922" s="16" t="s">
        <v>1538</v>
      </c>
      <c r="E922" s="16"/>
      <c r="F922" s="16" t="s">
        <v>1807</v>
      </c>
      <c r="G922" s="16"/>
      <c r="H922" s="16"/>
      <c r="I922" s="19" t="s">
        <v>3599</v>
      </c>
      <c r="J922" s="16"/>
      <c r="K922" s="16" t="s">
        <v>3600</v>
      </c>
      <c r="L922" s="16"/>
      <c r="M922" s="16" t="str">
        <f>HYPERLINK("https://ceds.ed.gov/cedselementdetails.aspx?termid=27750")</f>
        <v>https://ceds.ed.gov/cedselementdetails.aspx?termid=27750</v>
      </c>
    </row>
    <row r="923" spans="1:13" ht="144" x14ac:dyDescent="0.3">
      <c r="A923" s="16" t="s">
        <v>3601</v>
      </c>
      <c r="B923" s="16" t="s">
        <v>3602</v>
      </c>
      <c r="C923" s="16" t="s">
        <v>8565</v>
      </c>
      <c r="D923" s="16" t="s">
        <v>1552</v>
      </c>
      <c r="E923" s="16"/>
      <c r="F923" s="16"/>
      <c r="G923" s="16"/>
      <c r="H923" s="16"/>
      <c r="I923" s="19" t="s">
        <v>3603</v>
      </c>
      <c r="J923" s="16"/>
      <c r="K923" s="16" t="s">
        <v>3604</v>
      </c>
      <c r="L923" s="16"/>
      <c r="M923" s="16" t="str">
        <f>HYPERLINK("https://ceds.ed.gov/cedselementdetails.aspx?termid=27777")</f>
        <v>https://ceds.ed.gov/cedselementdetails.aspx?termid=27777</v>
      </c>
    </row>
    <row r="924" spans="1:13" ht="57.6" x14ac:dyDescent="0.3">
      <c r="A924" s="16" t="s">
        <v>3605</v>
      </c>
      <c r="B924" s="16" t="s">
        <v>3606</v>
      </c>
      <c r="C924" s="16" t="s">
        <v>32</v>
      </c>
      <c r="D924" s="16" t="s">
        <v>1589</v>
      </c>
      <c r="E924" s="16"/>
      <c r="F924" s="16" t="s">
        <v>106</v>
      </c>
      <c r="G924" s="16"/>
      <c r="H924" s="16"/>
      <c r="I924" s="19" t="s">
        <v>3607</v>
      </c>
      <c r="J924" s="16"/>
      <c r="K924" s="16" t="s">
        <v>3608</v>
      </c>
      <c r="L924" s="16"/>
      <c r="M924" s="16" t="str">
        <f>HYPERLINK("https://ceds.ed.gov/cedselementdetails.aspx?termid=27862")</f>
        <v>https://ceds.ed.gov/cedselementdetails.aspx?termid=27862</v>
      </c>
    </row>
    <row r="925" spans="1:13" ht="144" x14ac:dyDescent="0.3">
      <c r="A925" s="16" t="s">
        <v>3609</v>
      </c>
      <c r="B925" s="16" t="s">
        <v>3610</v>
      </c>
      <c r="C925" s="16" t="s">
        <v>8566</v>
      </c>
      <c r="D925" s="16" t="s">
        <v>1589</v>
      </c>
      <c r="E925" s="16"/>
      <c r="F925" s="16"/>
      <c r="G925" s="16"/>
      <c r="H925" s="16"/>
      <c r="I925" s="19" t="s">
        <v>3611</v>
      </c>
      <c r="J925" s="16"/>
      <c r="K925" s="16" t="s">
        <v>3612</v>
      </c>
      <c r="L925" s="16"/>
      <c r="M925" s="16" t="str">
        <f>HYPERLINK("https://ceds.ed.gov/cedselementdetails.aspx?termid=27845")</f>
        <v>https://ceds.ed.gov/cedselementdetails.aspx?termid=27845</v>
      </c>
    </row>
    <row r="926" spans="1:13" ht="57.6" x14ac:dyDescent="0.3">
      <c r="A926" s="16" t="s">
        <v>3613</v>
      </c>
      <c r="B926" s="16" t="s">
        <v>3614</v>
      </c>
      <c r="C926" s="16" t="s">
        <v>32</v>
      </c>
      <c r="D926" s="16" t="s">
        <v>1538</v>
      </c>
      <c r="E926" s="16"/>
      <c r="F926" s="16" t="s">
        <v>145</v>
      </c>
      <c r="G926" s="16"/>
      <c r="H926" s="16"/>
      <c r="I926" s="19" t="s">
        <v>3615</v>
      </c>
      <c r="J926" s="16" t="s">
        <v>3616</v>
      </c>
      <c r="K926" s="16" t="s">
        <v>3617</v>
      </c>
      <c r="L926" s="16"/>
      <c r="M926" s="16" t="str">
        <f>HYPERLINK("https://ceds.ed.gov/cedselementdetails.aspx?termid=27755")</f>
        <v>https://ceds.ed.gov/cedselementdetails.aspx?termid=27755</v>
      </c>
    </row>
    <row r="927" spans="1:13" ht="28.8" x14ac:dyDescent="0.3">
      <c r="A927" s="16" t="s">
        <v>3618</v>
      </c>
      <c r="B927" s="16" t="s">
        <v>3619</v>
      </c>
      <c r="C927" s="16" t="s">
        <v>32</v>
      </c>
      <c r="D927" s="16" t="s">
        <v>1538</v>
      </c>
      <c r="E927" s="16"/>
      <c r="F927" s="16" t="s">
        <v>145</v>
      </c>
      <c r="G927" s="16"/>
      <c r="H927" s="16"/>
      <c r="I927" s="19" t="s">
        <v>3620</v>
      </c>
      <c r="J927" s="16"/>
      <c r="K927" s="16" t="s">
        <v>3621</v>
      </c>
      <c r="L927" s="16"/>
      <c r="M927" s="16" t="str">
        <f>HYPERLINK("https://ceds.ed.gov/cedselementdetails.aspx?termid=27172")</f>
        <v>https://ceds.ed.gov/cedselementdetails.aspx?termid=27172</v>
      </c>
    </row>
    <row r="928" spans="1:13" ht="43.2" x14ac:dyDescent="0.3">
      <c r="A928" s="16" t="s">
        <v>3622</v>
      </c>
      <c r="B928" s="16" t="s">
        <v>3623</v>
      </c>
      <c r="C928" s="16" t="s">
        <v>8567</v>
      </c>
      <c r="D928" s="16" t="s">
        <v>1538</v>
      </c>
      <c r="E928" s="16"/>
      <c r="F928" s="16"/>
      <c r="G928" s="16"/>
      <c r="H928" s="16"/>
      <c r="I928" s="19" t="s">
        <v>3624</v>
      </c>
      <c r="J928" s="16"/>
      <c r="K928" s="16" t="s">
        <v>3625</v>
      </c>
      <c r="L928" s="16"/>
      <c r="M928" s="16" t="str">
        <f>HYPERLINK("https://ceds.ed.gov/cedselementdetails.aspx?termid=27751")</f>
        <v>https://ceds.ed.gov/cedselementdetails.aspx?termid=27751</v>
      </c>
    </row>
    <row r="929" spans="1:13" ht="86.4" x14ac:dyDescent="0.3">
      <c r="A929" s="16" t="s">
        <v>3626</v>
      </c>
      <c r="B929" s="16" t="s">
        <v>3627</v>
      </c>
      <c r="C929" s="16" t="s">
        <v>8568</v>
      </c>
      <c r="D929" s="16" t="s">
        <v>1589</v>
      </c>
      <c r="E929" s="16"/>
      <c r="F929" s="16"/>
      <c r="G929" s="16"/>
      <c r="H929" s="16"/>
      <c r="I929" s="19" t="s">
        <v>3628</v>
      </c>
      <c r="J929" s="16"/>
      <c r="K929" s="16" t="s">
        <v>3629</v>
      </c>
      <c r="L929" s="16"/>
      <c r="M929" s="16" t="str">
        <f>HYPERLINK("https://ceds.ed.gov/cedselementdetails.aspx?termid=27853")</f>
        <v>https://ceds.ed.gov/cedselementdetails.aspx?termid=27853</v>
      </c>
    </row>
    <row r="930" spans="1:13" x14ac:dyDescent="0.3">
      <c r="A930" s="16" t="s">
        <v>3630</v>
      </c>
      <c r="B930" s="16" t="s">
        <v>3631</v>
      </c>
      <c r="C930" s="16" t="s">
        <v>32</v>
      </c>
      <c r="D930" s="16" t="s">
        <v>1538</v>
      </c>
      <c r="E930" s="16"/>
      <c r="F930" s="16" t="s">
        <v>3632</v>
      </c>
      <c r="G930" s="16"/>
      <c r="H930" s="16"/>
      <c r="I930" s="19" t="s">
        <v>3633</v>
      </c>
      <c r="J930" s="16"/>
      <c r="K930" s="16" t="s">
        <v>3634</v>
      </c>
      <c r="L930" s="16"/>
      <c r="M930" s="16" t="str">
        <f>HYPERLINK("https://ceds.ed.gov/cedselementdetails.aspx?termid=27760")</f>
        <v>https://ceds.ed.gov/cedselementdetails.aspx?termid=27760</v>
      </c>
    </row>
    <row r="931" spans="1:13" ht="129.6" x14ac:dyDescent="0.3">
      <c r="A931" s="16" t="s">
        <v>3635</v>
      </c>
      <c r="B931" s="16" t="s">
        <v>3636</v>
      </c>
      <c r="C931" s="16" t="s">
        <v>8569</v>
      </c>
      <c r="D931" s="16" t="s">
        <v>1589</v>
      </c>
      <c r="E931" s="16"/>
      <c r="F931" s="16"/>
      <c r="G931" s="16"/>
      <c r="H931" s="16"/>
      <c r="I931" s="19" t="s">
        <v>3637</v>
      </c>
      <c r="J931" s="16"/>
      <c r="K931" s="16" t="s">
        <v>3638</v>
      </c>
      <c r="L931" s="16"/>
      <c r="M931" s="16" t="str">
        <f>HYPERLINK("https://ceds.ed.gov/cedselementdetails.aspx?termid=27848")</f>
        <v>https://ceds.ed.gov/cedselementdetails.aspx?termid=27848</v>
      </c>
    </row>
    <row r="932" spans="1:13" ht="57.6" x14ac:dyDescent="0.3">
      <c r="A932" s="16" t="s">
        <v>3639</v>
      </c>
      <c r="B932" s="16" t="s">
        <v>3640</v>
      </c>
      <c r="C932" s="16" t="s">
        <v>32</v>
      </c>
      <c r="D932" s="16" t="s">
        <v>1547</v>
      </c>
      <c r="E932" s="16"/>
      <c r="F932" s="16" t="s">
        <v>106</v>
      </c>
      <c r="G932" s="16"/>
      <c r="H932" s="16"/>
      <c r="I932" s="19" t="s">
        <v>3641</v>
      </c>
      <c r="J932" s="16"/>
      <c r="K932" s="16" t="s">
        <v>3642</v>
      </c>
      <c r="L932" s="16"/>
      <c r="M932" s="16" t="str">
        <f>HYPERLINK("https://ceds.ed.gov/cedselementdetails.aspx?termid=27818")</f>
        <v>https://ceds.ed.gov/cedselementdetails.aspx?termid=27818</v>
      </c>
    </row>
    <row r="933" spans="1:13" ht="57.6" x14ac:dyDescent="0.3">
      <c r="A933" s="16" t="s">
        <v>3643</v>
      </c>
      <c r="B933" s="16" t="s">
        <v>3644</v>
      </c>
      <c r="C933" s="16" t="s">
        <v>32</v>
      </c>
      <c r="D933" s="16" t="s">
        <v>1547</v>
      </c>
      <c r="E933" s="16"/>
      <c r="F933" s="16" t="s">
        <v>55</v>
      </c>
      <c r="G933" s="16"/>
      <c r="H933" s="16"/>
      <c r="I933" s="19" t="s">
        <v>3645</v>
      </c>
      <c r="J933" s="16"/>
      <c r="K933" s="16" t="s">
        <v>3646</v>
      </c>
      <c r="L933" s="16"/>
      <c r="M933" s="16" t="str">
        <f>HYPERLINK("https://ceds.ed.gov/cedselementdetails.aspx?termid=27819")</f>
        <v>https://ceds.ed.gov/cedselementdetails.aspx?termid=27819</v>
      </c>
    </row>
    <row r="934" spans="1:13" ht="100.8" x14ac:dyDescent="0.3">
      <c r="A934" s="16" t="s">
        <v>3647</v>
      </c>
      <c r="B934" s="16" t="s">
        <v>3648</v>
      </c>
      <c r="C934" s="16" t="s">
        <v>8570</v>
      </c>
      <c r="D934" s="16" t="s">
        <v>1552</v>
      </c>
      <c r="E934" s="16"/>
      <c r="F934" s="16"/>
      <c r="G934" s="16"/>
      <c r="H934" s="16"/>
      <c r="I934" s="19" t="s">
        <v>3649</v>
      </c>
      <c r="J934" s="16"/>
      <c r="K934" s="16" t="s">
        <v>3650</v>
      </c>
      <c r="L934" s="16"/>
      <c r="M934" s="16" t="str">
        <f>HYPERLINK("https://ceds.ed.gov/cedselementdetails.aspx?termid=27773")</f>
        <v>https://ceds.ed.gov/cedselementdetails.aspx?termid=27773</v>
      </c>
    </row>
    <row r="935" spans="1:13" ht="57.6" x14ac:dyDescent="0.3">
      <c r="A935" s="16" t="s">
        <v>3651</v>
      </c>
      <c r="B935" s="16" t="s">
        <v>3652</v>
      </c>
      <c r="C935" s="16" t="s">
        <v>32</v>
      </c>
      <c r="D935" s="16" t="s">
        <v>1547</v>
      </c>
      <c r="E935" s="16"/>
      <c r="F935" s="16" t="s">
        <v>55</v>
      </c>
      <c r="G935" s="16"/>
      <c r="H935" s="16"/>
      <c r="I935" s="19" t="s">
        <v>3653</v>
      </c>
      <c r="J935" s="16"/>
      <c r="K935" s="16" t="s">
        <v>3654</v>
      </c>
      <c r="L935" s="16"/>
      <c r="M935" s="16" t="str">
        <f>HYPERLINK("https://ceds.ed.gov/cedselementdetails.aspx?termid=27820")</f>
        <v>https://ceds.ed.gov/cedselementdetails.aspx?termid=27820</v>
      </c>
    </row>
    <row r="936" spans="1:13" ht="57.6" x14ac:dyDescent="0.3">
      <c r="A936" s="16" t="s">
        <v>3655</v>
      </c>
      <c r="B936" s="16" t="s">
        <v>3656</v>
      </c>
      <c r="C936" s="16" t="s">
        <v>32</v>
      </c>
      <c r="D936" s="16" t="s">
        <v>1547</v>
      </c>
      <c r="E936" s="16"/>
      <c r="F936" s="16" t="s">
        <v>81</v>
      </c>
      <c r="G936" s="16"/>
      <c r="H936" s="16"/>
      <c r="I936" s="19" t="s">
        <v>3657</v>
      </c>
      <c r="J936" s="16"/>
      <c r="K936" s="16" t="s">
        <v>3658</v>
      </c>
      <c r="L936" s="16"/>
      <c r="M936" s="16" t="str">
        <f>HYPERLINK("https://ceds.ed.gov/cedselementdetails.aspx?termid=27821")</f>
        <v>https://ceds.ed.gov/cedselementdetails.aspx?termid=27821</v>
      </c>
    </row>
    <row r="937" spans="1:13" ht="43.2" x14ac:dyDescent="0.3">
      <c r="A937" s="16" t="s">
        <v>3659</v>
      </c>
      <c r="B937" s="16" t="s">
        <v>3660</v>
      </c>
      <c r="C937" s="16" t="s">
        <v>32</v>
      </c>
      <c r="D937" s="16" t="s">
        <v>1538</v>
      </c>
      <c r="E937" s="16"/>
      <c r="F937" s="16" t="s">
        <v>106</v>
      </c>
      <c r="G937" s="16"/>
      <c r="H937" s="16"/>
      <c r="I937" s="19" t="s">
        <v>3661</v>
      </c>
      <c r="J937" s="16"/>
      <c r="K937" s="16" t="s">
        <v>3662</v>
      </c>
      <c r="L937" s="16"/>
      <c r="M937" s="16" t="str">
        <f>HYPERLINK("https://ceds.ed.gov/cedselementdetails.aspx?termid=27761")</f>
        <v>https://ceds.ed.gov/cedselementdetails.aspx?termid=27761</v>
      </c>
    </row>
    <row r="938" spans="1:13" ht="43.2" x14ac:dyDescent="0.3">
      <c r="A938" s="16" t="s">
        <v>3663</v>
      </c>
      <c r="B938" s="16" t="s">
        <v>3664</v>
      </c>
      <c r="C938" s="16" t="s">
        <v>8571</v>
      </c>
      <c r="D938" s="16" t="s">
        <v>1538</v>
      </c>
      <c r="E938" s="16"/>
      <c r="F938" s="16"/>
      <c r="G938" s="16"/>
      <c r="H938" s="16"/>
      <c r="I938" s="19" t="s">
        <v>3665</v>
      </c>
      <c r="J938" s="16"/>
      <c r="K938" s="16" t="s">
        <v>3666</v>
      </c>
      <c r="L938" s="16"/>
      <c r="M938" s="16" t="str">
        <f>HYPERLINK("https://ceds.ed.gov/cedselementdetails.aspx?termid=27762")</f>
        <v>https://ceds.ed.gov/cedselementdetails.aspx?termid=27762</v>
      </c>
    </row>
    <row r="939" spans="1:13" ht="158.4" x14ac:dyDescent="0.3">
      <c r="A939" s="16" t="s">
        <v>3667</v>
      </c>
      <c r="B939" s="16" t="s">
        <v>3668</v>
      </c>
      <c r="C939" s="16" t="s">
        <v>8572</v>
      </c>
      <c r="D939" s="16" t="s">
        <v>1538</v>
      </c>
      <c r="E939" s="16"/>
      <c r="F939" s="16"/>
      <c r="G939" s="16"/>
      <c r="H939" s="16"/>
      <c r="I939" s="19" t="s">
        <v>3669</v>
      </c>
      <c r="J939" s="16"/>
      <c r="K939" s="16" t="s">
        <v>3670</v>
      </c>
      <c r="L939" s="16"/>
      <c r="M939" s="16" t="str">
        <f>HYPERLINK("https://ceds.ed.gov/cedselementdetails.aspx?termid=27763")</f>
        <v>https://ceds.ed.gov/cedselementdetails.aspx?termid=27763</v>
      </c>
    </row>
    <row r="940" spans="1:13" x14ac:dyDescent="0.3">
      <c r="A940" s="16" t="s">
        <v>3671</v>
      </c>
      <c r="B940" s="16" t="s">
        <v>3672</v>
      </c>
      <c r="C940" s="16" t="s">
        <v>32</v>
      </c>
      <c r="D940" s="16" t="s">
        <v>1538</v>
      </c>
      <c r="E940" s="16"/>
      <c r="F940" s="16" t="s">
        <v>1807</v>
      </c>
      <c r="G940" s="16"/>
      <c r="H940" s="16"/>
      <c r="I940" s="19" t="s">
        <v>3673</v>
      </c>
      <c r="J940" s="16"/>
      <c r="K940" s="16" t="s">
        <v>3674</v>
      </c>
      <c r="L940" s="16"/>
      <c r="M940" s="16" t="str">
        <f>HYPERLINK("https://ceds.ed.gov/cedselementdetails.aspx?termid=27752")</f>
        <v>https://ceds.ed.gov/cedselementdetails.aspx?termid=27752</v>
      </c>
    </row>
    <row r="941" spans="1:13" ht="72" x14ac:dyDescent="0.3">
      <c r="A941" s="16" t="s">
        <v>3675</v>
      </c>
      <c r="B941" s="16" t="s">
        <v>3676</v>
      </c>
      <c r="C941" s="16" t="s">
        <v>32</v>
      </c>
      <c r="D941" s="16" t="s">
        <v>1487</v>
      </c>
      <c r="E941" s="16"/>
      <c r="F941" s="16" t="s">
        <v>1662</v>
      </c>
      <c r="G941" s="16"/>
      <c r="H941" s="16" t="s">
        <v>7972</v>
      </c>
      <c r="I941" s="19" t="s">
        <v>3677</v>
      </c>
      <c r="J941" s="16"/>
      <c r="K941" s="16" t="s">
        <v>3678</v>
      </c>
      <c r="L941" s="16"/>
      <c r="M941" s="16" t="str">
        <f>HYPERLINK("https://ceds.ed.gov/cedselementdetails.aspx?termid=27885")</f>
        <v>https://ceds.ed.gov/cedselementdetails.aspx?termid=27885</v>
      </c>
    </row>
    <row r="942" spans="1:13" ht="43.2" x14ac:dyDescent="0.3">
      <c r="A942" s="16" t="s">
        <v>3679</v>
      </c>
      <c r="B942" s="16" t="s">
        <v>3680</v>
      </c>
      <c r="C942" s="16" t="s">
        <v>32</v>
      </c>
      <c r="D942" s="16" t="s">
        <v>1547</v>
      </c>
      <c r="E942" s="16"/>
      <c r="F942" s="16" t="s">
        <v>1481</v>
      </c>
      <c r="G942" s="16"/>
      <c r="H942" s="16"/>
      <c r="I942" s="19" t="s">
        <v>3681</v>
      </c>
      <c r="J942" s="16"/>
      <c r="K942" s="16" t="s">
        <v>3682</v>
      </c>
      <c r="L942" s="16"/>
      <c r="M942" s="16" t="str">
        <f>HYPERLINK("https://ceds.ed.gov/cedselementdetails.aspx?termid=27822")</f>
        <v>https://ceds.ed.gov/cedselementdetails.aspx?termid=27822</v>
      </c>
    </row>
    <row r="943" spans="1:13" ht="43.2" x14ac:dyDescent="0.3">
      <c r="A943" s="16" t="s">
        <v>3683</v>
      </c>
      <c r="B943" s="16" t="s">
        <v>3684</v>
      </c>
      <c r="C943" s="16" t="s">
        <v>32</v>
      </c>
      <c r="D943" s="16" t="s">
        <v>1538</v>
      </c>
      <c r="E943" s="16"/>
      <c r="F943" s="16" t="s">
        <v>1662</v>
      </c>
      <c r="G943" s="16"/>
      <c r="H943" s="16"/>
      <c r="I943" s="19" t="s">
        <v>3685</v>
      </c>
      <c r="J943" s="16"/>
      <c r="K943" s="16" t="s">
        <v>3686</v>
      </c>
      <c r="L943" s="16"/>
      <c r="M943" s="16" t="str">
        <f>HYPERLINK("https://ceds.ed.gov/cedselementdetails.aspx?termid=27764")</f>
        <v>https://ceds.ed.gov/cedselementdetails.aspx?termid=27764</v>
      </c>
    </row>
    <row r="944" spans="1:13" ht="216" x14ac:dyDescent="0.3">
      <c r="A944" s="16" t="s">
        <v>3687</v>
      </c>
      <c r="B944" s="16" t="s">
        <v>3688</v>
      </c>
      <c r="C944" s="16" t="s">
        <v>8573</v>
      </c>
      <c r="D944" s="16" t="s">
        <v>1552</v>
      </c>
      <c r="E944" s="16"/>
      <c r="F944" s="16"/>
      <c r="G944" s="16"/>
      <c r="H944" s="16"/>
      <c r="I944" s="19" t="s">
        <v>3689</v>
      </c>
      <c r="J944" s="16"/>
      <c r="K944" s="16" t="s">
        <v>3690</v>
      </c>
      <c r="L944" s="16"/>
      <c r="M944" s="16" t="str">
        <f>HYPERLINK("https://ceds.ed.gov/cedselementdetails.aspx?termid=27778")</f>
        <v>https://ceds.ed.gov/cedselementdetails.aspx?termid=27778</v>
      </c>
    </row>
    <row r="945" spans="1:13" ht="57.6" x14ac:dyDescent="0.3">
      <c r="A945" s="16" t="s">
        <v>3691</v>
      </c>
      <c r="B945" s="16" t="s">
        <v>3692</v>
      </c>
      <c r="C945" s="16" t="s">
        <v>8574</v>
      </c>
      <c r="D945" s="16" t="s">
        <v>3693</v>
      </c>
      <c r="E945" s="16"/>
      <c r="F945" s="16"/>
      <c r="G945" s="16"/>
      <c r="H945" s="16"/>
      <c r="I945" s="19" t="s">
        <v>3694</v>
      </c>
      <c r="J945" s="16"/>
      <c r="K945" s="16" t="s">
        <v>3695</v>
      </c>
      <c r="L945" s="16"/>
      <c r="M945" s="16" t="str">
        <f>HYPERLINK("https://ceds.ed.gov/cedselementdetails.aspx?termid=27867")</f>
        <v>https://ceds.ed.gov/cedselementdetails.aspx?termid=27867</v>
      </c>
    </row>
    <row r="946" spans="1:13" ht="100.8" x14ac:dyDescent="0.3">
      <c r="A946" s="16" t="s">
        <v>3696</v>
      </c>
      <c r="B946" s="16" t="s">
        <v>3697</v>
      </c>
      <c r="C946" s="16" t="s">
        <v>8575</v>
      </c>
      <c r="D946" s="16" t="s">
        <v>1547</v>
      </c>
      <c r="E946" s="16"/>
      <c r="F946" s="16"/>
      <c r="G946" s="16"/>
      <c r="H946" s="16"/>
      <c r="I946" s="19" t="s">
        <v>3698</v>
      </c>
      <c r="J946" s="16"/>
      <c r="K946" s="16" t="s">
        <v>3699</v>
      </c>
      <c r="L946" s="16"/>
      <c r="M946" s="16" t="str">
        <f>HYPERLINK("https://ceds.ed.gov/cedselementdetails.aspx?termid=27801")</f>
        <v>https://ceds.ed.gov/cedselementdetails.aspx?termid=27801</v>
      </c>
    </row>
    <row r="947" spans="1:13" ht="43.2" x14ac:dyDescent="0.3">
      <c r="A947" s="16" t="s">
        <v>3700</v>
      </c>
      <c r="B947" s="16" t="s">
        <v>3701</v>
      </c>
      <c r="C947" s="16" t="s">
        <v>32</v>
      </c>
      <c r="D947" s="16" t="s">
        <v>1547</v>
      </c>
      <c r="E947" s="16"/>
      <c r="F947" s="16" t="s">
        <v>106</v>
      </c>
      <c r="G947" s="16"/>
      <c r="H947" s="16"/>
      <c r="I947" s="19" t="s">
        <v>3702</v>
      </c>
      <c r="J947" s="16"/>
      <c r="K947" s="16" t="s">
        <v>3703</v>
      </c>
      <c r="L947" s="16"/>
      <c r="M947" s="16" t="str">
        <f>HYPERLINK("https://ceds.ed.gov/cedselementdetails.aspx?termid=27823")</f>
        <v>https://ceds.ed.gov/cedselementdetails.aspx?termid=27823</v>
      </c>
    </row>
    <row r="948" spans="1:13" ht="409.6" x14ac:dyDescent="0.3">
      <c r="A948" s="16" t="s">
        <v>3704</v>
      </c>
      <c r="B948" s="16" t="s">
        <v>3705</v>
      </c>
      <c r="C948" s="16" t="s">
        <v>8576</v>
      </c>
      <c r="D948" s="16" t="s">
        <v>1589</v>
      </c>
      <c r="E948" s="16"/>
      <c r="F948" s="16"/>
      <c r="G948" s="16"/>
      <c r="H948" s="16"/>
      <c r="I948" s="19" t="s">
        <v>3706</v>
      </c>
      <c r="J948" s="16"/>
      <c r="K948" s="16" t="s">
        <v>3707</v>
      </c>
      <c r="L948" s="16"/>
      <c r="M948" s="16" t="str">
        <f>HYPERLINK("https://ceds.ed.gov/cedselementdetails.aspx?termid=27855")</f>
        <v>https://ceds.ed.gov/cedselementdetails.aspx?termid=27855</v>
      </c>
    </row>
    <row r="949" spans="1:13" ht="43.2" x14ac:dyDescent="0.3">
      <c r="A949" s="16" t="s">
        <v>3708</v>
      </c>
      <c r="B949" s="16" t="s">
        <v>3709</v>
      </c>
      <c r="C949" s="16" t="s">
        <v>32</v>
      </c>
      <c r="D949" s="16" t="s">
        <v>1547</v>
      </c>
      <c r="E949" s="16"/>
      <c r="F949" s="16" t="s">
        <v>1266</v>
      </c>
      <c r="G949" s="16"/>
      <c r="H949" s="16"/>
      <c r="I949" s="19" t="s">
        <v>3710</v>
      </c>
      <c r="J949" s="16"/>
      <c r="K949" s="16" t="s">
        <v>3711</v>
      </c>
      <c r="L949" s="16"/>
      <c r="M949" s="16" t="str">
        <f>HYPERLINK("https://ceds.ed.gov/cedselementdetails.aspx?termid=27827")</f>
        <v>https://ceds.ed.gov/cedselementdetails.aspx?termid=27827</v>
      </c>
    </row>
    <row r="950" spans="1:13" ht="28.8" x14ac:dyDescent="0.3">
      <c r="A950" s="16" t="s">
        <v>3712</v>
      </c>
      <c r="B950" s="16" t="s">
        <v>3713</v>
      </c>
      <c r="C950" s="16" t="s">
        <v>32</v>
      </c>
      <c r="D950" s="16" t="s">
        <v>1547</v>
      </c>
      <c r="E950" s="16"/>
      <c r="F950" s="16" t="s">
        <v>55</v>
      </c>
      <c r="G950" s="16"/>
      <c r="H950" s="16"/>
      <c r="I950" s="19" t="s">
        <v>3714</v>
      </c>
      <c r="J950" s="16"/>
      <c r="K950" s="16" t="s">
        <v>3715</v>
      </c>
      <c r="L950" s="16"/>
      <c r="M950" s="16" t="str">
        <f>HYPERLINK("https://ceds.ed.gov/cedselementdetails.aspx?termid=27828")</f>
        <v>https://ceds.ed.gov/cedselementdetails.aspx?termid=27828</v>
      </c>
    </row>
    <row r="951" spans="1:13" ht="72" x14ac:dyDescent="0.3">
      <c r="A951" s="16" t="s">
        <v>3716</v>
      </c>
      <c r="B951" s="16" t="s">
        <v>3717</v>
      </c>
      <c r="C951" s="16" t="s">
        <v>8577</v>
      </c>
      <c r="D951" s="16" t="s">
        <v>1589</v>
      </c>
      <c r="E951" s="16"/>
      <c r="F951" s="16"/>
      <c r="G951" s="16"/>
      <c r="H951" s="16"/>
      <c r="I951" s="19" t="s">
        <v>3718</v>
      </c>
      <c r="J951" s="16"/>
      <c r="K951" s="16" t="s">
        <v>3719</v>
      </c>
      <c r="L951" s="16"/>
      <c r="M951" s="16" t="str">
        <f>HYPERLINK("https://ceds.ed.gov/cedselementdetails.aspx?termid=27856")</f>
        <v>https://ceds.ed.gov/cedselementdetails.aspx?termid=27856</v>
      </c>
    </row>
    <row r="952" spans="1:13" ht="28.8" x14ac:dyDescent="0.3">
      <c r="A952" s="16" t="s">
        <v>8958</v>
      </c>
      <c r="B952" s="16" t="s">
        <v>8959</v>
      </c>
      <c r="C952" s="16" t="s">
        <v>32</v>
      </c>
      <c r="D952" s="16" t="s">
        <v>1487</v>
      </c>
      <c r="E952" s="16"/>
      <c r="F952" s="16" t="s">
        <v>101</v>
      </c>
      <c r="G952" s="16"/>
      <c r="H952" s="16"/>
      <c r="I952" s="19" t="s">
        <v>8960</v>
      </c>
      <c r="J952" s="16"/>
      <c r="K952" s="16" t="s">
        <v>8961</v>
      </c>
      <c r="L952" s="16"/>
      <c r="M952" s="16" t="str">
        <f>HYPERLINK("https://ceds.ed.gov/cedselementdetails.aspx?termid=28016")</f>
        <v>https://ceds.ed.gov/cedselementdetails.aspx?termid=28016</v>
      </c>
    </row>
    <row r="953" spans="1:13" ht="43.2" x14ac:dyDescent="0.3">
      <c r="A953" s="16" t="s">
        <v>8962</v>
      </c>
      <c r="B953" s="16" t="s">
        <v>8963</v>
      </c>
      <c r="C953" s="16" t="s">
        <v>22</v>
      </c>
      <c r="D953" s="16" t="s">
        <v>1487</v>
      </c>
      <c r="E953" s="16"/>
      <c r="F953" s="16" t="s">
        <v>2</v>
      </c>
      <c r="G953" s="16"/>
      <c r="H953" s="16"/>
      <c r="I953" s="19" t="s">
        <v>8964</v>
      </c>
      <c r="J953" s="16"/>
      <c r="K953" s="16" t="s">
        <v>8965</v>
      </c>
      <c r="L953" s="16"/>
      <c r="M953" s="16" t="str">
        <f>HYPERLINK("https://ceds.ed.gov/cedselementdetails.aspx?termid=28017")</f>
        <v>https://ceds.ed.gov/cedselementdetails.aspx?termid=28017</v>
      </c>
    </row>
    <row r="954" spans="1:13" ht="28.8" x14ac:dyDescent="0.3">
      <c r="A954" s="16" t="s">
        <v>3720</v>
      </c>
      <c r="B954" s="16" t="s">
        <v>3721</v>
      </c>
      <c r="C954" s="16" t="s">
        <v>32</v>
      </c>
      <c r="D954" s="16" t="s">
        <v>3693</v>
      </c>
      <c r="E954" s="16"/>
      <c r="F954" s="16" t="s">
        <v>1481</v>
      </c>
      <c r="G954" s="16"/>
      <c r="H954" s="16"/>
      <c r="I954" s="19" t="s">
        <v>3722</v>
      </c>
      <c r="J954" s="16"/>
      <c r="K954" s="16" t="s">
        <v>3723</v>
      </c>
      <c r="L954" s="16"/>
      <c r="M954" s="16" t="str">
        <f>HYPERLINK("https://ceds.ed.gov/cedselementdetails.aspx?termid=27868")</f>
        <v>https://ceds.ed.gov/cedselementdetails.aspx?termid=27868</v>
      </c>
    </row>
    <row r="955" spans="1:13" ht="57.6" x14ac:dyDescent="0.3">
      <c r="A955" s="16" t="s">
        <v>3724</v>
      </c>
      <c r="B955" s="16" t="s">
        <v>3725</v>
      </c>
      <c r="C955" s="16" t="s">
        <v>8578</v>
      </c>
      <c r="D955" s="16" t="s">
        <v>3693</v>
      </c>
      <c r="E955" s="16"/>
      <c r="F955" s="16"/>
      <c r="G955" s="16"/>
      <c r="H955" s="16"/>
      <c r="I955" s="19" t="s">
        <v>3726</v>
      </c>
      <c r="J955" s="16"/>
      <c r="K955" s="16" t="s">
        <v>3727</v>
      </c>
      <c r="L955" s="16"/>
      <c r="M955" s="16" t="str">
        <f>HYPERLINK("https://ceds.ed.gov/cedselementdetails.aspx?termid=27869")</f>
        <v>https://ceds.ed.gov/cedselementdetails.aspx?termid=27869</v>
      </c>
    </row>
    <row r="956" spans="1:13" ht="100.8" x14ac:dyDescent="0.3">
      <c r="A956" s="16" t="s">
        <v>3728</v>
      </c>
      <c r="B956" s="16" t="s">
        <v>3729</v>
      </c>
      <c r="C956" s="16" t="s">
        <v>8579</v>
      </c>
      <c r="D956" s="16" t="s">
        <v>3693</v>
      </c>
      <c r="E956" s="16"/>
      <c r="F956" s="16"/>
      <c r="G956" s="16"/>
      <c r="H956" s="16"/>
      <c r="I956" s="19" t="s">
        <v>3730</v>
      </c>
      <c r="J956" s="16"/>
      <c r="K956" s="16" t="s">
        <v>3731</v>
      </c>
      <c r="L956" s="16"/>
      <c r="M956" s="16" t="str">
        <f>HYPERLINK("https://ceds.ed.gov/cedselementdetails.aspx?termid=27870")</f>
        <v>https://ceds.ed.gov/cedselementdetails.aspx?termid=27870</v>
      </c>
    </row>
    <row r="957" spans="1:13" ht="57.6" x14ac:dyDescent="0.3">
      <c r="A957" s="16" t="s">
        <v>3732</v>
      </c>
      <c r="B957" s="16" t="s">
        <v>3733</v>
      </c>
      <c r="C957" s="16" t="s">
        <v>8580</v>
      </c>
      <c r="D957" s="16" t="s">
        <v>7913</v>
      </c>
      <c r="E957" s="16"/>
      <c r="F957" s="16"/>
      <c r="G957" s="16"/>
      <c r="H957" s="16"/>
      <c r="I957" s="19" t="s">
        <v>3734</v>
      </c>
      <c r="J957" s="16"/>
      <c r="K957" s="16" t="s">
        <v>3735</v>
      </c>
      <c r="L957" s="16" t="s">
        <v>3397</v>
      </c>
      <c r="M957" s="16" t="str">
        <f>HYPERLINK("https://ceds.ed.gov/cedselementdetails.aspx?termid=26985")</f>
        <v>https://ceds.ed.gov/cedselementdetails.aspx?termid=26985</v>
      </c>
    </row>
    <row r="958" spans="1:13" ht="28.8" x14ac:dyDescent="0.3">
      <c r="A958" s="16" t="s">
        <v>3736</v>
      </c>
      <c r="B958" s="16" t="s">
        <v>3737</v>
      </c>
      <c r="C958" s="16" t="s">
        <v>32</v>
      </c>
      <c r="D958" s="16" t="s">
        <v>1552</v>
      </c>
      <c r="E958" s="16"/>
      <c r="F958" s="16" t="s">
        <v>145</v>
      </c>
      <c r="G958" s="16"/>
      <c r="H958" s="16"/>
      <c r="I958" s="19" t="s">
        <v>3738</v>
      </c>
      <c r="J958" s="16"/>
      <c r="K958" s="16" t="s">
        <v>3739</v>
      </c>
      <c r="L958" s="16"/>
      <c r="M958" s="16" t="str">
        <f>HYPERLINK("https://ceds.ed.gov/cedselementdetails.aspx?termid=27789")</f>
        <v>https://ceds.ed.gov/cedselementdetails.aspx?termid=27789</v>
      </c>
    </row>
    <row r="959" spans="1:13" ht="86.4" x14ac:dyDescent="0.3">
      <c r="A959" s="16" t="s">
        <v>3740</v>
      </c>
      <c r="B959" s="16" t="s">
        <v>3741</v>
      </c>
      <c r="C959" s="16" t="s">
        <v>8581</v>
      </c>
      <c r="D959" s="16" t="s">
        <v>1589</v>
      </c>
      <c r="E959" s="16"/>
      <c r="F959" s="16"/>
      <c r="G959" s="16"/>
      <c r="H959" s="16"/>
      <c r="I959" s="19" t="s">
        <v>3742</v>
      </c>
      <c r="J959" s="16"/>
      <c r="K959" s="16" t="s">
        <v>3743</v>
      </c>
      <c r="L959" s="16"/>
      <c r="M959" s="16" t="str">
        <f>HYPERLINK("https://ceds.ed.gov/cedselementdetails.aspx?termid=27857")</f>
        <v>https://ceds.ed.gov/cedselementdetails.aspx?termid=27857</v>
      </c>
    </row>
    <row r="960" spans="1:13" ht="43.2" x14ac:dyDescent="0.3">
      <c r="A960" s="16" t="s">
        <v>3744</v>
      </c>
      <c r="B960" s="16" t="s">
        <v>3745</v>
      </c>
      <c r="C960" s="16" t="s">
        <v>32</v>
      </c>
      <c r="D960" s="16" t="s">
        <v>3693</v>
      </c>
      <c r="E960" s="16"/>
      <c r="F960" s="16" t="s">
        <v>1481</v>
      </c>
      <c r="G960" s="16"/>
      <c r="H960" s="16"/>
      <c r="I960" s="19" t="s">
        <v>3746</v>
      </c>
      <c r="J960" s="16"/>
      <c r="K960" s="16" t="s">
        <v>3747</v>
      </c>
      <c r="L960" s="16"/>
      <c r="M960" s="16" t="str">
        <f>HYPERLINK("https://ceds.ed.gov/cedselementdetails.aspx?termid=27871")</f>
        <v>https://ceds.ed.gov/cedselementdetails.aspx?termid=27871</v>
      </c>
    </row>
    <row r="961" spans="1:13" ht="187.2" x14ac:dyDescent="0.3">
      <c r="A961" s="16" t="s">
        <v>3748</v>
      </c>
      <c r="B961" s="16" t="s">
        <v>3749</v>
      </c>
      <c r="C961" s="16" t="s">
        <v>8582</v>
      </c>
      <c r="D961" s="16" t="s">
        <v>3693</v>
      </c>
      <c r="E961" s="16"/>
      <c r="F961" s="16"/>
      <c r="G961" s="16"/>
      <c r="H961" s="16"/>
      <c r="I961" s="19" t="s">
        <v>3750</v>
      </c>
      <c r="J961" s="16"/>
      <c r="K961" s="16" t="s">
        <v>3751</v>
      </c>
      <c r="L961" s="16"/>
      <c r="M961" s="16" t="str">
        <f>HYPERLINK("https://ceds.ed.gov/cedselementdetails.aspx?termid=27872")</f>
        <v>https://ceds.ed.gov/cedselementdetails.aspx?termid=27872</v>
      </c>
    </row>
    <row r="962" spans="1:13" ht="57.6" x14ac:dyDescent="0.3">
      <c r="A962" s="16" t="s">
        <v>3752</v>
      </c>
      <c r="B962" s="16" t="s">
        <v>3753</v>
      </c>
      <c r="C962" s="16" t="s">
        <v>8583</v>
      </c>
      <c r="D962" s="16" t="s">
        <v>3693</v>
      </c>
      <c r="E962" s="16"/>
      <c r="F962" s="16"/>
      <c r="G962" s="16"/>
      <c r="H962" s="16"/>
      <c r="I962" s="19" t="s">
        <v>3754</v>
      </c>
      <c r="J962" s="16"/>
      <c r="K962" s="16" t="s">
        <v>3755</v>
      </c>
      <c r="L962" s="16"/>
      <c r="M962" s="16" t="str">
        <f>HYPERLINK("https://ceds.ed.gov/cedselementdetails.aspx?termid=27873")</f>
        <v>https://ceds.ed.gov/cedselementdetails.aspx?termid=27873</v>
      </c>
    </row>
    <row r="963" spans="1:13" ht="115.2" x14ac:dyDescent="0.3">
      <c r="A963" s="16" t="s">
        <v>3756</v>
      </c>
      <c r="B963" s="16" t="s">
        <v>3757</v>
      </c>
      <c r="C963" s="16" t="s">
        <v>8584</v>
      </c>
      <c r="D963" s="16" t="s">
        <v>1589</v>
      </c>
      <c r="E963" s="16"/>
      <c r="F963" s="16"/>
      <c r="G963" s="16"/>
      <c r="H963" s="16"/>
      <c r="I963" s="19" t="s">
        <v>3758</v>
      </c>
      <c r="J963" s="16"/>
      <c r="K963" s="16" t="s">
        <v>3759</v>
      </c>
      <c r="L963" s="16"/>
      <c r="M963" s="16" t="str">
        <f>HYPERLINK("https://ceds.ed.gov/cedselementdetails.aspx?termid=27858")</f>
        <v>https://ceds.ed.gov/cedselementdetails.aspx?termid=27858</v>
      </c>
    </row>
    <row r="964" spans="1:13" ht="72" x14ac:dyDescent="0.3">
      <c r="A964" s="16" t="s">
        <v>3760</v>
      </c>
      <c r="B964" s="16" t="s">
        <v>3761</v>
      </c>
      <c r="C964" s="16" t="s">
        <v>32</v>
      </c>
      <c r="D964" s="16" t="s">
        <v>1552</v>
      </c>
      <c r="E964" s="16"/>
      <c r="F964" s="16" t="s">
        <v>316</v>
      </c>
      <c r="G964" s="16"/>
      <c r="H964" s="16"/>
      <c r="I964" s="19" t="s">
        <v>3762</v>
      </c>
      <c r="J964" s="16"/>
      <c r="K964" s="16" t="s">
        <v>3763</v>
      </c>
      <c r="L964" s="16"/>
      <c r="M964" s="16" t="str">
        <f>HYPERLINK("https://ceds.ed.gov/cedselementdetails.aspx?termid=27791")</f>
        <v>https://ceds.ed.gov/cedselementdetails.aspx?termid=27791</v>
      </c>
    </row>
    <row r="965" spans="1:13" ht="115.2" x14ac:dyDescent="0.3">
      <c r="A965" s="16" t="s">
        <v>3764</v>
      </c>
      <c r="B965" s="16" t="s">
        <v>3765</v>
      </c>
      <c r="C965" s="16" t="s">
        <v>8585</v>
      </c>
      <c r="D965" s="16" t="s">
        <v>1589</v>
      </c>
      <c r="E965" s="16"/>
      <c r="F965" s="16"/>
      <c r="G965" s="16"/>
      <c r="H965" s="16"/>
      <c r="I965" s="19" t="s">
        <v>3766</v>
      </c>
      <c r="J965" s="16"/>
      <c r="K965" s="16" t="s">
        <v>3767</v>
      </c>
      <c r="L965" s="16"/>
      <c r="M965" s="16" t="str">
        <f>HYPERLINK("https://ceds.ed.gov/cedselementdetails.aspx?termid=27854")</f>
        <v>https://ceds.ed.gov/cedselementdetails.aspx?termid=27854</v>
      </c>
    </row>
    <row r="966" spans="1:13" ht="43.2" x14ac:dyDescent="0.3">
      <c r="A966" s="16" t="s">
        <v>3768</v>
      </c>
      <c r="B966" s="16" t="s">
        <v>3769</v>
      </c>
      <c r="C966" s="16" t="s">
        <v>22</v>
      </c>
      <c r="D966" s="16" t="s">
        <v>1538</v>
      </c>
      <c r="E966" s="16"/>
      <c r="F966" s="16"/>
      <c r="G966" s="16"/>
      <c r="H966" s="16"/>
      <c r="I966" s="19" t="s">
        <v>3770</v>
      </c>
      <c r="J966" s="16"/>
      <c r="K966" s="16" t="s">
        <v>3771</v>
      </c>
      <c r="L966" s="16"/>
      <c r="M966" s="16" t="str">
        <f>HYPERLINK("https://ceds.ed.gov/cedselementdetails.aspx?termid=27887")</f>
        <v>https://ceds.ed.gov/cedselementdetails.aspx?termid=27887</v>
      </c>
    </row>
    <row r="967" spans="1:13" ht="57.6" x14ac:dyDescent="0.3">
      <c r="A967" s="16" t="s">
        <v>3772</v>
      </c>
      <c r="B967" s="16" t="s">
        <v>3773</v>
      </c>
      <c r="C967" s="16" t="s">
        <v>8586</v>
      </c>
      <c r="D967" s="16" t="s">
        <v>7973</v>
      </c>
      <c r="E967" s="16"/>
      <c r="F967" s="16"/>
      <c r="G967" s="16"/>
      <c r="H967" s="16"/>
      <c r="I967" s="19" t="s">
        <v>3774</v>
      </c>
      <c r="J967" s="16"/>
      <c r="K967" s="16" t="s">
        <v>3775</v>
      </c>
      <c r="L967" s="16" t="s">
        <v>98</v>
      </c>
      <c r="M967" s="16" t="str">
        <f>HYPERLINK("https://ceds.ed.gov/cedselementdetails.aspx?termid=26834")</f>
        <v>https://ceds.ed.gov/cedselementdetails.aspx?termid=26834</v>
      </c>
    </row>
    <row r="968" spans="1:13" ht="43.2" x14ac:dyDescent="0.3">
      <c r="A968" s="16" t="s">
        <v>3776</v>
      </c>
      <c r="B968" s="16" t="s">
        <v>3777</v>
      </c>
      <c r="C968" s="16" t="s">
        <v>32</v>
      </c>
      <c r="D968" s="16" t="s">
        <v>1538</v>
      </c>
      <c r="E968" s="16"/>
      <c r="F968" s="16" t="s">
        <v>1481</v>
      </c>
      <c r="G968" s="16"/>
      <c r="H968" s="16"/>
      <c r="I968" s="19" t="s">
        <v>3778</v>
      </c>
      <c r="J968" s="16"/>
      <c r="K968" s="16" t="s">
        <v>3779</v>
      </c>
      <c r="L968" s="16"/>
      <c r="M968" s="16" t="str">
        <f>HYPERLINK("https://ceds.ed.gov/cedselementdetails.aspx?termid=27765")</f>
        <v>https://ceds.ed.gov/cedselementdetails.aspx?termid=27765</v>
      </c>
    </row>
    <row r="969" spans="1:13" ht="72" x14ac:dyDescent="0.3">
      <c r="A969" s="16" t="s">
        <v>3780</v>
      </c>
      <c r="B969" s="16" t="s">
        <v>3781</v>
      </c>
      <c r="C969" s="16" t="s">
        <v>32</v>
      </c>
      <c r="D969" s="16" t="s">
        <v>1538</v>
      </c>
      <c r="E969" s="16"/>
      <c r="F969" s="16" t="s">
        <v>3782</v>
      </c>
      <c r="G969" s="16"/>
      <c r="H969" s="16"/>
      <c r="I969" s="19" t="s">
        <v>3783</v>
      </c>
      <c r="J969" s="16"/>
      <c r="K969" s="16" t="s">
        <v>3784</v>
      </c>
      <c r="L969" s="16"/>
      <c r="M969" s="16" t="str">
        <f>HYPERLINK("https://ceds.ed.gov/cedselementdetails.aspx?termid=27754")</f>
        <v>https://ceds.ed.gov/cedselementdetails.aspx?termid=27754</v>
      </c>
    </row>
    <row r="970" spans="1:13" ht="43.2" x14ac:dyDescent="0.3">
      <c r="A970" s="16" t="s">
        <v>3785</v>
      </c>
      <c r="B970" s="16" t="s">
        <v>3786</v>
      </c>
      <c r="C970" s="16" t="s">
        <v>32</v>
      </c>
      <c r="D970" s="16" t="s">
        <v>1538</v>
      </c>
      <c r="E970" s="16"/>
      <c r="F970" s="16" t="s">
        <v>1130</v>
      </c>
      <c r="G970" s="16"/>
      <c r="H970" s="16"/>
      <c r="I970" s="19" t="s">
        <v>3787</v>
      </c>
      <c r="J970" s="16"/>
      <c r="K970" s="16" t="s">
        <v>3788</v>
      </c>
      <c r="L970" s="16"/>
      <c r="M970" s="16" t="str">
        <f>HYPERLINK("https://ceds.ed.gov/cedselementdetails.aspx?termid=27767")</f>
        <v>https://ceds.ed.gov/cedselementdetails.aspx?termid=27767</v>
      </c>
    </row>
    <row r="971" spans="1:13" ht="230.4" x14ac:dyDescent="0.3">
      <c r="A971" s="16" t="s">
        <v>3789</v>
      </c>
      <c r="B971" s="16" t="s">
        <v>3790</v>
      </c>
      <c r="C971" s="16" t="s">
        <v>8587</v>
      </c>
      <c r="D971" s="16" t="s">
        <v>1538</v>
      </c>
      <c r="E971" s="16"/>
      <c r="F971" s="16"/>
      <c r="G971" s="16"/>
      <c r="H971" s="16"/>
      <c r="I971" s="19" t="s">
        <v>3791</v>
      </c>
      <c r="J971" s="16"/>
      <c r="K971" s="16" t="s">
        <v>3792</v>
      </c>
      <c r="L971" s="16"/>
      <c r="M971" s="16" t="str">
        <f>HYPERLINK("https://ceds.ed.gov/cedselementdetails.aspx?termid=27768")</f>
        <v>https://ceds.ed.gov/cedselementdetails.aspx?termid=27768</v>
      </c>
    </row>
    <row r="972" spans="1:13" ht="259.2" x14ac:dyDescent="0.3">
      <c r="A972" s="16" t="s">
        <v>3793</v>
      </c>
      <c r="B972" s="16" t="s">
        <v>3794</v>
      </c>
      <c r="C972" s="16" t="s">
        <v>8588</v>
      </c>
      <c r="D972" s="16" t="s">
        <v>1547</v>
      </c>
      <c r="E972" s="16"/>
      <c r="F972" s="16"/>
      <c r="G972" s="16"/>
      <c r="H972" s="16"/>
      <c r="I972" s="19" t="s">
        <v>3795</v>
      </c>
      <c r="J972" s="16"/>
      <c r="K972" s="16" t="s">
        <v>3796</v>
      </c>
      <c r="L972" s="16"/>
      <c r="M972" s="16" t="str">
        <f>HYPERLINK("https://ceds.ed.gov/cedselementdetails.aspx?termid=27811")</f>
        <v>https://ceds.ed.gov/cedselementdetails.aspx?termid=27811</v>
      </c>
    </row>
    <row r="973" spans="1:13" ht="43.2" x14ac:dyDescent="0.3">
      <c r="A973" s="16" t="s">
        <v>3797</v>
      </c>
      <c r="B973" s="16" t="s">
        <v>3798</v>
      </c>
      <c r="C973" s="16" t="s">
        <v>32</v>
      </c>
      <c r="D973" s="16" t="s">
        <v>1547</v>
      </c>
      <c r="E973" s="16"/>
      <c r="F973" s="16" t="s">
        <v>101</v>
      </c>
      <c r="G973" s="16"/>
      <c r="H973" s="16"/>
      <c r="I973" s="19" t="s">
        <v>3799</v>
      </c>
      <c r="J973" s="16"/>
      <c r="K973" s="16" t="s">
        <v>3800</v>
      </c>
      <c r="L973" s="16"/>
      <c r="M973" s="16" t="str">
        <f>HYPERLINK("https://ceds.ed.gov/cedselementdetails.aspx?termid=27174")</f>
        <v>https://ceds.ed.gov/cedselementdetails.aspx?termid=27174</v>
      </c>
    </row>
    <row r="974" spans="1:13" ht="244.8" x14ac:dyDescent="0.3">
      <c r="A974" s="16" t="s">
        <v>3801</v>
      </c>
      <c r="B974" s="16" t="s">
        <v>3802</v>
      </c>
      <c r="C974" s="16" t="s">
        <v>8589</v>
      </c>
      <c r="D974" s="16" t="s">
        <v>1487</v>
      </c>
      <c r="E974" s="16"/>
      <c r="F974" s="16"/>
      <c r="G974" s="16"/>
      <c r="H974" s="16"/>
      <c r="I974" s="19" t="s">
        <v>3803</v>
      </c>
      <c r="J974" s="16"/>
      <c r="K974" s="16" t="s">
        <v>3804</v>
      </c>
      <c r="L974" s="16"/>
      <c r="M974" s="16" t="str">
        <f>HYPERLINK("https://ceds.ed.gov/cedselementdetails.aspx?termid=27175")</f>
        <v>https://ceds.ed.gov/cedselementdetails.aspx?termid=27175</v>
      </c>
    </row>
    <row r="975" spans="1:13" ht="129.6" x14ac:dyDescent="0.3">
      <c r="A975" s="16" t="s">
        <v>3805</v>
      </c>
      <c r="B975" s="16" t="s">
        <v>3806</v>
      </c>
      <c r="C975" s="16" t="s">
        <v>8590</v>
      </c>
      <c r="D975" s="16" t="s">
        <v>1589</v>
      </c>
      <c r="E975" s="16"/>
      <c r="F975" s="16"/>
      <c r="G975" s="16"/>
      <c r="H975" s="16"/>
      <c r="I975" s="19" t="s">
        <v>3807</v>
      </c>
      <c r="J975" s="16"/>
      <c r="K975" s="16" t="s">
        <v>3808</v>
      </c>
      <c r="L975" s="16"/>
      <c r="M975" s="16" t="str">
        <f>HYPERLINK("https://ceds.ed.gov/cedselementdetails.aspx?termid=27865")</f>
        <v>https://ceds.ed.gov/cedselementdetails.aspx?termid=27865</v>
      </c>
    </row>
    <row r="976" spans="1:13" ht="216" x14ac:dyDescent="0.3">
      <c r="A976" s="16" t="s">
        <v>3809</v>
      </c>
      <c r="B976" s="16" t="s">
        <v>3810</v>
      </c>
      <c r="C976" s="16" t="s">
        <v>8591</v>
      </c>
      <c r="D976" s="16" t="s">
        <v>1552</v>
      </c>
      <c r="E976" s="16"/>
      <c r="F976" s="16"/>
      <c r="G976" s="16"/>
      <c r="H976" s="16"/>
      <c r="I976" s="19" t="s">
        <v>3811</v>
      </c>
      <c r="J976" s="16"/>
      <c r="K976" s="16" t="s">
        <v>3812</v>
      </c>
      <c r="L976" s="16"/>
      <c r="M976" s="16" t="str">
        <f>HYPERLINK("https://ceds.ed.gov/cedselementdetails.aspx?termid=27786")</f>
        <v>https://ceds.ed.gov/cedselementdetails.aspx?termid=27786</v>
      </c>
    </row>
    <row r="977" spans="1:13" ht="43.2" x14ac:dyDescent="0.3">
      <c r="A977" s="16" t="s">
        <v>3813</v>
      </c>
      <c r="B977" s="16" t="s">
        <v>3814</v>
      </c>
      <c r="C977" s="16" t="s">
        <v>32</v>
      </c>
      <c r="D977" s="16" t="s">
        <v>1552</v>
      </c>
      <c r="E977" s="16"/>
      <c r="F977" s="16" t="s">
        <v>145</v>
      </c>
      <c r="G977" s="16"/>
      <c r="H977" s="16"/>
      <c r="I977" s="19" t="s">
        <v>3815</v>
      </c>
      <c r="J977" s="16"/>
      <c r="K977" s="16" t="s">
        <v>3816</v>
      </c>
      <c r="L977" s="16"/>
      <c r="M977" s="16" t="str">
        <f>HYPERLINK("https://ceds.ed.gov/cedselementdetails.aspx?termid=27787")</f>
        <v>https://ceds.ed.gov/cedselementdetails.aspx?termid=27787</v>
      </c>
    </row>
    <row r="978" spans="1:13" ht="244.8" x14ac:dyDescent="0.3">
      <c r="A978" s="16" t="s">
        <v>3817</v>
      </c>
      <c r="B978" s="16" t="s">
        <v>3818</v>
      </c>
      <c r="C978" s="16" t="s">
        <v>8592</v>
      </c>
      <c r="D978" s="16" t="s">
        <v>1552</v>
      </c>
      <c r="E978" s="16"/>
      <c r="F978" s="16"/>
      <c r="G978" s="16"/>
      <c r="H978" s="16"/>
      <c r="I978" s="19" t="s">
        <v>3819</v>
      </c>
      <c r="J978" s="16"/>
      <c r="K978" s="16" t="s">
        <v>3820</v>
      </c>
      <c r="L978" s="16"/>
      <c r="M978" s="16" t="str">
        <f>HYPERLINK("https://ceds.ed.gov/cedselementdetails.aspx?termid=27774")</f>
        <v>https://ceds.ed.gov/cedselementdetails.aspx?termid=27774</v>
      </c>
    </row>
    <row r="979" spans="1:13" ht="28.8" x14ac:dyDescent="0.3">
      <c r="A979" s="16" t="s">
        <v>3821</v>
      </c>
      <c r="B979" s="16" t="s">
        <v>3822</v>
      </c>
      <c r="C979" s="16" t="s">
        <v>32</v>
      </c>
      <c r="D979" s="16" t="s">
        <v>3693</v>
      </c>
      <c r="E979" s="16"/>
      <c r="F979" s="16" t="s">
        <v>1481</v>
      </c>
      <c r="G979" s="16"/>
      <c r="H979" s="16"/>
      <c r="I979" s="19" t="s">
        <v>3823</v>
      </c>
      <c r="J979" s="16"/>
      <c r="K979" s="16" t="s">
        <v>3824</v>
      </c>
      <c r="L979" s="16"/>
      <c r="M979" s="16" t="str">
        <f>HYPERLINK("https://ceds.ed.gov/cedselementdetails.aspx?termid=27877")</f>
        <v>https://ceds.ed.gov/cedselementdetails.aspx?termid=27877</v>
      </c>
    </row>
    <row r="980" spans="1:13" ht="43.2" x14ac:dyDescent="0.3">
      <c r="A980" s="16" t="s">
        <v>3825</v>
      </c>
      <c r="B980" s="16" t="s">
        <v>3826</v>
      </c>
      <c r="C980" s="16" t="s">
        <v>8593</v>
      </c>
      <c r="D980" s="16" t="s">
        <v>1589</v>
      </c>
      <c r="E980" s="16"/>
      <c r="F980" s="16"/>
      <c r="G980" s="16"/>
      <c r="H980" s="16"/>
      <c r="I980" s="19" t="s">
        <v>3827</v>
      </c>
      <c r="J980" s="16"/>
      <c r="K980" s="16" t="s">
        <v>3828</v>
      </c>
      <c r="L980" s="16"/>
      <c r="M980" s="16" t="str">
        <f>HYPERLINK("https://ceds.ed.gov/cedselementdetails.aspx?termid=27859")</f>
        <v>https://ceds.ed.gov/cedselementdetails.aspx?termid=27859</v>
      </c>
    </row>
    <row r="981" spans="1:13" ht="158.4" x14ac:dyDescent="0.3">
      <c r="A981" s="16" t="s">
        <v>3829</v>
      </c>
      <c r="B981" s="16" t="s">
        <v>3830</v>
      </c>
      <c r="C981" s="16" t="s">
        <v>8594</v>
      </c>
      <c r="D981" s="16" t="s">
        <v>1589</v>
      </c>
      <c r="E981" s="16"/>
      <c r="F981" s="16"/>
      <c r="G981" s="16"/>
      <c r="H981" s="16"/>
      <c r="I981" s="19" t="s">
        <v>3831</v>
      </c>
      <c r="J981" s="16"/>
      <c r="K981" s="16" t="s">
        <v>3832</v>
      </c>
      <c r="L981" s="16"/>
      <c r="M981" s="16" t="str">
        <f>HYPERLINK("https://ceds.ed.gov/cedselementdetails.aspx?termid=27860")</f>
        <v>https://ceds.ed.gov/cedselementdetails.aspx?termid=27860</v>
      </c>
    </row>
    <row r="982" spans="1:13" ht="115.2" x14ac:dyDescent="0.3">
      <c r="A982" s="16" t="s">
        <v>3833</v>
      </c>
      <c r="B982" s="16" t="s">
        <v>3834</v>
      </c>
      <c r="C982" s="16" t="s">
        <v>8595</v>
      </c>
      <c r="D982" s="16" t="s">
        <v>3835</v>
      </c>
      <c r="E982" s="16"/>
      <c r="F982" s="16"/>
      <c r="G982" s="16"/>
      <c r="H982" s="16"/>
      <c r="I982" s="19" t="s">
        <v>3836</v>
      </c>
      <c r="J982" s="16"/>
      <c r="K982" s="16" t="s">
        <v>3837</v>
      </c>
      <c r="L982" s="16" t="s">
        <v>476</v>
      </c>
      <c r="M982" s="16" t="str">
        <f>HYPERLINK("https://ceds.ed.gov/cedselementdetails.aspx?termid=26582")</f>
        <v>https://ceds.ed.gov/cedselementdetails.aspx?termid=26582</v>
      </c>
    </row>
    <row r="983" spans="1:13" ht="360" x14ac:dyDescent="0.3">
      <c r="A983" s="16" t="s">
        <v>3838</v>
      </c>
      <c r="B983" s="16" t="s">
        <v>3839</v>
      </c>
      <c r="C983" s="16" t="s">
        <v>22</v>
      </c>
      <c r="D983" s="16" t="s">
        <v>66</v>
      </c>
      <c r="E983" s="16"/>
      <c r="F983" s="16"/>
      <c r="G983" s="16"/>
      <c r="H983" s="16" t="s">
        <v>3840</v>
      </c>
      <c r="I983" s="19" t="s">
        <v>3841</v>
      </c>
      <c r="J983" s="16"/>
      <c r="K983" s="16" t="s">
        <v>3842</v>
      </c>
      <c r="L983" s="16" t="s">
        <v>69</v>
      </c>
      <c r="M983" s="16" t="str">
        <f>HYPERLINK("https://ceds.ed.gov/cedselementdetails.aspx?termid=26711")</f>
        <v>https://ceds.ed.gov/cedselementdetails.aspx?termid=26711</v>
      </c>
    </row>
    <row r="984" spans="1:13" ht="100.8" x14ac:dyDescent="0.3">
      <c r="A984" s="16" t="s">
        <v>3843</v>
      </c>
      <c r="B984" s="16" t="s">
        <v>3844</v>
      </c>
      <c r="C984" s="16" t="s">
        <v>22</v>
      </c>
      <c r="D984" s="16" t="s">
        <v>2525</v>
      </c>
      <c r="E984" s="16"/>
      <c r="F984" s="16"/>
      <c r="G984" s="16"/>
      <c r="H984" s="16"/>
      <c r="I984" s="19" t="s">
        <v>3845</v>
      </c>
      <c r="J984" s="16"/>
      <c r="K984" s="16" t="s">
        <v>3846</v>
      </c>
      <c r="L984" s="16"/>
      <c r="M984" s="16" t="str">
        <f>HYPERLINK("https://ceds.ed.gov/cedselementdetails.aspx?termid=27311")</f>
        <v>https://ceds.ed.gov/cedselementdetails.aspx?termid=27311</v>
      </c>
    </row>
    <row r="985" spans="1:13" ht="172.8" x14ac:dyDescent="0.3">
      <c r="A985" s="16" t="s">
        <v>3847</v>
      </c>
      <c r="B985" s="16" t="s">
        <v>3848</v>
      </c>
      <c r="C985" s="16" t="s">
        <v>32</v>
      </c>
      <c r="D985" s="16" t="s">
        <v>7974</v>
      </c>
      <c r="E985" s="16"/>
      <c r="F985" s="16" t="s">
        <v>120</v>
      </c>
      <c r="G985" s="16"/>
      <c r="H985" s="16" t="s">
        <v>7817</v>
      </c>
      <c r="I985" s="19" t="s">
        <v>3849</v>
      </c>
      <c r="J985" s="16"/>
      <c r="K985" s="16" t="s">
        <v>3850</v>
      </c>
      <c r="L985" s="16" t="s">
        <v>1982</v>
      </c>
      <c r="M985" s="16" t="str">
        <f>HYPERLINK("https://ceds.ed.gov/cedselementdetails.aspx?termid=26784")</f>
        <v>https://ceds.ed.gov/cedselementdetails.aspx?termid=26784</v>
      </c>
    </row>
    <row r="986" spans="1:13" ht="409.6" x14ac:dyDescent="0.3">
      <c r="A986" s="16" t="s">
        <v>3851</v>
      </c>
      <c r="B986" s="16" t="s">
        <v>3852</v>
      </c>
      <c r="C986" s="16" t="s">
        <v>32</v>
      </c>
      <c r="D986" s="16" t="s">
        <v>7975</v>
      </c>
      <c r="E986" s="16"/>
      <c r="F986" s="16" t="s">
        <v>1481</v>
      </c>
      <c r="G986" s="16"/>
      <c r="H986" s="16" t="s">
        <v>3853</v>
      </c>
      <c r="I986" s="19" t="s">
        <v>3854</v>
      </c>
      <c r="J986" s="16"/>
      <c r="K986" s="16" t="s">
        <v>3855</v>
      </c>
      <c r="L986" s="16" t="s">
        <v>372</v>
      </c>
      <c r="M986" s="16" t="str">
        <f>HYPERLINK("https://ceds.ed.gov/cedselementdetails.aspx?termid=26331")</f>
        <v>https://ceds.ed.gov/cedselementdetails.aspx?termid=26331</v>
      </c>
    </row>
    <row r="987" spans="1:13" ht="129.6" x14ac:dyDescent="0.3">
      <c r="A987" s="16" t="s">
        <v>3856</v>
      </c>
      <c r="B987" s="16" t="s">
        <v>7976</v>
      </c>
      <c r="C987" s="16" t="s">
        <v>32</v>
      </c>
      <c r="D987" s="16" t="s">
        <v>8222</v>
      </c>
      <c r="E987" s="16"/>
      <c r="F987" s="16" t="s">
        <v>3857</v>
      </c>
      <c r="G987" s="16"/>
      <c r="H987" s="16"/>
      <c r="I987" s="19" t="s">
        <v>3858</v>
      </c>
      <c r="J987" s="16"/>
      <c r="K987" s="16" t="s">
        <v>3859</v>
      </c>
      <c r="L987" s="16" t="s">
        <v>214</v>
      </c>
      <c r="M987" s="16" t="str">
        <f>HYPERLINK("https://ceds.ed.gov/cedselementdetails.aspx?termid=26538")</f>
        <v>https://ceds.ed.gov/cedselementdetails.aspx?termid=26538</v>
      </c>
    </row>
    <row r="988" spans="1:13" ht="57.6" x14ac:dyDescent="0.3">
      <c r="A988" s="16" t="s">
        <v>7977</v>
      </c>
      <c r="B988" s="16" t="s">
        <v>7978</v>
      </c>
      <c r="C988" s="16" t="s">
        <v>8200</v>
      </c>
      <c r="D988" s="16" t="s">
        <v>9371</v>
      </c>
      <c r="E988" s="16"/>
      <c r="F988" s="16" t="s">
        <v>2</v>
      </c>
      <c r="G988" s="16"/>
      <c r="H988" s="16"/>
      <c r="I988" s="19" t="s">
        <v>8182</v>
      </c>
      <c r="J988" s="16"/>
      <c r="K988" s="16" t="s">
        <v>7979</v>
      </c>
      <c r="L988" s="16"/>
      <c r="M988" s="16" t="str">
        <f>HYPERLINK("https://ceds.ed.gov/cedselementdetails.aspx?termid=27980")</f>
        <v>https://ceds.ed.gov/cedselementdetails.aspx?termid=27980</v>
      </c>
    </row>
    <row r="989" spans="1:13" ht="115.2" x14ac:dyDescent="0.3">
      <c r="A989" s="16" t="s">
        <v>3860</v>
      </c>
      <c r="B989" s="16" t="s">
        <v>3861</v>
      </c>
      <c r="C989" s="16" t="s">
        <v>32</v>
      </c>
      <c r="D989" s="16" t="s">
        <v>3862</v>
      </c>
      <c r="E989" s="16"/>
      <c r="F989" s="16" t="s">
        <v>1481</v>
      </c>
      <c r="G989" s="16"/>
      <c r="H989" s="16"/>
      <c r="I989" s="19" t="s">
        <v>3863</v>
      </c>
      <c r="J989" s="16"/>
      <c r="K989" s="16" t="s">
        <v>3864</v>
      </c>
      <c r="L989" s="16" t="s">
        <v>214</v>
      </c>
      <c r="M989" s="16" t="str">
        <f>HYPERLINK("https://ceds.ed.gov/cedselementdetails.aspx?termid=26540")</f>
        <v>https://ceds.ed.gov/cedselementdetails.aspx?termid=26540</v>
      </c>
    </row>
    <row r="990" spans="1:13" ht="115.2" x14ac:dyDescent="0.3">
      <c r="A990" s="16" t="s">
        <v>3865</v>
      </c>
      <c r="B990" s="16" t="s">
        <v>3866</v>
      </c>
      <c r="C990" s="16" t="s">
        <v>8596</v>
      </c>
      <c r="D990" s="16" t="s">
        <v>2996</v>
      </c>
      <c r="E990" s="16"/>
      <c r="F990" s="16"/>
      <c r="G990" s="16"/>
      <c r="H990" s="16"/>
      <c r="I990" s="19" t="s">
        <v>3867</v>
      </c>
      <c r="J990" s="16"/>
      <c r="K990" s="16" t="s">
        <v>3868</v>
      </c>
      <c r="L990" s="16"/>
      <c r="M990" s="16" t="str">
        <f>HYPERLINK("https://ceds.ed.gov/cedselementdetails.aspx?termid=26539")</f>
        <v>https://ceds.ed.gov/cedselementdetails.aspx?termid=26539</v>
      </c>
    </row>
    <row r="991" spans="1:13" ht="244.8" x14ac:dyDescent="0.3">
      <c r="A991" s="16" t="s">
        <v>7418</v>
      </c>
      <c r="B991" s="16" t="s">
        <v>7419</v>
      </c>
      <c r="C991" s="16" t="s">
        <v>22</v>
      </c>
      <c r="D991" s="16" t="s">
        <v>8320</v>
      </c>
      <c r="E991" s="16"/>
      <c r="F991" s="16"/>
      <c r="G991" s="16"/>
      <c r="H991" s="16"/>
      <c r="I991" s="19" t="s">
        <v>7420</v>
      </c>
      <c r="J991" s="16"/>
      <c r="K991" s="16" t="s">
        <v>7421</v>
      </c>
      <c r="L991" s="16"/>
      <c r="M991" s="16" t="str">
        <f>HYPERLINK("https://ceds.ed.gov/cedselementdetails.aspx?termid=27932")</f>
        <v>https://ceds.ed.gov/cedselementdetails.aspx?termid=27932</v>
      </c>
    </row>
    <row r="992" spans="1:13" ht="129.6" x14ac:dyDescent="0.3">
      <c r="A992" s="16" t="s">
        <v>3869</v>
      </c>
      <c r="B992" s="16" t="s">
        <v>7980</v>
      </c>
      <c r="C992" s="16" t="s">
        <v>3870</v>
      </c>
      <c r="D992" s="16" t="s">
        <v>1924</v>
      </c>
      <c r="E992" s="16"/>
      <c r="F992" s="16" t="s">
        <v>3871</v>
      </c>
      <c r="G992" s="16"/>
      <c r="H992" s="16"/>
      <c r="I992" s="19" t="s">
        <v>3872</v>
      </c>
      <c r="J992" s="16"/>
      <c r="K992" s="16" t="s">
        <v>3873</v>
      </c>
      <c r="L992" s="16" t="s">
        <v>230</v>
      </c>
      <c r="M992" s="16" t="str">
        <f>HYPERLINK("https://ceds.ed.gov/cedselementdetails.aspx?termid=26111")</f>
        <v>https://ceds.ed.gov/cedselementdetails.aspx?termid=26111</v>
      </c>
    </row>
    <row r="993" spans="1:13" ht="409.6" x14ac:dyDescent="0.3">
      <c r="A993" s="16" t="s">
        <v>7981</v>
      </c>
      <c r="B993" s="16" t="s">
        <v>3881</v>
      </c>
      <c r="C993" s="16" t="s">
        <v>8223</v>
      </c>
      <c r="D993" s="16" t="s">
        <v>3882</v>
      </c>
      <c r="E993" s="16"/>
      <c r="F993" s="16"/>
      <c r="G993" s="16"/>
      <c r="H993" s="16" t="s">
        <v>7982</v>
      </c>
      <c r="I993" s="19" t="s">
        <v>3883</v>
      </c>
      <c r="J993" s="16"/>
      <c r="K993" s="16" t="s">
        <v>7983</v>
      </c>
      <c r="L993" s="16"/>
      <c r="M993" s="16" t="str">
        <f>HYPERLINK("https://ceds.ed.gov/cedselementdetails.aspx?termid=27320")</f>
        <v>https://ceds.ed.gov/cedselementdetails.aspx?termid=27320</v>
      </c>
    </row>
    <row r="994" spans="1:13" ht="187.2" x14ac:dyDescent="0.3">
      <c r="A994" s="16" t="s">
        <v>3874</v>
      </c>
      <c r="B994" s="16" t="s">
        <v>3875</v>
      </c>
      <c r="C994" s="16" t="s">
        <v>8224</v>
      </c>
      <c r="D994" s="16" t="s">
        <v>9372</v>
      </c>
      <c r="E994" s="16"/>
      <c r="F994" s="16"/>
      <c r="G994" s="16"/>
      <c r="H994" s="16"/>
      <c r="I994" s="19" t="s">
        <v>3876</v>
      </c>
      <c r="J994" s="16"/>
      <c r="K994" s="16" t="s">
        <v>3877</v>
      </c>
      <c r="L994" s="16"/>
      <c r="M994" s="16" t="str">
        <f>HYPERLINK("https://ceds.ed.gov/cedselementdetails.aspx?termid=27312")</f>
        <v>https://ceds.ed.gov/cedselementdetails.aspx?termid=27312</v>
      </c>
    </row>
    <row r="995" spans="1:13" ht="43.2" x14ac:dyDescent="0.3">
      <c r="A995" s="16" t="s">
        <v>7984</v>
      </c>
      <c r="B995" s="16" t="s">
        <v>7985</v>
      </c>
      <c r="C995" s="16" t="s">
        <v>8201</v>
      </c>
      <c r="D995" s="16" t="s">
        <v>9371</v>
      </c>
      <c r="E995" s="16"/>
      <c r="F995" s="16" t="s">
        <v>2</v>
      </c>
      <c r="G995" s="16"/>
      <c r="H995" s="16"/>
      <c r="I995" s="19" t="s">
        <v>8183</v>
      </c>
      <c r="J995" s="16"/>
      <c r="K995" s="16" t="s">
        <v>7986</v>
      </c>
      <c r="L995" s="16"/>
      <c r="M995" s="16" t="str">
        <f>HYPERLINK("https://ceds.ed.gov/cedselementdetails.aspx?termid=27981")</f>
        <v>https://ceds.ed.gov/cedselementdetails.aspx?termid=27981</v>
      </c>
    </row>
    <row r="996" spans="1:13" ht="187.2" x14ac:dyDescent="0.3">
      <c r="A996" s="16" t="s">
        <v>3878</v>
      </c>
      <c r="B996" s="16" t="s">
        <v>7987</v>
      </c>
      <c r="C996" s="16" t="s">
        <v>32</v>
      </c>
      <c r="D996" s="16" t="s">
        <v>9372</v>
      </c>
      <c r="E996" s="16"/>
      <c r="F996" s="16" t="s">
        <v>101</v>
      </c>
      <c r="G996" s="16"/>
      <c r="H996" s="16"/>
      <c r="I996" s="19" t="s">
        <v>3879</v>
      </c>
      <c r="J996" s="16"/>
      <c r="K996" s="16" t="s">
        <v>3880</v>
      </c>
      <c r="L996" s="16"/>
      <c r="M996" s="16" t="str">
        <f>HYPERLINK("https://ceds.ed.gov/cedselementdetails.aspx?termid=27313")</f>
        <v>https://ceds.ed.gov/cedselementdetails.aspx?termid=27313</v>
      </c>
    </row>
    <row r="997" spans="1:13" ht="144" x14ac:dyDescent="0.3">
      <c r="A997" s="16" t="s">
        <v>7988</v>
      </c>
      <c r="B997" s="16" t="s">
        <v>3884</v>
      </c>
      <c r="C997" s="16" t="s">
        <v>8225</v>
      </c>
      <c r="D997" s="16" t="s">
        <v>9373</v>
      </c>
      <c r="E997" s="16"/>
      <c r="F997" s="16"/>
      <c r="G997" s="16"/>
      <c r="H997" s="16" t="s">
        <v>7989</v>
      </c>
      <c r="I997" s="19" t="s">
        <v>3885</v>
      </c>
      <c r="J997" s="16"/>
      <c r="K997" s="16" t="s">
        <v>7990</v>
      </c>
      <c r="L997" s="16"/>
      <c r="M997" s="16" t="str">
        <f>HYPERLINK("https://ceds.ed.gov/cedselementdetails.aspx?termid=27314")</f>
        <v>https://ceds.ed.gov/cedselementdetails.aspx?termid=27314</v>
      </c>
    </row>
    <row r="998" spans="1:13" ht="100.8" x14ac:dyDescent="0.3">
      <c r="A998" s="16" t="s">
        <v>8966</v>
      </c>
      <c r="B998" s="16" t="s">
        <v>8967</v>
      </c>
      <c r="C998" s="16" t="s">
        <v>9425</v>
      </c>
      <c r="D998" s="16" t="s">
        <v>9371</v>
      </c>
      <c r="E998" s="16"/>
      <c r="F998" s="16" t="s">
        <v>2</v>
      </c>
      <c r="G998" s="16"/>
      <c r="H998" s="16"/>
      <c r="I998" s="19" t="s">
        <v>8968</v>
      </c>
      <c r="J998" s="16"/>
      <c r="K998" s="16" t="s">
        <v>8969</v>
      </c>
      <c r="L998" s="16"/>
      <c r="M998" s="16" t="str">
        <f>HYPERLINK("https://ceds.ed.gov/cedselementdetails.aspx?termid=28018")</f>
        <v>https://ceds.ed.gov/cedselementdetails.aspx?termid=28018</v>
      </c>
    </row>
    <row r="999" spans="1:13" ht="144" x14ac:dyDescent="0.3">
      <c r="A999" s="16" t="s">
        <v>7991</v>
      </c>
      <c r="B999" s="16" t="s">
        <v>7992</v>
      </c>
      <c r="C999" s="16" t="s">
        <v>8200</v>
      </c>
      <c r="D999" s="16" t="s">
        <v>9371</v>
      </c>
      <c r="E999" s="16"/>
      <c r="F999" s="16" t="s">
        <v>2</v>
      </c>
      <c r="G999" s="16"/>
      <c r="H999" s="16"/>
      <c r="I999" s="19" t="s">
        <v>8184</v>
      </c>
      <c r="J999" s="16"/>
      <c r="K999" s="16" t="s">
        <v>7993</v>
      </c>
      <c r="L999" s="16"/>
      <c r="M999" s="16" t="str">
        <f>HYPERLINK("https://ceds.ed.gov/cedselementdetails.aspx?termid=27982")</f>
        <v>https://ceds.ed.gov/cedselementdetails.aspx?termid=27982</v>
      </c>
    </row>
    <row r="1000" spans="1:13" ht="100.8" x14ac:dyDescent="0.3">
      <c r="A1000" s="16" t="s">
        <v>7994</v>
      </c>
      <c r="B1000" s="16" t="s">
        <v>7995</v>
      </c>
      <c r="C1000" s="16" t="s">
        <v>8200</v>
      </c>
      <c r="D1000" s="16" t="s">
        <v>9371</v>
      </c>
      <c r="E1000" s="16"/>
      <c r="F1000" s="16" t="s">
        <v>2</v>
      </c>
      <c r="G1000" s="16"/>
      <c r="H1000" s="16"/>
      <c r="I1000" s="19" t="s">
        <v>8185</v>
      </c>
      <c r="J1000" s="16"/>
      <c r="K1000" s="16" t="s">
        <v>7996</v>
      </c>
      <c r="L1000" s="16"/>
      <c r="M1000" s="16" t="str">
        <f>HYPERLINK("https://ceds.ed.gov/cedselementdetails.aspx?termid=27983")</f>
        <v>https://ceds.ed.gov/cedselementdetails.aspx?termid=27983</v>
      </c>
    </row>
    <row r="1001" spans="1:13" ht="43.2" x14ac:dyDescent="0.3">
      <c r="A1001" s="16" t="s">
        <v>8970</v>
      </c>
      <c r="B1001" s="16" t="s">
        <v>8971</v>
      </c>
      <c r="C1001" s="16" t="s">
        <v>8200</v>
      </c>
      <c r="D1001" s="16" t="s">
        <v>9371</v>
      </c>
      <c r="E1001" s="16"/>
      <c r="F1001" s="16" t="s">
        <v>2</v>
      </c>
      <c r="G1001" s="16"/>
      <c r="H1001" s="16"/>
      <c r="I1001" s="19" t="s">
        <v>8972</v>
      </c>
      <c r="J1001" s="16"/>
      <c r="K1001" s="16" t="s">
        <v>8973</v>
      </c>
      <c r="L1001" s="16"/>
      <c r="M1001" s="16" t="str">
        <f>HYPERLINK("https://ceds.ed.gov/cedselementdetails.aspx?termid=28019")</f>
        <v>https://ceds.ed.gov/cedselementdetails.aspx?termid=28019</v>
      </c>
    </row>
    <row r="1002" spans="1:13" ht="57.6" x14ac:dyDescent="0.3">
      <c r="A1002" s="16" t="s">
        <v>7997</v>
      </c>
      <c r="B1002" s="16" t="s">
        <v>7998</v>
      </c>
      <c r="C1002" s="16" t="s">
        <v>8200</v>
      </c>
      <c r="D1002" s="16" t="s">
        <v>9371</v>
      </c>
      <c r="E1002" s="16"/>
      <c r="F1002" s="16" t="s">
        <v>2</v>
      </c>
      <c r="G1002" s="16"/>
      <c r="H1002" s="16"/>
      <c r="I1002" s="19" t="s">
        <v>8186</v>
      </c>
      <c r="J1002" s="16"/>
      <c r="K1002" s="16" t="s">
        <v>7999</v>
      </c>
      <c r="L1002" s="16"/>
      <c r="M1002" s="16" t="str">
        <f>HYPERLINK("https://ceds.ed.gov/cedselementdetails.aspx?termid=27984")</f>
        <v>https://ceds.ed.gov/cedselementdetails.aspx?termid=27984</v>
      </c>
    </row>
    <row r="1003" spans="1:13" ht="43.2" x14ac:dyDescent="0.3">
      <c r="A1003" s="16" t="s">
        <v>8000</v>
      </c>
      <c r="B1003" s="16" t="s">
        <v>8001</v>
      </c>
      <c r="C1003" s="16" t="s">
        <v>8200</v>
      </c>
      <c r="D1003" s="16" t="s">
        <v>9371</v>
      </c>
      <c r="E1003" s="16"/>
      <c r="F1003" s="16" t="s">
        <v>2</v>
      </c>
      <c r="G1003" s="16"/>
      <c r="H1003" s="16"/>
      <c r="I1003" s="19" t="s">
        <v>8187</v>
      </c>
      <c r="J1003" s="16"/>
      <c r="K1003" s="16" t="s">
        <v>8002</v>
      </c>
      <c r="L1003" s="16"/>
      <c r="M1003" s="16" t="str">
        <f>HYPERLINK("https://ceds.ed.gov/cedselementdetails.aspx?termid=27985")</f>
        <v>https://ceds.ed.gov/cedselementdetails.aspx?termid=27985</v>
      </c>
    </row>
    <row r="1004" spans="1:13" ht="158.4" x14ac:dyDescent="0.3">
      <c r="A1004" s="16" t="s">
        <v>3888</v>
      </c>
      <c r="B1004" s="16" t="s">
        <v>8003</v>
      </c>
      <c r="C1004" s="16" t="s">
        <v>32</v>
      </c>
      <c r="D1004" s="16" t="s">
        <v>9374</v>
      </c>
      <c r="E1004" s="16"/>
      <c r="F1004" s="16" t="s">
        <v>747</v>
      </c>
      <c r="G1004" s="16"/>
      <c r="H1004" s="16"/>
      <c r="I1004" s="19" t="s">
        <v>3889</v>
      </c>
      <c r="J1004" s="16"/>
      <c r="K1004" s="16" t="s">
        <v>3890</v>
      </c>
      <c r="L1004" s="16"/>
      <c r="M1004" s="16" t="str">
        <f>HYPERLINK("https://ceds.ed.gov/cedselementdetails.aspx?termid=27315")</f>
        <v>https://ceds.ed.gov/cedselementdetails.aspx?termid=27315</v>
      </c>
    </row>
    <row r="1005" spans="1:13" ht="158.4" x14ac:dyDescent="0.3">
      <c r="A1005" s="16" t="s">
        <v>3891</v>
      </c>
      <c r="B1005" s="16" t="s">
        <v>8004</v>
      </c>
      <c r="C1005" s="16" t="s">
        <v>32</v>
      </c>
      <c r="D1005" s="16" t="s">
        <v>9374</v>
      </c>
      <c r="E1005" s="16"/>
      <c r="F1005" s="16" t="s">
        <v>81</v>
      </c>
      <c r="G1005" s="16"/>
      <c r="H1005" s="16"/>
      <c r="I1005" s="19" t="s">
        <v>3892</v>
      </c>
      <c r="J1005" s="16"/>
      <c r="K1005" s="16" t="s">
        <v>3893</v>
      </c>
      <c r="L1005" s="16"/>
      <c r="M1005" s="16" t="str">
        <f>HYPERLINK("https://ceds.ed.gov/cedselementdetails.aspx?termid=27530")</f>
        <v>https://ceds.ed.gov/cedselementdetails.aspx?termid=27530</v>
      </c>
    </row>
    <row r="1006" spans="1:13" ht="201.6" x14ac:dyDescent="0.3">
      <c r="A1006" s="16" t="s">
        <v>8005</v>
      </c>
      <c r="B1006" s="16" t="s">
        <v>8006</v>
      </c>
      <c r="C1006" s="16" t="s">
        <v>8226</v>
      </c>
      <c r="D1006" s="16" t="s">
        <v>9373</v>
      </c>
      <c r="E1006" s="16"/>
      <c r="F1006" s="16"/>
      <c r="G1006" s="16"/>
      <c r="H1006" s="16" t="s">
        <v>8007</v>
      </c>
      <c r="I1006" s="19" t="s">
        <v>3886</v>
      </c>
      <c r="J1006" s="16"/>
      <c r="K1006" s="16" t="s">
        <v>8008</v>
      </c>
      <c r="L1006" s="16"/>
      <c r="M1006" s="16" t="str">
        <f>HYPERLINK("https://ceds.ed.gov/cedselementdetails.aspx?termid=27316")</f>
        <v>https://ceds.ed.gov/cedselementdetails.aspx?termid=27316</v>
      </c>
    </row>
    <row r="1007" spans="1:13" ht="158.4" x14ac:dyDescent="0.3">
      <c r="A1007" s="16" t="s">
        <v>3894</v>
      </c>
      <c r="B1007" s="16" t="s">
        <v>8009</v>
      </c>
      <c r="C1007" s="16" t="s">
        <v>32</v>
      </c>
      <c r="D1007" s="16" t="s">
        <v>9374</v>
      </c>
      <c r="E1007" s="16"/>
      <c r="F1007" s="16" t="s">
        <v>747</v>
      </c>
      <c r="G1007" s="16"/>
      <c r="H1007" s="16"/>
      <c r="I1007" s="19" t="s">
        <v>3895</v>
      </c>
      <c r="J1007" s="16"/>
      <c r="K1007" s="16" t="s">
        <v>3896</v>
      </c>
      <c r="L1007" s="16"/>
      <c r="M1007" s="16" t="str">
        <f>HYPERLINK("https://ceds.ed.gov/cedselementdetails.aspx?termid=27626")</f>
        <v>https://ceds.ed.gov/cedselementdetails.aspx?termid=27626</v>
      </c>
    </row>
    <row r="1008" spans="1:13" ht="158.4" x14ac:dyDescent="0.3">
      <c r="A1008" s="16" t="s">
        <v>3897</v>
      </c>
      <c r="B1008" s="16" t="s">
        <v>8010</v>
      </c>
      <c r="C1008" s="16" t="s">
        <v>32</v>
      </c>
      <c r="D1008" s="16" t="s">
        <v>9374</v>
      </c>
      <c r="E1008" s="16"/>
      <c r="F1008" s="16" t="s">
        <v>81</v>
      </c>
      <c r="G1008" s="16"/>
      <c r="H1008" s="16"/>
      <c r="I1008" s="19" t="s">
        <v>3898</v>
      </c>
      <c r="J1008" s="16"/>
      <c r="K1008" s="16" t="s">
        <v>3899</v>
      </c>
      <c r="L1008" s="16"/>
      <c r="M1008" s="16" t="str">
        <f>HYPERLINK("https://ceds.ed.gov/cedselementdetails.aspx?termid=27627")</f>
        <v>https://ceds.ed.gov/cedselementdetails.aspx?termid=27627</v>
      </c>
    </row>
    <row r="1009" spans="1:13" ht="409.6" x14ac:dyDescent="0.3">
      <c r="A1009" s="16" t="s">
        <v>8011</v>
      </c>
      <c r="B1009" s="16" t="s">
        <v>8012</v>
      </c>
      <c r="C1009" s="16" t="s">
        <v>8227</v>
      </c>
      <c r="D1009" s="16" t="s">
        <v>9375</v>
      </c>
      <c r="E1009" s="16"/>
      <c r="F1009" s="16"/>
      <c r="G1009" s="16"/>
      <c r="H1009" s="16" t="s">
        <v>8013</v>
      </c>
      <c r="I1009" s="19" t="s">
        <v>3887</v>
      </c>
      <c r="J1009" s="16"/>
      <c r="K1009" s="16" t="s">
        <v>8014</v>
      </c>
      <c r="L1009" s="16"/>
      <c r="M1009" s="16" t="str">
        <f>HYPERLINK("https://ceds.ed.gov/cedselementdetails.aspx?termid=27440")</f>
        <v>https://ceds.ed.gov/cedselementdetails.aspx?termid=27440</v>
      </c>
    </row>
    <row r="1010" spans="1:13" ht="158.4" x14ac:dyDescent="0.3">
      <c r="A1010" s="16" t="s">
        <v>3900</v>
      </c>
      <c r="B1010" s="16" t="s">
        <v>3901</v>
      </c>
      <c r="C1010" s="16" t="s">
        <v>32</v>
      </c>
      <c r="D1010" s="16" t="s">
        <v>9374</v>
      </c>
      <c r="E1010" s="16"/>
      <c r="F1010" s="16" t="s">
        <v>106</v>
      </c>
      <c r="G1010" s="16"/>
      <c r="H1010" s="16"/>
      <c r="I1010" s="19" t="s">
        <v>3902</v>
      </c>
      <c r="J1010" s="16"/>
      <c r="K1010" s="16" t="s">
        <v>3903</v>
      </c>
      <c r="L1010" s="16"/>
      <c r="M1010" s="16" t="str">
        <f>HYPERLINK("https://ceds.ed.gov/cedselementdetails.aspx?termid=27629")</f>
        <v>https://ceds.ed.gov/cedselementdetails.aspx?termid=27629</v>
      </c>
    </row>
    <row r="1011" spans="1:13" ht="187.2" x14ac:dyDescent="0.3">
      <c r="A1011" s="16" t="s">
        <v>3904</v>
      </c>
      <c r="B1011" s="16" t="s">
        <v>3905</v>
      </c>
      <c r="C1011" s="16" t="s">
        <v>32</v>
      </c>
      <c r="D1011" s="16" t="s">
        <v>9372</v>
      </c>
      <c r="E1011" s="16"/>
      <c r="F1011" s="16" t="s">
        <v>1481</v>
      </c>
      <c r="G1011" s="16"/>
      <c r="H1011" s="16"/>
      <c r="I1011" s="19" t="s">
        <v>3906</v>
      </c>
      <c r="J1011" s="16"/>
      <c r="K1011" s="16" t="s">
        <v>3907</v>
      </c>
      <c r="L1011" s="16"/>
      <c r="M1011" s="16" t="str">
        <f>HYPERLINK("https://ceds.ed.gov/cedselementdetails.aspx?termid=27317")</f>
        <v>https://ceds.ed.gov/cedselementdetails.aspx?termid=27317</v>
      </c>
    </row>
    <row r="1012" spans="1:13" ht="187.2" x14ac:dyDescent="0.3">
      <c r="A1012" s="16" t="s">
        <v>3908</v>
      </c>
      <c r="B1012" s="16" t="s">
        <v>3909</v>
      </c>
      <c r="C1012" s="16" t="s">
        <v>32</v>
      </c>
      <c r="D1012" s="16" t="s">
        <v>9372</v>
      </c>
      <c r="E1012" s="16"/>
      <c r="F1012" s="16" t="s">
        <v>1481</v>
      </c>
      <c r="G1012" s="16"/>
      <c r="H1012" s="16"/>
      <c r="I1012" s="19" t="s">
        <v>3910</v>
      </c>
      <c r="J1012" s="16"/>
      <c r="K1012" s="16" t="s">
        <v>3911</v>
      </c>
      <c r="L1012" s="16"/>
      <c r="M1012" s="16" t="str">
        <f>HYPERLINK("https://ceds.ed.gov/cedselementdetails.aspx?termid=27318")</f>
        <v>https://ceds.ed.gov/cedselementdetails.aspx?termid=27318</v>
      </c>
    </row>
    <row r="1013" spans="1:13" ht="187.2" x14ac:dyDescent="0.3">
      <c r="A1013" s="16" t="s">
        <v>3912</v>
      </c>
      <c r="B1013" s="16" t="s">
        <v>3913</v>
      </c>
      <c r="C1013" s="16" t="s">
        <v>32</v>
      </c>
      <c r="D1013" s="16" t="s">
        <v>9372</v>
      </c>
      <c r="E1013" s="16"/>
      <c r="F1013" s="16" t="s">
        <v>1481</v>
      </c>
      <c r="G1013" s="16"/>
      <c r="H1013" s="16" t="s">
        <v>3914</v>
      </c>
      <c r="I1013" s="19" t="s">
        <v>3915</v>
      </c>
      <c r="J1013" s="16"/>
      <c r="K1013" s="16" t="s">
        <v>3916</v>
      </c>
      <c r="L1013" s="16"/>
      <c r="M1013" s="16" t="str">
        <f>HYPERLINK("https://ceds.ed.gov/cedselementdetails.aspx?termid=27625")</f>
        <v>https://ceds.ed.gov/cedselementdetails.aspx?termid=27625</v>
      </c>
    </row>
    <row r="1014" spans="1:13" ht="158.4" x14ac:dyDescent="0.3">
      <c r="A1014" s="16" t="s">
        <v>3917</v>
      </c>
      <c r="B1014" s="16" t="s">
        <v>3918</v>
      </c>
      <c r="C1014" s="16" t="s">
        <v>32</v>
      </c>
      <c r="D1014" s="16" t="s">
        <v>9374</v>
      </c>
      <c r="E1014" s="16"/>
      <c r="F1014" s="16" t="s">
        <v>1481</v>
      </c>
      <c r="G1014" s="16"/>
      <c r="H1014" s="16" t="s">
        <v>3919</v>
      </c>
      <c r="I1014" s="19" t="s">
        <v>3920</v>
      </c>
      <c r="J1014" s="16"/>
      <c r="K1014" s="16" t="s">
        <v>3921</v>
      </c>
      <c r="L1014" s="16"/>
      <c r="M1014" s="16" t="str">
        <f>HYPERLINK("https://ceds.ed.gov/cedselementdetails.aspx?termid=27628")</f>
        <v>https://ceds.ed.gov/cedselementdetails.aspx?termid=27628</v>
      </c>
    </row>
    <row r="1015" spans="1:13" ht="72" x14ac:dyDescent="0.3">
      <c r="A1015" s="16" t="s">
        <v>3922</v>
      </c>
      <c r="B1015" s="16" t="s">
        <v>8015</v>
      </c>
      <c r="C1015" s="16" t="s">
        <v>22</v>
      </c>
      <c r="D1015" s="16" t="s">
        <v>3923</v>
      </c>
      <c r="E1015" s="16"/>
      <c r="F1015" s="16"/>
      <c r="G1015" s="16"/>
      <c r="H1015" s="16" t="s">
        <v>8016</v>
      </c>
      <c r="I1015" s="19" t="s">
        <v>3924</v>
      </c>
      <c r="J1015" s="16"/>
      <c r="K1015" s="16" t="s">
        <v>3925</v>
      </c>
      <c r="L1015" s="16" t="s">
        <v>240</v>
      </c>
      <c r="M1015" s="16" t="str">
        <f>HYPERLINK("https://ceds.ed.gov/cedselementdetails.aspx?termid=26745")</f>
        <v>https://ceds.ed.gov/cedselementdetails.aspx?termid=26745</v>
      </c>
    </row>
    <row r="1016" spans="1:13" ht="115.2" x14ac:dyDescent="0.3">
      <c r="A1016" s="16" t="s">
        <v>3926</v>
      </c>
      <c r="B1016" s="16" t="s">
        <v>3927</v>
      </c>
      <c r="C1016" s="16" t="s">
        <v>8597</v>
      </c>
      <c r="D1016" s="16" t="s">
        <v>3923</v>
      </c>
      <c r="E1016" s="16"/>
      <c r="F1016" s="16"/>
      <c r="G1016" s="16"/>
      <c r="H1016" s="16" t="s">
        <v>8017</v>
      </c>
      <c r="I1016" s="19" t="s">
        <v>3928</v>
      </c>
      <c r="J1016" s="16"/>
      <c r="K1016" s="16" t="s">
        <v>3929</v>
      </c>
      <c r="L1016" s="16" t="s">
        <v>240</v>
      </c>
      <c r="M1016" s="16" t="str">
        <f>HYPERLINK("https://ceds.ed.gov/cedselementdetails.aspx?termid=27186")</f>
        <v>https://ceds.ed.gov/cedselementdetails.aspx?termid=27186</v>
      </c>
    </row>
    <row r="1017" spans="1:13" ht="72" x14ac:dyDescent="0.3">
      <c r="A1017" s="16" t="s">
        <v>3930</v>
      </c>
      <c r="B1017" s="16" t="s">
        <v>3931</v>
      </c>
      <c r="C1017" s="16" t="s">
        <v>32</v>
      </c>
      <c r="D1017" s="16" t="s">
        <v>3923</v>
      </c>
      <c r="E1017" s="16"/>
      <c r="F1017" s="16" t="s">
        <v>1481</v>
      </c>
      <c r="G1017" s="16"/>
      <c r="H1017" s="16" t="s">
        <v>8018</v>
      </c>
      <c r="I1017" s="19" t="s">
        <v>3932</v>
      </c>
      <c r="J1017" s="16"/>
      <c r="K1017" s="16" t="s">
        <v>3933</v>
      </c>
      <c r="L1017" s="16" t="s">
        <v>3934</v>
      </c>
      <c r="M1017" s="16" t="str">
        <f>HYPERLINK("https://ceds.ed.gov/cedselementdetails.aspx?termid=26112")</f>
        <v>https://ceds.ed.gov/cedselementdetails.aspx?termid=26112</v>
      </c>
    </row>
    <row r="1018" spans="1:13" ht="72" x14ac:dyDescent="0.3">
      <c r="A1018" s="16" t="s">
        <v>3935</v>
      </c>
      <c r="B1018" s="16" t="s">
        <v>3936</v>
      </c>
      <c r="C1018" s="16" t="s">
        <v>8598</v>
      </c>
      <c r="D1018" s="16" t="s">
        <v>3923</v>
      </c>
      <c r="E1018" s="16"/>
      <c r="F1018" s="16"/>
      <c r="G1018" s="16"/>
      <c r="H1018" s="16" t="s">
        <v>8019</v>
      </c>
      <c r="I1018" s="19" t="s">
        <v>3937</v>
      </c>
      <c r="J1018" s="16"/>
      <c r="K1018" s="16" t="s">
        <v>3938</v>
      </c>
      <c r="L1018" s="16" t="s">
        <v>3934</v>
      </c>
      <c r="M1018" s="16" t="str">
        <f>HYPERLINK("https://ceds.ed.gov/cedselementdetails.aspx?termid=26362")</f>
        <v>https://ceds.ed.gov/cedselementdetails.aspx?termid=26362</v>
      </c>
    </row>
    <row r="1019" spans="1:13" ht="409.6" x14ac:dyDescent="0.3">
      <c r="A1019" s="16" t="s">
        <v>3939</v>
      </c>
      <c r="B1019" s="16" t="s">
        <v>3940</v>
      </c>
      <c r="C1019" s="16" t="s">
        <v>8599</v>
      </c>
      <c r="D1019" s="16" t="s">
        <v>3923</v>
      </c>
      <c r="E1019" s="16"/>
      <c r="F1019" s="16"/>
      <c r="G1019" s="16"/>
      <c r="H1019" s="16" t="s">
        <v>8020</v>
      </c>
      <c r="I1019" s="19" t="s">
        <v>3941</v>
      </c>
      <c r="J1019" s="16"/>
      <c r="K1019" s="16" t="s">
        <v>3942</v>
      </c>
      <c r="L1019" s="16" t="s">
        <v>3934</v>
      </c>
      <c r="M1019" s="16" t="str">
        <f>HYPERLINK("https://ceds.ed.gov/cedselementdetails.aspx?termid=26113")</f>
        <v>https://ceds.ed.gov/cedselementdetails.aspx?termid=26113</v>
      </c>
    </row>
    <row r="1020" spans="1:13" ht="129.6" x14ac:dyDescent="0.3">
      <c r="A1020" s="16" t="s">
        <v>3943</v>
      </c>
      <c r="B1020" s="16" t="s">
        <v>8021</v>
      </c>
      <c r="C1020" s="16" t="s">
        <v>32</v>
      </c>
      <c r="D1020" s="16" t="s">
        <v>3923</v>
      </c>
      <c r="E1020" s="16"/>
      <c r="F1020" s="16" t="s">
        <v>1481</v>
      </c>
      <c r="G1020" s="16"/>
      <c r="H1020" s="16"/>
      <c r="I1020" s="19" t="s">
        <v>3944</v>
      </c>
      <c r="J1020" s="16"/>
      <c r="K1020" s="16" t="s">
        <v>3945</v>
      </c>
      <c r="L1020" s="16"/>
      <c r="M1020" s="16" t="str">
        <f>HYPERLINK("https://ceds.ed.gov/cedselementdetails.aspx?termid=27319")</f>
        <v>https://ceds.ed.gov/cedselementdetails.aspx?termid=27319</v>
      </c>
    </row>
    <row r="1021" spans="1:13" ht="100.8" x14ac:dyDescent="0.3">
      <c r="A1021" s="16" t="s">
        <v>3946</v>
      </c>
      <c r="B1021" s="16" t="s">
        <v>3947</v>
      </c>
      <c r="C1021" s="16" t="s">
        <v>8600</v>
      </c>
      <c r="D1021" s="16" t="s">
        <v>3923</v>
      </c>
      <c r="E1021" s="16"/>
      <c r="F1021" s="16"/>
      <c r="G1021" s="16"/>
      <c r="H1021" s="16"/>
      <c r="I1021" s="19" t="s">
        <v>3948</v>
      </c>
      <c r="J1021" s="16"/>
      <c r="K1021" s="16" t="s">
        <v>3949</v>
      </c>
      <c r="L1021" s="16" t="s">
        <v>2564</v>
      </c>
      <c r="M1021" s="16" t="str">
        <f>HYPERLINK("https://ceds.ed.gov/cedselementdetails.aspx?termid=27588")</f>
        <v>https://ceds.ed.gov/cedselementdetails.aspx?termid=27588</v>
      </c>
    </row>
    <row r="1022" spans="1:13" ht="57.6" x14ac:dyDescent="0.3">
      <c r="A1022" s="16" t="s">
        <v>3950</v>
      </c>
      <c r="B1022" s="16" t="s">
        <v>3951</v>
      </c>
      <c r="C1022" s="16" t="s">
        <v>8601</v>
      </c>
      <c r="D1022" s="16" t="s">
        <v>3923</v>
      </c>
      <c r="E1022" s="16"/>
      <c r="F1022" s="16"/>
      <c r="G1022" s="16"/>
      <c r="H1022" s="16"/>
      <c r="I1022" s="19" t="s">
        <v>3952</v>
      </c>
      <c r="J1022" s="16"/>
      <c r="K1022" s="16" t="s">
        <v>3953</v>
      </c>
      <c r="L1022" s="16" t="s">
        <v>230</v>
      </c>
      <c r="M1022" s="16" t="str">
        <f>HYPERLINK("https://ceds.ed.gov/cedselementdetails.aspx?termid=27589")</f>
        <v>https://ceds.ed.gov/cedselementdetails.aspx?termid=27589</v>
      </c>
    </row>
    <row r="1023" spans="1:13" ht="57.6" x14ac:dyDescent="0.3">
      <c r="A1023" s="16" t="s">
        <v>3954</v>
      </c>
      <c r="B1023" s="16" t="s">
        <v>8022</v>
      </c>
      <c r="C1023" s="16" t="s">
        <v>32</v>
      </c>
      <c r="D1023" s="16" t="s">
        <v>3923</v>
      </c>
      <c r="E1023" s="16"/>
      <c r="F1023" s="16" t="s">
        <v>78</v>
      </c>
      <c r="G1023" s="16"/>
      <c r="H1023" s="16"/>
      <c r="I1023" s="19" t="s">
        <v>3955</v>
      </c>
      <c r="J1023" s="16"/>
      <c r="K1023" s="16" t="s">
        <v>3956</v>
      </c>
      <c r="L1023" s="16" t="s">
        <v>3072</v>
      </c>
      <c r="M1023" s="16" t="str">
        <f>HYPERLINK("https://ceds.ed.gov/cedselementdetails.aspx?termid=27590")</f>
        <v>https://ceds.ed.gov/cedselementdetails.aspx?termid=27590</v>
      </c>
    </row>
    <row r="1024" spans="1:13" ht="409.6" x14ac:dyDescent="0.3">
      <c r="A1024" s="16" t="s">
        <v>8023</v>
      </c>
      <c r="B1024" s="16" t="s">
        <v>8024</v>
      </c>
      <c r="C1024" s="16" t="s">
        <v>8228</v>
      </c>
      <c r="D1024" s="16" t="s">
        <v>9373</v>
      </c>
      <c r="E1024" s="16"/>
      <c r="F1024" s="16"/>
      <c r="G1024" s="16"/>
      <c r="H1024" s="16" t="s">
        <v>8025</v>
      </c>
      <c r="I1024" s="19" t="s">
        <v>3957</v>
      </c>
      <c r="J1024" s="16"/>
      <c r="K1024" s="16" t="s">
        <v>8026</v>
      </c>
      <c r="L1024" s="16"/>
      <c r="M1024" s="16" t="str">
        <f>HYPERLINK("https://ceds.ed.gov/cedselementdetails.aspx?termid=27321")</f>
        <v>https://ceds.ed.gov/cedselementdetails.aspx?termid=27321</v>
      </c>
    </row>
    <row r="1025" spans="1:13" ht="187.2" x14ac:dyDescent="0.3">
      <c r="A1025" s="16" t="s">
        <v>8027</v>
      </c>
      <c r="B1025" s="16" t="s">
        <v>3958</v>
      </c>
      <c r="C1025" s="16" t="s">
        <v>8229</v>
      </c>
      <c r="D1025" s="16" t="s">
        <v>9373</v>
      </c>
      <c r="E1025" s="16"/>
      <c r="F1025" s="16"/>
      <c r="G1025" s="16"/>
      <c r="H1025" s="16" t="s">
        <v>8028</v>
      </c>
      <c r="I1025" s="19" t="s">
        <v>3959</v>
      </c>
      <c r="J1025" s="16"/>
      <c r="K1025" s="16" t="s">
        <v>8029</v>
      </c>
      <c r="L1025" s="16"/>
      <c r="M1025" s="16" t="str">
        <f>HYPERLINK("https://ceds.ed.gov/cedselementdetails.aspx?termid=27531")</f>
        <v>https://ceds.ed.gov/cedselementdetails.aspx?termid=27531</v>
      </c>
    </row>
    <row r="1026" spans="1:13" ht="43.2" x14ac:dyDescent="0.3">
      <c r="A1026" s="16" t="s">
        <v>8030</v>
      </c>
      <c r="B1026" s="16" t="s">
        <v>8031</v>
      </c>
      <c r="C1026" s="16" t="s">
        <v>8200</v>
      </c>
      <c r="D1026" s="16" t="s">
        <v>9371</v>
      </c>
      <c r="E1026" s="16"/>
      <c r="F1026" s="16" t="s">
        <v>2</v>
      </c>
      <c r="G1026" s="16"/>
      <c r="H1026" s="16"/>
      <c r="I1026" s="19" t="s">
        <v>8188</v>
      </c>
      <c r="J1026" s="16"/>
      <c r="K1026" s="16" t="s">
        <v>8032</v>
      </c>
      <c r="L1026" s="16"/>
      <c r="M1026" s="16" t="str">
        <f>HYPERLINK("https://ceds.ed.gov/cedselementdetails.aspx?termid=27986")</f>
        <v>https://ceds.ed.gov/cedselementdetails.aspx?termid=27986</v>
      </c>
    </row>
    <row r="1027" spans="1:13" ht="43.2" x14ac:dyDescent="0.3">
      <c r="A1027" s="16" t="s">
        <v>8033</v>
      </c>
      <c r="B1027" s="16" t="s">
        <v>8034</v>
      </c>
      <c r="C1027" s="16" t="s">
        <v>8200</v>
      </c>
      <c r="D1027" s="16" t="s">
        <v>9371</v>
      </c>
      <c r="E1027" s="16"/>
      <c r="F1027" s="16" t="s">
        <v>2</v>
      </c>
      <c r="G1027" s="16"/>
      <c r="H1027" s="16"/>
      <c r="I1027" s="19" t="s">
        <v>8189</v>
      </c>
      <c r="J1027" s="16"/>
      <c r="K1027" s="16" t="s">
        <v>8035</v>
      </c>
      <c r="L1027" s="16"/>
      <c r="M1027" s="16" t="str">
        <f>HYPERLINK("https://ceds.ed.gov/cedselementdetails.aspx?termid=27987")</f>
        <v>https://ceds.ed.gov/cedselementdetails.aspx?termid=27987</v>
      </c>
    </row>
    <row r="1028" spans="1:13" ht="43.2" x14ac:dyDescent="0.3">
      <c r="A1028" s="16" t="s">
        <v>8036</v>
      </c>
      <c r="B1028" s="16" t="s">
        <v>8037</v>
      </c>
      <c r="C1028" s="16" t="s">
        <v>8200</v>
      </c>
      <c r="D1028" s="16" t="s">
        <v>9371</v>
      </c>
      <c r="E1028" s="16"/>
      <c r="F1028" s="16" t="s">
        <v>2</v>
      </c>
      <c r="G1028" s="16"/>
      <c r="H1028" s="16"/>
      <c r="I1028" s="19" t="s">
        <v>8190</v>
      </c>
      <c r="J1028" s="16"/>
      <c r="K1028" s="16" t="s">
        <v>8038</v>
      </c>
      <c r="L1028" s="16"/>
      <c r="M1028" s="16" t="str">
        <f>HYPERLINK("https://ceds.ed.gov/cedselementdetails.aspx?termid=27988")</f>
        <v>https://ceds.ed.gov/cedselementdetails.aspx?termid=27988</v>
      </c>
    </row>
    <row r="1029" spans="1:13" ht="409.6" x14ac:dyDescent="0.3">
      <c r="A1029" s="16" t="s">
        <v>8039</v>
      </c>
      <c r="B1029" s="16" t="s">
        <v>8040</v>
      </c>
      <c r="C1029" s="16" t="s">
        <v>8230</v>
      </c>
      <c r="D1029" s="16" t="s">
        <v>9373</v>
      </c>
      <c r="E1029" s="16"/>
      <c r="F1029" s="16"/>
      <c r="G1029" s="16"/>
      <c r="H1029" s="16" t="s">
        <v>8041</v>
      </c>
      <c r="I1029" s="19" t="s">
        <v>3960</v>
      </c>
      <c r="J1029" s="16"/>
      <c r="K1029" s="16" t="s">
        <v>8042</v>
      </c>
      <c r="L1029" s="16"/>
      <c r="M1029" s="16" t="str">
        <f>HYPERLINK("https://ceds.ed.gov/cedselementdetails.aspx?termid=27322")</f>
        <v>https://ceds.ed.gov/cedselementdetails.aspx?termid=27322</v>
      </c>
    </row>
    <row r="1030" spans="1:13" ht="259.2" x14ac:dyDescent="0.3">
      <c r="A1030" s="16" t="s">
        <v>8043</v>
      </c>
      <c r="B1030" s="16" t="s">
        <v>8044</v>
      </c>
      <c r="C1030" s="16" t="s">
        <v>32</v>
      </c>
      <c r="D1030" s="16" t="s">
        <v>9373</v>
      </c>
      <c r="E1030" s="16"/>
      <c r="F1030" s="16" t="s">
        <v>136</v>
      </c>
      <c r="G1030" s="16"/>
      <c r="H1030" s="16" t="s">
        <v>8045</v>
      </c>
      <c r="I1030" s="19" t="s">
        <v>3961</v>
      </c>
      <c r="J1030" s="16"/>
      <c r="K1030" s="16" t="s">
        <v>8046</v>
      </c>
      <c r="L1030" s="16"/>
      <c r="M1030" s="16" t="str">
        <f>HYPERLINK("https://ceds.ed.gov/cedselementdetails.aspx?termid=27532")</f>
        <v>https://ceds.ed.gov/cedselementdetails.aspx?termid=27532</v>
      </c>
    </row>
    <row r="1031" spans="1:13" ht="57.6" x14ac:dyDescent="0.3">
      <c r="A1031" s="16" t="s">
        <v>3962</v>
      </c>
      <c r="B1031" s="16" t="s">
        <v>3963</v>
      </c>
      <c r="C1031" s="16" t="s">
        <v>32</v>
      </c>
      <c r="D1031" s="16" t="s">
        <v>3923</v>
      </c>
      <c r="E1031" s="16"/>
      <c r="F1031" s="16" t="s">
        <v>1481</v>
      </c>
      <c r="G1031" s="16"/>
      <c r="H1031" s="16" t="s">
        <v>3964</v>
      </c>
      <c r="I1031" s="19" t="s">
        <v>3965</v>
      </c>
      <c r="J1031" s="16"/>
      <c r="K1031" s="16" t="s">
        <v>3966</v>
      </c>
      <c r="L1031" s="16" t="s">
        <v>240</v>
      </c>
      <c r="M1031" s="16" t="str">
        <f>HYPERLINK("https://ceds.ed.gov/cedselementdetails.aspx?termid=26747")</f>
        <v>https://ceds.ed.gov/cedselementdetails.aspx?termid=26747</v>
      </c>
    </row>
    <row r="1032" spans="1:13" ht="43.2" x14ac:dyDescent="0.3">
      <c r="A1032" s="16" t="s">
        <v>3967</v>
      </c>
      <c r="B1032" s="16" t="s">
        <v>3968</v>
      </c>
      <c r="C1032" s="16" t="s">
        <v>8602</v>
      </c>
      <c r="D1032" s="16" t="s">
        <v>3923</v>
      </c>
      <c r="E1032" s="16"/>
      <c r="F1032" s="16"/>
      <c r="G1032" s="16"/>
      <c r="H1032" s="16" t="s">
        <v>3969</v>
      </c>
      <c r="I1032" s="19" t="s">
        <v>3970</v>
      </c>
      <c r="J1032" s="16"/>
      <c r="K1032" s="16" t="s">
        <v>3971</v>
      </c>
      <c r="L1032" s="16" t="s">
        <v>240</v>
      </c>
      <c r="M1032" s="16" t="str">
        <f>HYPERLINK("https://ceds.ed.gov/cedselementdetails.aspx?termid=27188")</f>
        <v>https://ceds.ed.gov/cedselementdetails.aspx?termid=27188</v>
      </c>
    </row>
    <row r="1033" spans="1:13" ht="86.4" x14ac:dyDescent="0.3">
      <c r="A1033" s="16" t="s">
        <v>3972</v>
      </c>
      <c r="B1033" s="16" t="s">
        <v>3973</v>
      </c>
      <c r="C1033" s="16" t="s">
        <v>8603</v>
      </c>
      <c r="D1033" s="16" t="s">
        <v>3974</v>
      </c>
      <c r="E1033" s="16"/>
      <c r="F1033" s="16"/>
      <c r="G1033" s="16"/>
      <c r="H1033" s="16"/>
      <c r="I1033" s="19" t="s">
        <v>3975</v>
      </c>
      <c r="J1033" s="16"/>
      <c r="K1033" s="16" t="s">
        <v>3976</v>
      </c>
      <c r="L1033" s="16" t="s">
        <v>214</v>
      </c>
      <c r="M1033" s="16" t="str">
        <f>HYPERLINK("https://ceds.ed.gov/cedselementdetails.aspx?termid=26548")</f>
        <v>https://ceds.ed.gov/cedselementdetails.aspx?termid=26548</v>
      </c>
    </row>
    <row r="1034" spans="1:13" ht="28.8" x14ac:dyDescent="0.3">
      <c r="A1034" s="16" t="s">
        <v>3977</v>
      </c>
      <c r="B1034" s="16" t="s">
        <v>3978</v>
      </c>
      <c r="C1034" s="16" t="s">
        <v>32</v>
      </c>
      <c r="D1034" s="16" t="s">
        <v>7895</v>
      </c>
      <c r="E1034" s="16"/>
      <c r="F1034" s="16" t="s">
        <v>106</v>
      </c>
      <c r="G1034" s="16"/>
      <c r="H1034" s="16"/>
      <c r="I1034" s="19" t="s">
        <v>3979</v>
      </c>
      <c r="J1034" s="16"/>
      <c r="K1034" s="16" t="s">
        <v>3980</v>
      </c>
      <c r="L1034" s="16" t="s">
        <v>195</v>
      </c>
      <c r="M1034" s="16" t="str">
        <f>HYPERLINK("https://ceds.ed.gov/cedselementdetails.aspx?termid=27066")</f>
        <v>https://ceds.ed.gov/cedselementdetails.aspx?termid=27066</v>
      </c>
    </row>
    <row r="1035" spans="1:13" ht="43.2" x14ac:dyDescent="0.3">
      <c r="A1035" s="16" t="s">
        <v>3981</v>
      </c>
      <c r="B1035" s="16" t="s">
        <v>3982</v>
      </c>
      <c r="C1035" s="16" t="s">
        <v>32</v>
      </c>
      <c r="D1035" s="16" t="s">
        <v>3983</v>
      </c>
      <c r="E1035" s="16"/>
      <c r="F1035" s="16" t="s">
        <v>106</v>
      </c>
      <c r="G1035" s="16"/>
      <c r="H1035" s="16"/>
      <c r="I1035" s="19" t="s">
        <v>3984</v>
      </c>
      <c r="J1035" s="16"/>
      <c r="K1035" s="16" t="s">
        <v>3985</v>
      </c>
      <c r="L1035" s="16"/>
      <c r="M1035" s="16" t="str">
        <f>HYPERLINK("https://ceds.ed.gov/cedselementdetails.aspx?termid=26520")</f>
        <v>https://ceds.ed.gov/cedselementdetails.aspx?termid=26520</v>
      </c>
    </row>
    <row r="1036" spans="1:13" ht="273.60000000000002" x14ac:dyDescent="0.3">
      <c r="A1036" s="16" t="s">
        <v>7422</v>
      </c>
      <c r="B1036" s="16" t="s">
        <v>7423</v>
      </c>
      <c r="C1036" s="16" t="s">
        <v>2987</v>
      </c>
      <c r="D1036" s="16" t="s">
        <v>8604</v>
      </c>
      <c r="E1036" s="16"/>
      <c r="F1036" s="16"/>
      <c r="G1036" s="16"/>
      <c r="H1036" s="16"/>
      <c r="I1036" s="19" t="s">
        <v>7424</v>
      </c>
      <c r="J1036" s="16"/>
      <c r="K1036" s="16" t="s">
        <v>7425</v>
      </c>
      <c r="L1036" s="16"/>
      <c r="M1036" s="16" t="str">
        <f>HYPERLINK("https://ceds.ed.gov/cedselementdetails.aspx?termid=27933")</f>
        <v>https://ceds.ed.gov/cedselementdetails.aspx?termid=27933</v>
      </c>
    </row>
    <row r="1037" spans="1:13" ht="28.8" x14ac:dyDescent="0.3">
      <c r="A1037" s="16" t="s">
        <v>3986</v>
      </c>
      <c r="B1037" s="16" t="s">
        <v>3987</v>
      </c>
      <c r="C1037" s="16" t="s">
        <v>32</v>
      </c>
      <c r="D1037" s="16" t="s">
        <v>3010</v>
      </c>
      <c r="E1037" s="16"/>
      <c r="F1037" s="16" t="s">
        <v>106</v>
      </c>
      <c r="G1037" s="16"/>
      <c r="H1037" s="16"/>
      <c r="I1037" s="19" t="s">
        <v>3988</v>
      </c>
      <c r="J1037" s="16"/>
      <c r="K1037" s="16" t="s">
        <v>3989</v>
      </c>
      <c r="L1037" s="16"/>
      <c r="M1037" s="16" t="str">
        <f>HYPERLINK("https://ceds.ed.gov/cedselementdetails.aspx?termid=26488")</f>
        <v>https://ceds.ed.gov/cedselementdetails.aspx?termid=26488</v>
      </c>
    </row>
    <row r="1038" spans="1:13" ht="409.6" x14ac:dyDescent="0.3">
      <c r="A1038" s="16" t="s">
        <v>3990</v>
      </c>
      <c r="B1038" s="16" t="s">
        <v>3991</v>
      </c>
      <c r="C1038" s="16" t="s">
        <v>32</v>
      </c>
      <c r="D1038" s="16" t="s">
        <v>8605</v>
      </c>
      <c r="E1038" s="16"/>
      <c r="F1038" s="16" t="s">
        <v>7426</v>
      </c>
      <c r="G1038" s="16"/>
      <c r="H1038" s="16" t="s">
        <v>8047</v>
      </c>
      <c r="I1038" s="19" t="s">
        <v>3992</v>
      </c>
      <c r="J1038" s="16"/>
      <c r="K1038" s="16" t="s">
        <v>3993</v>
      </c>
      <c r="L1038" s="16" t="s">
        <v>3994</v>
      </c>
      <c r="M1038" s="16" t="str">
        <f>HYPERLINK("https://ceds.ed.gov/cedselementdetails.aspx?termid=26115")</f>
        <v>https://ceds.ed.gov/cedselementdetails.aspx?termid=26115</v>
      </c>
    </row>
    <row r="1039" spans="1:13" ht="172.8" x14ac:dyDescent="0.3">
      <c r="A1039" s="16" t="s">
        <v>3995</v>
      </c>
      <c r="B1039" s="16" t="s">
        <v>8048</v>
      </c>
      <c r="C1039" s="16" t="s">
        <v>22</v>
      </c>
      <c r="D1039" s="16" t="s">
        <v>2074</v>
      </c>
      <c r="E1039" s="16"/>
      <c r="F1039" s="16"/>
      <c r="G1039" s="16"/>
      <c r="H1039" s="16"/>
      <c r="I1039" s="19" t="s">
        <v>3996</v>
      </c>
      <c r="J1039" s="16"/>
      <c r="K1039" s="16" t="s">
        <v>3997</v>
      </c>
      <c r="L1039" s="16" t="s">
        <v>186</v>
      </c>
      <c r="M1039" s="16" t="str">
        <f>HYPERLINK("https://ceds.ed.gov/cedselementdetails.aspx?termid=26117")</f>
        <v>https://ceds.ed.gov/cedselementdetails.aspx?termid=26117</v>
      </c>
    </row>
    <row r="1040" spans="1:13" ht="158.4" x14ac:dyDescent="0.3">
      <c r="A1040" s="16" t="s">
        <v>3998</v>
      </c>
      <c r="B1040" s="16" t="s">
        <v>3999</v>
      </c>
      <c r="C1040" s="16" t="s">
        <v>32</v>
      </c>
      <c r="D1040" s="16" t="s">
        <v>9374</v>
      </c>
      <c r="E1040" s="16"/>
      <c r="F1040" s="16" t="s">
        <v>106</v>
      </c>
      <c r="G1040" s="16"/>
      <c r="H1040" s="16"/>
      <c r="I1040" s="19" t="s">
        <v>4000</v>
      </c>
      <c r="J1040" s="16"/>
      <c r="K1040" s="16" t="s">
        <v>4001</v>
      </c>
      <c r="L1040" s="16"/>
      <c r="M1040" s="16" t="str">
        <f>HYPERLINK("https://ceds.ed.gov/cedselementdetails.aspx?termid=27623")</f>
        <v>https://ceds.ed.gov/cedselementdetails.aspx?termid=27623</v>
      </c>
    </row>
    <row r="1041" spans="1:13" ht="158.4" x14ac:dyDescent="0.3">
      <c r="A1041" s="16" t="s">
        <v>4002</v>
      </c>
      <c r="B1041" s="16" t="s">
        <v>4003</v>
      </c>
      <c r="C1041" s="16" t="s">
        <v>32</v>
      </c>
      <c r="D1041" s="16" t="s">
        <v>9374</v>
      </c>
      <c r="E1041" s="16"/>
      <c r="F1041" s="16" t="s">
        <v>106</v>
      </c>
      <c r="G1041" s="16"/>
      <c r="H1041" s="16" t="s">
        <v>131</v>
      </c>
      <c r="I1041" s="19" t="s">
        <v>4004</v>
      </c>
      <c r="J1041" s="16"/>
      <c r="K1041" s="16" t="s">
        <v>4005</v>
      </c>
      <c r="L1041" s="16"/>
      <c r="M1041" s="16" t="str">
        <f>HYPERLINK("https://ceds.ed.gov/cedselementdetails.aspx?termid=27624")</f>
        <v>https://ceds.ed.gov/cedselementdetails.aspx?termid=27624</v>
      </c>
    </row>
    <row r="1042" spans="1:13" ht="187.2" x14ac:dyDescent="0.3">
      <c r="A1042" s="16" t="s">
        <v>4006</v>
      </c>
      <c r="B1042" s="16" t="s">
        <v>8049</v>
      </c>
      <c r="C1042" s="16" t="s">
        <v>32</v>
      </c>
      <c r="D1042" s="16" t="s">
        <v>9372</v>
      </c>
      <c r="E1042" s="16"/>
      <c r="F1042" s="16" t="s">
        <v>1807</v>
      </c>
      <c r="G1042" s="16"/>
      <c r="H1042" s="16"/>
      <c r="I1042" s="19" t="s">
        <v>4007</v>
      </c>
      <c r="J1042" s="16"/>
      <c r="K1042" s="16" t="s">
        <v>4008</v>
      </c>
      <c r="L1042" s="16"/>
      <c r="M1042" s="16" t="str">
        <f>HYPERLINK("https://ceds.ed.gov/cedselementdetails.aspx?termid=27620")</f>
        <v>https://ceds.ed.gov/cedselementdetails.aspx?termid=27620</v>
      </c>
    </row>
    <row r="1043" spans="1:13" ht="57.6" x14ac:dyDescent="0.3">
      <c r="A1043" s="16" t="s">
        <v>4009</v>
      </c>
      <c r="B1043" s="16" t="s">
        <v>4010</v>
      </c>
      <c r="C1043" s="16" t="s">
        <v>22</v>
      </c>
      <c r="D1043" s="16" t="s">
        <v>3165</v>
      </c>
      <c r="E1043" s="16"/>
      <c r="F1043" s="16"/>
      <c r="G1043" s="16"/>
      <c r="H1043" s="16"/>
      <c r="I1043" s="19" t="s">
        <v>4011</v>
      </c>
      <c r="J1043" s="16"/>
      <c r="K1043" s="16" t="s">
        <v>4012</v>
      </c>
      <c r="L1043" s="16" t="s">
        <v>240</v>
      </c>
      <c r="M1043" s="16" t="str">
        <f>HYPERLINK("https://ceds.ed.gov/cedselementdetails.aspx?termid=26743")</f>
        <v>https://ceds.ed.gov/cedselementdetails.aspx?termid=26743</v>
      </c>
    </row>
    <row r="1044" spans="1:13" ht="43.2" x14ac:dyDescent="0.3">
      <c r="A1044" s="16" t="s">
        <v>4013</v>
      </c>
      <c r="B1044" s="16" t="s">
        <v>4014</v>
      </c>
      <c r="C1044" s="16" t="s">
        <v>32</v>
      </c>
      <c r="D1044" s="16" t="s">
        <v>8812</v>
      </c>
      <c r="E1044" s="16"/>
      <c r="F1044" s="16" t="s">
        <v>1662</v>
      </c>
      <c r="G1044" s="16"/>
      <c r="H1044" s="16"/>
      <c r="I1044" s="19" t="s">
        <v>4015</v>
      </c>
      <c r="J1044" s="16"/>
      <c r="K1044" s="16" t="s">
        <v>4016</v>
      </c>
      <c r="L1044" s="16"/>
      <c r="M1044" s="16" t="str">
        <f>HYPERLINK("https://ceds.ed.gov/cedselementdetails.aspx?termid=27695")</f>
        <v>https://ceds.ed.gov/cedselementdetails.aspx?termid=27695</v>
      </c>
    </row>
    <row r="1045" spans="1:13" ht="86.4" x14ac:dyDescent="0.3">
      <c r="A1045" s="16" t="s">
        <v>4017</v>
      </c>
      <c r="B1045" s="16" t="s">
        <v>4018</v>
      </c>
      <c r="C1045" s="16" t="s">
        <v>32</v>
      </c>
      <c r="D1045" s="16" t="s">
        <v>8812</v>
      </c>
      <c r="E1045" s="16"/>
      <c r="F1045" s="16" t="s">
        <v>1662</v>
      </c>
      <c r="G1045" s="16"/>
      <c r="H1045" s="16"/>
      <c r="I1045" s="19" t="s">
        <v>4019</v>
      </c>
      <c r="J1045" s="16"/>
      <c r="K1045" s="16" t="s">
        <v>4020</v>
      </c>
      <c r="L1045" s="16"/>
      <c r="M1045" s="16" t="str">
        <f>HYPERLINK("https://ceds.ed.gov/cedselementdetails.aspx?termid=27696")</f>
        <v>https://ceds.ed.gov/cedselementdetails.aspx?termid=27696</v>
      </c>
    </row>
    <row r="1046" spans="1:13" ht="129.6" x14ac:dyDescent="0.3">
      <c r="A1046" s="16" t="s">
        <v>4021</v>
      </c>
      <c r="B1046" s="16" t="s">
        <v>8050</v>
      </c>
      <c r="C1046" s="16" t="s">
        <v>8231</v>
      </c>
      <c r="D1046" s="16" t="s">
        <v>12963</v>
      </c>
      <c r="E1046" s="16" t="s">
        <v>160</v>
      </c>
      <c r="F1046" s="16"/>
      <c r="G1046" s="16" t="s">
        <v>12935</v>
      </c>
      <c r="H1046" s="16" t="s">
        <v>8051</v>
      </c>
      <c r="I1046" s="19" t="s">
        <v>4022</v>
      </c>
      <c r="J1046" s="16"/>
      <c r="K1046" s="16" t="s">
        <v>4023</v>
      </c>
      <c r="L1046" s="16"/>
      <c r="M1046" s="16" t="str">
        <f>HYPERLINK("https://ceds.ed.gov/cedselementdetails.aspx?termid=27323")</f>
        <v>https://ceds.ed.gov/cedselementdetails.aspx?termid=27323</v>
      </c>
    </row>
    <row r="1047" spans="1:13" ht="100.8" x14ac:dyDescent="0.3">
      <c r="A1047" s="16" t="s">
        <v>4024</v>
      </c>
      <c r="B1047" s="16" t="s">
        <v>4025</v>
      </c>
      <c r="C1047" s="16" t="s">
        <v>8232</v>
      </c>
      <c r="D1047" s="16" t="s">
        <v>8812</v>
      </c>
      <c r="E1047" s="16"/>
      <c r="F1047" s="16"/>
      <c r="G1047" s="16"/>
      <c r="H1047" s="16"/>
      <c r="I1047" s="19" t="s">
        <v>4026</v>
      </c>
      <c r="J1047" s="16"/>
      <c r="K1047" s="16" t="s">
        <v>4027</v>
      </c>
      <c r="L1047" s="16"/>
      <c r="M1047" s="16" t="str">
        <f>HYPERLINK("https://ceds.ed.gov/cedselementdetails.aspx?termid=27694")</f>
        <v>https://ceds.ed.gov/cedselementdetails.aspx?termid=27694</v>
      </c>
    </row>
    <row r="1048" spans="1:13" ht="72" x14ac:dyDescent="0.3">
      <c r="A1048" s="16" t="s">
        <v>4028</v>
      </c>
      <c r="B1048" s="16" t="s">
        <v>4029</v>
      </c>
      <c r="C1048" s="16" t="s">
        <v>32</v>
      </c>
      <c r="D1048" s="16" t="s">
        <v>3161</v>
      </c>
      <c r="E1048" s="16"/>
      <c r="F1048" s="16" t="s">
        <v>4030</v>
      </c>
      <c r="G1048" s="16"/>
      <c r="H1048" s="16"/>
      <c r="I1048" s="19" t="s">
        <v>4031</v>
      </c>
      <c r="J1048" s="16"/>
      <c r="K1048" s="16" t="s">
        <v>4032</v>
      </c>
      <c r="L1048" s="16"/>
      <c r="M1048" s="16" t="str">
        <f>HYPERLINK("https://ceds.ed.gov/cedselementdetails.aspx?termid=27906")</f>
        <v>https://ceds.ed.gov/cedselementdetails.aspx?termid=27906</v>
      </c>
    </row>
    <row r="1049" spans="1:13" ht="43.2" x14ac:dyDescent="0.3">
      <c r="A1049" s="16" t="s">
        <v>4033</v>
      </c>
      <c r="B1049" s="16" t="s">
        <v>4034</v>
      </c>
      <c r="C1049" s="16" t="s">
        <v>22</v>
      </c>
      <c r="D1049" s="16" t="s">
        <v>3123</v>
      </c>
      <c r="E1049" s="16"/>
      <c r="F1049" s="16"/>
      <c r="G1049" s="16"/>
      <c r="H1049" s="16"/>
      <c r="I1049" s="19" t="s">
        <v>4035</v>
      </c>
      <c r="J1049" s="16"/>
      <c r="K1049" s="16" t="s">
        <v>4036</v>
      </c>
      <c r="L1049" s="16"/>
      <c r="M1049" s="16" t="str">
        <f>HYPERLINK("https://ceds.ed.gov/cedselementdetails.aspx?termid=26504")</f>
        <v>https://ceds.ed.gov/cedselementdetails.aspx?termid=26504</v>
      </c>
    </row>
    <row r="1050" spans="1:13" ht="409.6" x14ac:dyDescent="0.3">
      <c r="A1050" s="16" t="s">
        <v>4037</v>
      </c>
      <c r="B1050" s="16" t="s">
        <v>4038</v>
      </c>
      <c r="C1050" s="16" t="s">
        <v>8606</v>
      </c>
      <c r="D1050" s="16" t="s">
        <v>8607</v>
      </c>
      <c r="E1050" s="16"/>
      <c r="F1050" s="16"/>
      <c r="G1050" s="16"/>
      <c r="H1050" s="16"/>
      <c r="I1050" s="19" t="s">
        <v>4039</v>
      </c>
      <c r="J1050" s="16"/>
      <c r="K1050" s="16" t="s">
        <v>4040</v>
      </c>
      <c r="L1050" s="16" t="s">
        <v>3397</v>
      </c>
      <c r="M1050" s="16" t="str">
        <f>HYPERLINK("https://ceds.ed.gov/cedselementdetails.aspx?termid=26866")</f>
        <v>https://ceds.ed.gov/cedselementdetails.aspx?termid=26866</v>
      </c>
    </row>
    <row r="1051" spans="1:13" ht="144" x14ac:dyDescent="0.3">
      <c r="A1051" s="16" t="s">
        <v>4041</v>
      </c>
      <c r="B1051" s="16" t="s">
        <v>4042</v>
      </c>
      <c r="C1051" s="16" t="s">
        <v>8233</v>
      </c>
      <c r="D1051" s="16" t="s">
        <v>9352</v>
      </c>
      <c r="E1051" s="16"/>
      <c r="F1051" s="16"/>
      <c r="G1051" s="16"/>
      <c r="H1051" s="16" t="s">
        <v>8052</v>
      </c>
      <c r="I1051" s="19" t="s">
        <v>4043</v>
      </c>
      <c r="J1051" s="16"/>
      <c r="K1051" s="16" t="s">
        <v>4044</v>
      </c>
      <c r="L1051" s="16" t="s">
        <v>69</v>
      </c>
      <c r="M1051" s="16" t="str">
        <f>HYPERLINK("https://ceds.ed.gov/cedselementdetails.aspx?termid=26713")</f>
        <v>https://ceds.ed.gov/cedselementdetails.aspx?termid=26713</v>
      </c>
    </row>
    <row r="1052" spans="1:13" ht="43.2" x14ac:dyDescent="0.3">
      <c r="A1052" s="16" t="s">
        <v>12757</v>
      </c>
      <c r="B1052" s="16" t="s">
        <v>12758</v>
      </c>
      <c r="C1052" s="16" t="s">
        <v>32</v>
      </c>
      <c r="D1052" s="16" t="s">
        <v>4442</v>
      </c>
      <c r="E1052" s="16" t="s">
        <v>155</v>
      </c>
      <c r="F1052" s="16" t="s">
        <v>106</v>
      </c>
      <c r="G1052" s="16" t="s">
        <v>12636</v>
      </c>
      <c r="H1052" s="16"/>
      <c r="I1052" s="19" t="s">
        <v>12759</v>
      </c>
      <c r="J1052" s="16"/>
      <c r="K1052" s="16" t="s">
        <v>12760</v>
      </c>
      <c r="L1052" s="16"/>
      <c r="M1052" s="16" t="str">
        <f>HYPERLINK("https://ceds.ed.gov/cedselementdetails.aspx?termid=28108")</f>
        <v>https://ceds.ed.gov/cedselementdetails.aspx?termid=28108</v>
      </c>
    </row>
    <row r="1053" spans="1:13" ht="331.2" x14ac:dyDescent="0.3">
      <c r="A1053" s="16" t="s">
        <v>8974</v>
      </c>
      <c r="B1053" s="16" t="s">
        <v>8975</v>
      </c>
      <c r="C1053" s="16" t="s">
        <v>32</v>
      </c>
      <c r="D1053" s="16" t="s">
        <v>13044</v>
      </c>
      <c r="E1053" s="16"/>
      <c r="F1053" s="16" t="s">
        <v>120</v>
      </c>
      <c r="G1053" s="16"/>
      <c r="H1053" s="16" t="s">
        <v>8976</v>
      </c>
      <c r="I1053" s="19" t="s">
        <v>8977</v>
      </c>
      <c r="J1053" s="16"/>
      <c r="K1053" s="16" t="s">
        <v>8978</v>
      </c>
      <c r="L1053" s="16"/>
      <c r="M1053" s="16" t="str">
        <f>HYPERLINK("https://ceds.ed.gov/cedselementdetails.aspx?termid=28020")</f>
        <v>https://ceds.ed.gov/cedselementdetails.aspx?termid=28020</v>
      </c>
    </row>
    <row r="1054" spans="1:13" ht="331.2" x14ac:dyDescent="0.3">
      <c r="A1054" s="16" t="s">
        <v>8979</v>
      </c>
      <c r="B1054" s="16" t="s">
        <v>8980</v>
      </c>
      <c r="C1054" s="16" t="s">
        <v>32</v>
      </c>
      <c r="D1054" s="16" t="s">
        <v>13044</v>
      </c>
      <c r="E1054" s="16"/>
      <c r="F1054" s="16" t="s">
        <v>1481</v>
      </c>
      <c r="G1054" s="16"/>
      <c r="H1054" s="16" t="s">
        <v>8976</v>
      </c>
      <c r="I1054" s="19" t="s">
        <v>8981</v>
      </c>
      <c r="J1054" s="16"/>
      <c r="K1054" s="16" t="s">
        <v>8982</v>
      </c>
      <c r="L1054" s="16"/>
      <c r="M1054" s="16" t="str">
        <f>HYPERLINK("https://ceds.ed.gov/cedselementdetails.aspx?termid=28021")</f>
        <v>https://ceds.ed.gov/cedselementdetails.aspx?termid=28021</v>
      </c>
    </row>
    <row r="1055" spans="1:13" ht="43.2" x14ac:dyDescent="0.3">
      <c r="A1055" s="16" t="s">
        <v>4045</v>
      </c>
      <c r="B1055" s="16" t="s">
        <v>4046</v>
      </c>
      <c r="C1055" s="16" t="s">
        <v>32</v>
      </c>
      <c r="D1055" s="16" t="s">
        <v>4047</v>
      </c>
      <c r="E1055" s="16"/>
      <c r="F1055" s="16" t="s">
        <v>1481</v>
      </c>
      <c r="G1055" s="16"/>
      <c r="H1055" s="16"/>
      <c r="I1055" s="19" t="s">
        <v>4048</v>
      </c>
      <c r="J1055" s="16"/>
      <c r="K1055" s="16" t="s">
        <v>4049</v>
      </c>
      <c r="L1055" s="16" t="s">
        <v>202</v>
      </c>
      <c r="M1055" s="16" t="str">
        <f>HYPERLINK("https://ceds.ed.gov/cedselementdetails.aspx?termid=26442")</f>
        <v>https://ceds.ed.gov/cedselementdetails.aspx?termid=26442</v>
      </c>
    </row>
    <row r="1056" spans="1:13" ht="43.2" x14ac:dyDescent="0.3">
      <c r="A1056" s="16" t="s">
        <v>4050</v>
      </c>
      <c r="B1056" s="16" t="s">
        <v>4051</v>
      </c>
      <c r="C1056" s="16" t="s">
        <v>22</v>
      </c>
      <c r="D1056" s="16" t="s">
        <v>3161</v>
      </c>
      <c r="E1056" s="16"/>
      <c r="F1056" s="16"/>
      <c r="G1056" s="16"/>
      <c r="H1056" s="16"/>
      <c r="I1056" s="19" t="s">
        <v>4052</v>
      </c>
      <c r="J1056" s="16"/>
      <c r="K1056" s="16" t="s">
        <v>4053</v>
      </c>
      <c r="L1056" s="16" t="s">
        <v>25</v>
      </c>
      <c r="M1056" s="16" t="str">
        <f>HYPERLINK("https://ceds.ed.gov/cedselementdetails.aspx?termid=26120")</f>
        <v>https://ceds.ed.gov/cedselementdetails.aspx?termid=26120</v>
      </c>
    </row>
    <row r="1057" spans="1:13" ht="409.6" x14ac:dyDescent="0.3">
      <c r="A1057" s="16" t="s">
        <v>4054</v>
      </c>
      <c r="B1057" s="16" t="s">
        <v>4055</v>
      </c>
      <c r="C1057" s="16" t="s">
        <v>32</v>
      </c>
      <c r="D1057" s="16" t="s">
        <v>8608</v>
      </c>
      <c r="E1057" s="16"/>
      <c r="F1057" s="16" t="s">
        <v>2697</v>
      </c>
      <c r="G1057" s="16"/>
      <c r="H1057" s="16" t="s">
        <v>8053</v>
      </c>
      <c r="I1057" s="19" t="s">
        <v>4057</v>
      </c>
      <c r="J1057" s="16"/>
      <c r="K1057" s="16" t="s">
        <v>4058</v>
      </c>
      <c r="L1057" s="16" t="s">
        <v>4059</v>
      </c>
      <c r="M1057" s="16" t="str">
        <f>HYPERLINK("https://ceds.ed.gov/cedselementdetails.aspx?termid=26121")</f>
        <v>https://ceds.ed.gov/cedselementdetails.aspx?termid=26121</v>
      </c>
    </row>
    <row r="1058" spans="1:13" ht="72" x14ac:dyDescent="0.3">
      <c r="A1058" s="16" t="s">
        <v>4060</v>
      </c>
      <c r="B1058" s="16" t="s">
        <v>4061</v>
      </c>
      <c r="C1058" s="16" t="s">
        <v>2987</v>
      </c>
      <c r="D1058" s="16" t="s">
        <v>3161</v>
      </c>
      <c r="E1058" s="16"/>
      <c r="F1058" s="16"/>
      <c r="G1058" s="16"/>
      <c r="H1058" s="16"/>
      <c r="I1058" s="19" t="s">
        <v>4062</v>
      </c>
      <c r="J1058" s="16"/>
      <c r="K1058" s="16" t="s">
        <v>4063</v>
      </c>
      <c r="L1058" s="16" t="s">
        <v>64</v>
      </c>
      <c r="M1058" s="16" t="str">
        <f>HYPERLINK("https://ceds.ed.gov/cedselementdetails.aspx?termid=26122")</f>
        <v>https://ceds.ed.gov/cedselementdetails.aspx?termid=26122</v>
      </c>
    </row>
    <row r="1059" spans="1:13" ht="43.2" x14ac:dyDescent="0.3">
      <c r="A1059" s="16" t="s">
        <v>4064</v>
      </c>
      <c r="B1059" s="16" t="s">
        <v>4065</v>
      </c>
      <c r="C1059" s="16" t="s">
        <v>32</v>
      </c>
      <c r="D1059" s="16" t="s">
        <v>4066</v>
      </c>
      <c r="E1059" s="16"/>
      <c r="F1059" s="16" t="s">
        <v>316</v>
      </c>
      <c r="G1059" s="16"/>
      <c r="H1059" s="16"/>
      <c r="I1059" s="19" t="s">
        <v>4067</v>
      </c>
      <c r="J1059" s="16"/>
      <c r="K1059" s="16" t="s">
        <v>4068</v>
      </c>
      <c r="L1059" s="16"/>
      <c r="M1059" s="16" t="str">
        <f>HYPERLINK("https://ceds.ed.gov/cedselementdetails.aspx?termid=27671")</f>
        <v>https://ceds.ed.gov/cedselementdetails.aspx?termid=27671</v>
      </c>
    </row>
    <row r="1060" spans="1:13" ht="129.6" x14ac:dyDescent="0.3">
      <c r="A1060" s="16" t="s">
        <v>4069</v>
      </c>
      <c r="B1060" s="16" t="s">
        <v>4070</v>
      </c>
      <c r="C1060" s="16" t="s">
        <v>32</v>
      </c>
      <c r="D1060" s="16" t="s">
        <v>9376</v>
      </c>
      <c r="E1060" s="16"/>
      <c r="F1060" s="16" t="s">
        <v>101</v>
      </c>
      <c r="G1060" s="16"/>
      <c r="H1060" s="16"/>
      <c r="I1060" s="19" t="s">
        <v>4071</v>
      </c>
      <c r="J1060" s="16"/>
      <c r="K1060" s="16" t="s">
        <v>4072</v>
      </c>
      <c r="L1060" s="16"/>
      <c r="M1060" s="16" t="str">
        <f>HYPERLINK("https://ceds.ed.gov/cedselementdetails.aspx?termid=26903")</f>
        <v>https://ceds.ed.gov/cedselementdetails.aspx?termid=26903</v>
      </c>
    </row>
    <row r="1061" spans="1:13" ht="100.8" x14ac:dyDescent="0.3">
      <c r="A1061" s="16" t="s">
        <v>4073</v>
      </c>
      <c r="B1061" s="16" t="s">
        <v>4074</v>
      </c>
      <c r="C1061" s="16" t="s">
        <v>32</v>
      </c>
      <c r="D1061" s="16" t="s">
        <v>8609</v>
      </c>
      <c r="E1061" s="16"/>
      <c r="F1061" s="16" t="s">
        <v>106</v>
      </c>
      <c r="G1061" s="16"/>
      <c r="H1061" s="16" t="s">
        <v>4075</v>
      </c>
      <c r="I1061" s="19" t="s">
        <v>4076</v>
      </c>
      <c r="J1061" s="16"/>
      <c r="K1061" s="16" t="s">
        <v>4077</v>
      </c>
      <c r="L1061" s="16"/>
      <c r="M1061" s="16" t="str">
        <f>HYPERLINK("https://ceds.ed.gov/cedselementdetails.aspx?termid=27170")</f>
        <v>https://ceds.ed.gov/cedselementdetails.aspx?termid=27170</v>
      </c>
    </row>
    <row r="1062" spans="1:13" ht="43.2" x14ac:dyDescent="0.3">
      <c r="A1062" s="16" t="s">
        <v>4078</v>
      </c>
      <c r="B1062" s="16" t="s">
        <v>4079</v>
      </c>
      <c r="C1062" s="16" t="s">
        <v>32</v>
      </c>
      <c r="D1062" s="16" t="s">
        <v>4080</v>
      </c>
      <c r="E1062" s="16"/>
      <c r="F1062" s="16" t="s">
        <v>4081</v>
      </c>
      <c r="G1062" s="16"/>
      <c r="H1062" s="16"/>
      <c r="I1062" s="19" t="s">
        <v>4082</v>
      </c>
      <c r="J1062" s="16"/>
      <c r="K1062" s="16" t="s">
        <v>4083</v>
      </c>
      <c r="L1062" s="16"/>
      <c r="M1062" s="16" t="str">
        <f>HYPERLINK("https://ceds.ed.gov/cedselementdetails.aspx?termid=27672")</f>
        <v>https://ceds.ed.gov/cedselementdetails.aspx?termid=27672</v>
      </c>
    </row>
    <row r="1063" spans="1:13" ht="43.2" x14ac:dyDescent="0.3">
      <c r="A1063" s="16" t="s">
        <v>4084</v>
      </c>
      <c r="B1063" s="16" t="s">
        <v>4085</v>
      </c>
      <c r="C1063" s="16" t="s">
        <v>32</v>
      </c>
      <c r="D1063" s="16" t="s">
        <v>4080</v>
      </c>
      <c r="E1063" s="16"/>
      <c r="F1063" s="16" t="s">
        <v>1662</v>
      </c>
      <c r="G1063" s="16"/>
      <c r="H1063" s="16"/>
      <c r="I1063" s="19" t="s">
        <v>4086</v>
      </c>
      <c r="J1063" s="16"/>
      <c r="K1063" s="16" t="s">
        <v>4087</v>
      </c>
      <c r="L1063" s="16"/>
      <c r="M1063" s="16" t="str">
        <f>HYPERLINK("https://ceds.ed.gov/cedselementdetails.aspx?termid=27673")</f>
        <v>https://ceds.ed.gov/cedselementdetails.aspx?termid=27673</v>
      </c>
    </row>
    <row r="1064" spans="1:13" ht="43.2" x14ac:dyDescent="0.3">
      <c r="A1064" s="16" t="s">
        <v>4088</v>
      </c>
      <c r="B1064" s="16" t="s">
        <v>4089</v>
      </c>
      <c r="C1064" s="16" t="s">
        <v>32</v>
      </c>
      <c r="D1064" s="16" t="s">
        <v>9377</v>
      </c>
      <c r="E1064" s="16"/>
      <c r="F1064" s="16" t="s">
        <v>145</v>
      </c>
      <c r="G1064" s="16"/>
      <c r="H1064" s="16"/>
      <c r="I1064" s="19" t="s">
        <v>4090</v>
      </c>
      <c r="J1064" s="16"/>
      <c r="K1064" s="16" t="s">
        <v>4091</v>
      </c>
      <c r="L1064" s="16"/>
      <c r="M1064" s="16" t="str">
        <f>HYPERLINK("https://ceds.ed.gov/cedselementdetails.aspx?termid=27674")</f>
        <v>https://ceds.ed.gov/cedselementdetails.aspx?termid=27674</v>
      </c>
    </row>
    <row r="1065" spans="1:13" ht="43.2" x14ac:dyDescent="0.3">
      <c r="A1065" s="16" t="s">
        <v>4092</v>
      </c>
      <c r="B1065" s="16" t="s">
        <v>4093</v>
      </c>
      <c r="C1065" s="16" t="s">
        <v>32</v>
      </c>
      <c r="D1065" s="16" t="s">
        <v>4080</v>
      </c>
      <c r="E1065" s="16"/>
      <c r="F1065" s="16" t="s">
        <v>1662</v>
      </c>
      <c r="G1065" s="16"/>
      <c r="H1065" s="16"/>
      <c r="I1065" s="19" t="s">
        <v>4094</v>
      </c>
      <c r="J1065" s="16"/>
      <c r="K1065" s="16" t="s">
        <v>4095</v>
      </c>
      <c r="L1065" s="16"/>
      <c r="M1065" s="16" t="str">
        <f>HYPERLINK("https://ceds.ed.gov/cedselementdetails.aspx?termid=27675")</f>
        <v>https://ceds.ed.gov/cedselementdetails.aspx?termid=27675</v>
      </c>
    </row>
    <row r="1066" spans="1:13" ht="43.2" x14ac:dyDescent="0.3">
      <c r="A1066" s="16" t="s">
        <v>4096</v>
      </c>
      <c r="B1066" s="16" t="s">
        <v>4097</v>
      </c>
      <c r="C1066" s="16" t="s">
        <v>32</v>
      </c>
      <c r="D1066" s="16" t="s">
        <v>4080</v>
      </c>
      <c r="E1066" s="16"/>
      <c r="F1066" s="16" t="s">
        <v>316</v>
      </c>
      <c r="G1066" s="16"/>
      <c r="H1066" s="16"/>
      <c r="I1066" s="19" t="s">
        <v>4098</v>
      </c>
      <c r="J1066" s="16"/>
      <c r="K1066" s="16" t="s">
        <v>4099</v>
      </c>
      <c r="L1066" s="16"/>
      <c r="M1066" s="16" t="str">
        <f>HYPERLINK("https://ceds.ed.gov/cedselementdetails.aspx?termid=27676")</f>
        <v>https://ceds.ed.gov/cedselementdetails.aspx?termid=27676</v>
      </c>
    </row>
    <row r="1067" spans="1:13" ht="43.2" x14ac:dyDescent="0.3">
      <c r="A1067" s="16" t="s">
        <v>4100</v>
      </c>
      <c r="B1067" s="16" t="s">
        <v>4101</v>
      </c>
      <c r="C1067" s="16" t="s">
        <v>32</v>
      </c>
      <c r="D1067" s="16" t="s">
        <v>4080</v>
      </c>
      <c r="E1067" s="16"/>
      <c r="F1067" s="16" t="s">
        <v>316</v>
      </c>
      <c r="G1067" s="16"/>
      <c r="H1067" s="16"/>
      <c r="I1067" s="19" t="s">
        <v>4102</v>
      </c>
      <c r="J1067" s="16"/>
      <c r="K1067" s="16" t="s">
        <v>4103</v>
      </c>
      <c r="L1067" s="16"/>
      <c r="M1067" s="16" t="str">
        <f>HYPERLINK("https://ceds.ed.gov/cedselementdetails.aspx?termid=27677")</f>
        <v>https://ceds.ed.gov/cedselementdetails.aspx?termid=27677</v>
      </c>
    </row>
    <row r="1068" spans="1:13" ht="72" x14ac:dyDescent="0.3">
      <c r="A1068" s="16" t="s">
        <v>4104</v>
      </c>
      <c r="B1068" s="16" t="s">
        <v>4105</v>
      </c>
      <c r="C1068" s="16" t="s">
        <v>8610</v>
      </c>
      <c r="D1068" s="16" t="s">
        <v>4080</v>
      </c>
      <c r="E1068" s="16"/>
      <c r="F1068" s="16"/>
      <c r="G1068" s="16"/>
      <c r="H1068" s="16"/>
      <c r="I1068" s="19" t="s">
        <v>4106</v>
      </c>
      <c r="J1068" s="16"/>
      <c r="K1068" s="16" t="s">
        <v>4107</v>
      </c>
      <c r="L1068" s="16"/>
      <c r="M1068" s="16" t="str">
        <f>HYPERLINK("https://ceds.ed.gov/cedselementdetails.aspx?termid=27678")</f>
        <v>https://ceds.ed.gov/cedselementdetails.aspx?termid=27678</v>
      </c>
    </row>
    <row r="1069" spans="1:13" ht="100.8" x14ac:dyDescent="0.3">
      <c r="A1069" s="16" t="s">
        <v>4108</v>
      </c>
      <c r="B1069" s="16" t="s">
        <v>4109</v>
      </c>
      <c r="C1069" s="16" t="s">
        <v>32</v>
      </c>
      <c r="D1069" s="16" t="s">
        <v>8609</v>
      </c>
      <c r="E1069" s="16"/>
      <c r="F1069" s="16" t="s">
        <v>106</v>
      </c>
      <c r="G1069" s="16"/>
      <c r="H1069" s="16"/>
      <c r="I1069" s="19" t="s">
        <v>4110</v>
      </c>
      <c r="J1069" s="16"/>
      <c r="K1069" s="16" t="s">
        <v>4111</v>
      </c>
      <c r="L1069" s="16"/>
      <c r="M1069" s="16" t="str">
        <f>HYPERLINK("https://ceds.ed.gov/cedselementdetails.aspx?termid=27169")</f>
        <v>https://ceds.ed.gov/cedselementdetails.aspx?termid=27169</v>
      </c>
    </row>
    <row r="1070" spans="1:13" ht="43.2" x14ac:dyDescent="0.3">
      <c r="A1070" s="16" t="s">
        <v>4112</v>
      </c>
      <c r="B1070" s="16" t="s">
        <v>4113</v>
      </c>
      <c r="C1070" s="16" t="s">
        <v>32</v>
      </c>
      <c r="D1070" s="16" t="s">
        <v>4114</v>
      </c>
      <c r="E1070" s="16"/>
      <c r="F1070" s="16" t="s">
        <v>316</v>
      </c>
      <c r="G1070" s="16"/>
      <c r="H1070" s="16"/>
      <c r="I1070" s="19" t="s">
        <v>4115</v>
      </c>
      <c r="J1070" s="16"/>
      <c r="K1070" s="16" t="s">
        <v>4116</v>
      </c>
      <c r="L1070" s="16"/>
      <c r="M1070" s="16" t="str">
        <f>HYPERLINK("https://ceds.ed.gov/cedselementdetails.aspx?termid=27684")</f>
        <v>https://ceds.ed.gov/cedselementdetails.aspx?termid=27684</v>
      </c>
    </row>
    <row r="1071" spans="1:13" ht="100.8" x14ac:dyDescent="0.3">
      <c r="A1071" s="16" t="s">
        <v>4117</v>
      </c>
      <c r="B1071" s="16" t="s">
        <v>4118</v>
      </c>
      <c r="C1071" s="16" t="s">
        <v>8611</v>
      </c>
      <c r="D1071" s="16" t="s">
        <v>4114</v>
      </c>
      <c r="E1071" s="16"/>
      <c r="F1071" s="16"/>
      <c r="G1071" s="16"/>
      <c r="H1071" s="16"/>
      <c r="I1071" s="19" t="s">
        <v>4119</v>
      </c>
      <c r="J1071" s="16"/>
      <c r="K1071" s="16" t="s">
        <v>4120</v>
      </c>
      <c r="L1071" s="16"/>
      <c r="M1071" s="16" t="str">
        <f>HYPERLINK("https://ceds.ed.gov/cedselementdetails.aspx?termid=27683")</f>
        <v>https://ceds.ed.gov/cedselementdetails.aspx?termid=27683</v>
      </c>
    </row>
    <row r="1072" spans="1:13" ht="129.6" x14ac:dyDescent="0.3">
      <c r="A1072" s="16" t="s">
        <v>4121</v>
      </c>
      <c r="B1072" s="16" t="s">
        <v>4122</v>
      </c>
      <c r="C1072" s="16" t="s">
        <v>32</v>
      </c>
      <c r="D1072" s="16" t="s">
        <v>9376</v>
      </c>
      <c r="E1072" s="16"/>
      <c r="F1072" s="16" t="s">
        <v>101</v>
      </c>
      <c r="G1072" s="16"/>
      <c r="H1072" s="16"/>
      <c r="I1072" s="19" t="s">
        <v>4123</v>
      </c>
      <c r="J1072" s="16"/>
      <c r="K1072" s="16" t="s">
        <v>4124</v>
      </c>
      <c r="L1072" s="16"/>
      <c r="M1072" s="16" t="str">
        <f>HYPERLINK("https://ceds.ed.gov/cedselementdetails.aspx?termid=26902")</f>
        <v>https://ceds.ed.gov/cedselementdetails.aspx?termid=26902</v>
      </c>
    </row>
    <row r="1073" spans="1:13" ht="187.2" x14ac:dyDescent="0.3">
      <c r="A1073" s="16" t="s">
        <v>4125</v>
      </c>
      <c r="B1073" s="16" t="s">
        <v>4126</v>
      </c>
      <c r="C1073" s="16" t="s">
        <v>8612</v>
      </c>
      <c r="D1073" s="16" t="s">
        <v>246</v>
      </c>
      <c r="E1073" s="16"/>
      <c r="F1073" s="16"/>
      <c r="G1073" s="16"/>
      <c r="H1073" s="16"/>
      <c r="I1073" s="19" t="s">
        <v>4127</v>
      </c>
      <c r="J1073" s="16"/>
      <c r="K1073" s="16" t="s">
        <v>4128</v>
      </c>
      <c r="L1073" s="16"/>
      <c r="M1073" s="16" t="str">
        <f>HYPERLINK("https://ceds.ed.gov/cedselementdetails.aspx?termid=26767")</f>
        <v>https://ceds.ed.gov/cedselementdetails.aspx?termid=26767</v>
      </c>
    </row>
    <row r="1074" spans="1:13" ht="345.6" x14ac:dyDescent="0.3">
      <c r="A1074" s="16" t="s">
        <v>4129</v>
      </c>
      <c r="B1074" s="16" t="s">
        <v>4130</v>
      </c>
      <c r="C1074" s="16" t="s">
        <v>8234</v>
      </c>
      <c r="D1074" s="16" t="s">
        <v>1167</v>
      </c>
      <c r="E1074" s="16"/>
      <c r="F1074" s="16"/>
      <c r="G1074" s="16"/>
      <c r="H1074" s="16"/>
      <c r="I1074" s="19" t="s">
        <v>4131</v>
      </c>
      <c r="J1074" s="16"/>
      <c r="K1074" s="16" t="s">
        <v>4132</v>
      </c>
      <c r="L1074" s="16" t="s">
        <v>4133</v>
      </c>
      <c r="M1074" s="16" t="str">
        <f>HYPERLINK("https://ceds.ed.gov/cedselementdetails.aspx?termid=26126")</f>
        <v>https://ceds.ed.gov/cedselementdetails.aspx?termid=26126</v>
      </c>
    </row>
    <row r="1075" spans="1:13" ht="331.2" x14ac:dyDescent="0.3">
      <c r="A1075" s="16" t="s">
        <v>4134</v>
      </c>
      <c r="B1075" s="16" t="s">
        <v>4135</v>
      </c>
      <c r="C1075" s="16" t="s">
        <v>8235</v>
      </c>
      <c r="D1075" s="16" t="s">
        <v>13045</v>
      </c>
      <c r="E1075" s="16"/>
      <c r="F1075" s="16"/>
      <c r="G1075" s="16"/>
      <c r="H1075" s="16"/>
      <c r="I1075" s="19" t="s">
        <v>4136</v>
      </c>
      <c r="J1075" s="16"/>
      <c r="K1075" s="16" t="s">
        <v>4137</v>
      </c>
      <c r="L1075" s="16" t="s">
        <v>64</v>
      </c>
      <c r="M1075" s="16" t="str">
        <f>HYPERLINK("https://ceds.ed.gov/cedselementdetails.aspx?termid=26125")</f>
        <v>https://ceds.ed.gov/cedselementdetails.aspx?termid=26125</v>
      </c>
    </row>
    <row r="1076" spans="1:13" ht="331.2" x14ac:dyDescent="0.3">
      <c r="A1076" s="16" t="s">
        <v>4138</v>
      </c>
      <c r="B1076" s="16" t="s">
        <v>4139</v>
      </c>
      <c r="C1076" s="16" t="s">
        <v>8235</v>
      </c>
      <c r="D1076" s="16" t="s">
        <v>1951</v>
      </c>
      <c r="E1076" s="16"/>
      <c r="F1076" s="16"/>
      <c r="G1076" s="16"/>
      <c r="H1076" s="16"/>
      <c r="I1076" s="19" t="s">
        <v>4140</v>
      </c>
      <c r="J1076" s="16"/>
      <c r="K1076" s="16" t="s">
        <v>4141</v>
      </c>
      <c r="L1076" s="16"/>
      <c r="M1076" s="16" t="str">
        <f>HYPERLINK("https://ceds.ed.gov/cedselementdetails.aspx?termid=27907")</f>
        <v>https://ceds.ed.gov/cedselementdetails.aspx?termid=27907</v>
      </c>
    </row>
    <row r="1077" spans="1:13" ht="43.2" x14ac:dyDescent="0.3">
      <c r="A1077" s="16" t="s">
        <v>4142</v>
      </c>
      <c r="B1077" s="16" t="s">
        <v>8054</v>
      </c>
      <c r="C1077" s="16" t="s">
        <v>32</v>
      </c>
      <c r="D1077" s="16" t="s">
        <v>304</v>
      </c>
      <c r="E1077" s="16"/>
      <c r="F1077" s="16" t="s">
        <v>955</v>
      </c>
      <c r="G1077" s="16"/>
      <c r="H1077" s="16"/>
      <c r="I1077" s="19" t="s">
        <v>4143</v>
      </c>
      <c r="J1077" s="16"/>
      <c r="K1077" s="16" t="s">
        <v>4144</v>
      </c>
      <c r="L1077" s="16" t="s">
        <v>58</v>
      </c>
      <c r="M1077" s="16" t="str">
        <f>HYPERLINK("https://ceds.ed.gov/cedselementdetails.aspx?termid=26127")</f>
        <v>https://ceds.ed.gov/cedselementdetails.aspx?termid=26127</v>
      </c>
    </row>
    <row r="1078" spans="1:13" ht="158.4" x14ac:dyDescent="0.3">
      <c r="A1078" s="16" t="s">
        <v>4145</v>
      </c>
      <c r="B1078" s="16" t="s">
        <v>4146</v>
      </c>
      <c r="C1078" s="16" t="s">
        <v>32</v>
      </c>
      <c r="D1078" s="16" t="s">
        <v>4147</v>
      </c>
      <c r="E1078" s="16"/>
      <c r="F1078" s="16" t="s">
        <v>955</v>
      </c>
      <c r="G1078" s="16"/>
      <c r="H1078" s="16" t="s">
        <v>4148</v>
      </c>
      <c r="I1078" s="19" t="s">
        <v>4149</v>
      </c>
      <c r="J1078" s="16" t="s">
        <v>4150</v>
      </c>
      <c r="K1078" s="16" t="s">
        <v>4151</v>
      </c>
      <c r="L1078" s="16" t="s">
        <v>4152</v>
      </c>
      <c r="M1078" s="16" t="str">
        <f>HYPERLINK("https://ceds.ed.gov/cedselementdetails.aspx?termid=26128")</f>
        <v>https://ceds.ed.gov/cedselementdetails.aspx?termid=26128</v>
      </c>
    </row>
    <row r="1079" spans="1:13" ht="100.8" x14ac:dyDescent="0.3">
      <c r="A1079" s="16" t="s">
        <v>4153</v>
      </c>
      <c r="B1079" s="16" t="s">
        <v>4154</v>
      </c>
      <c r="C1079" s="16" t="s">
        <v>8613</v>
      </c>
      <c r="D1079" s="16" t="s">
        <v>237</v>
      </c>
      <c r="E1079" s="16"/>
      <c r="F1079" s="16"/>
      <c r="G1079" s="16"/>
      <c r="H1079" s="16" t="s">
        <v>4155</v>
      </c>
      <c r="I1079" s="19" t="s">
        <v>4156</v>
      </c>
      <c r="J1079" s="16" t="s">
        <v>4157</v>
      </c>
      <c r="K1079" s="16" t="s">
        <v>4158</v>
      </c>
      <c r="L1079" s="16" t="s">
        <v>240</v>
      </c>
      <c r="M1079" s="16" t="str">
        <f>HYPERLINK("https://ceds.ed.gov/cedselementdetails.aspx?termid=26739")</f>
        <v>https://ceds.ed.gov/cedselementdetails.aspx?termid=26739</v>
      </c>
    </row>
    <row r="1080" spans="1:13" ht="72" x14ac:dyDescent="0.3">
      <c r="A1080" s="16" t="s">
        <v>4159</v>
      </c>
      <c r="B1080" s="16" t="s">
        <v>4160</v>
      </c>
      <c r="C1080" s="16" t="s">
        <v>32</v>
      </c>
      <c r="D1080" s="16" t="s">
        <v>61</v>
      </c>
      <c r="E1080" s="16"/>
      <c r="F1080" s="16" t="s">
        <v>955</v>
      </c>
      <c r="G1080" s="16"/>
      <c r="H1080" s="16"/>
      <c r="I1080" s="19" t="s">
        <v>4161</v>
      </c>
      <c r="J1080" s="16" t="s">
        <v>4162</v>
      </c>
      <c r="K1080" s="16" t="s">
        <v>4163</v>
      </c>
      <c r="L1080" s="16" t="s">
        <v>64</v>
      </c>
      <c r="M1080" s="16" t="str">
        <f>HYPERLINK("https://ceds.ed.gov/cedselementdetails.aspx?termid=26129")</f>
        <v>https://ceds.ed.gov/cedselementdetails.aspx?termid=26129</v>
      </c>
    </row>
    <row r="1081" spans="1:13" ht="72" x14ac:dyDescent="0.3">
      <c r="A1081" s="16" t="s">
        <v>4164</v>
      </c>
      <c r="B1081" s="16" t="s">
        <v>4165</v>
      </c>
      <c r="C1081" s="16" t="s">
        <v>8614</v>
      </c>
      <c r="D1081" s="16" t="s">
        <v>7427</v>
      </c>
      <c r="E1081" s="16"/>
      <c r="F1081" s="16"/>
      <c r="G1081" s="16"/>
      <c r="H1081" s="16"/>
      <c r="I1081" s="19" t="s">
        <v>4166</v>
      </c>
      <c r="J1081" s="16" t="s">
        <v>4167</v>
      </c>
      <c r="K1081" s="16" t="s">
        <v>4168</v>
      </c>
      <c r="L1081" s="16" t="s">
        <v>4169</v>
      </c>
      <c r="M1081" s="16" t="str">
        <f>HYPERLINK("https://ceds.ed.gov/cedselementdetails.aspx?termid=26123")</f>
        <v>https://ceds.ed.gov/cedselementdetails.aspx?termid=26123</v>
      </c>
    </row>
    <row r="1082" spans="1:13" ht="86.4" x14ac:dyDescent="0.3">
      <c r="A1082" s="16" t="s">
        <v>4170</v>
      </c>
      <c r="B1082" s="16" t="s">
        <v>4171</v>
      </c>
      <c r="C1082" s="16" t="s">
        <v>32</v>
      </c>
      <c r="D1082" s="16" t="s">
        <v>61</v>
      </c>
      <c r="E1082" s="16"/>
      <c r="F1082" s="16" t="s">
        <v>1481</v>
      </c>
      <c r="G1082" s="16"/>
      <c r="H1082" s="16"/>
      <c r="I1082" s="19" t="s">
        <v>4172</v>
      </c>
      <c r="J1082" s="16"/>
      <c r="K1082" s="16" t="s">
        <v>4173</v>
      </c>
      <c r="L1082" s="16" t="s">
        <v>64</v>
      </c>
      <c r="M1082" s="16" t="str">
        <f>HYPERLINK("https://ceds.ed.gov/cedselementdetails.aspx?termid=26130")</f>
        <v>https://ceds.ed.gov/cedselementdetails.aspx?termid=26130</v>
      </c>
    </row>
    <row r="1083" spans="1:13" ht="129.6" x14ac:dyDescent="0.3">
      <c r="A1083" s="16" t="s">
        <v>4174</v>
      </c>
      <c r="B1083" s="16"/>
      <c r="C1083" s="16" t="s">
        <v>32</v>
      </c>
      <c r="D1083" s="16" t="s">
        <v>4175</v>
      </c>
      <c r="E1083" s="16" t="s">
        <v>160</v>
      </c>
      <c r="F1083" s="16" t="s">
        <v>13079</v>
      </c>
      <c r="G1083" s="16" t="s">
        <v>12939</v>
      </c>
      <c r="H1083" s="16"/>
      <c r="I1083" s="19" t="s">
        <v>4176</v>
      </c>
      <c r="J1083" s="16"/>
      <c r="K1083" s="16"/>
      <c r="L1083" s="16"/>
      <c r="M1083" s="16" t="str">
        <f>HYPERLINK("https://ceds.ed.gov/cedselementdetails.aspx?termid=26609")</f>
        <v>https://ceds.ed.gov/cedselementdetails.aspx?termid=26609</v>
      </c>
    </row>
    <row r="1084" spans="1:13" ht="331.2" x14ac:dyDescent="0.3">
      <c r="A1084" s="16" t="s">
        <v>4177</v>
      </c>
      <c r="B1084" s="16" t="s">
        <v>4178</v>
      </c>
      <c r="C1084" s="16" t="s">
        <v>8235</v>
      </c>
      <c r="D1084" s="16" t="s">
        <v>1951</v>
      </c>
      <c r="E1084" s="16"/>
      <c r="F1084" s="16"/>
      <c r="G1084" s="16"/>
      <c r="H1084" s="16"/>
      <c r="I1084" s="19" t="s">
        <v>4179</v>
      </c>
      <c r="J1084" s="16"/>
      <c r="K1084" s="16" t="s">
        <v>4180</v>
      </c>
      <c r="L1084" s="16" t="s">
        <v>64</v>
      </c>
      <c r="M1084" s="16" t="str">
        <f>HYPERLINK("https://ceds.ed.gov/cedselementdetails.aspx?termid=26131")</f>
        <v>https://ceds.ed.gov/cedselementdetails.aspx?termid=26131</v>
      </c>
    </row>
    <row r="1085" spans="1:13" ht="187.2" x14ac:dyDescent="0.3">
      <c r="A1085" s="16" t="s">
        <v>4181</v>
      </c>
      <c r="B1085" s="16" t="s">
        <v>4182</v>
      </c>
      <c r="C1085" s="16" t="s">
        <v>8615</v>
      </c>
      <c r="D1085" s="16" t="s">
        <v>66</v>
      </c>
      <c r="E1085" s="16"/>
      <c r="F1085" s="16"/>
      <c r="G1085" s="16"/>
      <c r="H1085" s="16" t="s">
        <v>2453</v>
      </c>
      <c r="I1085" s="19" t="s">
        <v>4183</v>
      </c>
      <c r="J1085" s="16"/>
      <c r="K1085" s="16" t="s">
        <v>4184</v>
      </c>
      <c r="L1085" s="16" t="s">
        <v>69</v>
      </c>
      <c r="M1085" s="16" t="str">
        <f>HYPERLINK("https://ceds.ed.gov/cedselementdetails.aspx?termid=26721")</f>
        <v>https://ceds.ed.gov/cedselementdetails.aspx?termid=26721</v>
      </c>
    </row>
    <row r="1086" spans="1:13" ht="144" x14ac:dyDescent="0.3">
      <c r="A1086" s="16" t="s">
        <v>4185</v>
      </c>
      <c r="B1086" s="16" t="s">
        <v>8055</v>
      </c>
      <c r="C1086" s="16" t="s">
        <v>22</v>
      </c>
      <c r="D1086" s="16" t="s">
        <v>66</v>
      </c>
      <c r="E1086" s="16"/>
      <c r="F1086" s="16"/>
      <c r="G1086" s="16"/>
      <c r="H1086" s="16" t="s">
        <v>356</v>
      </c>
      <c r="I1086" s="19" t="s">
        <v>4186</v>
      </c>
      <c r="J1086" s="16"/>
      <c r="K1086" s="16" t="s">
        <v>4187</v>
      </c>
      <c r="L1086" s="16" t="s">
        <v>69</v>
      </c>
      <c r="M1086" s="16" t="str">
        <f>HYPERLINK("https://ceds.ed.gov/cedselementdetails.aspx?termid=26720")</f>
        <v>https://ceds.ed.gov/cedselementdetails.aspx?termid=26720</v>
      </c>
    </row>
    <row r="1087" spans="1:13" ht="86.4" x14ac:dyDescent="0.3">
      <c r="A1087" s="16" t="s">
        <v>4188</v>
      </c>
      <c r="B1087" s="16" t="s">
        <v>4189</v>
      </c>
      <c r="C1087" s="16" t="s">
        <v>8616</v>
      </c>
      <c r="D1087" s="16" t="s">
        <v>3181</v>
      </c>
      <c r="E1087" s="16"/>
      <c r="F1087" s="16"/>
      <c r="G1087" s="16"/>
      <c r="H1087" s="16"/>
      <c r="I1087" s="19" t="s">
        <v>4190</v>
      </c>
      <c r="J1087" s="16"/>
      <c r="K1087" s="16" t="s">
        <v>4191</v>
      </c>
      <c r="L1087" s="16"/>
      <c r="M1087" s="16" t="str">
        <f>HYPERLINK("https://ceds.ed.gov/cedselementdetails.aspx?termid=27324")</f>
        <v>https://ceds.ed.gov/cedselementdetails.aspx?termid=27324</v>
      </c>
    </row>
    <row r="1088" spans="1:13" ht="28.8" x14ac:dyDescent="0.3">
      <c r="A1088" s="16" t="s">
        <v>4192</v>
      </c>
      <c r="B1088" s="16" t="s">
        <v>4193</v>
      </c>
      <c r="C1088" s="16" t="s">
        <v>32</v>
      </c>
      <c r="D1088" s="16" t="s">
        <v>61</v>
      </c>
      <c r="E1088" s="16"/>
      <c r="F1088" s="16" t="s">
        <v>1807</v>
      </c>
      <c r="G1088" s="16"/>
      <c r="H1088" s="16"/>
      <c r="I1088" s="19" t="s">
        <v>4194</v>
      </c>
      <c r="J1088" s="16"/>
      <c r="K1088" s="16" t="s">
        <v>4195</v>
      </c>
      <c r="L1088" s="16"/>
      <c r="M1088" s="16" t="str">
        <f>HYPERLINK("https://ceds.ed.gov/cedselementdetails.aspx?termid=26132")</f>
        <v>https://ceds.ed.gov/cedselementdetails.aspx?termid=26132</v>
      </c>
    </row>
    <row r="1089" spans="1:13" ht="72" x14ac:dyDescent="0.3">
      <c r="A1089" s="16" t="s">
        <v>4196</v>
      </c>
      <c r="B1089" s="16" t="s">
        <v>4197</v>
      </c>
      <c r="C1089" s="16" t="s">
        <v>22</v>
      </c>
      <c r="D1089" s="16" t="s">
        <v>61</v>
      </c>
      <c r="E1089" s="16"/>
      <c r="F1089" s="16"/>
      <c r="G1089" s="16"/>
      <c r="H1089" s="16"/>
      <c r="I1089" s="19" t="s">
        <v>4198</v>
      </c>
      <c r="J1089" s="16"/>
      <c r="K1089" s="16" t="s">
        <v>4199</v>
      </c>
      <c r="L1089" s="16" t="s">
        <v>4200</v>
      </c>
      <c r="M1089" s="16" t="str">
        <f>HYPERLINK("https://ceds.ed.gov/cedselementdetails.aspx?termid=26133")</f>
        <v>https://ceds.ed.gov/cedselementdetails.aspx?termid=26133</v>
      </c>
    </row>
    <row r="1090" spans="1:13" ht="43.2" x14ac:dyDescent="0.3">
      <c r="A1090" s="16" t="s">
        <v>12761</v>
      </c>
      <c r="B1090" s="16" t="s">
        <v>12762</v>
      </c>
      <c r="C1090" s="16" t="s">
        <v>32</v>
      </c>
      <c r="D1090" s="16" t="s">
        <v>12887</v>
      </c>
      <c r="E1090" s="16" t="s">
        <v>155</v>
      </c>
      <c r="F1090" s="16" t="s">
        <v>305</v>
      </c>
      <c r="G1090" s="16" t="s">
        <v>12636</v>
      </c>
      <c r="H1090" s="16"/>
      <c r="I1090" s="19" t="s">
        <v>12763</v>
      </c>
      <c r="J1090" s="16"/>
      <c r="K1090" s="16" t="s">
        <v>12764</v>
      </c>
      <c r="L1090" s="16"/>
      <c r="M1090" s="16" t="str">
        <f>HYPERLINK("https://ceds.ed.gov/cedselementdetails.aspx?termid=28140")</f>
        <v>https://ceds.ed.gov/cedselementdetails.aspx?termid=28140</v>
      </c>
    </row>
    <row r="1091" spans="1:13" ht="43.2" x14ac:dyDescent="0.3">
      <c r="A1091" s="16" t="s">
        <v>12765</v>
      </c>
      <c r="B1091" s="16" t="s">
        <v>12766</v>
      </c>
      <c r="C1091" s="16" t="s">
        <v>32</v>
      </c>
      <c r="D1091" s="16" t="s">
        <v>12887</v>
      </c>
      <c r="E1091" s="16" t="s">
        <v>155</v>
      </c>
      <c r="F1091" s="16" t="s">
        <v>305</v>
      </c>
      <c r="G1091" s="16" t="s">
        <v>12636</v>
      </c>
      <c r="H1091" s="16"/>
      <c r="I1091" s="19" t="s">
        <v>12767</v>
      </c>
      <c r="J1091" s="16"/>
      <c r="K1091" s="16" t="s">
        <v>12768</v>
      </c>
      <c r="L1091" s="16"/>
      <c r="M1091" s="16" t="str">
        <f>HYPERLINK("https://ceds.ed.gov/cedselementdetails.aspx?termid=28139")</f>
        <v>https://ceds.ed.gov/cedselementdetails.aspx?termid=28139</v>
      </c>
    </row>
    <row r="1092" spans="1:13" ht="43.2" x14ac:dyDescent="0.3">
      <c r="A1092" s="16" t="s">
        <v>12769</v>
      </c>
      <c r="B1092" s="16" t="s">
        <v>12770</v>
      </c>
      <c r="C1092" s="16" t="s">
        <v>12906</v>
      </c>
      <c r="D1092" s="16" t="s">
        <v>12887</v>
      </c>
      <c r="E1092" s="16" t="s">
        <v>155</v>
      </c>
      <c r="F1092" s="16" t="s">
        <v>2</v>
      </c>
      <c r="G1092" s="16" t="s">
        <v>12636</v>
      </c>
      <c r="H1092" s="16"/>
      <c r="I1092" s="19" t="s">
        <v>12771</v>
      </c>
      <c r="J1092" s="16"/>
      <c r="K1092" s="16" t="s">
        <v>12772</v>
      </c>
      <c r="L1092" s="16"/>
      <c r="M1092" s="16" t="str">
        <f>HYPERLINK("https://ceds.ed.gov/cedselementdetails.aspx?termid=28138")</f>
        <v>https://ceds.ed.gov/cedselementdetails.aspx?termid=28138</v>
      </c>
    </row>
    <row r="1093" spans="1:13" ht="100.8" x14ac:dyDescent="0.3">
      <c r="A1093" s="16" t="s">
        <v>4201</v>
      </c>
      <c r="B1093" s="16" t="s">
        <v>4202</v>
      </c>
      <c r="C1093" s="16" t="s">
        <v>8617</v>
      </c>
      <c r="D1093" s="16" t="s">
        <v>13046</v>
      </c>
      <c r="E1093" s="16"/>
      <c r="F1093" s="16"/>
      <c r="G1093" s="16"/>
      <c r="H1093" s="16"/>
      <c r="I1093" s="19" t="s">
        <v>4203</v>
      </c>
      <c r="J1093" s="16"/>
      <c r="K1093" s="16" t="s">
        <v>4204</v>
      </c>
      <c r="L1093" s="16" t="s">
        <v>214</v>
      </c>
      <c r="M1093" s="16" t="str">
        <f>HYPERLINK("https://ceds.ed.gov/cedselementdetails.aspx?termid=26134")</f>
        <v>https://ceds.ed.gov/cedselementdetails.aspx?termid=26134</v>
      </c>
    </row>
    <row r="1094" spans="1:13" ht="57.6" x14ac:dyDescent="0.3">
      <c r="A1094" s="16" t="s">
        <v>4205</v>
      </c>
      <c r="B1094" s="16" t="s">
        <v>4206</v>
      </c>
      <c r="C1094" s="16" t="s">
        <v>22</v>
      </c>
      <c r="D1094" s="16" t="s">
        <v>1499</v>
      </c>
      <c r="E1094" s="16"/>
      <c r="F1094" s="16"/>
      <c r="G1094" s="16"/>
      <c r="H1094" s="16"/>
      <c r="I1094" s="19" t="s">
        <v>4207</v>
      </c>
      <c r="J1094" s="16"/>
      <c r="K1094" s="16" t="s">
        <v>4208</v>
      </c>
      <c r="L1094" s="16" t="s">
        <v>25</v>
      </c>
      <c r="M1094" s="16" t="str">
        <f>HYPERLINK("https://ceds.ed.gov/cedselementdetails.aspx?termid=26135")</f>
        <v>https://ceds.ed.gov/cedselementdetails.aspx?termid=26135</v>
      </c>
    </row>
    <row r="1095" spans="1:13" ht="28.8" x14ac:dyDescent="0.3">
      <c r="A1095" s="16" t="s">
        <v>4209</v>
      </c>
      <c r="B1095" s="16" t="s">
        <v>4210</v>
      </c>
      <c r="C1095" s="16" t="s">
        <v>32</v>
      </c>
      <c r="D1095" s="16" t="s">
        <v>1547</v>
      </c>
      <c r="E1095" s="16"/>
      <c r="F1095" s="16" t="s">
        <v>55</v>
      </c>
      <c r="G1095" s="16"/>
      <c r="H1095" s="16"/>
      <c r="I1095" s="19" t="s">
        <v>4211</v>
      </c>
      <c r="J1095" s="16"/>
      <c r="K1095" s="16" t="s">
        <v>4212</v>
      </c>
      <c r="L1095" s="16"/>
      <c r="M1095" s="16" t="str">
        <f>HYPERLINK("https://ceds.ed.gov/cedselementdetails.aspx?termid=27825")</f>
        <v>https://ceds.ed.gov/cedselementdetails.aspx?termid=27825</v>
      </c>
    </row>
    <row r="1096" spans="1:13" ht="43.2" x14ac:dyDescent="0.3">
      <c r="A1096" s="16" t="s">
        <v>4213</v>
      </c>
      <c r="B1096" s="16" t="s">
        <v>4214</v>
      </c>
      <c r="C1096" s="16" t="s">
        <v>32</v>
      </c>
      <c r="D1096" s="16" t="s">
        <v>1547</v>
      </c>
      <c r="E1096" s="16"/>
      <c r="F1096" s="16" t="s">
        <v>106</v>
      </c>
      <c r="G1096" s="16"/>
      <c r="H1096" s="16"/>
      <c r="I1096" s="19" t="s">
        <v>4215</v>
      </c>
      <c r="J1096" s="16"/>
      <c r="K1096" s="16" t="s">
        <v>4216</v>
      </c>
      <c r="L1096" s="16"/>
      <c r="M1096" s="16" t="str">
        <f>HYPERLINK("https://ceds.ed.gov/cedselementdetails.aspx?termid=27826")</f>
        <v>https://ceds.ed.gov/cedselementdetails.aspx?termid=27826</v>
      </c>
    </row>
    <row r="1097" spans="1:13" ht="43.2" x14ac:dyDescent="0.3">
      <c r="A1097" s="16" t="s">
        <v>4217</v>
      </c>
      <c r="B1097" s="16" t="s">
        <v>4218</v>
      </c>
      <c r="C1097" s="16" t="s">
        <v>32</v>
      </c>
      <c r="D1097" s="16" t="s">
        <v>8314</v>
      </c>
      <c r="E1097" s="16"/>
      <c r="F1097" s="16" t="s">
        <v>101</v>
      </c>
      <c r="G1097" s="16"/>
      <c r="H1097" s="16"/>
      <c r="I1097" s="19" t="s">
        <v>4219</v>
      </c>
      <c r="J1097" s="16"/>
      <c r="K1097" s="16" t="s">
        <v>4220</v>
      </c>
      <c r="L1097" s="16"/>
      <c r="M1097" s="16" t="str">
        <f>HYPERLINK("https://ceds.ed.gov/cedselementdetails.aspx?termid=27325")</f>
        <v>https://ceds.ed.gov/cedselementdetails.aspx?termid=27325</v>
      </c>
    </row>
    <row r="1098" spans="1:13" ht="43.2" x14ac:dyDescent="0.3">
      <c r="A1098" s="16" t="s">
        <v>4221</v>
      </c>
      <c r="B1098" s="16" t="s">
        <v>4222</v>
      </c>
      <c r="C1098" s="16" t="s">
        <v>32</v>
      </c>
      <c r="D1098" s="16" t="s">
        <v>8314</v>
      </c>
      <c r="E1098" s="16"/>
      <c r="F1098" s="16" t="s">
        <v>316</v>
      </c>
      <c r="G1098" s="16"/>
      <c r="H1098" s="16"/>
      <c r="I1098" s="19" t="s">
        <v>4223</v>
      </c>
      <c r="J1098" s="16"/>
      <c r="K1098" s="16" t="s">
        <v>4224</v>
      </c>
      <c r="L1098" s="16"/>
      <c r="M1098" s="16" t="str">
        <f>HYPERLINK("https://ceds.ed.gov/cedselementdetails.aspx?termid=27326")</f>
        <v>https://ceds.ed.gov/cedselementdetails.aspx?termid=27326</v>
      </c>
    </row>
    <row r="1099" spans="1:13" ht="43.2" x14ac:dyDescent="0.3">
      <c r="A1099" s="16" t="s">
        <v>4225</v>
      </c>
      <c r="B1099" s="16" t="s">
        <v>4226</v>
      </c>
      <c r="C1099" s="16" t="s">
        <v>32</v>
      </c>
      <c r="D1099" s="16" t="s">
        <v>8618</v>
      </c>
      <c r="E1099" s="16"/>
      <c r="F1099" s="16" t="s">
        <v>106</v>
      </c>
      <c r="G1099" s="16"/>
      <c r="H1099" s="16"/>
      <c r="I1099" s="19" t="s">
        <v>4227</v>
      </c>
      <c r="J1099" s="16"/>
      <c r="K1099" s="16" t="s">
        <v>4228</v>
      </c>
      <c r="L1099" s="16"/>
      <c r="M1099" s="16" t="str">
        <f>HYPERLINK("https://ceds.ed.gov/cedselementdetails.aspx?termid=26681")</f>
        <v>https://ceds.ed.gov/cedselementdetails.aspx?termid=26681</v>
      </c>
    </row>
    <row r="1100" spans="1:13" ht="57.6" x14ac:dyDescent="0.3">
      <c r="A1100" s="16" t="s">
        <v>4229</v>
      </c>
      <c r="B1100" s="16" t="s">
        <v>4230</v>
      </c>
      <c r="C1100" s="16" t="s">
        <v>8619</v>
      </c>
      <c r="D1100" s="16" t="s">
        <v>8618</v>
      </c>
      <c r="E1100" s="16"/>
      <c r="F1100" s="16"/>
      <c r="G1100" s="16"/>
      <c r="H1100" s="16"/>
      <c r="I1100" s="19" t="s">
        <v>4231</v>
      </c>
      <c r="J1100" s="16"/>
      <c r="K1100" s="16" t="s">
        <v>4232</v>
      </c>
      <c r="L1100" s="16" t="s">
        <v>1977</v>
      </c>
      <c r="M1100" s="16" t="str">
        <f>HYPERLINK("https://ceds.ed.gov/cedselementdetails.aspx?termid=26309")</f>
        <v>https://ceds.ed.gov/cedselementdetails.aspx?termid=26309</v>
      </c>
    </row>
    <row r="1101" spans="1:13" ht="360" x14ac:dyDescent="0.3">
      <c r="A1101" s="16" t="s">
        <v>8983</v>
      </c>
      <c r="B1101" s="16" t="s">
        <v>8984</v>
      </c>
      <c r="C1101" s="16" t="s">
        <v>9434</v>
      </c>
      <c r="D1101" s="16" t="s">
        <v>2751</v>
      </c>
      <c r="E1101" s="16"/>
      <c r="F1101" s="16" t="s">
        <v>2</v>
      </c>
      <c r="G1101" s="16"/>
      <c r="H1101" s="16"/>
      <c r="I1101" s="19" t="s">
        <v>8985</v>
      </c>
      <c r="J1101" s="16"/>
      <c r="K1101" s="16" t="s">
        <v>8986</v>
      </c>
      <c r="L1101" s="16"/>
      <c r="M1101" s="16" t="str">
        <f>HYPERLINK("https://ceds.ed.gov/cedselementdetails.aspx?termid=28022")</f>
        <v>https://ceds.ed.gov/cedselementdetails.aspx?termid=28022</v>
      </c>
    </row>
    <row r="1102" spans="1:13" ht="72" x14ac:dyDescent="0.3">
      <c r="A1102" s="16" t="s">
        <v>8987</v>
      </c>
      <c r="B1102" s="16" t="s">
        <v>8988</v>
      </c>
      <c r="C1102" s="16" t="s">
        <v>2987</v>
      </c>
      <c r="D1102" s="16" t="s">
        <v>5002</v>
      </c>
      <c r="E1102" s="16"/>
      <c r="F1102" s="16" t="s">
        <v>2</v>
      </c>
      <c r="G1102" s="16"/>
      <c r="H1102" s="16"/>
      <c r="I1102" s="19" t="s">
        <v>8989</v>
      </c>
      <c r="J1102" s="16"/>
      <c r="K1102" s="16" t="s">
        <v>8990</v>
      </c>
      <c r="L1102" s="16"/>
      <c r="M1102" s="16" t="str">
        <f>HYPERLINK("https://ceds.ed.gov/cedselementdetails.aspx?termid=28023")</f>
        <v>https://ceds.ed.gov/cedselementdetails.aspx?termid=28023</v>
      </c>
    </row>
    <row r="1103" spans="1:13" ht="158.4" x14ac:dyDescent="0.3">
      <c r="A1103" s="16" t="s">
        <v>4233</v>
      </c>
      <c r="B1103" s="16" t="s">
        <v>4234</v>
      </c>
      <c r="C1103" s="16" t="s">
        <v>22</v>
      </c>
      <c r="D1103" s="16" t="s">
        <v>4235</v>
      </c>
      <c r="E1103" s="16"/>
      <c r="F1103" s="16"/>
      <c r="G1103" s="16"/>
      <c r="H1103" s="16"/>
      <c r="I1103" s="19" t="s">
        <v>4236</v>
      </c>
      <c r="J1103" s="16"/>
      <c r="K1103" s="16" t="s">
        <v>4237</v>
      </c>
      <c r="L1103" s="16" t="s">
        <v>1484</v>
      </c>
      <c r="M1103" s="16" t="str">
        <f>HYPERLINK("https://ceds.ed.gov/cedselementdetails.aspx?termid=26137")</f>
        <v>https://ceds.ed.gov/cedselementdetails.aspx?termid=26137</v>
      </c>
    </row>
    <row r="1104" spans="1:13" ht="144" x14ac:dyDescent="0.3">
      <c r="A1104" s="16" t="s">
        <v>4238</v>
      </c>
      <c r="B1104" s="16" t="s">
        <v>4239</v>
      </c>
      <c r="C1104" s="16" t="s">
        <v>9332</v>
      </c>
      <c r="D1104" s="16" t="s">
        <v>4240</v>
      </c>
      <c r="E1104" s="16"/>
      <c r="F1104" s="16"/>
      <c r="G1104" s="16"/>
      <c r="H1104" s="16"/>
      <c r="I1104" s="19" t="s">
        <v>4241</v>
      </c>
      <c r="J1104" s="16"/>
      <c r="K1104" s="16" t="s">
        <v>4242</v>
      </c>
      <c r="L1104" s="16"/>
      <c r="M1104" s="16" t="str">
        <f>HYPERLINK("https://ceds.ed.gov/cedselementdetails.aspx?termid=26689")</f>
        <v>https://ceds.ed.gov/cedselementdetails.aspx?termid=26689</v>
      </c>
    </row>
    <row r="1105" spans="1:13" ht="273.60000000000002" x14ac:dyDescent="0.3">
      <c r="A1105" s="16" t="s">
        <v>4243</v>
      </c>
      <c r="B1105" s="16" t="s">
        <v>4244</v>
      </c>
      <c r="C1105" s="16" t="s">
        <v>9333</v>
      </c>
      <c r="D1105" s="16" t="s">
        <v>4245</v>
      </c>
      <c r="E1105" s="16"/>
      <c r="F1105" s="16"/>
      <c r="G1105" s="16"/>
      <c r="H1105" s="16" t="s">
        <v>4246</v>
      </c>
      <c r="I1105" s="19" t="s">
        <v>4247</v>
      </c>
      <c r="J1105" s="16"/>
      <c r="K1105" s="16" t="s">
        <v>4248</v>
      </c>
      <c r="L1105" s="16" t="s">
        <v>4249</v>
      </c>
      <c r="M1105" s="16" t="str">
        <f>HYPERLINK("https://ceds.ed.gov/cedselementdetails.aspx?termid=26138")</f>
        <v>https://ceds.ed.gov/cedselementdetails.aspx?termid=26138</v>
      </c>
    </row>
    <row r="1106" spans="1:13" ht="115.2" x14ac:dyDescent="0.3">
      <c r="A1106" s="16" t="s">
        <v>4250</v>
      </c>
      <c r="B1106" s="16" t="s">
        <v>4251</v>
      </c>
      <c r="C1106" s="16" t="s">
        <v>8620</v>
      </c>
      <c r="D1106" s="16" t="s">
        <v>198</v>
      </c>
      <c r="E1106" s="16"/>
      <c r="F1106" s="16"/>
      <c r="G1106" s="16"/>
      <c r="H1106" s="16"/>
      <c r="I1106" s="19" t="s">
        <v>4252</v>
      </c>
      <c r="J1106" s="16"/>
      <c r="K1106" s="16" t="s">
        <v>4253</v>
      </c>
      <c r="L1106" s="16" t="s">
        <v>214</v>
      </c>
      <c r="M1106" s="16" t="str">
        <f>HYPERLINK("https://ceds.ed.gov/cedselementdetails.aspx?termid=26140")</f>
        <v>https://ceds.ed.gov/cedselementdetails.aspx?termid=26140</v>
      </c>
    </row>
    <row r="1107" spans="1:13" ht="100.8" x14ac:dyDescent="0.3">
      <c r="A1107" s="16" t="s">
        <v>4254</v>
      </c>
      <c r="B1107" s="16" t="s">
        <v>4255</v>
      </c>
      <c r="C1107" s="16" t="s">
        <v>32</v>
      </c>
      <c r="D1107" s="16" t="s">
        <v>237</v>
      </c>
      <c r="E1107" s="16"/>
      <c r="F1107" s="16" t="s">
        <v>742</v>
      </c>
      <c r="G1107" s="16"/>
      <c r="H1107" s="16" t="s">
        <v>8056</v>
      </c>
      <c r="I1107" s="19" t="s">
        <v>4256</v>
      </c>
      <c r="J1107" s="16"/>
      <c r="K1107" s="16" t="s">
        <v>4257</v>
      </c>
      <c r="L1107" s="16" t="s">
        <v>240</v>
      </c>
      <c r="M1107" s="16" t="str">
        <f>HYPERLINK("https://ceds.ed.gov/cedselementdetails.aspx?termid=26740")</f>
        <v>https://ceds.ed.gov/cedselementdetails.aspx?termid=26740</v>
      </c>
    </row>
    <row r="1108" spans="1:13" ht="100.8" x14ac:dyDescent="0.3">
      <c r="A1108" s="16" t="s">
        <v>4258</v>
      </c>
      <c r="B1108" s="16" t="s">
        <v>4259</v>
      </c>
      <c r="C1108" s="16" t="s">
        <v>32</v>
      </c>
      <c r="D1108" s="16" t="s">
        <v>4260</v>
      </c>
      <c r="E1108" s="16"/>
      <c r="F1108" s="16" t="s">
        <v>305</v>
      </c>
      <c r="G1108" s="16"/>
      <c r="H1108" s="16"/>
      <c r="I1108" s="19" t="s">
        <v>4261</v>
      </c>
      <c r="J1108" s="16"/>
      <c r="K1108" s="16" t="s">
        <v>4262</v>
      </c>
      <c r="L1108" s="16" t="s">
        <v>4263</v>
      </c>
      <c r="M1108" s="16" t="str">
        <f>HYPERLINK("https://ceds.ed.gov/cedselementdetails.aspx?termid=26041")</f>
        <v>https://ceds.ed.gov/cedselementdetails.aspx?termid=26041</v>
      </c>
    </row>
    <row r="1109" spans="1:13" ht="115.2" x14ac:dyDescent="0.3">
      <c r="A1109" s="16" t="s">
        <v>4264</v>
      </c>
      <c r="B1109" s="16" t="s">
        <v>4265</v>
      </c>
      <c r="C1109" s="16" t="s">
        <v>8621</v>
      </c>
      <c r="D1109" s="16" t="s">
        <v>8622</v>
      </c>
      <c r="E1109" s="16"/>
      <c r="F1109" s="16"/>
      <c r="G1109" s="16"/>
      <c r="H1109" s="16"/>
      <c r="I1109" s="19" t="s">
        <v>4266</v>
      </c>
      <c r="J1109" s="16"/>
      <c r="K1109" s="16" t="s">
        <v>4267</v>
      </c>
      <c r="L1109" s="16" t="s">
        <v>195</v>
      </c>
      <c r="M1109" s="16" t="str">
        <f>HYPERLINK("https://ceds.ed.gov/cedselementdetails.aspx?termid=26817")</f>
        <v>https://ceds.ed.gov/cedselementdetails.aspx?termid=26817</v>
      </c>
    </row>
    <row r="1110" spans="1:13" ht="409.6" x14ac:dyDescent="0.3">
      <c r="A1110" s="16" t="s">
        <v>4268</v>
      </c>
      <c r="B1110" s="16" t="s">
        <v>4269</v>
      </c>
      <c r="C1110" s="16" t="s">
        <v>8445</v>
      </c>
      <c r="D1110" s="16" t="s">
        <v>13047</v>
      </c>
      <c r="E1110" s="16"/>
      <c r="F1110" s="16"/>
      <c r="G1110" s="16"/>
      <c r="H1110" s="16"/>
      <c r="I1110" s="19" t="s">
        <v>4270</v>
      </c>
      <c r="J1110" s="16"/>
      <c r="K1110" s="16" t="s">
        <v>4271</v>
      </c>
      <c r="L1110" s="16" t="s">
        <v>4272</v>
      </c>
      <c r="M1110" s="16" t="str">
        <f>HYPERLINK("https://ceds.ed.gov/cedselementdetails.aspx?termid=26141")</f>
        <v>https://ceds.ed.gov/cedselementdetails.aspx?termid=26141</v>
      </c>
    </row>
    <row r="1111" spans="1:13" ht="43.2" x14ac:dyDescent="0.3">
      <c r="A1111" s="16" t="s">
        <v>4273</v>
      </c>
      <c r="B1111" s="16" t="s">
        <v>4274</v>
      </c>
      <c r="C1111" s="16" t="s">
        <v>8623</v>
      </c>
      <c r="D1111" s="16" t="s">
        <v>4275</v>
      </c>
      <c r="E1111" s="16"/>
      <c r="F1111" s="16"/>
      <c r="G1111" s="16"/>
      <c r="H1111" s="16"/>
      <c r="I1111" s="19" t="s">
        <v>4276</v>
      </c>
      <c r="J1111" s="16"/>
      <c r="K1111" s="16" t="s">
        <v>4277</v>
      </c>
      <c r="L1111" s="16" t="s">
        <v>214</v>
      </c>
      <c r="M1111" s="16" t="str">
        <f>HYPERLINK("https://ceds.ed.gov/cedselementdetails.aspx?termid=26142")</f>
        <v>https://ceds.ed.gov/cedselementdetails.aspx?termid=26142</v>
      </c>
    </row>
    <row r="1112" spans="1:13" ht="158.4" x14ac:dyDescent="0.3">
      <c r="A1112" s="16" t="s">
        <v>4278</v>
      </c>
      <c r="B1112" s="16" t="s">
        <v>4279</v>
      </c>
      <c r="C1112" s="16" t="s">
        <v>32</v>
      </c>
      <c r="D1112" s="16" t="s">
        <v>13048</v>
      </c>
      <c r="E1112" s="16"/>
      <c r="F1112" s="16" t="s">
        <v>106</v>
      </c>
      <c r="G1112" s="16"/>
      <c r="H1112" s="16" t="s">
        <v>8057</v>
      </c>
      <c r="I1112" s="19" t="s">
        <v>4280</v>
      </c>
      <c r="J1112" s="16"/>
      <c r="K1112" s="16" t="s">
        <v>4281</v>
      </c>
      <c r="L1112" s="16" t="s">
        <v>4282</v>
      </c>
      <c r="M1112" s="16" t="str">
        <f>HYPERLINK("https://ceds.ed.gov/cedselementdetails.aspx?termid=26143")</f>
        <v>https://ceds.ed.gov/cedselementdetails.aspx?termid=26143</v>
      </c>
    </row>
    <row r="1113" spans="1:13" ht="244.8" x14ac:dyDescent="0.3">
      <c r="A1113" s="16" t="s">
        <v>4283</v>
      </c>
      <c r="B1113" s="16" t="s">
        <v>4284</v>
      </c>
      <c r="C1113" s="16" t="s">
        <v>8319</v>
      </c>
      <c r="D1113" s="16" t="s">
        <v>8320</v>
      </c>
      <c r="E1113" s="16"/>
      <c r="F1113" s="16"/>
      <c r="G1113" s="16"/>
      <c r="H1113" s="16" t="s">
        <v>7828</v>
      </c>
      <c r="I1113" s="19" t="s">
        <v>4285</v>
      </c>
      <c r="J1113" s="16"/>
      <c r="K1113" s="16" t="s">
        <v>4286</v>
      </c>
      <c r="L1113" s="16" t="s">
        <v>353</v>
      </c>
      <c r="M1113" s="16" t="str">
        <f>HYPERLINK("https://ceds.ed.gov/cedselementdetails.aspx?termid=26144")</f>
        <v>https://ceds.ed.gov/cedselementdetails.aspx?termid=26144</v>
      </c>
    </row>
    <row r="1114" spans="1:13" ht="230.4" x14ac:dyDescent="0.3">
      <c r="A1114" s="16" t="s">
        <v>7428</v>
      </c>
      <c r="B1114" s="16" t="s">
        <v>7429</v>
      </c>
      <c r="C1114" s="16" t="s">
        <v>32</v>
      </c>
      <c r="D1114" s="16" t="s">
        <v>5719</v>
      </c>
      <c r="E1114" s="16"/>
      <c r="F1114" s="16" t="s">
        <v>106</v>
      </c>
      <c r="G1114" s="16"/>
      <c r="H1114" s="16" t="s">
        <v>7430</v>
      </c>
      <c r="I1114" s="19" t="s">
        <v>7431</v>
      </c>
      <c r="J1114" s="16"/>
      <c r="K1114" s="16" t="s">
        <v>7432</v>
      </c>
      <c r="L1114" s="16"/>
      <c r="M1114" s="16" t="str">
        <f>HYPERLINK("https://ceds.ed.gov/cedselementdetails.aspx?termid=27934")</f>
        <v>https://ceds.ed.gov/cedselementdetails.aspx?termid=27934</v>
      </c>
    </row>
    <row r="1115" spans="1:13" ht="158.4" x14ac:dyDescent="0.3">
      <c r="A1115" s="16" t="s">
        <v>7433</v>
      </c>
      <c r="B1115" s="16" t="s">
        <v>7434</v>
      </c>
      <c r="C1115" s="16" t="s">
        <v>2987</v>
      </c>
      <c r="D1115" s="16" t="s">
        <v>5719</v>
      </c>
      <c r="E1115" s="16"/>
      <c r="F1115" s="16"/>
      <c r="G1115" s="16"/>
      <c r="H1115" s="16" t="s">
        <v>7435</v>
      </c>
      <c r="I1115" s="19" t="s">
        <v>7436</v>
      </c>
      <c r="J1115" s="16"/>
      <c r="K1115" s="16" t="s">
        <v>7437</v>
      </c>
      <c r="L1115" s="16"/>
      <c r="M1115" s="16" t="str">
        <f>HYPERLINK("https://ceds.ed.gov/cedselementdetails.aspx?termid=27935")</f>
        <v>https://ceds.ed.gov/cedselementdetails.aspx?termid=27935</v>
      </c>
    </row>
    <row r="1116" spans="1:13" ht="115.2" x14ac:dyDescent="0.3">
      <c r="A1116" s="16" t="s">
        <v>4287</v>
      </c>
      <c r="B1116" s="16" t="s">
        <v>4288</v>
      </c>
      <c r="C1116" s="16" t="s">
        <v>8624</v>
      </c>
      <c r="D1116" s="16" t="s">
        <v>8625</v>
      </c>
      <c r="E1116" s="16"/>
      <c r="F1116" s="16"/>
      <c r="G1116" s="16"/>
      <c r="H1116" s="16"/>
      <c r="I1116" s="19" t="s">
        <v>4289</v>
      </c>
      <c r="J1116" s="16"/>
      <c r="K1116" s="16" t="s">
        <v>4290</v>
      </c>
      <c r="L1116" s="16" t="s">
        <v>214</v>
      </c>
      <c r="M1116" s="16" t="str">
        <f>HYPERLINK("https://ceds.ed.gov/cedselementdetails.aspx?termid=26146")</f>
        <v>https://ceds.ed.gov/cedselementdetails.aspx?termid=26146</v>
      </c>
    </row>
    <row r="1117" spans="1:13" ht="43.2" x14ac:dyDescent="0.3">
      <c r="A1117" s="16" t="s">
        <v>4291</v>
      </c>
      <c r="B1117" s="16" t="s">
        <v>8058</v>
      </c>
      <c r="C1117" s="16" t="s">
        <v>22</v>
      </c>
      <c r="D1117" s="16" t="s">
        <v>8625</v>
      </c>
      <c r="E1117" s="16"/>
      <c r="F1117" s="16"/>
      <c r="G1117" s="16"/>
      <c r="H1117" s="16"/>
      <c r="I1117" s="19" t="s">
        <v>4292</v>
      </c>
      <c r="J1117" s="16"/>
      <c r="K1117" s="16" t="s">
        <v>4293</v>
      </c>
      <c r="L1117" s="16"/>
      <c r="M1117" s="16" t="str">
        <f>HYPERLINK("https://ceds.ed.gov/cedselementdetails.aspx?termid=26147")</f>
        <v>https://ceds.ed.gov/cedselementdetails.aspx?termid=26147</v>
      </c>
    </row>
    <row r="1118" spans="1:13" ht="302.39999999999998" x14ac:dyDescent="0.3">
      <c r="A1118" s="16" t="s">
        <v>4294</v>
      </c>
      <c r="B1118" s="16" t="s">
        <v>9317</v>
      </c>
      <c r="C1118" s="16" t="s">
        <v>22</v>
      </c>
      <c r="D1118" s="16" t="s">
        <v>4295</v>
      </c>
      <c r="E1118" s="16"/>
      <c r="F1118" s="16"/>
      <c r="G1118" s="16"/>
      <c r="H1118" s="16" t="s">
        <v>9318</v>
      </c>
      <c r="I1118" s="19" t="s">
        <v>4296</v>
      </c>
      <c r="J1118" s="16"/>
      <c r="K1118" s="16" t="s">
        <v>4297</v>
      </c>
      <c r="L1118" s="16" t="s">
        <v>214</v>
      </c>
      <c r="M1118" s="16" t="str">
        <f>HYPERLINK("https://ceds.ed.gov/cedselementdetails.aspx?termid=26148")</f>
        <v>https://ceds.ed.gov/cedselementdetails.aspx?termid=26148</v>
      </c>
    </row>
    <row r="1119" spans="1:13" ht="374.4" x14ac:dyDescent="0.3">
      <c r="A1119" s="16" t="s">
        <v>4298</v>
      </c>
      <c r="B1119" s="16" t="s">
        <v>4299</v>
      </c>
      <c r="C1119" s="16" t="s">
        <v>22</v>
      </c>
      <c r="D1119" s="16" t="s">
        <v>8626</v>
      </c>
      <c r="E1119" s="16"/>
      <c r="F1119" s="16"/>
      <c r="G1119" s="16"/>
      <c r="H1119" s="16" t="s">
        <v>9319</v>
      </c>
      <c r="I1119" s="19" t="s">
        <v>4300</v>
      </c>
      <c r="J1119" s="16"/>
      <c r="K1119" s="16" t="s">
        <v>4301</v>
      </c>
      <c r="L1119" s="16" t="s">
        <v>4302</v>
      </c>
      <c r="M1119" s="16" t="str">
        <f>HYPERLINK("https://ceds.ed.gov/cedselementdetails.aspx?termid=26149")</f>
        <v>https://ceds.ed.gov/cedselementdetails.aspx?termid=26149</v>
      </c>
    </row>
    <row r="1120" spans="1:13" ht="72" x14ac:dyDescent="0.3">
      <c r="A1120" s="16" t="s">
        <v>4303</v>
      </c>
      <c r="B1120" s="16" t="s">
        <v>4304</v>
      </c>
      <c r="C1120" s="16" t="s">
        <v>32</v>
      </c>
      <c r="D1120" s="16" t="s">
        <v>61</v>
      </c>
      <c r="E1120" s="16"/>
      <c r="F1120" s="16" t="s">
        <v>55</v>
      </c>
      <c r="G1120" s="16"/>
      <c r="H1120" s="16"/>
      <c r="I1120" s="19" t="s">
        <v>4305</v>
      </c>
      <c r="J1120" s="16"/>
      <c r="K1120" s="16" t="s">
        <v>4306</v>
      </c>
      <c r="L1120" s="16" t="s">
        <v>64</v>
      </c>
      <c r="M1120" s="16" t="str">
        <f>HYPERLINK("https://ceds.ed.gov/cedselementdetails.aspx?termid=26150")</f>
        <v>https://ceds.ed.gov/cedselementdetails.aspx?termid=26150</v>
      </c>
    </row>
    <row r="1121" spans="1:13" ht="43.2" x14ac:dyDescent="0.3">
      <c r="A1121" s="16" t="s">
        <v>4307</v>
      </c>
      <c r="B1121" s="16" t="s">
        <v>4308</v>
      </c>
      <c r="C1121" s="16" t="s">
        <v>32</v>
      </c>
      <c r="D1121" s="16" t="s">
        <v>13049</v>
      </c>
      <c r="E1121" s="16"/>
      <c r="F1121" s="16" t="s">
        <v>1481</v>
      </c>
      <c r="G1121" s="16"/>
      <c r="H1121" s="16"/>
      <c r="I1121" s="19" t="s">
        <v>4309</v>
      </c>
      <c r="J1121" s="16"/>
      <c r="K1121" s="16" t="s">
        <v>4310</v>
      </c>
      <c r="L1121" s="16" t="s">
        <v>195</v>
      </c>
      <c r="M1121" s="16" t="str">
        <f>HYPERLINK("https://ceds.ed.gov/cedselementdetails.aspx?termid=26796")</f>
        <v>https://ceds.ed.gov/cedselementdetails.aspx?termid=26796</v>
      </c>
    </row>
    <row r="1122" spans="1:13" ht="57.6" x14ac:dyDescent="0.3">
      <c r="A1122" s="16" t="s">
        <v>4311</v>
      </c>
      <c r="B1122" s="16" t="s">
        <v>4312</v>
      </c>
      <c r="C1122" s="16" t="s">
        <v>32</v>
      </c>
      <c r="D1122" s="16" t="s">
        <v>8492</v>
      </c>
      <c r="E1122" s="16"/>
      <c r="F1122" s="16" t="s">
        <v>1481</v>
      </c>
      <c r="G1122" s="16"/>
      <c r="H1122" s="16"/>
      <c r="I1122" s="19" t="s">
        <v>4313</v>
      </c>
      <c r="J1122" s="16"/>
      <c r="K1122" s="16" t="s">
        <v>4314</v>
      </c>
      <c r="L1122" s="16" t="s">
        <v>3007</v>
      </c>
      <c r="M1122" s="16" t="str">
        <f>HYPERLINK("https://ceds.ed.gov/cedselementdetails.aspx?termid=26353")</f>
        <v>https://ceds.ed.gov/cedselementdetails.aspx?termid=26353</v>
      </c>
    </row>
    <row r="1123" spans="1:13" ht="43.2" x14ac:dyDescent="0.3">
      <c r="A1123" s="16" t="s">
        <v>4315</v>
      </c>
      <c r="B1123" s="16" t="s">
        <v>4316</v>
      </c>
      <c r="C1123" s="16" t="s">
        <v>32</v>
      </c>
      <c r="D1123" s="16" t="s">
        <v>13049</v>
      </c>
      <c r="E1123" s="16"/>
      <c r="F1123" s="16" t="s">
        <v>1481</v>
      </c>
      <c r="G1123" s="16"/>
      <c r="H1123" s="16"/>
      <c r="I1123" s="19" t="s">
        <v>4317</v>
      </c>
      <c r="J1123" s="16"/>
      <c r="K1123" s="16" t="s">
        <v>4318</v>
      </c>
      <c r="L1123" s="16" t="s">
        <v>195</v>
      </c>
      <c r="M1123" s="16" t="str">
        <f>HYPERLINK("https://ceds.ed.gov/cedselementdetails.aspx?termid=26795")</f>
        <v>https://ceds.ed.gov/cedselementdetails.aspx?termid=26795</v>
      </c>
    </row>
    <row r="1124" spans="1:13" ht="316.8" x14ac:dyDescent="0.3">
      <c r="A1124" s="16" t="s">
        <v>4319</v>
      </c>
      <c r="B1124" s="16" t="s">
        <v>4320</v>
      </c>
      <c r="C1124" s="16" t="s">
        <v>8627</v>
      </c>
      <c r="D1124" s="16" t="s">
        <v>4321</v>
      </c>
      <c r="E1124" s="16"/>
      <c r="F1124" s="16"/>
      <c r="G1124" s="16"/>
      <c r="H1124" s="16" t="s">
        <v>4322</v>
      </c>
      <c r="I1124" s="19" t="s">
        <v>4323</v>
      </c>
      <c r="J1124" s="16"/>
      <c r="K1124" s="16" t="s">
        <v>4324</v>
      </c>
      <c r="L1124" s="16"/>
      <c r="M1124" s="16" t="str">
        <f>HYPERLINK("https://ceds.ed.gov/cedselementdetails.aspx?termid=27714")</f>
        <v>https://ceds.ed.gov/cedselementdetails.aspx?termid=27714</v>
      </c>
    </row>
    <row r="1125" spans="1:13" ht="158.4" x14ac:dyDescent="0.3">
      <c r="A1125" s="16" t="s">
        <v>4325</v>
      </c>
      <c r="B1125" s="16" t="s">
        <v>4326</v>
      </c>
      <c r="C1125" s="16" t="s">
        <v>8628</v>
      </c>
      <c r="D1125" s="16" t="s">
        <v>3128</v>
      </c>
      <c r="E1125" s="16"/>
      <c r="F1125" s="16"/>
      <c r="G1125" s="16"/>
      <c r="H1125" s="16"/>
      <c r="I1125" s="19" t="s">
        <v>4327</v>
      </c>
      <c r="J1125" s="16"/>
      <c r="K1125" s="16" t="s">
        <v>4328</v>
      </c>
      <c r="L1125" s="16" t="s">
        <v>214</v>
      </c>
      <c r="M1125" s="16" t="str">
        <f>HYPERLINK("https://ceds.ed.gov/cedselementdetails.aspx?termid=26547")</f>
        <v>https://ceds.ed.gov/cedselementdetails.aspx?termid=26547</v>
      </c>
    </row>
    <row r="1126" spans="1:13" ht="230.4" x14ac:dyDescent="0.3">
      <c r="A1126" s="16" t="s">
        <v>4329</v>
      </c>
      <c r="B1126" s="16" t="s">
        <v>4330</v>
      </c>
      <c r="C1126" s="16" t="s">
        <v>8629</v>
      </c>
      <c r="D1126" s="16" t="s">
        <v>8630</v>
      </c>
      <c r="E1126" s="16"/>
      <c r="F1126" s="16"/>
      <c r="G1126" s="16"/>
      <c r="H1126" s="16"/>
      <c r="I1126" s="19" t="s">
        <v>4331</v>
      </c>
      <c r="J1126" s="16"/>
      <c r="K1126" s="16" t="s">
        <v>4332</v>
      </c>
      <c r="L1126" s="16" t="s">
        <v>214</v>
      </c>
      <c r="M1126" s="16" t="str">
        <f>HYPERLINK("https://ceds.ed.gov/cedselementdetails.aspx?termid=26550")</f>
        <v>https://ceds.ed.gov/cedselementdetails.aspx?termid=26550</v>
      </c>
    </row>
    <row r="1127" spans="1:13" ht="172.8" x14ac:dyDescent="0.3">
      <c r="A1127" s="16" t="s">
        <v>4333</v>
      </c>
      <c r="B1127" s="16" t="s">
        <v>4334</v>
      </c>
      <c r="C1127" s="16" t="s">
        <v>8631</v>
      </c>
      <c r="D1127" s="16" t="s">
        <v>4335</v>
      </c>
      <c r="E1127" s="16"/>
      <c r="F1127" s="16"/>
      <c r="G1127" s="16"/>
      <c r="H1127" s="16"/>
      <c r="I1127" s="19" t="s">
        <v>4336</v>
      </c>
      <c r="J1127" s="16"/>
      <c r="K1127" s="16" t="s">
        <v>4337</v>
      </c>
      <c r="L1127" s="16" t="s">
        <v>214</v>
      </c>
      <c r="M1127" s="16" t="str">
        <f>HYPERLINK("https://ceds.ed.gov/cedselementdetails.aspx?termid=26526")</f>
        <v>https://ceds.ed.gov/cedselementdetails.aspx?termid=26526</v>
      </c>
    </row>
    <row r="1128" spans="1:13" ht="273.60000000000002" x14ac:dyDescent="0.3">
      <c r="A1128" s="16" t="s">
        <v>4338</v>
      </c>
      <c r="B1128" s="16" t="s">
        <v>4339</v>
      </c>
      <c r="C1128" s="16" t="s">
        <v>8632</v>
      </c>
      <c r="D1128" s="16" t="s">
        <v>3422</v>
      </c>
      <c r="E1128" s="16"/>
      <c r="F1128" s="16"/>
      <c r="G1128" s="16"/>
      <c r="H1128" s="16"/>
      <c r="I1128" s="19" t="s">
        <v>4340</v>
      </c>
      <c r="J1128" s="16"/>
      <c r="K1128" s="16" t="s">
        <v>4341</v>
      </c>
      <c r="L1128" s="16"/>
      <c r="M1128" s="16" t="str">
        <f>HYPERLINK("https://ceds.ed.gov/cedselementdetails.aspx?termid=27710")</f>
        <v>https://ceds.ed.gov/cedselementdetails.aspx?termid=27710</v>
      </c>
    </row>
    <row r="1129" spans="1:13" ht="57.6" x14ac:dyDescent="0.3">
      <c r="A1129" s="16" t="s">
        <v>4342</v>
      </c>
      <c r="B1129" s="16" t="s">
        <v>4343</v>
      </c>
      <c r="C1129" s="16" t="s">
        <v>8633</v>
      </c>
      <c r="D1129" s="16" t="s">
        <v>8059</v>
      </c>
      <c r="E1129" s="16"/>
      <c r="F1129" s="16"/>
      <c r="G1129" s="16"/>
      <c r="H1129" s="16"/>
      <c r="I1129" s="19" t="s">
        <v>4344</v>
      </c>
      <c r="J1129" s="16"/>
      <c r="K1129" s="16" t="s">
        <v>4345</v>
      </c>
      <c r="L1129" s="16"/>
      <c r="M1129" s="16" t="str">
        <f>HYPERLINK("https://ceds.ed.gov/cedselementdetails.aspx?termid=27473")</f>
        <v>https://ceds.ed.gov/cedselementdetails.aspx?termid=27473</v>
      </c>
    </row>
    <row r="1130" spans="1:13" ht="230.4" x14ac:dyDescent="0.3">
      <c r="A1130" s="16" t="s">
        <v>4346</v>
      </c>
      <c r="B1130" s="16" t="s">
        <v>4347</v>
      </c>
      <c r="C1130" s="16" t="s">
        <v>22</v>
      </c>
      <c r="D1130" s="16" t="s">
        <v>8508</v>
      </c>
      <c r="E1130" s="16"/>
      <c r="F1130" s="16"/>
      <c r="G1130" s="16"/>
      <c r="H1130" s="16"/>
      <c r="I1130" s="19" t="s">
        <v>4348</v>
      </c>
      <c r="J1130" s="16"/>
      <c r="K1130" s="16" t="s">
        <v>4349</v>
      </c>
      <c r="L1130" s="16" t="s">
        <v>4350</v>
      </c>
      <c r="M1130" s="16" t="str">
        <f>HYPERLINK("https://ceds.ed.gov/cedselementdetails.aspx?termid=26151")</f>
        <v>https://ceds.ed.gov/cedselementdetails.aspx?termid=26151</v>
      </c>
    </row>
    <row r="1131" spans="1:13" ht="72" x14ac:dyDescent="0.3">
      <c r="A1131" s="16" t="s">
        <v>4351</v>
      </c>
      <c r="B1131" s="16" t="s">
        <v>4352</v>
      </c>
      <c r="C1131" s="16" t="s">
        <v>8634</v>
      </c>
      <c r="D1131" s="16" t="s">
        <v>3123</v>
      </c>
      <c r="E1131" s="16"/>
      <c r="F1131" s="16"/>
      <c r="G1131" s="16"/>
      <c r="H1131" s="16"/>
      <c r="I1131" s="19" t="s">
        <v>4353</v>
      </c>
      <c r="J1131" s="16"/>
      <c r="K1131" s="16" t="s">
        <v>4354</v>
      </c>
      <c r="L1131" s="16" t="s">
        <v>214</v>
      </c>
      <c r="M1131" s="16" t="str">
        <f>HYPERLINK("https://ceds.ed.gov/cedselementdetails.aspx?termid=26532")</f>
        <v>https://ceds.ed.gov/cedselementdetails.aspx?termid=26532</v>
      </c>
    </row>
    <row r="1132" spans="1:13" ht="57.6" x14ac:dyDescent="0.3">
      <c r="A1132" s="16" t="s">
        <v>4355</v>
      </c>
      <c r="B1132" s="16" t="s">
        <v>4356</v>
      </c>
      <c r="C1132" s="16" t="s">
        <v>8635</v>
      </c>
      <c r="D1132" s="16" t="s">
        <v>3123</v>
      </c>
      <c r="E1132" s="16"/>
      <c r="F1132" s="16"/>
      <c r="G1132" s="16"/>
      <c r="H1132" s="16"/>
      <c r="I1132" s="19" t="s">
        <v>4357</v>
      </c>
      <c r="J1132" s="16"/>
      <c r="K1132" s="16" t="s">
        <v>4358</v>
      </c>
      <c r="L1132" s="16" t="s">
        <v>214</v>
      </c>
      <c r="M1132" s="16" t="str">
        <f>HYPERLINK("https://ceds.ed.gov/cedselementdetails.aspx?termid=26530")</f>
        <v>https://ceds.ed.gov/cedselementdetails.aspx?termid=26530</v>
      </c>
    </row>
    <row r="1133" spans="1:13" ht="43.2" x14ac:dyDescent="0.3">
      <c r="A1133" s="16" t="s">
        <v>4359</v>
      </c>
      <c r="B1133" s="16" t="s">
        <v>4360</v>
      </c>
      <c r="C1133" s="16" t="s">
        <v>22</v>
      </c>
      <c r="D1133" s="16" t="s">
        <v>7934</v>
      </c>
      <c r="E1133" s="16"/>
      <c r="F1133" s="16"/>
      <c r="G1133" s="16"/>
      <c r="H1133" s="16"/>
      <c r="I1133" s="19" t="s">
        <v>4361</v>
      </c>
      <c r="J1133" s="16"/>
      <c r="K1133" s="16" t="s">
        <v>4362</v>
      </c>
      <c r="L1133" s="16"/>
      <c r="M1133" s="16" t="str">
        <f>HYPERLINK("https://ceds.ed.gov/cedselementdetails.aspx?termid=27327")</f>
        <v>https://ceds.ed.gov/cedselementdetails.aspx?termid=27327</v>
      </c>
    </row>
    <row r="1134" spans="1:13" ht="72" x14ac:dyDescent="0.3">
      <c r="A1134" s="16" t="s">
        <v>4363</v>
      </c>
      <c r="B1134" s="16" t="s">
        <v>4364</v>
      </c>
      <c r="C1134" s="16" t="s">
        <v>8636</v>
      </c>
      <c r="D1134" s="16" t="s">
        <v>8059</v>
      </c>
      <c r="E1134" s="16"/>
      <c r="F1134" s="16"/>
      <c r="G1134" s="16"/>
      <c r="H1134" s="16" t="s">
        <v>8060</v>
      </c>
      <c r="I1134" s="19" t="s">
        <v>4365</v>
      </c>
      <c r="J1134" s="16"/>
      <c r="K1134" s="16" t="s">
        <v>4366</v>
      </c>
      <c r="L1134" s="16"/>
      <c r="M1134" s="16" t="str">
        <f>HYPERLINK("https://ceds.ed.gov/cedselementdetails.aspx?termid=27637")</f>
        <v>https://ceds.ed.gov/cedselementdetails.aspx?termid=27637</v>
      </c>
    </row>
    <row r="1135" spans="1:13" ht="72" x14ac:dyDescent="0.3">
      <c r="A1135" s="16" t="s">
        <v>4367</v>
      </c>
      <c r="B1135" s="16" t="s">
        <v>4368</v>
      </c>
      <c r="C1135" s="16" t="s">
        <v>32</v>
      </c>
      <c r="D1135" s="16" t="s">
        <v>7934</v>
      </c>
      <c r="E1135" s="16"/>
      <c r="F1135" s="16" t="s">
        <v>106</v>
      </c>
      <c r="G1135" s="16"/>
      <c r="H1135" s="16"/>
      <c r="I1135" s="19" t="s">
        <v>4369</v>
      </c>
      <c r="J1135" s="16"/>
      <c r="K1135" s="16" t="s">
        <v>4370</v>
      </c>
      <c r="L1135" s="16"/>
      <c r="M1135" s="16" t="str">
        <f>HYPERLINK("https://ceds.ed.gov/cedselementdetails.aspx?termid=27472")</f>
        <v>https://ceds.ed.gov/cedselementdetails.aspx?termid=27472</v>
      </c>
    </row>
    <row r="1136" spans="1:13" ht="57.6" x14ac:dyDescent="0.3">
      <c r="A1136" s="16" t="s">
        <v>4371</v>
      </c>
      <c r="B1136" s="16" t="s">
        <v>4372</v>
      </c>
      <c r="C1136" s="16" t="s">
        <v>32</v>
      </c>
      <c r="D1136" s="16" t="s">
        <v>7934</v>
      </c>
      <c r="E1136" s="16"/>
      <c r="F1136" s="16" t="s">
        <v>106</v>
      </c>
      <c r="G1136" s="16"/>
      <c r="H1136" s="16"/>
      <c r="I1136" s="19" t="s">
        <v>4373</v>
      </c>
      <c r="J1136" s="16"/>
      <c r="K1136" s="16" t="s">
        <v>4374</v>
      </c>
      <c r="L1136" s="16"/>
      <c r="M1136" s="16" t="str">
        <f>HYPERLINK("https://ceds.ed.gov/cedselementdetails.aspx?termid=27331")</f>
        <v>https://ceds.ed.gov/cedselementdetails.aspx?termid=27331</v>
      </c>
    </row>
    <row r="1137" spans="1:13" ht="57.6" x14ac:dyDescent="0.3">
      <c r="A1137" s="16" t="s">
        <v>4375</v>
      </c>
      <c r="B1137" s="16" t="s">
        <v>4376</v>
      </c>
      <c r="C1137" s="16" t="s">
        <v>22</v>
      </c>
      <c r="D1137" s="16" t="s">
        <v>7934</v>
      </c>
      <c r="E1137" s="16"/>
      <c r="F1137" s="16"/>
      <c r="G1137" s="16"/>
      <c r="H1137" s="16"/>
      <c r="I1137" s="19" t="s">
        <v>4377</v>
      </c>
      <c r="J1137" s="16"/>
      <c r="K1137" s="16" t="s">
        <v>4378</v>
      </c>
      <c r="L1137" s="16"/>
      <c r="M1137" s="16" t="str">
        <f>HYPERLINK("https://ceds.ed.gov/cedselementdetails.aspx?termid=27330")</f>
        <v>https://ceds.ed.gov/cedselementdetails.aspx?termid=27330</v>
      </c>
    </row>
    <row r="1138" spans="1:13" ht="273.60000000000002" x14ac:dyDescent="0.3">
      <c r="A1138" s="16" t="s">
        <v>12773</v>
      </c>
      <c r="B1138" s="16" t="s">
        <v>12774</v>
      </c>
      <c r="C1138" s="16" t="s">
        <v>12907</v>
      </c>
      <c r="D1138" s="16" t="s">
        <v>12908</v>
      </c>
      <c r="E1138" s="16" t="s">
        <v>155</v>
      </c>
      <c r="F1138" s="16" t="s">
        <v>2</v>
      </c>
      <c r="G1138" s="16" t="s">
        <v>12636</v>
      </c>
      <c r="H1138" s="16" t="s">
        <v>12775</v>
      </c>
      <c r="I1138" s="19" t="s">
        <v>12776</v>
      </c>
      <c r="J1138" s="16"/>
      <c r="K1138" s="16" t="s">
        <v>12777</v>
      </c>
      <c r="L1138" s="16"/>
      <c r="M1138" s="16" t="str">
        <f>HYPERLINK("https://ceds.ed.gov/cedselementdetails.aspx?termid=28098")</f>
        <v>https://ceds.ed.gov/cedselementdetails.aspx?termid=28098</v>
      </c>
    </row>
    <row r="1139" spans="1:13" ht="86.4" x14ac:dyDescent="0.3">
      <c r="A1139" s="16" t="s">
        <v>4379</v>
      </c>
      <c r="B1139" s="16" t="s">
        <v>4380</v>
      </c>
      <c r="C1139" s="16" t="s">
        <v>32</v>
      </c>
      <c r="D1139" s="16" t="s">
        <v>4381</v>
      </c>
      <c r="E1139" s="16"/>
      <c r="F1139" s="16" t="s">
        <v>316</v>
      </c>
      <c r="G1139" s="16"/>
      <c r="H1139" s="16"/>
      <c r="I1139" s="19" t="s">
        <v>4382</v>
      </c>
      <c r="J1139" s="16"/>
      <c r="K1139" s="16" t="s">
        <v>4383</v>
      </c>
      <c r="L1139" s="16"/>
      <c r="M1139" s="16" t="str">
        <f>HYPERLINK("https://ceds.ed.gov/cedselementdetails.aspx?termid=27685")</f>
        <v>https://ceds.ed.gov/cedselementdetails.aspx?termid=27685</v>
      </c>
    </row>
    <row r="1140" spans="1:13" ht="72" x14ac:dyDescent="0.3">
      <c r="A1140" s="16" t="s">
        <v>4384</v>
      </c>
      <c r="B1140" s="16" t="s">
        <v>4385</v>
      </c>
      <c r="C1140" s="16" t="s">
        <v>8364</v>
      </c>
      <c r="D1140" s="16" t="s">
        <v>527</v>
      </c>
      <c r="E1140" s="16"/>
      <c r="F1140" s="16"/>
      <c r="G1140" s="16"/>
      <c r="H1140" s="16"/>
      <c r="I1140" s="19" t="s">
        <v>4386</v>
      </c>
      <c r="J1140" s="16"/>
      <c r="K1140" s="16" t="s">
        <v>4387</v>
      </c>
      <c r="L1140" s="16"/>
      <c r="M1140" s="16" t="str">
        <f>HYPERLINK("https://ceds.ed.gov/cedselementdetails.aspx?termid=27141")</f>
        <v>https://ceds.ed.gov/cedselementdetails.aspx?termid=27141</v>
      </c>
    </row>
    <row r="1141" spans="1:13" x14ac:dyDescent="0.3">
      <c r="A1141" s="16" t="s">
        <v>4388</v>
      </c>
      <c r="B1141" s="16" t="s">
        <v>12998</v>
      </c>
      <c r="C1141" s="16"/>
      <c r="D1141" s="16"/>
      <c r="E1141" s="16"/>
      <c r="F1141" s="16"/>
      <c r="G1141" s="16"/>
      <c r="H1141" s="16"/>
      <c r="I1141" s="19"/>
      <c r="J1141" s="16"/>
      <c r="K1141" s="16"/>
      <c r="L1141" s="16"/>
      <c r="M1141" s="16"/>
    </row>
    <row r="1142" spans="1:13" ht="28.8" x14ac:dyDescent="0.3">
      <c r="A1142" s="16" t="s">
        <v>12999</v>
      </c>
      <c r="B1142" s="16"/>
      <c r="C1142" s="16"/>
      <c r="D1142" s="16"/>
      <c r="E1142" s="16"/>
      <c r="F1142" s="16"/>
      <c r="G1142" s="16"/>
      <c r="H1142" s="16"/>
      <c r="I1142" s="19"/>
      <c r="J1142" s="16"/>
      <c r="K1142" s="16"/>
      <c r="L1142" s="16"/>
      <c r="M1142" s="16"/>
    </row>
    <row r="1143" spans="1:13" ht="28.8" x14ac:dyDescent="0.3">
      <c r="A1143" s="16" t="s">
        <v>13000</v>
      </c>
      <c r="B1143" s="16" t="s">
        <v>32</v>
      </c>
      <c r="C1143" s="16" t="s">
        <v>4389</v>
      </c>
      <c r="D1143" s="16"/>
      <c r="E1143" s="16" t="s">
        <v>316</v>
      </c>
      <c r="F1143" s="16"/>
      <c r="G1143" s="16"/>
      <c r="H1143" s="16">
        <v>1687</v>
      </c>
      <c r="I1143" s="19"/>
      <c r="J1143" s="16" t="s">
        <v>4390</v>
      </c>
      <c r="K1143" s="16"/>
      <c r="L1143" s="16" t="str">
        <f>HYPERLINK("https://ceds.ed.gov/cedselementdetails.aspx?termid=27668")</f>
        <v>https://ceds.ed.gov/cedselementdetails.aspx?termid=27668</v>
      </c>
      <c r="M1143" s="16"/>
    </row>
    <row r="1144" spans="1:13" ht="115.2" x14ac:dyDescent="0.3">
      <c r="A1144" s="16" t="s">
        <v>4391</v>
      </c>
      <c r="B1144" s="16" t="s">
        <v>4392</v>
      </c>
      <c r="C1144" s="16" t="s">
        <v>8637</v>
      </c>
      <c r="D1144" s="16" t="s">
        <v>1443</v>
      </c>
      <c r="E1144" s="16"/>
      <c r="F1144" s="16"/>
      <c r="G1144" s="16"/>
      <c r="H1144" s="16"/>
      <c r="I1144" s="19" t="s">
        <v>4393</v>
      </c>
      <c r="J1144" s="16"/>
      <c r="K1144" s="16" t="s">
        <v>4394</v>
      </c>
      <c r="L1144" s="16"/>
      <c r="M1144" s="16" t="str">
        <f>HYPERLINK("https://ceds.ed.gov/cedselementdetails.aspx?termid=27700")</f>
        <v>https://ceds.ed.gov/cedselementdetails.aspx?termid=27700</v>
      </c>
    </row>
    <row r="1145" spans="1:13" ht="28.8" x14ac:dyDescent="0.3">
      <c r="A1145" s="16" t="s">
        <v>4395</v>
      </c>
      <c r="B1145" s="16" t="s">
        <v>4396</v>
      </c>
      <c r="C1145" s="16" t="s">
        <v>32</v>
      </c>
      <c r="D1145" s="16" t="s">
        <v>1443</v>
      </c>
      <c r="E1145" s="16"/>
      <c r="F1145" s="16" t="s">
        <v>316</v>
      </c>
      <c r="G1145" s="16"/>
      <c r="H1145" s="16"/>
      <c r="I1145" s="19" t="s">
        <v>4397</v>
      </c>
      <c r="J1145" s="16"/>
      <c r="K1145" s="16" t="s">
        <v>4398</v>
      </c>
      <c r="L1145" s="16"/>
      <c r="M1145" s="16" t="str">
        <f>HYPERLINK("https://ceds.ed.gov/cedselementdetails.aspx?termid=27704")</f>
        <v>https://ceds.ed.gov/cedselementdetails.aspx?termid=27704</v>
      </c>
    </row>
    <row r="1146" spans="1:13" ht="28.8" x14ac:dyDescent="0.3">
      <c r="A1146" s="16" t="s">
        <v>4399</v>
      </c>
      <c r="B1146" s="16" t="s">
        <v>4400</v>
      </c>
      <c r="C1146" s="16" t="s">
        <v>32</v>
      </c>
      <c r="D1146" s="16" t="s">
        <v>1443</v>
      </c>
      <c r="E1146" s="16"/>
      <c r="F1146" s="16" t="s">
        <v>316</v>
      </c>
      <c r="G1146" s="16"/>
      <c r="H1146" s="16"/>
      <c r="I1146" s="19" t="s">
        <v>4401</v>
      </c>
      <c r="J1146" s="16"/>
      <c r="K1146" s="16" t="s">
        <v>4402</v>
      </c>
      <c r="L1146" s="16"/>
      <c r="M1146" s="16" t="str">
        <f>HYPERLINK("https://ceds.ed.gov/cedselementdetails.aspx?termid=27705")</f>
        <v>https://ceds.ed.gov/cedselementdetails.aspx?termid=27705</v>
      </c>
    </row>
    <row r="1147" spans="1:13" ht="43.2" x14ac:dyDescent="0.3">
      <c r="A1147" s="16" t="s">
        <v>4403</v>
      </c>
      <c r="B1147" s="16" t="s">
        <v>4404</v>
      </c>
      <c r="C1147" s="16" t="s">
        <v>8638</v>
      </c>
      <c r="D1147" s="16" t="s">
        <v>3422</v>
      </c>
      <c r="E1147" s="16"/>
      <c r="F1147" s="16"/>
      <c r="G1147" s="16"/>
      <c r="H1147" s="16"/>
      <c r="I1147" s="19" t="s">
        <v>4405</v>
      </c>
      <c r="J1147" s="16"/>
      <c r="K1147" s="16" t="s">
        <v>4406</v>
      </c>
      <c r="L1147" s="16"/>
      <c r="M1147" s="16" t="str">
        <f>HYPERLINK("https://ceds.ed.gov/cedselementdetails.aspx?termid=27709")</f>
        <v>https://ceds.ed.gov/cedselementdetails.aspx?termid=27709</v>
      </c>
    </row>
    <row r="1148" spans="1:13" ht="57.6" x14ac:dyDescent="0.3">
      <c r="A1148" s="16" t="s">
        <v>4407</v>
      </c>
      <c r="B1148" s="16" t="s">
        <v>4408</v>
      </c>
      <c r="C1148" s="16" t="s">
        <v>8639</v>
      </c>
      <c r="D1148" s="16" t="s">
        <v>4066</v>
      </c>
      <c r="E1148" s="16"/>
      <c r="F1148" s="16"/>
      <c r="G1148" s="16"/>
      <c r="H1148" s="16"/>
      <c r="I1148" s="19" t="s">
        <v>4409</v>
      </c>
      <c r="J1148" s="16"/>
      <c r="K1148" s="16" t="s">
        <v>4410</v>
      </c>
      <c r="L1148" s="16"/>
      <c r="M1148" s="16" t="str">
        <f>HYPERLINK("https://ceds.ed.gov/cedselementdetails.aspx?termid=27679")</f>
        <v>https://ceds.ed.gov/cedselementdetails.aspx?termid=27679</v>
      </c>
    </row>
    <row r="1149" spans="1:13" ht="28.8" x14ac:dyDescent="0.3">
      <c r="A1149" s="16" t="s">
        <v>4411</v>
      </c>
      <c r="B1149" s="16" t="s">
        <v>4412</v>
      </c>
      <c r="C1149" s="16" t="s">
        <v>32</v>
      </c>
      <c r="D1149" s="16" t="s">
        <v>4413</v>
      </c>
      <c r="E1149" s="16"/>
      <c r="F1149" s="16" t="s">
        <v>316</v>
      </c>
      <c r="G1149" s="16"/>
      <c r="H1149" s="16"/>
      <c r="I1149" s="19" t="s">
        <v>4414</v>
      </c>
      <c r="J1149" s="16"/>
      <c r="K1149" s="16" t="s">
        <v>4415</v>
      </c>
      <c r="L1149" s="16"/>
      <c r="M1149" s="16" t="str">
        <f>HYPERLINK("https://ceds.ed.gov/cedselementdetails.aspx?termid=27686")</f>
        <v>https://ceds.ed.gov/cedselementdetails.aspx?termid=27686</v>
      </c>
    </row>
    <row r="1150" spans="1:13" ht="28.8" x14ac:dyDescent="0.3">
      <c r="A1150" s="16" t="s">
        <v>4416</v>
      </c>
      <c r="B1150" s="16" t="s">
        <v>4417</v>
      </c>
      <c r="C1150" s="16" t="s">
        <v>32</v>
      </c>
      <c r="D1150" s="16" t="s">
        <v>4413</v>
      </c>
      <c r="E1150" s="16"/>
      <c r="F1150" s="16" t="s">
        <v>316</v>
      </c>
      <c r="G1150" s="16"/>
      <c r="H1150" s="16"/>
      <c r="I1150" s="19" t="s">
        <v>4418</v>
      </c>
      <c r="J1150" s="16"/>
      <c r="K1150" s="16" t="s">
        <v>4419</v>
      </c>
      <c r="L1150" s="16"/>
      <c r="M1150" s="16" t="str">
        <f>HYPERLINK("https://ceds.ed.gov/cedselementdetails.aspx?termid=27687")</f>
        <v>https://ceds.ed.gov/cedselementdetails.aspx?termid=27687</v>
      </c>
    </row>
    <row r="1151" spans="1:13" ht="43.2" x14ac:dyDescent="0.3">
      <c r="A1151" s="16" t="s">
        <v>4420</v>
      </c>
      <c r="B1151" s="16" t="s">
        <v>4421</v>
      </c>
      <c r="C1151" s="16" t="s">
        <v>32</v>
      </c>
      <c r="D1151" s="16" t="s">
        <v>4413</v>
      </c>
      <c r="E1151" s="16"/>
      <c r="F1151" s="16" t="s">
        <v>316</v>
      </c>
      <c r="G1151" s="16"/>
      <c r="H1151" s="16"/>
      <c r="I1151" s="19" t="s">
        <v>4422</v>
      </c>
      <c r="J1151" s="16"/>
      <c r="K1151" s="16" t="s">
        <v>4423</v>
      </c>
      <c r="L1151" s="16"/>
      <c r="M1151" s="16" t="str">
        <f>HYPERLINK("https://ceds.ed.gov/cedselementdetails.aspx?termid=27688")</f>
        <v>https://ceds.ed.gov/cedselementdetails.aspx?termid=27688</v>
      </c>
    </row>
    <row r="1152" spans="1:13" ht="43.2" x14ac:dyDescent="0.3">
      <c r="A1152" s="16" t="s">
        <v>4424</v>
      </c>
      <c r="B1152" s="16" t="s">
        <v>4425</v>
      </c>
      <c r="C1152" s="16" t="s">
        <v>32</v>
      </c>
      <c r="D1152" s="16" t="s">
        <v>4413</v>
      </c>
      <c r="E1152" s="16"/>
      <c r="F1152" s="16" t="s">
        <v>316</v>
      </c>
      <c r="G1152" s="16"/>
      <c r="H1152" s="16"/>
      <c r="I1152" s="19" t="s">
        <v>4426</v>
      </c>
      <c r="J1152" s="16"/>
      <c r="K1152" s="16" t="s">
        <v>4427</v>
      </c>
      <c r="L1152" s="16"/>
      <c r="M1152" s="16" t="str">
        <f>HYPERLINK("https://ceds.ed.gov/cedselementdetails.aspx?termid=27691")</f>
        <v>https://ceds.ed.gov/cedselementdetails.aspx?termid=27691</v>
      </c>
    </row>
    <row r="1153" spans="1:13" ht="43.2" x14ac:dyDescent="0.3">
      <c r="A1153" s="16" t="s">
        <v>4428</v>
      </c>
      <c r="B1153" s="16" t="s">
        <v>4429</v>
      </c>
      <c r="C1153" s="16" t="s">
        <v>32</v>
      </c>
      <c r="D1153" s="16" t="s">
        <v>4413</v>
      </c>
      <c r="E1153" s="16"/>
      <c r="F1153" s="16" t="s">
        <v>316</v>
      </c>
      <c r="G1153" s="16"/>
      <c r="H1153" s="16"/>
      <c r="I1153" s="19" t="s">
        <v>4430</v>
      </c>
      <c r="J1153" s="16"/>
      <c r="K1153" s="16" t="s">
        <v>4431</v>
      </c>
      <c r="L1153" s="16"/>
      <c r="M1153" s="16" t="str">
        <f>HYPERLINK("https://ceds.ed.gov/cedselementdetails.aspx?termid=27689")</f>
        <v>https://ceds.ed.gov/cedselementdetails.aspx?termid=27689</v>
      </c>
    </row>
    <row r="1154" spans="1:13" ht="43.2" x14ac:dyDescent="0.3">
      <c r="A1154" s="16" t="s">
        <v>4432</v>
      </c>
      <c r="B1154" s="16" t="s">
        <v>4433</v>
      </c>
      <c r="C1154" s="16" t="s">
        <v>32</v>
      </c>
      <c r="D1154" s="16" t="s">
        <v>4413</v>
      </c>
      <c r="E1154" s="16"/>
      <c r="F1154" s="16" t="s">
        <v>316</v>
      </c>
      <c r="G1154" s="16"/>
      <c r="H1154" s="16"/>
      <c r="I1154" s="19" t="s">
        <v>4434</v>
      </c>
      <c r="J1154" s="16"/>
      <c r="K1154" s="16" t="s">
        <v>4435</v>
      </c>
      <c r="L1154" s="16"/>
      <c r="M1154" s="16" t="str">
        <f>HYPERLINK("https://ceds.ed.gov/cedselementdetails.aspx?termid=27692")</f>
        <v>https://ceds.ed.gov/cedselementdetails.aspx?termid=27692</v>
      </c>
    </row>
    <row r="1155" spans="1:13" ht="28.8" x14ac:dyDescent="0.3">
      <c r="A1155" s="16" t="s">
        <v>4436</v>
      </c>
      <c r="B1155" s="16" t="s">
        <v>4437</v>
      </c>
      <c r="C1155" s="16" t="s">
        <v>32</v>
      </c>
      <c r="D1155" s="16" t="s">
        <v>4413</v>
      </c>
      <c r="E1155" s="16"/>
      <c r="F1155" s="16" t="s">
        <v>316</v>
      </c>
      <c r="G1155" s="16"/>
      <c r="H1155" s="16"/>
      <c r="I1155" s="19" t="s">
        <v>4438</v>
      </c>
      <c r="J1155" s="16"/>
      <c r="K1155" s="16" t="s">
        <v>4439</v>
      </c>
      <c r="L1155" s="16"/>
      <c r="M1155" s="16" t="str">
        <f>HYPERLINK("https://ceds.ed.gov/cedselementdetails.aspx?termid=27690")</f>
        <v>https://ceds.ed.gov/cedselementdetails.aspx?termid=27690</v>
      </c>
    </row>
    <row r="1156" spans="1:13" ht="129.6" x14ac:dyDescent="0.3">
      <c r="A1156" s="16" t="s">
        <v>4440</v>
      </c>
      <c r="B1156" s="16" t="s">
        <v>4441</v>
      </c>
      <c r="C1156" s="16" t="s">
        <v>32</v>
      </c>
      <c r="D1156" s="16" t="s">
        <v>4442</v>
      </c>
      <c r="E1156" s="16"/>
      <c r="F1156" s="16" t="s">
        <v>316</v>
      </c>
      <c r="G1156" s="16"/>
      <c r="H1156" s="16"/>
      <c r="I1156" s="19" t="s">
        <v>4443</v>
      </c>
      <c r="J1156" s="16"/>
      <c r="K1156" s="16" t="s">
        <v>4444</v>
      </c>
      <c r="L1156" s="16"/>
      <c r="M1156" s="16" t="str">
        <f>HYPERLINK("https://ceds.ed.gov/cedselementdetails.aspx?termid=27663")</f>
        <v>https://ceds.ed.gov/cedselementdetails.aspx?termid=27663</v>
      </c>
    </row>
    <row r="1157" spans="1:13" ht="72" x14ac:dyDescent="0.3">
      <c r="A1157" s="16" t="s">
        <v>4445</v>
      </c>
      <c r="B1157" s="16" t="s">
        <v>4446</v>
      </c>
      <c r="C1157" s="16" t="s">
        <v>32</v>
      </c>
      <c r="D1157" s="16" t="s">
        <v>8640</v>
      </c>
      <c r="E1157" s="16"/>
      <c r="F1157" s="16" t="s">
        <v>106</v>
      </c>
      <c r="G1157" s="16"/>
      <c r="H1157" s="16"/>
      <c r="I1157" s="19" t="s">
        <v>4447</v>
      </c>
      <c r="J1157" s="16"/>
      <c r="K1157" s="16" t="s">
        <v>4448</v>
      </c>
      <c r="L1157" s="16" t="s">
        <v>4449</v>
      </c>
      <c r="M1157" s="16" t="str">
        <f>HYPERLINK("https://ceds.ed.gov/cedselementdetails.aspx?termid=26306")</f>
        <v>https://ceds.ed.gov/cedselementdetails.aspx?termid=26306</v>
      </c>
    </row>
    <row r="1158" spans="1:13" ht="57.6" x14ac:dyDescent="0.3">
      <c r="A1158" s="16" t="s">
        <v>4450</v>
      </c>
      <c r="B1158" s="16" t="s">
        <v>4451</v>
      </c>
      <c r="C1158" s="16" t="s">
        <v>22</v>
      </c>
      <c r="D1158" s="16" t="s">
        <v>7955</v>
      </c>
      <c r="E1158" s="16"/>
      <c r="F1158" s="16"/>
      <c r="G1158" s="16"/>
      <c r="H1158" s="16"/>
      <c r="I1158" s="19" t="s">
        <v>4452</v>
      </c>
      <c r="J1158" s="16"/>
      <c r="K1158" s="16" t="s">
        <v>4453</v>
      </c>
      <c r="L1158" s="16" t="s">
        <v>98</v>
      </c>
      <c r="M1158" s="16" t="str">
        <f>HYPERLINK("https://ceds.ed.gov/cedselementdetails.aspx?termid=26849")</f>
        <v>https://ceds.ed.gov/cedselementdetails.aspx?termid=26849</v>
      </c>
    </row>
    <row r="1159" spans="1:13" ht="43.2" x14ac:dyDescent="0.3">
      <c r="A1159" s="16" t="s">
        <v>4454</v>
      </c>
      <c r="B1159" s="16" t="s">
        <v>4455</v>
      </c>
      <c r="C1159" s="16" t="s">
        <v>22</v>
      </c>
      <c r="D1159" s="16" t="s">
        <v>2437</v>
      </c>
      <c r="E1159" s="16"/>
      <c r="F1159" s="16"/>
      <c r="G1159" s="16"/>
      <c r="H1159" s="16"/>
      <c r="I1159" s="19" t="s">
        <v>4456</v>
      </c>
      <c r="J1159" s="16"/>
      <c r="K1159" s="16" t="s">
        <v>4457</v>
      </c>
      <c r="L1159" s="16" t="s">
        <v>1516</v>
      </c>
      <c r="M1159" s="16" t="str">
        <f>HYPERLINK("https://ceds.ed.gov/cedselementdetails.aspx?termid=26428")</f>
        <v>https://ceds.ed.gov/cedselementdetails.aspx?termid=26428</v>
      </c>
    </row>
    <row r="1160" spans="1:13" ht="316.8" x14ac:dyDescent="0.3">
      <c r="A1160" s="16" t="s">
        <v>4458</v>
      </c>
      <c r="B1160" s="16" t="s">
        <v>4459</v>
      </c>
      <c r="C1160" s="16" t="s">
        <v>8641</v>
      </c>
      <c r="D1160" s="16" t="s">
        <v>8640</v>
      </c>
      <c r="E1160" s="16"/>
      <c r="F1160" s="16"/>
      <c r="G1160" s="16"/>
      <c r="H1160" s="16"/>
      <c r="I1160" s="19" t="s">
        <v>4460</v>
      </c>
      <c r="J1160" s="16"/>
      <c r="K1160" s="16" t="s">
        <v>4461</v>
      </c>
      <c r="L1160" s="16"/>
      <c r="M1160" s="16" t="str">
        <f>HYPERLINK("https://ceds.ed.gov/cedselementdetails.aspx?termid=27214")</f>
        <v>https://ceds.ed.gov/cedselementdetails.aspx?termid=27214</v>
      </c>
    </row>
    <row r="1161" spans="1:13" ht="129.6" x14ac:dyDescent="0.3">
      <c r="A1161" s="16" t="s">
        <v>8991</v>
      </c>
      <c r="B1161" s="16" t="s">
        <v>8992</v>
      </c>
      <c r="C1161" s="16" t="s">
        <v>9292</v>
      </c>
      <c r="D1161" s="16" t="s">
        <v>3974</v>
      </c>
      <c r="E1161" s="16"/>
      <c r="F1161" s="16" t="s">
        <v>2</v>
      </c>
      <c r="G1161" s="16"/>
      <c r="H1161" s="16"/>
      <c r="I1161" s="19" t="s">
        <v>8993</v>
      </c>
      <c r="J1161" s="16"/>
      <c r="K1161" s="16" t="s">
        <v>8994</v>
      </c>
      <c r="L1161" s="16"/>
      <c r="M1161" s="16" t="str">
        <f>HYPERLINK("https://ceds.ed.gov/cedselementdetails.aspx?termid=28024")</f>
        <v>https://ceds.ed.gov/cedselementdetails.aspx?termid=28024</v>
      </c>
    </row>
    <row r="1162" spans="1:13" ht="409.6" x14ac:dyDescent="0.3">
      <c r="A1162" s="16" t="s">
        <v>4462</v>
      </c>
      <c r="B1162" s="16" t="s">
        <v>4463</v>
      </c>
      <c r="C1162" s="16" t="s">
        <v>9430</v>
      </c>
      <c r="D1162" s="16" t="s">
        <v>3974</v>
      </c>
      <c r="E1162" s="16"/>
      <c r="F1162" s="16"/>
      <c r="G1162" s="16"/>
      <c r="H1162" s="16"/>
      <c r="I1162" s="19" t="s">
        <v>4464</v>
      </c>
      <c r="J1162" s="16"/>
      <c r="K1162" s="16" t="s">
        <v>4465</v>
      </c>
      <c r="L1162" s="16"/>
      <c r="M1162" s="16" t="str">
        <f>HYPERLINK("https://ceds.ed.gov/cedselementdetails.aspx?termid=26500")</f>
        <v>https://ceds.ed.gov/cedselementdetails.aspx?termid=26500</v>
      </c>
    </row>
    <row r="1163" spans="1:13" ht="172.8" x14ac:dyDescent="0.3">
      <c r="A1163" s="16" t="s">
        <v>4466</v>
      </c>
      <c r="B1163" s="16" t="s">
        <v>8061</v>
      </c>
      <c r="C1163" s="16" t="s">
        <v>32</v>
      </c>
      <c r="D1163" s="16" t="s">
        <v>3974</v>
      </c>
      <c r="E1163" s="16"/>
      <c r="F1163" s="16" t="s">
        <v>81</v>
      </c>
      <c r="G1163" s="16"/>
      <c r="H1163" s="16"/>
      <c r="I1163" s="19" t="s">
        <v>4467</v>
      </c>
      <c r="J1163" s="16"/>
      <c r="K1163" s="16" t="s">
        <v>4468</v>
      </c>
      <c r="L1163" s="16"/>
      <c r="M1163" s="16" t="str">
        <f>HYPERLINK("https://ceds.ed.gov/cedselementdetails.aspx?termid=26496")</f>
        <v>https://ceds.ed.gov/cedselementdetails.aspx?termid=26496</v>
      </c>
    </row>
    <row r="1164" spans="1:13" ht="28.8" x14ac:dyDescent="0.3">
      <c r="A1164" s="16" t="s">
        <v>4469</v>
      </c>
      <c r="B1164" s="16" t="s">
        <v>4470</v>
      </c>
      <c r="C1164" s="16" t="s">
        <v>32</v>
      </c>
      <c r="D1164" s="16" t="s">
        <v>3974</v>
      </c>
      <c r="E1164" s="16"/>
      <c r="F1164" s="16" t="s">
        <v>106</v>
      </c>
      <c r="G1164" s="16"/>
      <c r="H1164" s="16"/>
      <c r="I1164" s="19" t="s">
        <v>4471</v>
      </c>
      <c r="J1164" s="16"/>
      <c r="K1164" s="16" t="s">
        <v>4472</v>
      </c>
      <c r="L1164" s="16"/>
      <c r="M1164" s="16" t="str">
        <f>HYPERLINK("https://ceds.ed.gov/cedselementdetails.aspx?termid=26493")</f>
        <v>https://ceds.ed.gov/cedselementdetails.aspx?termid=26493</v>
      </c>
    </row>
    <row r="1165" spans="1:13" x14ac:dyDescent="0.3">
      <c r="A1165" s="16" t="s">
        <v>4473</v>
      </c>
      <c r="B1165" s="16" t="s">
        <v>4474</v>
      </c>
      <c r="C1165" s="16" t="s">
        <v>32</v>
      </c>
      <c r="D1165" s="16" t="s">
        <v>3974</v>
      </c>
      <c r="E1165" s="16"/>
      <c r="F1165" s="16" t="s">
        <v>316</v>
      </c>
      <c r="G1165" s="16"/>
      <c r="H1165" s="16"/>
      <c r="I1165" s="19" t="s">
        <v>4475</v>
      </c>
      <c r="J1165" s="16"/>
      <c r="K1165" s="16" t="s">
        <v>4476</v>
      </c>
      <c r="L1165" s="16"/>
      <c r="M1165" s="16" t="str">
        <f>HYPERLINK("https://ceds.ed.gov/cedselementdetails.aspx?termid=26499")</f>
        <v>https://ceds.ed.gov/cedselementdetails.aspx?termid=26499</v>
      </c>
    </row>
    <row r="1166" spans="1:13" ht="172.8" x14ac:dyDescent="0.3">
      <c r="A1166" s="16" t="s">
        <v>4477</v>
      </c>
      <c r="B1166" s="16" t="s">
        <v>4478</v>
      </c>
      <c r="C1166" s="16" t="s">
        <v>32</v>
      </c>
      <c r="D1166" s="16" t="s">
        <v>3974</v>
      </c>
      <c r="E1166" s="16"/>
      <c r="F1166" s="16" t="s">
        <v>120</v>
      </c>
      <c r="G1166" s="16"/>
      <c r="H1166" s="16" t="s">
        <v>7817</v>
      </c>
      <c r="I1166" s="19" t="s">
        <v>4479</v>
      </c>
      <c r="J1166" s="16"/>
      <c r="K1166" s="16" t="s">
        <v>4480</v>
      </c>
      <c r="L1166" s="16"/>
      <c r="M1166" s="16" t="str">
        <f>HYPERLINK("https://ceds.ed.gov/cedselementdetails.aspx?termid=26492")</f>
        <v>https://ceds.ed.gov/cedselementdetails.aspx?termid=26492</v>
      </c>
    </row>
    <row r="1167" spans="1:13" ht="86.4" x14ac:dyDescent="0.3">
      <c r="A1167" s="16" t="s">
        <v>4481</v>
      </c>
      <c r="B1167" s="16" t="s">
        <v>4482</v>
      </c>
      <c r="C1167" s="16" t="s">
        <v>8642</v>
      </c>
      <c r="D1167" s="16" t="s">
        <v>3974</v>
      </c>
      <c r="E1167" s="16"/>
      <c r="F1167" s="16"/>
      <c r="G1167" s="16"/>
      <c r="H1167" s="16" t="s">
        <v>4483</v>
      </c>
      <c r="I1167" s="19" t="s">
        <v>4484</v>
      </c>
      <c r="J1167" s="16"/>
      <c r="K1167" s="16" t="s">
        <v>4485</v>
      </c>
      <c r="L1167" s="16"/>
      <c r="M1167" s="16" t="str">
        <f>HYPERLINK("https://ceds.ed.gov/cedselementdetails.aspx?termid=26501")</f>
        <v>https://ceds.ed.gov/cedselementdetails.aspx?termid=26501</v>
      </c>
    </row>
    <row r="1168" spans="1:13" ht="409.6" x14ac:dyDescent="0.3">
      <c r="A1168" s="16" t="s">
        <v>4486</v>
      </c>
      <c r="B1168" s="16" t="s">
        <v>4487</v>
      </c>
      <c r="C1168" s="16" t="s">
        <v>8643</v>
      </c>
      <c r="D1168" s="16" t="s">
        <v>3974</v>
      </c>
      <c r="E1168" s="16"/>
      <c r="F1168" s="16"/>
      <c r="G1168" s="16"/>
      <c r="H1168" s="16"/>
      <c r="I1168" s="19" t="s">
        <v>4488</v>
      </c>
      <c r="J1168" s="16"/>
      <c r="K1168" s="16" t="s">
        <v>4489</v>
      </c>
      <c r="L1168" s="16"/>
      <c r="M1168" s="16" t="str">
        <f>HYPERLINK("https://ceds.ed.gov/cedselementdetails.aspx?termid=26610")</f>
        <v>https://ceds.ed.gov/cedselementdetails.aspx?termid=26610</v>
      </c>
    </row>
    <row r="1169" spans="1:13" ht="57.6" x14ac:dyDescent="0.3">
      <c r="A1169" s="16" t="s">
        <v>4490</v>
      </c>
      <c r="B1169" s="16" t="s">
        <v>4491</v>
      </c>
      <c r="C1169" s="16" t="s">
        <v>8644</v>
      </c>
      <c r="D1169" s="16" t="s">
        <v>3974</v>
      </c>
      <c r="E1169" s="16"/>
      <c r="F1169" s="16"/>
      <c r="G1169" s="16"/>
      <c r="H1169" s="16"/>
      <c r="I1169" s="19" t="s">
        <v>4492</v>
      </c>
      <c r="J1169" s="16"/>
      <c r="K1169" s="16" t="s">
        <v>4493</v>
      </c>
      <c r="L1169" s="16"/>
      <c r="M1169" s="16" t="str">
        <f>HYPERLINK("https://ceds.ed.gov/cedselementdetails.aspx?termid=27337")</f>
        <v>https://ceds.ed.gov/cedselementdetails.aspx?termid=27337</v>
      </c>
    </row>
    <row r="1170" spans="1:13" ht="172.8" x14ac:dyDescent="0.3">
      <c r="A1170" s="16" t="s">
        <v>4494</v>
      </c>
      <c r="B1170" s="16" t="s">
        <v>4495</v>
      </c>
      <c r="C1170" s="16" t="s">
        <v>32</v>
      </c>
      <c r="D1170" s="16" t="s">
        <v>3974</v>
      </c>
      <c r="E1170" s="16"/>
      <c r="F1170" s="16" t="s">
        <v>120</v>
      </c>
      <c r="G1170" s="16"/>
      <c r="H1170" s="16" t="s">
        <v>7817</v>
      </c>
      <c r="I1170" s="19" t="s">
        <v>4496</v>
      </c>
      <c r="J1170" s="16"/>
      <c r="K1170" s="16" t="s">
        <v>4497</v>
      </c>
      <c r="L1170" s="16"/>
      <c r="M1170" s="16" t="str">
        <f>HYPERLINK("https://ceds.ed.gov/cedselementdetails.aspx?termid=27338")</f>
        <v>https://ceds.ed.gov/cedselementdetails.aspx?termid=27338</v>
      </c>
    </row>
    <row r="1171" spans="1:13" ht="86.4" x14ac:dyDescent="0.3">
      <c r="A1171" s="16" t="s">
        <v>4498</v>
      </c>
      <c r="B1171" s="16" t="s">
        <v>13001</v>
      </c>
      <c r="C1171" s="16" t="s">
        <v>8642</v>
      </c>
      <c r="D1171" s="16" t="s">
        <v>3974</v>
      </c>
      <c r="E1171" s="16"/>
      <c r="F1171" s="16"/>
      <c r="G1171" s="16"/>
      <c r="H1171" s="16"/>
      <c r="I1171" s="19" t="s">
        <v>4499</v>
      </c>
      <c r="J1171" s="16"/>
      <c r="K1171" s="16" t="s">
        <v>4500</v>
      </c>
      <c r="L1171" s="16"/>
      <c r="M1171" s="16" t="str">
        <f>HYPERLINK("https://ceds.ed.gov/cedselementdetails.aspx?termid=27339")</f>
        <v>https://ceds.ed.gov/cedselementdetails.aspx?termid=27339</v>
      </c>
    </row>
    <row r="1172" spans="1:13" ht="409.6" x14ac:dyDescent="0.3">
      <c r="A1172" s="16" t="s">
        <v>4501</v>
      </c>
      <c r="B1172" s="16" t="s">
        <v>4502</v>
      </c>
      <c r="C1172" s="16" t="s">
        <v>8645</v>
      </c>
      <c r="D1172" s="16" t="s">
        <v>3974</v>
      </c>
      <c r="E1172" s="16"/>
      <c r="F1172" s="16"/>
      <c r="G1172" s="16"/>
      <c r="H1172" s="16"/>
      <c r="I1172" s="19" t="s">
        <v>4503</v>
      </c>
      <c r="J1172" s="16"/>
      <c r="K1172" s="16" t="s">
        <v>4504</v>
      </c>
      <c r="L1172" s="16"/>
      <c r="M1172" s="16" t="str">
        <f>HYPERLINK("https://ceds.ed.gov/cedselementdetails.aspx?termid=27340")</f>
        <v>https://ceds.ed.gov/cedselementdetails.aspx?termid=27340</v>
      </c>
    </row>
    <row r="1173" spans="1:13" ht="72" x14ac:dyDescent="0.3">
      <c r="A1173" s="16" t="s">
        <v>4505</v>
      </c>
      <c r="B1173" s="16" t="s">
        <v>4506</v>
      </c>
      <c r="C1173" s="16" t="s">
        <v>8646</v>
      </c>
      <c r="D1173" s="16" t="s">
        <v>3974</v>
      </c>
      <c r="E1173" s="16"/>
      <c r="F1173" s="16"/>
      <c r="G1173" s="16"/>
      <c r="H1173" s="16"/>
      <c r="I1173" s="19" t="s">
        <v>4507</v>
      </c>
      <c r="J1173" s="16"/>
      <c r="K1173" s="16" t="s">
        <v>4508</v>
      </c>
      <c r="L1173" s="16"/>
      <c r="M1173" s="16" t="str">
        <f>HYPERLINK("https://ceds.ed.gov/cedselementdetails.aspx?termid=27341")</f>
        <v>https://ceds.ed.gov/cedselementdetails.aspx?termid=27341</v>
      </c>
    </row>
    <row r="1174" spans="1:13" ht="72" x14ac:dyDescent="0.3">
      <c r="A1174" s="16" t="s">
        <v>4509</v>
      </c>
      <c r="B1174" s="16" t="s">
        <v>11429</v>
      </c>
      <c r="C1174" s="16" t="s">
        <v>32</v>
      </c>
      <c r="D1174" s="16" t="s">
        <v>3974</v>
      </c>
      <c r="E1174" s="16"/>
      <c r="F1174" s="16" t="s">
        <v>747</v>
      </c>
      <c r="G1174" s="16"/>
      <c r="H1174" s="16"/>
      <c r="I1174" s="19" t="s">
        <v>4510</v>
      </c>
      <c r="J1174" s="16"/>
      <c r="K1174" s="16" t="s">
        <v>4511</v>
      </c>
      <c r="L1174" s="16"/>
      <c r="M1174" s="16" t="str">
        <f>HYPERLINK("https://ceds.ed.gov/cedselementdetails.aspx?termid=27342")</f>
        <v>https://ceds.ed.gov/cedselementdetails.aspx?termid=27342</v>
      </c>
    </row>
    <row r="1175" spans="1:13" ht="72" x14ac:dyDescent="0.3">
      <c r="A1175" s="16" t="s">
        <v>4512</v>
      </c>
      <c r="B1175" s="16" t="s">
        <v>13002</v>
      </c>
      <c r="C1175" s="16" t="s">
        <v>22</v>
      </c>
      <c r="D1175" s="16" t="s">
        <v>3974</v>
      </c>
      <c r="E1175" s="16"/>
      <c r="F1175" s="16"/>
      <c r="G1175" s="16"/>
      <c r="H1175" s="16" t="s">
        <v>4513</v>
      </c>
      <c r="I1175" s="19" t="s">
        <v>4514</v>
      </c>
      <c r="J1175" s="16"/>
      <c r="K1175" s="16" t="s">
        <v>4515</v>
      </c>
      <c r="L1175" s="16"/>
      <c r="M1175" s="16" t="str">
        <f>HYPERLINK("https://ceds.ed.gov/cedselementdetails.aspx?termid=27343")</f>
        <v>https://ceds.ed.gov/cedselementdetails.aspx?termid=27343</v>
      </c>
    </row>
    <row r="1176" spans="1:13" ht="72" x14ac:dyDescent="0.3">
      <c r="A1176" s="16" t="s">
        <v>4516</v>
      </c>
      <c r="B1176" s="16" t="s">
        <v>13003</v>
      </c>
      <c r="C1176" s="16" t="s">
        <v>22</v>
      </c>
      <c r="D1176" s="16" t="s">
        <v>3974</v>
      </c>
      <c r="E1176" s="16"/>
      <c r="F1176" s="16"/>
      <c r="G1176" s="16"/>
      <c r="H1176" s="16"/>
      <c r="I1176" s="19" t="s">
        <v>4517</v>
      </c>
      <c r="J1176" s="16"/>
      <c r="K1176" s="16" t="s">
        <v>4518</v>
      </c>
      <c r="L1176" s="16"/>
      <c r="M1176" s="16" t="str">
        <f>HYPERLINK("https://ceds.ed.gov/cedselementdetails.aspx?termid=27345")</f>
        <v>https://ceds.ed.gov/cedselementdetails.aspx?termid=27345</v>
      </c>
    </row>
    <row r="1177" spans="1:13" ht="409.6" x14ac:dyDescent="0.3">
      <c r="A1177" s="16" t="s">
        <v>4519</v>
      </c>
      <c r="B1177" s="16" t="s">
        <v>4520</v>
      </c>
      <c r="C1177" s="16" t="s">
        <v>8647</v>
      </c>
      <c r="D1177" s="16" t="s">
        <v>3974</v>
      </c>
      <c r="E1177" s="16"/>
      <c r="F1177" s="16"/>
      <c r="G1177" s="16"/>
      <c r="H1177" s="16"/>
      <c r="I1177" s="19" t="s">
        <v>4521</v>
      </c>
      <c r="J1177" s="16"/>
      <c r="K1177" s="16" t="s">
        <v>4522</v>
      </c>
      <c r="L1177" s="16"/>
      <c r="M1177" s="16" t="str">
        <f>HYPERLINK("https://ceds.ed.gov/cedselementdetails.aspx?termid=26497")</f>
        <v>https://ceds.ed.gov/cedselementdetails.aspx?termid=26497</v>
      </c>
    </row>
    <row r="1178" spans="1:13" ht="28.8" x14ac:dyDescent="0.3">
      <c r="A1178" s="16" t="s">
        <v>4523</v>
      </c>
      <c r="B1178" s="16" t="s">
        <v>4524</v>
      </c>
      <c r="C1178" s="16" t="s">
        <v>32</v>
      </c>
      <c r="D1178" s="16" t="s">
        <v>3974</v>
      </c>
      <c r="E1178" s="16"/>
      <c r="F1178" s="16" t="s">
        <v>403</v>
      </c>
      <c r="G1178" s="16"/>
      <c r="H1178" s="16"/>
      <c r="I1178" s="19" t="s">
        <v>4525</v>
      </c>
      <c r="J1178" s="16"/>
      <c r="K1178" s="16" t="s">
        <v>4526</v>
      </c>
      <c r="L1178" s="16"/>
      <c r="M1178" s="16" t="str">
        <f>HYPERLINK("https://ceds.ed.gov/cedselementdetails.aspx?termid=26494")</f>
        <v>https://ceds.ed.gov/cedselementdetails.aspx?termid=26494</v>
      </c>
    </row>
    <row r="1179" spans="1:13" ht="187.2" x14ac:dyDescent="0.3">
      <c r="A1179" s="16" t="s">
        <v>4527</v>
      </c>
      <c r="B1179" s="16" t="s">
        <v>4528</v>
      </c>
      <c r="C1179" s="16" t="s">
        <v>8648</v>
      </c>
      <c r="D1179" s="16" t="s">
        <v>3974</v>
      </c>
      <c r="E1179" s="16"/>
      <c r="F1179" s="16"/>
      <c r="G1179" s="16"/>
      <c r="H1179" s="16"/>
      <c r="I1179" s="19" t="s">
        <v>4529</v>
      </c>
      <c r="J1179" s="16"/>
      <c r="K1179" s="16" t="s">
        <v>4530</v>
      </c>
      <c r="L1179" s="16"/>
      <c r="M1179" s="16" t="str">
        <f>HYPERLINK("https://ceds.ed.gov/cedselementdetails.aspx?termid=26506")</f>
        <v>https://ceds.ed.gov/cedselementdetails.aspx?termid=26506</v>
      </c>
    </row>
    <row r="1180" spans="1:13" ht="172.8" x14ac:dyDescent="0.3">
      <c r="A1180" s="16" t="s">
        <v>4531</v>
      </c>
      <c r="B1180" s="16" t="s">
        <v>4532</v>
      </c>
      <c r="C1180" s="16" t="s">
        <v>32</v>
      </c>
      <c r="D1180" s="16" t="s">
        <v>3974</v>
      </c>
      <c r="E1180" s="16"/>
      <c r="F1180" s="16" t="s">
        <v>120</v>
      </c>
      <c r="G1180" s="16"/>
      <c r="H1180" s="16" t="s">
        <v>7817</v>
      </c>
      <c r="I1180" s="19" t="s">
        <v>4533</v>
      </c>
      <c r="J1180" s="16"/>
      <c r="K1180" s="16" t="s">
        <v>4534</v>
      </c>
      <c r="L1180" s="16"/>
      <c r="M1180" s="16" t="str">
        <f>HYPERLINK("https://ceds.ed.gov/cedselementdetails.aspx?termid=27346")</f>
        <v>https://ceds.ed.gov/cedselementdetails.aspx?termid=27346</v>
      </c>
    </row>
    <row r="1181" spans="1:13" ht="409.6" x14ac:dyDescent="0.3">
      <c r="A1181" s="16" t="s">
        <v>4535</v>
      </c>
      <c r="B1181" s="16" t="s">
        <v>4536</v>
      </c>
      <c r="C1181" s="16" t="s">
        <v>8645</v>
      </c>
      <c r="D1181" s="16" t="s">
        <v>3974</v>
      </c>
      <c r="E1181" s="16"/>
      <c r="F1181" s="16"/>
      <c r="G1181" s="16"/>
      <c r="H1181" s="16"/>
      <c r="I1181" s="19" t="s">
        <v>4537</v>
      </c>
      <c r="J1181" s="16"/>
      <c r="K1181" s="16" t="s">
        <v>4538</v>
      </c>
      <c r="L1181" s="16"/>
      <c r="M1181" s="16" t="str">
        <f>HYPERLINK("https://ceds.ed.gov/cedselementdetails.aspx?termid=27347")</f>
        <v>https://ceds.ed.gov/cedselementdetails.aspx?termid=27347</v>
      </c>
    </row>
    <row r="1182" spans="1:13" ht="172.8" x14ac:dyDescent="0.3">
      <c r="A1182" s="16" t="s">
        <v>4539</v>
      </c>
      <c r="B1182" s="16" t="s">
        <v>4540</v>
      </c>
      <c r="C1182" s="16" t="s">
        <v>32</v>
      </c>
      <c r="D1182" s="16" t="s">
        <v>3974</v>
      </c>
      <c r="E1182" s="16"/>
      <c r="F1182" s="16" t="s">
        <v>120</v>
      </c>
      <c r="G1182" s="16"/>
      <c r="H1182" s="16" t="s">
        <v>7817</v>
      </c>
      <c r="I1182" s="19" t="s">
        <v>4541</v>
      </c>
      <c r="J1182" s="16"/>
      <c r="K1182" s="16" t="s">
        <v>4542</v>
      </c>
      <c r="L1182" s="16"/>
      <c r="M1182" s="16" t="str">
        <f>HYPERLINK("https://ceds.ed.gov/cedselementdetails.aspx?termid=27348")</f>
        <v>https://ceds.ed.gov/cedselementdetails.aspx?termid=27348</v>
      </c>
    </row>
    <row r="1183" spans="1:13" ht="409.6" x14ac:dyDescent="0.3">
      <c r="A1183" s="16" t="s">
        <v>4543</v>
      </c>
      <c r="B1183" s="16" t="s">
        <v>13004</v>
      </c>
      <c r="C1183" s="16" t="s">
        <v>8645</v>
      </c>
      <c r="D1183" s="16" t="s">
        <v>3974</v>
      </c>
      <c r="E1183" s="16"/>
      <c r="F1183" s="16"/>
      <c r="G1183" s="16"/>
      <c r="H1183" s="16"/>
      <c r="I1183" s="19" t="s">
        <v>4544</v>
      </c>
      <c r="J1183" s="16"/>
      <c r="K1183" s="16" t="s">
        <v>4545</v>
      </c>
      <c r="L1183" s="16"/>
      <c r="M1183" s="16" t="str">
        <f>HYPERLINK("https://ceds.ed.gov/cedselementdetails.aspx?termid=27349")</f>
        <v>https://ceds.ed.gov/cedselementdetails.aspx?termid=27349</v>
      </c>
    </row>
    <row r="1184" spans="1:13" ht="72" x14ac:dyDescent="0.3">
      <c r="A1184" s="16" t="s">
        <v>4546</v>
      </c>
      <c r="B1184" s="16" t="s">
        <v>4547</v>
      </c>
      <c r="C1184" s="16" t="s">
        <v>22</v>
      </c>
      <c r="D1184" s="16" t="s">
        <v>8649</v>
      </c>
      <c r="E1184" s="16"/>
      <c r="F1184" s="16"/>
      <c r="G1184" s="16"/>
      <c r="H1184" s="16"/>
      <c r="I1184" s="19" t="s">
        <v>4548</v>
      </c>
      <c r="J1184" s="16"/>
      <c r="K1184" s="16" t="s">
        <v>4549</v>
      </c>
      <c r="L1184" s="16"/>
      <c r="M1184" s="16" t="str">
        <f>HYPERLINK("https://ceds.ed.gov/cedselementdetails.aspx?termid=27591")</f>
        <v>https://ceds.ed.gov/cedselementdetails.aspx?termid=27591</v>
      </c>
    </row>
    <row r="1185" spans="1:13" ht="100.8" x14ac:dyDescent="0.3">
      <c r="A1185" s="16" t="s">
        <v>4550</v>
      </c>
      <c r="B1185" s="16" t="s">
        <v>4551</v>
      </c>
      <c r="C1185" s="16" t="s">
        <v>22</v>
      </c>
      <c r="D1185" s="16" t="s">
        <v>8650</v>
      </c>
      <c r="E1185" s="16"/>
      <c r="F1185" s="16"/>
      <c r="G1185" s="16"/>
      <c r="H1185" s="16"/>
      <c r="I1185" s="19" t="s">
        <v>4552</v>
      </c>
      <c r="J1185" s="16"/>
      <c r="K1185" s="16" t="s">
        <v>4553</v>
      </c>
      <c r="L1185" s="16"/>
      <c r="M1185" s="16" t="str">
        <f>HYPERLINK("https://ceds.ed.gov/cedselementdetails.aspx?termid=27615")</f>
        <v>https://ceds.ed.gov/cedselementdetails.aspx?termid=27615</v>
      </c>
    </row>
    <row r="1186" spans="1:13" ht="43.2" x14ac:dyDescent="0.3">
      <c r="A1186" s="16" t="s">
        <v>4554</v>
      </c>
      <c r="B1186" s="16" t="s">
        <v>4555</v>
      </c>
      <c r="C1186" s="16" t="s">
        <v>8651</v>
      </c>
      <c r="D1186" s="16" t="s">
        <v>7975</v>
      </c>
      <c r="E1186" s="16"/>
      <c r="F1186" s="16"/>
      <c r="G1186" s="16"/>
      <c r="H1186" s="16"/>
      <c r="I1186" s="19" t="s">
        <v>4556</v>
      </c>
      <c r="J1186" s="16"/>
      <c r="K1186" s="16" t="s">
        <v>4557</v>
      </c>
      <c r="L1186" s="16"/>
      <c r="M1186" s="16" t="str">
        <f>HYPERLINK("https://ceds.ed.gov/cedselementdetails.aspx?termid=26333")</f>
        <v>https://ceds.ed.gov/cedselementdetails.aspx?termid=26333</v>
      </c>
    </row>
    <row r="1187" spans="1:13" ht="158.4" x14ac:dyDescent="0.3">
      <c r="A1187" s="16" t="s">
        <v>4558</v>
      </c>
      <c r="B1187" s="16" t="s">
        <v>4559</v>
      </c>
      <c r="C1187" s="16" t="s">
        <v>8652</v>
      </c>
      <c r="D1187" s="16" t="s">
        <v>8653</v>
      </c>
      <c r="E1187" s="16"/>
      <c r="F1187" s="16"/>
      <c r="G1187" s="16"/>
      <c r="H1187" s="16" t="s">
        <v>7438</v>
      </c>
      <c r="I1187" s="19" t="s">
        <v>4560</v>
      </c>
      <c r="J1187" s="16"/>
      <c r="K1187" s="16" t="s">
        <v>4561</v>
      </c>
      <c r="L1187" s="16" t="s">
        <v>214</v>
      </c>
      <c r="M1187" s="16" t="str">
        <f>HYPERLINK("https://ceds.ed.gov/cedselementdetails.aspx?termid=26164")</f>
        <v>https://ceds.ed.gov/cedselementdetails.aspx?termid=26164</v>
      </c>
    </row>
    <row r="1188" spans="1:13" ht="28.8" x14ac:dyDescent="0.3">
      <c r="A1188" s="16" t="s">
        <v>4562</v>
      </c>
      <c r="B1188" s="16" t="s">
        <v>4563</v>
      </c>
      <c r="C1188" s="16" t="s">
        <v>32</v>
      </c>
      <c r="D1188" s="16" t="s">
        <v>4564</v>
      </c>
      <c r="E1188" s="16"/>
      <c r="F1188" s="16" t="s">
        <v>1481</v>
      </c>
      <c r="G1188" s="16"/>
      <c r="H1188" s="16"/>
      <c r="I1188" s="19" t="s">
        <v>4565</v>
      </c>
      <c r="J1188" s="16"/>
      <c r="K1188" s="16" t="s">
        <v>4566</v>
      </c>
      <c r="L1188" s="16"/>
      <c r="M1188" s="16" t="str">
        <f>HYPERLINK("https://ceds.ed.gov/cedselementdetails.aspx?termid=27874")</f>
        <v>https://ceds.ed.gov/cedselementdetails.aspx?termid=27874</v>
      </c>
    </row>
    <row r="1189" spans="1:13" ht="302.39999999999998" x14ac:dyDescent="0.3">
      <c r="A1189" s="16" t="s">
        <v>12778</v>
      </c>
      <c r="B1189" s="16" t="s">
        <v>12779</v>
      </c>
      <c r="C1189" s="16" t="s">
        <v>12909</v>
      </c>
      <c r="D1189" s="16" t="s">
        <v>4442</v>
      </c>
      <c r="E1189" s="16" t="s">
        <v>155</v>
      </c>
      <c r="F1189" s="16" t="s">
        <v>2</v>
      </c>
      <c r="G1189" s="16" t="s">
        <v>12636</v>
      </c>
      <c r="H1189" s="16" t="s">
        <v>12780</v>
      </c>
      <c r="I1189" s="19" t="s">
        <v>12781</v>
      </c>
      <c r="J1189" s="16"/>
      <c r="K1189" s="16" t="s">
        <v>12782</v>
      </c>
      <c r="L1189" s="16"/>
      <c r="M1189" s="16" t="str">
        <f>HYPERLINK("https://ceds.ed.gov/cedselementdetails.aspx?termid=28097")</f>
        <v>https://ceds.ed.gov/cedselementdetails.aspx?termid=28097</v>
      </c>
    </row>
    <row r="1190" spans="1:13" ht="187.2" x14ac:dyDescent="0.3">
      <c r="A1190" s="16" t="s">
        <v>12783</v>
      </c>
      <c r="B1190" s="16" t="s">
        <v>12784</v>
      </c>
      <c r="C1190" s="16" t="s">
        <v>32</v>
      </c>
      <c r="D1190" s="16" t="s">
        <v>12910</v>
      </c>
      <c r="E1190" s="16" t="s">
        <v>155</v>
      </c>
      <c r="F1190" s="16" t="s">
        <v>136</v>
      </c>
      <c r="G1190" s="16" t="s">
        <v>12636</v>
      </c>
      <c r="H1190" s="16"/>
      <c r="I1190" s="19" t="s">
        <v>12785</v>
      </c>
      <c r="J1190" s="16"/>
      <c r="K1190" s="16" t="s">
        <v>12786</v>
      </c>
      <c r="L1190" s="16"/>
      <c r="M1190" s="16" t="str">
        <f>HYPERLINK("https://ceds.ed.gov/cedselementdetails.aspx?termid=28118")</f>
        <v>https://ceds.ed.gov/cedselementdetails.aspx?termid=28118</v>
      </c>
    </row>
    <row r="1191" spans="1:13" ht="187.2" x14ac:dyDescent="0.3">
      <c r="A1191" s="16" t="s">
        <v>12787</v>
      </c>
      <c r="B1191" s="16" t="s">
        <v>12788</v>
      </c>
      <c r="C1191" s="16" t="s">
        <v>32</v>
      </c>
      <c r="D1191" s="16" t="s">
        <v>12910</v>
      </c>
      <c r="E1191" s="16" t="s">
        <v>155</v>
      </c>
      <c r="F1191" s="16" t="s">
        <v>9103</v>
      </c>
      <c r="G1191" s="16" t="s">
        <v>12636</v>
      </c>
      <c r="H1191" s="16"/>
      <c r="I1191" s="19" t="s">
        <v>12789</v>
      </c>
      <c r="J1191" s="16"/>
      <c r="K1191" s="16" t="s">
        <v>12790</v>
      </c>
      <c r="L1191" s="16"/>
      <c r="M1191" s="16" t="str">
        <f>HYPERLINK("https://ceds.ed.gov/cedselementdetails.aspx?termid=28117")</f>
        <v>https://ceds.ed.gov/cedselementdetails.aspx?termid=28117</v>
      </c>
    </row>
    <row r="1192" spans="1:13" ht="187.2" x14ac:dyDescent="0.3">
      <c r="A1192" s="16" t="s">
        <v>12791</v>
      </c>
      <c r="B1192" s="16" t="s">
        <v>12792</v>
      </c>
      <c r="C1192" s="16" t="s">
        <v>32</v>
      </c>
      <c r="D1192" s="16" t="s">
        <v>12910</v>
      </c>
      <c r="E1192" s="16" t="s">
        <v>155</v>
      </c>
      <c r="F1192" s="16" t="s">
        <v>106</v>
      </c>
      <c r="G1192" s="16" t="s">
        <v>12636</v>
      </c>
      <c r="H1192" s="16"/>
      <c r="I1192" s="19" t="s">
        <v>12793</v>
      </c>
      <c r="J1192" s="16"/>
      <c r="K1192" s="16" t="s">
        <v>12794</v>
      </c>
      <c r="L1192" s="16"/>
      <c r="M1192" s="16" t="str">
        <f>HYPERLINK("https://ceds.ed.gov/cedselementdetails.aspx?termid=28116")</f>
        <v>https://ceds.ed.gov/cedselementdetails.aspx?termid=28116</v>
      </c>
    </row>
    <row r="1193" spans="1:13" ht="187.2" x14ac:dyDescent="0.3">
      <c r="A1193" s="16" t="s">
        <v>12795</v>
      </c>
      <c r="B1193" s="16" t="s">
        <v>12796</v>
      </c>
      <c r="C1193" s="16" t="s">
        <v>12891</v>
      </c>
      <c r="D1193" s="16" t="s">
        <v>12910</v>
      </c>
      <c r="E1193" s="16" t="s">
        <v>155</v>
      </c>
      <c r="F1193" s="16" t="s">
        <v>2</v>
      </c>
      <c r="G1193" s="16" t="s">
        <v>12636</v>
      </c>
      <c r="H1193" s="16"/>
      <c r="I1193" s="19" t="s">
        <v>12797</v>
      </c>
      <c r="J1193" s="16"/>
      <c r="K1193" s="16" t="s">
        <v>12798</v>
      </c>
      <c r="L1193" s="16"/>
      <c r="M1193" s="16" t="str">
        <f>HYPERLINK("https://ceds.ed.gov/cedselementdetails.aspx?termid=28114")</f>
        <v>https://ceds.ed.gov/cedselementdetails.aspx?termid=28114</v>
      </c>
    </row>
    <row r="1194" spans="1:13" ht="187.2" x14ac:dyDescent="0.3">
      <c r="A1194" s="16" t="s">
        <v>12799</v>
      </c>
      <c r="B1194" s="16" t="s">
        <v>12800</v>
      </c>
      <c r="C1194" s="16" t="s">
        <v>32</v>
      </c>
      <c r="D1194" s="16" t="s">
        <v>12910</v>
      </c>
      <c r="E1194" s="16" t="s">
        <v>155</v>
      </c>
      <c r="F1194" s="16" t="s">
        <v>106</v>
      </c>
      <c r="G1194" s="16" t="s">
        <v>12636</v>
      </c>
      <c r="H1194" s="16"/>
      <c r="I1194" s="19" t="s">
        <v>12801</v>
      </c>
      <c r="J1194" s="16"/>
      <c r="K1194" s="16" t="s">
        <v>12802</v>
      </c>
      <c r="L1194" s="16"/>
      <c r="M1194" s="16" t="str">
        <f>HYPERLINK("https://ceds.ed.gov/cedselementdetails.aspx?termid=28115")</f>
        <v>https://ceds.ed.gov/cedselementdetails.aspx?termid=28115</v>
      </c>
    </row>
    <row r="1195" spans="1:13" ht="187.2" x14ac:dyDescent="0.3">
      <c r="A1195" s="16" t="s">
        <v>12803</v>
      </c>
      <c r="B1195" s="16" t="s">
        <v>12804</v>
      </c>
      <c r="C1195" s="16" t="s">
        <v>12911</v>
      </c>
      <c r="D1195" s="16" t="s">
        <v>12910</v>
      </c>
      <c r="E1195" s="16" t="s">
        <v>155</v>
      </c>
      <c r="F1195" s="16" t="s">
        <v>2</v>
      </c>
      <c r="G1195" s="16" t="s">
        <v>12636</v>
      </c>
      <c r="H1195" s="16"/>
      <c r="I1195" s="19" t="s">
        <v>12805</v>
      </c>
      <c r="J1195" s="16"/>
      <c r="K1195" s="16" t="s">
        <v>12806</v>
      </c>
      <c r="L1195" s="16"/>
      <c r="M1195" s="16" t="str">
        <f>HYPERLINK("https://ceds.ed.gov/cedselementdetails.aspx?termid=28120")</f>
        <v>https://ceds.ed.gov/cedselementdetails.aspx?termid=28120</v>
      </c>
    </row>
    <row r="1196" spans="1:13" ht="187.2" x14ac:dyDescent="0.3">
      <c r="A1196" s="16" t="s">
        <v>12807</v>
      </c>
      <c r="B1196" s="16" t="s">
        <v>12808</v>
      </c>
      <c r="C1196" s="16" t="s">
        <v>12912</v>
      </c>
      <c r="D1196" s="16" t="s">
        <v>12910</v>
      </c>
      <c r="E1196" s="16" t="s">
        <v>155</v>
      </c>
      <c r="F1196" s="16" t="s">
        <v>2</v>
      </c>
      <c r="G1196" s="16" t="s">
        <v>12636</v>
      </c>
      <c r="H1196" s="16"/>
      <c r="I1196" s="19" t="s">
        <v>12809</v>
      </c>
      <c r="J1196" s="16"/>
      <c r="K1196" s="16" t="s">
        <v>12810</v>
      </c>
      <c r="L1196" s="16"/>
      <c r="M1196" s="16" t="str">
        <f>HYPERLINK("https://ceds.ed.gov/cedselementdetails.aspx?termid=28119")</f>
        <v>https://ceds.ed.gov/cedselementdetails.aspx?termid=28119</v>
      </c>
    </row>
    <row r="1197" spans="1:13" ht="43.2" x14ac:dyDescent="0.3">
      <c r="A1197" s="16" t="s">
        <v>4567</v>
      </c>
      <c r="B1197" s="16" t="s">
        <v>4568</v>
      </c>
      <c r="C1197" s="16" t="s">
        <v>32</v>
      </c>
      <c r="D1197" s="16" t="s">
        <v>12971</v>
      </c>
      <c r="E1197" s="16"/>
      <c r="F1197" s="16" t="s">
        <v>316</v>
      </c>
      <c r="G1197" s="16"/>
      <c r="H1197" s="16"/>
      <c r="I1197" s="19" t="s">
        <v>4569</v>
      </c>
      <c r="J1197" s="16"/>
      <c r="K1197" s="16" t="s">
        <v>4570</v>
      </c>
      <c r="L1197" s="16"/>
      <c r="M1197" s="16" t="str">
        <f>HYPERLINK("https://ceds.ed.gov/cedselementdetails.aspx?termid=27667")</f>
        <v>https://ceds.ed.gov/cedselementdetails.aspx?termid=27667</v>
      </c>
    </row>
    <row r="1198" spans="1:13" ht="43.2" x14ac:dyDescent="0.3">
      <c r="A1198" s="16" t="s">
        <v>4571</v>
      </c>
      <c r="B1198" s="16" t="s">
        <v>4572</v>
      </c>
      <c r="C1198" s="16" t="s">
        <v>32</v>
      </c>
      <c r="D1198" s="16" t="s">
        <v>12971</v>
      </c>
      <c r="E1198" s="16"/>
      <c r="F1198" s="16" t="s">
        <v>316</v>
      </c>
      <c r="G1198" s="16"/>
      <c r="H1198" s="16"/>
      <c r="I1198" s="19" t="s">
        <v>4573</v>
      </c>
      <c r="J1198" s="16"/>
      <c r="K1198" s="16" t="s">
        <v>4574</v>
      </c>
      <c r="L1198" s="16"/>
      <c r="M1198" s="16" t="str">
        <f>HYPERLINK("https://ceds.ed.gov/cedselementdetails.aspx?termid=27666")</f>
        <v>https://ceds.ed.gov/cedselementdetails.aspx?termid=27666</v>
      </c>
    </row>
    <row r="1199" spans="1:13" ht="43.2" x14ac:dyDescent="0.3">
      <c r="A1199" s="16" t="s">
        <v>4575</v>
      </c>
      <c r="B1199" s="16" t="s">
        <v>4576</v>
      </c>
      <c r="C1199" s="16" t="s">
        <v>32</v>
      </c>
      <c r="D1199" s="16" t="s">
        <v>8654</v>
      </c>
      <c r="E1199" s="16"/>
      <c r="F1199" s="16" t="s">
        <v>106</v>
      </c>
      <c r="G1199" s="16"/>
      <c r="H1199" s="16"/>
      <c r="I1199" s="19" t="s">
        <v>4577</v>
      </c>
      <c r="J1199" s="16"/>
      <c r="K1199" s="16" t="s">
        <v>4578</v>
      </c>
      <c r="L1199" s="16"/>
      <c r="M1199" s="16" t="str">
        <f>HYPERLINK("https://ceds.ed.gov/cedselementdetails.aspx?termid=27197")</f>
        <v>https://ceds.ed.gov/cedselementdetails.aspx?termid=27197</v>
      </c>
    </row>
    <row r="1200" spans="1:13" ht="72" x14ac:dyDescent="0.3">
      <c r="A1200" s="16" t="s">
        <v>4579</v>
      </c>
      <c r="B1200" s="16" t="s">
        <v>4584</v>
      </c>
      <c r="C1200" s="16" t="s">
        <v>32</v>
      </c>
      <c r="D1200" s="16" t="s">
        <v>8236</v>
      </c>
      <c r="E1200" s="16"/>
      <c r="F1200" s="16" t="s">
        <v>305</v>
      </c>
      <c r="G1200" s="16"/>
      <c r="H1200" s="16"/>
      <c r="I1200" s="19" t="s">
        <v>4581</v>
      </c>
      <c r="J1200" s="16"/>
      <c r="K1200" s="16" t="s">
        <v>4582</v>
      </c>
      <c r="L1200" s="16"/>
      <c r="M1200" s="16" t="str">
        <f>HYPERLINK("https://ceds.ed.gov/cedselementdetails.aspx?termid=27199")</f>
        <v>https://ceds.ed.gov/cedselementdetails.aspx?termid=27199</v>
      </c>
    </row>
    <row r="1201" spans="1:13" ht="72" x14ac:dyDescent="0.3">
      <c r="A1201" s="16" t="s">
        <v>4583</v>
      </c>
      <c r="B1201" s="16" t="s">
        <v>4580</v>
      </c>
      <c r="C1201" s="16" t="s">
        <v>32</v>
      </c>
      <c r="D1201" s="16" t="s">
        <v>8236</v>
      </c>
      <c r="E1201" s="16"/>
      <c r="F1201" s="16" t="s">
        <v>305</v>
      </c>
      <c r="G1201" s="16"/>
      <c r="H1201" s="16"/>
      <c r="I1201" s="19" t="s">
        <v>4585</v>
      </c>
      <c r="J1201" s="16"/>
      <c r="K1201" s="16" t="s">
        <v>4586</v>
      </c>
      <c r="L1201" s="16"/>
      <c r="M1201" s="16" t="str">
        <f>HYPERLINK("https://ceds.ed.gov/cedselementdetails.aspx?termid=27198")</f>
        <v>https://ceds.ed.gov/cedselementdetails.aspx?termid=27198</v>
      </c>
    </row>
    <row r="1202" spans="1:13" ht="28.8" x14ac:dyDescent="0.3">
      <c r="A1202" s="16" t="s">
        <v>4587</v>
      </c>
      <c r="B1202" s="16" t="s">
        <v>4588</v>
      </c>
      <c r="C1202" s="16" t="s">
        <v>32</v>
      </c>
      <c r="D1202" s="16" t="s">
        <v>7943</v>
      </c>
      <c r="E1202" s="16"/>
      <c r="F1202" s="16" t="s">
        <v>1481</v>
      </c>
      <c r="G1202" s="16"/>
      <c r="H1202" s="16"/>
      <c r="I1202" s="19" t="s">
        <v>4589</v>
      </c>
      <c r="J1202" s="16"/>
      <c r="K1202" s="16" t="s">
        <v>4590</v>
      </c>
      <c r="L1202" s="16"/>
      <c r="M1202" s="16" t="str">
        <f>HYPERLINK("https://ceds.ed.gov/cedselementdetails.aspx?termid=27493")</f>
        <v>https://ceds.ed.gov/cedselementdetails.aspx?termid=27493</v>
      </c>
    </row>
    <row r="1203" spans="1:13" ht="144" x14ac:dyDescent="0.3">
      <c r="A1203" s="16" t="s">
        <v>4591</v>
      </c>
      <c r="B1203" s="16" t="s">
        <v>4592</v>
      </c>
      <c r="C1203" s="16" t="s">
        <v>8655</v>
      </c>
      <c r="D1203" s="16" t="s">
        <v>7943</v>
      </c>
      <c r="E1203" s="16"/>
      <c r="F1203" s="16"/>
      <c r="G1203" s="16"/>
      <c r="H1203" s="16"/>
      <c r="I1203" s="19" t="s">
        <v>4593</v>
      </c>
      <c r="J1203" s="16"/>
      <c r="K1203" s="16" t="s">
        <v>4594</v>
      </c>
      <c r="L1203" s="16"/>
      <c r="M1203" s="16" t="str">
        <f>HYPERLINK("https://ceds.ed.gov/cedselementdetails.aspx?termid=27492")</f>
        <v>https://ceds.ed.gov/cedselementdetails.aspx?termid=27492</v>
      </c>
    </row>
    <row r="1204" spans="1:13" ht="28.8" x14ac:dyDescent="0.3">
      <c r="A1204" s="16" t="s">
        <v>4595</v>
      </c>
      <c r="B1204" s="16" t="s">
        <v>4596</v>
      </c>
      <c r="C1204" s="16" t="s">
        <v>32</v>
      </c>
      <c r="D1204" s="16" t="s">
        <v>7943</v>
      </c>
      <c r="E1204" s="16"/>
      <c r="F1204" s="16" t="s">
        <v>106</v>
      </c>
      <c r="G1204" s="16"/>
      <c r="H1204" s="16" t="s">
        <v>4597</v>
      </c>
      <c r="I1204" s="19" t="s">
        <v>4598</v>
      </c>
      <c r="J1204" s="16"/>
      <c r="K1204" s="16" t="s">
        <v>4599</v>
      </c>
      <c r="L1204" s="16"/>
      <c r="M1204" s="16" t="str">
        <f>HYPERLINK("https://ceds.ed.gov/cedselementdetails.aspx?termid=27350")</f>
        <v>https://ceds.ed.gov/cedselementdetails.aspx?termid=27350</v>
      </c>
    </row>
    <row r="1205" spans="1:13" ht="273.60000000000002" x14ac:dyDescent="0.3">
      <c r="A1205" s="16" t="s">
        <v>4600</v>
      </c>
      <c r="B1205" s="16" t="s">
        <v>4601</v>
      </c>
      <c r="C1205" s="16" t="s">
        <v>8656</v>
      </c>
      <c r="D1205" s="16" t="s">
        <v>7943</v>
      </c>
      <c r="E1205" s="16"/>
      <c r="F1205" s="16"/>
      <c r="G1205" s="16"/>
      <c r="H1205" s="16"/>
      <c r="I1205" s="19" t="s">
        <v>4602</v>
      </c>
      <c r="J1205" s="16"/>
      <c r="K1205" s="16" t="s">
        <v>4603</v>
      </c>
      <c r="L1205" s="16"/>
      <c r="M1205" s="16" t="str">
        <f>HYPERLINK("https://ceds.ed.gov/cedselementdetails.aspx?termid=27352")</f>
        <v>https://ceds.ed.gov/cedselementdetails.aspx?termid=27352</v>
      </c>
    </row>
    <row r="1206" spans="1:13" ht="28.8" x14ac:dyDescent="0.3">
      <c r="A1206" s="16" t="s">
        <v>4604</v>
      </c>
      <c r="B1206" s="16" t="s">
        <v>4605</v>
      </c>
      <c r="C1206" s="16" t="s">
        <v>32</v>
      </c>
      <c r="D1206" s="16" t="s">
        <v>4606</v>
      </c>
      <c r="E1206" s="16"/>
      <c r="F1206" s="16" t="s">
        <v>316</v>
      </c>
      <c r="G1206" s="16"/>
      <c r="H1206" s="16"/>
      <c r="I1206" s="19" t="s">
        <v>4607</v>
      </c>
      <c r="J1206" s="16"/>
      <c r="K1206" s="16" t="s">
        <v>4608</v>
      </c>
      <c r="L1206" s="16"/>
      <c r="M1206" s="16" t="str">
        <f>HYPERLINK("https://ceds.ed.gov/cedselementdetails.aspx?termid=27670")</f>
        <v>https://ceds.ed.gov/cedselementdetails.aspx?termid=27670</v>
      </c>
    </row>
    <row r="1207" spans="1:13" ht="43.2" x14ac:dyDescent="0.3">
      <c r="A1207" s="16" t="s">
        <v>4609</v>
      </c>
      <c r="B1207" s="16" t="s">
        <v>4610</v>
      </c>
      <c r="C1207" s="16" t="s">
        <v>32</v>
      </c>
      <c r="D1207" s="16" t="s">
        <v>4606</v>
      </c>
      <c r="E1207" s="16"/>
      <c r="F1207" s="16" t="s">
        <v>316</v>
      </c>
      <c r="G1207" s="16"/>
      <c r="H1207" s="16"/>
      <c r="I1207" s="19" t="s">
        <v>4611</v>
      </c>
      <c r="J1207" s="16"/>
      <c r="K1207" s="16" t="s">
        <v>4612</v>
      </c>
      <c r="L1207" s="16"/>
      <c r="M1207" s="16" t="str">
        <f>HYPERLINK("https://ceds.ed.gov/cedselementdetails.aspx?termid=27669")</f>
        <v>https://ceds.ed.gov/cedselementdetails.aspx?termid=27669</v>
      </c>
    </row>
    <row r="1208" spans="1:13" ht="43.2" x14ac:dyDescent="0.3">
      <c r="A1208" s="16" t="s">
        <v>4613</v>
      </c>
      <c r="B1208" s="16" t="s">
        <v>4614</v>
      </c>
      <c r="C1208" s="16" t="s">
        <v>32</v>
      </c>
      <c r="D1208" s="16" t="s">
        <v>8654</v>
      </c>
      <c r="E1208" s="16"/>
      <c r="F1208" s="16" t="s">
        <v>106</v>
      </c>
      <c r="G1208" s="16"/>
      <c r="H1208" s="16"/>
      <c r="I1208" s="19" t="s">
        <v>4615</v>
      </c>
      <c r="J1208" s="16"/>
      <c r="K1208" s="16" t="s">
        <v>4616</v>
      </c>
      <c r="L1208" s="16"/>
      <c r="M1208" s="16" t="str">
        <f>HYPERLINK("https://ceds.ed.gov/cedselementdetails.aspx?termid=27201")</f>
        <v>https://ceds.ed.gov/cedselementdetails.aspx?termid=27201</v>
      </c>
    </row>
    <row r="1209" spans="1:13" ht="86.4" x14ac:dyDescent="0.3">
      <c r="A1209" s="16" t="s">
        <v>4617</v>
      </c>
      <c r="B1209" s="16" t="s">
        <v>4618</v>
      </c>
      <c r="C1209" s="16" t="s">
        <v>8657</v>
      </c>
      <c r="D1209" s="16" t="s">
        <v>8654</v>
      </c>
      <c r="E1209" s="16"/>
      <c r="F1209" s="16"/>
      <c r="G1209" s="16"/>
      <c r="H1209" s="16"/>
      <c r="I1209" s="19" t="s">
        <v>4619</v>
      </c>
      <c r="J1209" s="16"/>
      <c r="K1209" s="16" t="s">
        <v>4620</v>
      </c>
      <c r="L1209" s="16"/>
      <c r="M1209" s="16" t="str">
        <f>HYPERLINK("https://ceds.ed.gov/cedselementdetails.aspx?termid=27196")</f>
        <v>https://ceds.ed.gov/cedselementdetails.aspx?termid=27196</v>
      </c>
    </row>
    <row r="1210" spans="1:13" ht="57.6" x14ac:dyDescent="0.3">
      <c r="A1210" s="16" t="s">
        <v>4621</v>
      </c>
      <c r="B1210" s="16" t="s">
        <v>4622</v>
      </c>
      <c r="C1210" s="16" t="s">
        <v>32</v>
      </c>
      <c r="D1210" s="16" t="s">
        <v>4442</v>
      </c>
      <c r="E1210" s="16"/>
      <c r="F1210" s="16" t="s">
        <v>106</v>
      </c>
      <c r="G1210" s="16"/>
      <c r="H1210" s="16" t="s">
        <v>131</v>
      </c>
      <c r="I1210" s="19" t="s">
        <v>4623</v>
      </c>
      <c r="J1210" s="16"/>
      <c r="K1210" s="16" t="s">
        <v>4624</v>
      </c>
      <c r="L1210" s="16"/>
      <c r="M1210" s="16" t="str">
        <f>HYPERLINK("https://ceds.ed.gov/cedselementdetails.aspx?termid=27664")</f>
        <v>https://ceds.ed.gov/cedselementdetails.aspx?termid=27664</v>
      </c>
    </row>
    <row r="1211" spans="1:13" ht="28.8" x14ac:dyDescent="0.3">
      <c r="A1211" s="16" t="s">
        <v>4625</v>
      </c>
      <c r="B1211" s="16" t="s">
        <v>4626</v>
      </c>
      <c r="C1211" s="16" t="s">
        <v>32</v>
      </c>
      <c r="D1211" s="16" t="s">
        <v>4442</v>
      </c>
      <c r="E1211" s="16"/>
      <c r="F1211" s="16" t="s">
        <v>106</v>
      </c>
      <c r="G1211" s="16"/>
      <c r="H1211" s="16"/>
      <c r="I1211" s="19" t="s">
        <v>4627</v>
      </c>
      <c r="J1211" s="16"/>
      <c r="K1211" s="16" t="s">
        <v>4628</v>
      </c>
      <c r="L1211" s="16"/>
      <c r="M1211" s="16" t="str">
        <f>HYPERLINK("https://ceds.ed.gov/cedselementdetails.aspx?termid=27665")</f>
        <v>https://ceds.ed.gov/cedselementdetails.aspx?termid=27665</v>
      </c>
    </row>
    <row r="1212" spans="1:13" ht="244.8" x14ac:dyDescent="0.3">
      <c r="A1212" s="16" t="s">
        <v>4629</v>
      </c>
      <c r="B1212" s="16" t="s">
        <v>4630</v>
      </c>
      <c r="C1212" s="16" t="s">
        <v>13090</v>
      </c>
      <c r="D1212" s="16" t="s">
        <v>8654</v>
      </c>
      <c r="E1212" s="16" t="s">
        <v>160</v>
      </c>
      <c r="F1212" s="16"/>
      <c r="G1212" s="16" t="s">
        <v>12943</v>
      </c>
      <c r="H1212" s="16"/>
      <c r="I1212" s="19" t="s">
        <v>4631</v>
      </c>
      <c r="J1212" s="16"/>
      <c r="K1212" s="16" t="s">
        <v>4632</v>
      </c>
      <c r="L1212" s="16"/>
      <c r="M1212" s="16" t="str">
        <f>HYPERLINK("https://ceds.ed.gov/cedselementdetails.aspx?termid=27202")</f>
        <v>https://ceds.ed.gov/cedselementdetails.aspx?termid=27202</v>
      </c>
    </row>
    <row r="1213" spans="1:13" ht="43.2" x14ac:dyDescent="0.3">
      <c r="A1213" s="16" t="s">
        <v>4633</v>
      </c>
      <c r="B1213" s="16" t="s">
        <v>4634</v>
      </c>
      <c r="C1213" s="16" t="s">
        <v>32</v>
      </c>
      <c r="D1213" s="16" t="s">
        <v>8654</v>
      </c>
      <c r="E1213" s="16"/>
      <c r="F1213" s="16" t="s">
        <v>316</v>
      </c>
      <c r="G1213" s="16"/>
      <c r="H1213" s="16"/>
      <c r="I1213" s="19" t="s">
        <v>4635</v>
      </c>
      <c r="J1213" s="16"/>
      <c r="K1213" s="16" t="s">
        <v>4636</v>
      </c>
      <c r="L1213" s="16"/>
      <c r="M1213" s="16" t="str">
        <f>HYPERLINK("https://ceds.ed.gov/cedselementdetails.aspx?termid=27203")</f>
        <v>https://ceds.ed.gov/cedselementdetails.aspx?termid=27203</v>
      </c>
    </row>
    <row r="1214" spans="1:13" ht="72" x14ac:dyDescent="0.3">
      <c r="A1214" s="16" t="s">
        <v>4637</v>
      </c>
      <c r="B1214" s="16" t="s">
        <v>4638</v>
      </c>
      <c r="C1214" s="16" t="s">
        <v>32</v>
      </c>
      <c r="D1214" s="16" t="s">
        <v>4639</v>
      </c>
      <c r="E1214" s="16"/>
      <c r="F1214" s="16" t="s">
        <v>106</v>
      </c>
      <c r="G1214" s="16"/>
      <c r="H1214" s="16"/>
      <c r="I1214" s="19" t="s">
        <v>4640</v>
      </c>
      <c r="J1214" s="16"/>
      <c r="K1214" s="16" t="s">
        <v>4641</v>
      </c>
      <c r="L1214" s="16"/>
      <c r="M1214" s="16" t="str">
        <f>HYPERLINK("https://ceds.ed.gov/cedselementdetails.aspx?termid=27680")</f>
        <v>https://ceds.ed.gov/cedselementdetails.aspx?termid=27680</v>
      </c>
    </row>
    <row r="1215" spans="1:13" ht="72" x14ac:dyDescent="0.3">
      <c r="A1215" s="16" t="s">
        <v>4642</v>
      </c>
      <c r="B1215" s="16" t="s">
        <v>4643</v>
      </c>
      <c r="C1215" s="16" t="s">
        <v>32</v>
      </c>
      <c r="D1215" s="16" t="s">
        <v>4639</v>
      </c>
      <c r="E1215" s="16"/>
      <c r="F1215" s="16" t="s">
        <v>316</v>
      </c>
      <c r="G1215" s="16"/>
      <c r="H1215" s="16"/>
      <c r="I1215" s="19" t="s">
        <v>4644</v>
      </c>
      <c r="J1215" s="16"/>
      <c r="K1215" s="16" t="s">
        <v>4645</v>
      </c>
      <c r="L1215" s="16"/>
      <c r="M1215" s="16" t="str">
        <f>HYPERLINK("https://ceds.ed.gov/cedselementdetails.aspx?termid=27681")</f>
        <v>https://ceds.ed.gov/cedselementdetails.aspx?termid=27681</v>
      </c>
    </row>
    <row r="1216" spans="1:13" ht="100.8" x14ac:dyDescent="0.3">
      <c r="A1216" s="16" t="s">
        <v>4646</v>
      </c>
      <c r="B1216" s="16" t="s">
        <v>4647</v>
      </c>
      <c r="C1216" s="16" t="s">
        <v>8658</v>
      </c>
      <c r="D1216" s="16" t="s">
        <v>4442</v>
      </c>
      <c r="E1216" s="16"/>
      <c r="F1216" s="16"/>
      <c r="G1216" s="16"/>
      <c r="H1216" s="16"/>
      <c r="I1216" s="19" t="s">
        <v>4648</v>
      </c>
      <c r="J1216" s="16"/>
      <c r="K1216" s="16" t="s">
        <v>4649</v>
      </c>
      <c r="L1216" s="16"/>
      <c r="M1216" s="16" t="str">
        <f>HYPERLINK("https://ceds.ed.gov/cedselementdetails.aspx?termid=27662")</f>
        <v>https://ceds.ed.gov/cedselementdetails.aspx?termid=27662</v>
      </c>
    </row>
    <row r="1217" spans="1:13" ht="72" x14ac:dyDescent="0.3">
      <c r="A1217" s="16" t="s">
        <v>4650</v>
      </c>
      <c r="B1217" s="16" t="s">
        <v>4651</v>
      </c>
      <c r="C1217" s="16" t="s">
        <v>8659</v>
      </c>
      <c r="D1217" s="16" t="s">
        <v>4652</v>
      </c>
      <c r="E1217" s="16"/>
      <c r="F1217" s="16"/>
      <c r="G1217" s="16"/>
      <c r="H1217" s="16"/>
      <c r="I1217" s="19" t="s">
        <v>4653</v>
      </c>
      <c r="J1217" s="16"/>
      <c r="K1217" s="16" t="s">
        <v>4654</v>
      </c>
      <c r="L1217" s="16"/>
      <c r="M1217" s="16" t="str">
        <f>HYPERLINK("https://ceds.ed.gov/cedselementdetails.aspx?termid=27682")</f>
        <v>https://ceds.ed.gov/cedselementdetails.aspx?termid=27682</v>
      </c>
    </row>
    <row r="1218" spans="1:13" ht="43.2" x14ac:dyDescent="0.3">
      <c r="A1218" s="16" t="s">
        <v>4655</v>
      </c>
      <c r="B1218" s="16" t="s">
        <v>4656</v>
      </c>
      <c r="C1218" s="16" t="s">
        <v>32</v>
      </c>
      <c r="D1218" s="16" t="s">
        <v>8654</v>
      </c>
      <c r="E1218" s="16"/>
      <c r="F1218" s="16" t="s">
        <v>106</v>
      </c>
      <c r="G1218" s="16"/>
      <c r="H1218" s="16"/>
      <c r="I1218" s="19" t="s">
        <v>4657</v>
      </c>
      <c r="J1218" s="16"/>
      <c r="K1218" s="16" t="s">
        <v>4658</v>
      </c>
      <c r="L1218" s="16"/>
      <c r="M1218" s="16" t="str">
        <f>HYPERLINK("https://ceds.ed.gov/cedselementdetails.aspx?termid=27207")</f>
        <v>https://ceds.ed.gov/cedselementdetails.aspx?termid=27207</v>
      </c>
    </row>
    <row r="1219" spans="1:13" ht="43.2" x14ac:dyDescent="0.3">
      <c r="A1219" s="16" t="s">
        <v>4659</v>
      </c>
      <c r="B1219" s="16" t="s">
        <v>4660</v>
      </c>
      <c r="C1219" s="16" t="s">
        <v>32</v>
      </c>
      <c r="D1219" s="16" t="s">
        <v>8654</v>
      </c>
      <c r="E1219" s="16"/>
      <c r="F1219" s="16" t="s">
        <v>106</v>
      </c>
      <c r="G1219" s="16"/>
      <c r="H1219" s="16"/>
      <c r="I1219" s="19" t="s">
        <v>4661</v>
      </c>
      <c r="J1219" s="16"/>
      <c r="K1219" s="16" t="s">
        <v>4662</v>
      </c>
      <c r="L1219" s="16"/>
      <c r="M1219" s="16" t="str">
        <f>HYPERLINK("https://ceds.ed.gov/cedselementdetails.aspx?termid=27205")</f>
        <v>https://ceds.ed.gov/cedselementdetails.aspx?termid=27205</v>
      </c>
    </row>
    <row r="1220" spans="1:13" ht="43.2" x14ac:dyDescent="0.3">
      <c r="A1220" s="16" t="s">
        <v>4663</v>
      </c>
      <c r="B1220" s="16" t="s">
        <v>4664</v>
      </c>
      <c r="C1220" s="16" t="s">
        <v>32</v>
      </c>
      <c r="D1220" s="16" t="s">
        <v>8654</v>
      </c>
      <c r="E1220" s="16"/>
      <c r="F1220" s="16" t="s">
        <v>316</v>
      </c>
      <c r="G1220" s="16"/>
      <c r="H1220" s="16"/>
      <c r="I1220" s="19" t="s">
        <v>4665</v>
      </c>
      <c r="J1220" s="16"/>
      <c r="K1220" s="16" t="s">
        <v>4666</v>
      </c>
      <c r="L1220" s="16"/>
      <c r="M1220" s="16" t="str">
        <f>HYPERLINK("https://ceds.ed.gov/cedselementdetails.aspx?termid=27204")</f>
        <v>https://ceds.ed.gov/cedselementdetails.aspx?termid=27204</v>
      </c>
    </row>
    <row r="1221" spans="1:13" ht="72" x14ac:dyDescent="0.3">
      <c r="A1221" s="16" t="s">
        <v>4667</v>
      </c>
      <c r="B1221" s="16" t="s">
        <v>4668</v>
      </c>
      <c r="C1221" s="16" t="s">
        <v>8660</v>
      </c>
      <c r="D1221" s="16" t="s">
        <v>4442</v>
      </c>
      <c r="E1221" s="16"/>
      <c r="F1221" s="16"/>
      <c r="G1221" s="16"/>
      <c r="H1221" s="16"/>
      <c r="I1221" s="19" t="s">
        <v>4669</v>
      </c>
      <c r="J1221" s="16"/>
      <c r="K1221" s="16" t="s">
        <v>4670</v>
      </c>
      <c r="L1221" s="16"/>
      <c r="M1221" s="16" t="str">
        <f>HYPERLINK("https://ceds.ed.gov/cedselementdetails.aspx?termid=27200")</f>
        <v>https://ceds.ed.gov/cedselementdetails.aspx?termid=27200</v>
      </c>
    </row>
    <row r="1222" spans="1:13" ht="259.2" x14ac:dyDescent="0.3">
      <c r="A1222" s="16" t="s">
        <v>4671</v>
      </c>
      <c r="B1222" s="16" t="s">
        <v>4672</v>
      </c>
      <c r="C1222" s="16" t="s">
        <v>13091</v>
      </c>
      <c r="D1222" s="16" t="s">
        <v>8661</v>
      </c>
      <c r="E1222" s="16" t="s">
        <v>160</v>
      </c>
      <c r="F1222" s="16"/>
      <c r="G1222" s="16" t="s">
        <v>12944</v>
      </c>
      <c r="H1222" s="16"/>
      <c r="I1222" s="19" t="s">
        <v>4673</v>
      </c>
      <c r="J1222" s="16"/>
      <c r="K1222" s="16" t="s">
        <v>4674</v>
      </c>
      <c r="L1222" s="16" t="s">
        <v>372</v>
      </c>
      <c r="M1222" s="16" t="str">
        <f>HYPERLINK("https://ceds.ed.gov/cedselementdetails.aspx?termid=26320")</f>
        <v>https://ceds.ed.gov/cedselementdetails.aspx?termid=26320</v>
      </c>
    </row>
    <row r="1223" spans="1:13" ht="57.6" x14ac:dyDescent="0.3">
      <c r="A1223" s="16" t="s">
        <v>4675</v>
      </c>
      <c r="B1223" s="16" t="s">
        <v>8062</v>
      </c>
      <c r="C1223" s="16" t="s">
        <v>32</v>
      </c>
      <c r="D1223" s="16" t="s">
        <v>2074</v>
      </c>
      <c r="E1223" s="16"/>
      <c r="F1223" s="16" t="s">
        <v>81</v>
      </c>
      <c r="G1223" s="16"/>
      <c r="H1223" s="16"/>
      <c r="I1223" s="19" t="s">
        <v>4676</v>
      </c>
      <c r="J1223" s="16"/>
      <c r="K1223" s="16" t="s">
        <v>4677</v>
      </c>
      <c r="L1223" s="16" t="s">
        <v>186</v>
      </c>
      <c r="M1223" s="16" t="str">
        <f>HYPERLINK("https://ceds.ed.gov/cedselementdetails.aspx?termid=26165")</f>
        <v>https://ceds.ed.gov/cedselementdetails.aspx?termid=26165</v>
      </c>
    </row>
    <row r="1224" spans="1:13" ht="43.2" x14ac:dyDescent="0.3">
      <c r="A1224" s="16" t="s">
        <v>4678</v>
      </c>
      <c r="B1224" s="16" t="s">
        <v>4679</v>
      </c>
      <c r="C1224" s="16" t="s">
        <v>32</v>
      </c>
      <c r="D1224" s="16" t="s">
        <v>7913</v>
      </c>
      <c r="E1224" s="16"/>
      <c r="F1224" s="16" t="s">
        <v>106</v>
      </c>
      <c r="G1224" s="16"/>
      <c r="H1224" s="16"/>
      <c r="I1224" s="19" t="s">
        <v>4680</v>
      </c>
      <c r="J1224" s="16"/>
      <c r="K1224" s="16" t="s">
        <v>4681</v>
      </c>
      <c r="L1224" s="16" t="s">
        <v>2444</v>
      </c>
      <c r="M1224" s="16" t="str">
        <f>HYPERLINK("https://ceds.ed.gov/cedselementdetails.aspx?termid=26347")</f>
        <v>https://ceds.ed.gov/cedselementdetails.aspx?termid=26347</v>
      </c>
    </row>
    <row r="1225" spans="1:13" ht="43.2" x14ac:dyDescent="0.3">
      <c r="A1225" s="16" t="s">
        <v>4682</v>
      </c>
      <c r="B1225" s="16" t="s">
        <v>4683</v>
      </c>
      <c r="C1225" s="16" t="s">
        <v>32</v>
      </c>
      <c r="D1225" s="16" t="s">
        <v>4047</v>
      </c>
      <c r="E1225" s="16"/>
      <c r="F1225" s="16" t="s">
        <v>1481</v>
      </c>
      <c r="G1225" s="16"/>
      <c r="H1225" s="16"/>
      <c r="I1225" s="19" t="s">
        <v>4684</v>
      </c>
      <c r="J1225" s="16"/>
      <c r="K1225" s="16" t="s">
        <v>4685</v>
      </c>
      <c r="L1225" s="16" t="s">
        <v>202</v>
      </c>
      <c r="M1225" s="16" t="str">
        <f>HYPERLINK("https://ceds.ed.gov/cedselementdetails.aspx?termid=26451")</f>
        <v>https://ceds.ed.gov/cedselementdetails.aspx?termid=26451</v>
      </c>
    </row>
    <row r="1226" spans="1:13" ht="43.2" x14ac:dyDescent="0.3">
      <c r="A1226" s="16" t="s">
        <v>4686</v>
      </c>
      <c r="B1226" s="16" t="s">
        <v>4687</v>
      </c>
      <c r="C1226" s="16" t="s">
        <v>32</v>
      </c>
      <c r="D1226" s="16" t="s">
        <v>4047</v>
      </c>
      <c r="E1226" s="16"/>
      <c r="F1226" s="16" t="s">
        <v>1481</v>
      </c>
      <c r="G1226" s="16"/>
      <c r="H1226" s="16"/>
      <c r="I1226" s="19" t="s">
        <v>4688</v>
      </c>
      <c r="J1226" s="16"/>
      <c r="K1226" s="16" t="s">
        <v>4689</v>
      </c>
      <c r="L1226" s="16" t="s">
        <v>202</v>
      </c>
      <c r="M1226" s="16" t="str">
        <f>HYPERLINK("https://ceds.ed.gov/cedselementdetails.aspx?termid=26452")</f>
        <v>https://ceds.ed.gov/cedselementdetails.aspx?termid=26452</v>
      </c>
    </row>
    <row r="1227" spans="1:13" ht="43.2" x14ac:dyDescent="0.3">
      <c r="A1227" s="16" t="s">
        <v>4690</v>
      </c>
      <c r="B1227" s="16" t="s">
        <v>4691</v>
      </c>
      <c r="C1227" s="16" t="s">
        <v>32</v>
      </c>
      <c r="D1227" s="16" t="s">
        <v>4047</v>
      </c>
      <c r="E1227" s="16"/>
      <c r="F1227" s="16" t="s">
        <v>1481</v>
      </c>
      <c r="G1227" s="16"/>
      <c r="H1227" s="16"/>
      <c r="I1227" s="19" t="s">
        <v>4692</v>
      </c>
      <c r="J1227" s="16"/>
      <c r="K1227" s="16" t="s">
        <v>4693</v>
      </c>
      <c r="L1227" s="16" t="s">
        <v>202</v>
      </c>
      <c r="M1227" s="16" t="str">
        <f>HYPERLINK("https://ceds.ed.gov/cedselementdetails.aspx?termid=26454")</f>
        <v>https://ceds.ed.gov/cedselementdetails.aspx?termid=26454</v>
      </c>
    </row>
    <row r="1228" spans="1:13" ht="43.2" x14ac:dyDescent="0.3">
      <c r="A1228" s="16" t="s">
        <v>4694</v>
      </c>
      <c r="B1228" s="16" t="s">
        <v>4695</v>
      </c>
      <c r="C1228" s="16" t="s">
        <v>32</v>
      </c>
      <c r="D1228" s="16" t="s">
        <v>1547</v>
      </c>
      <c r="E1228" s="16"/>
      <c r="F1228" s="16" t="s">
        <v>1807</v>
      </c>
      <c r="G1228" s="16"/>
      <c r="H1228" s="16"/>
      <c r="I1228" s="19" t="s">
        <v>4696</v>
      </c>
      <c r="J1228" s="16"/>
      <c r="K1228" s="16" t="s">
        <v>4697</v>
      </c>
      <c r="L1228" s="16"/>
      <c r="M1228" s="16" t="str">
        <f>HYPERLINK("https://ceds.ed.gov/cedselementdetails.aspx?termid=27829")</f>
        <v>https://ceds.ed.gov/cedselementdetails.aspx?termid=27829</v>
      </c>
    </row>
    <row r="1229" spans="1:13" ht="72" x14ac:dyDescent="0.3">
      <c r="A1229" s="16" t="s">
        <v>4698</v>
      </c>
      <c r="B1229" s="16" t="s">
        <v>4699</v>
      </c>
      <c r="C1229" s="16" t="s">
        <v>32</v>
      </c>
      <c r="D1229" s="16" t="s">
        <v>227</v>
      </c>
      <c r="E1229" s="16"/>
      <c r="F1229" s="16" t="s">
        <v>2839</v>
      </c>
      <c r="G1229" s="16"/>
      <c r="H1229" s="16"/>
      <c r="I1229" s="19" t="s">
        <v>4700</v>
      </c>
      <c r="J1229" s="16" t="s">
        <v>4701</v>
      </c>
      <c r="K1229" s="16" t="s">
        <v>4702</v>
      </c>
      <c r="L1229" s="16" t="s">
        <v>186</v>
      </c>
      <c r="M1229" s="16" t="str">
        <f>HYPERLINK("https://ceds.ed.gov/cedselementdetails.aspx?termid=26166")</f>
        <v>https://ceds.ed.gov/cedselementdetails.aspx?termid=26166</v>
      </c>
    </row>
    <row r="1230" spans="1:13" ht="129.6" x14ac:dyDescent="0.3">
      <c r="A1230" s="16" t="s">
        <v>4703</v>
      </c>
      <c r="B1230" s="16" t="s">
        <v>4704</v>
      </c>
      <c r="C1230" s="16" t="s">
        <v>8662</v>
      </c>
      <c r="D1230" s="16" t="s">
        <v>8663</v>
      </c>
      <c r="E1230" s="16"/>
      <c r="F1230" s="16"/>
      <c r="G1230" s="16"/>
      <c r="H1230" s="16"/>
      <c r="I1230" s="19" t="s">
        <v>4705</v>
      </c>
      <c r="J1230" s="16"/>
      <c r="K1230" s="16" t="s">
        <v>4706</v>
      </c>
      <c r="L1230" s="16"/>
      <c r="M1230" s="16" t="str">
        <f>HYPERLINK("https://ceds.ed.gov/cedselementdetails.aspx?termid=26167")</f>
        <v>https://ceds.ed.gov/cedselementdetails.aspx?termid=26167</v>
      </c>
    </row>
    <row r="1231" spans="1:13" ht="100.8" x14ac:dyDescent="0.3">
      <c r="A1231" s="16" t="s">
        <v>4707</v>
      </c>
      <c r="B1231" s="16" t="s">
        <v>4708</v>
      </c>
      <c r="C1231" s="16" t="s">
        <v>22</v>
      </c>
      <c r="D1231" s="16" t="s">
        <v>227</v>
      </c>
      <c r="E1231" s="16"/>
      <c r="F1231" s="16"/>
      <c r="G1231" s="16"/>
      <c r="H1231" s="16" t="s">
        <v>356</v>
      </c>
      <c r="I1231" s="19" t="s">
        <v>4709</v>
      </c>
      <c r="J1231" s="16"/>
      <c r="K1231" s="16" t="s">
        <v>4710</v>
      </c>
      <c r="L1231" s="16" t="s">
        <v>1531</v>
      </c>
      <c r="M1231" s="16" t="str">
        <f>HYPERLINK("https://ceds.ed.gov/cedselementdetails.aspx?termid=26727")</f>
        <v>https://ceds.ed.gov/cedselementdetails.aspx?termid=26727</v>
      </c>
    </row>
    <row r="1232" spans="1:13" ht="100.8" x14ac:dyDescent="0.3">
      <c r="A1232" s="16" t="s">
        <v>4711</v>
      </c>
      <c r="B1232" s="16" t="s">
        <v>8063</v>
      </c>
      <c r="C1232" s="16" t="s">
        <v>8664</v>
      </c>
      <c r="D1232" s="16" t="s">
        <v>66</v>
      </c>
      <c r="E1232" s="16"/>
      <c r="F1232" s="16"/>
      <c r="G1232" s="16"/>
      <c r="H1232" s="16" t="s">
        <v>4712</v>
      </c>
      <c r="I1232" s="19" t="s">
        <v>4713</v>
      </c>
      <c r="J1232" s="16"/>
      <c r="K1232" s="16" t="s">
        <v>4714</v>
      </c>
      <c r="L1232" s="16" t="s">
        <v>69</v>
      </c>
      <c r="M1232" s="16" t="str">
        <f>HYPERLINK("https://ceds.ed.gov/cedselementdetails.aspx?termid=26719")</f>
        <v>https://ceds.ed.gov/cedselementdetails.aspx?termid=26719</v>
      </c>
    </row>
    <row r="1233" spans="1:13" ht="129.6" x14ac:dyDescent="0.3">
      <c r="A1233" s="16" t="s">
        <v>4715</v>
      </c>
      <c r="B1233" s="16" t="s">
        <v>4716</v>
      </c>
      <c r="C1233" s="16" t="s">
        <v>7313</v>
      </c>
      <c r="D1233" s="16" t="s">
        <v>150</v>
      </c>
      <c r="E1233" s="16"/>
      <c r="F1233" s="16"/>
      <c r="G1233" s="16"/>
      <c r="H1233" s="16" t="s">
        <v>7859</v>
      </c>
      <c r="I1233" s="19" t="s">
        <v>4717</v>
      </c>
      <c r="J1233" s="16"/>
      <c r="K1233" s="16" t="s">
        <v>4718</v>
      </c>
      <c r="L1233" s="16" t="s">
        <v>202</v>
      </c>
      <c r="M1233" s="16" t="str">
        <f>HYPERLINK("https://ceds.ed.gov/cedselementdetails.aspx?termid=26438")</f>
        <v>https://ceds.ed.gov/cedselementdetails.aspx?termid=26438</v>
      </c>
    </row>
    <row r="1234" spans="1:13" ht="43.2" x14ac:dyDescent="0.3">
      <c r="A1234" s="16" t="s">
        <v>4719</v>
      </c>
      <c r="B1234" s="16" t="s">
        <v>4720</v>
      </c>
      <c r="C1234" s="16" t="s">
        <v>32</v>
      </c>
      <c r="D1234" s="16" t="s">
        <v>3165</v>
      </c>
      <c r="E1234" s="16"/>
      <c r="F1234" s="16" t="s">
        <v>1481</v>
      </c>
      <c r="G1234" s="16"/>
      <c r="H1234" s="16"/>
      <c r="I1234" s="19" t="s">
        <v>4721</v>
      </c>
      <c r="J1234" s="16"/>
      <c r="K1234" s="16" t="s">
        <v>4722</v>
      </c>
      <c r="L1234" s="16" t="s">
        <v>186</v>
      </c>
      <c r="M1234" s="16" t="str">
        <f>HYPERLINK("https://ceds.ed.gov/cedselementdetails.aspx?termid=26168")</f>
        <v>https://ceds.ed.gov/cedselementdetails.aspx?termid=26168</v>
      </c>
    </row>
    <row r="1235" spans="1:13" ht="43.2" x14ac:dyDescent="0.3">
      <c r="A1235" s="16" t="s">
        <v>4723</v>
      </c>
      <c r="B1235" s="16" t="s">
        <v>4724</v>
      </c>
      <c r="C1235" s="16" t="s">
        <v>32</v>
      </c>
      <c r="D1235" s="16" t="s">
        <v>4725</v>
      </c>
      <c r="E1235" s="16"/>
      <c r="F1235" s="16" t="s">
        <v>1481</v>
      </c>
      <c r="G1235" s="16"/>
      <c r="H1235" s="16"/>
      <c r="I1235" s="19" t="s">
        <v>4726</v>
      </c>
      <c r="J1235" s="16"/>
      <c r="K1235" s="16" t="s">
        <v>4727</v>
      </c>
      <c r="L1235" s="16" t="s">
        <v>4728</v>
      </c>
      <c r="M1235" s="16" t="str">
        <f>HYPERLINK("https://ceds.ed.gov/cedselementdetails.aspx?termid=26361")</f>
        <v>https://ceds.ed.gov/cedselementdetails.aspx?termid=26361</v>
      </c>
    </row>
    <row r="1236" spans="1:13" ht="43.2" x14ac:dyDescent="0.3">
      <c r="A1236" s="16" t="s">
        <v>4729</v>
      </c>
      <c r="B1236" s="16" t="s">
        <v>4730</v>
      </c>
      <c r="C1236" s="16" t="s">
        <v>8665</v>
      </c>
      <c r="D1236" s="16" t="s">
        <v>3165</v>
      </c>
      <c r="E1236" s="16"/>
      <c r="F1236" s="16"/>
      <c r="G1236" s="16"/>
      <c r="H1236" s="16"/>
      <c r="I1236" s="19" t="s">
        <v>4731</v>
      </c>
      <c r="J1236" s="16"/>
      <c r="K1236" s="16" t="s">
        <v>4732</v>
      </c>
      <c r="L1236" s="16" t="s">
        <v>186</v>
      </c>
      <c r="M1236" s="16" t="str">
        <f>HYPERLINK("https://ceds.ed.gov/cedselementdetails.aspx?termid=26169")</f>
        <v>https://ceds.ed.gov/cedselementdetails.aspx?termid=26169</v>
      </c>
    </row>
    <row r="1237" spans="1:13" ht="72" x14ac:dyDescent="0.3">
      <c r="A1237" s="16" t="s">
        <v>4733</v>
      </c>
      <c r="B1237" s="16" t="s">
        <v>4734</v>
      </c>
      <c r="C1237" s="16" t="s">
        <v>32</v>
      </c>
      <c r="D1237" s="16" t="s">
        <v>13050</v>
      </c>
      <c r="E1237" s="16"/>
      <c r="F1237" s="16" t="s">
        <v>305</v>
      </c>
      <c r="G1237" s="16"/>
      <c r="H1237" s="16"/>
      <c r="I1237" s="19" t="s">
        <v>4735</v>
      </c>
      <c r="J1237" s="16"/>
      <c r="K1237" s="16" t="s">
        <v>4736</v>
      </c>
      <c r="L1237" s="16"/>
      <c r="M1237" s="16" t="str">
        <f>HYPERLINK("https://ceds.ed.gov/cedselementdetails.aspx?termid=26490")</f>
        <v>https://ceds.ed.gov/cedselementdetails.aspx?termid=26490</v>
      </c>
    </row>
    <row r="1238" spans="1:13" ht="43.2" x14ac:dyDescent="0.3">
      <c r="A1238" s="16" t="s">
        <v>8995</v>
      </c>
      <c r="B1238" s="16" t="s">
        <v>8996</v>
      </c>
      <c r="C1238" s="16" t="s">
        <v>32</v>
      </c>
      <c r="D1238" s="16" t="s">
        <v>3010</v>
      </c>
      <c r="E1238" s="16"/>
      <c r="F1238" s="16" t="s">
        <v>8997</v>
      </c>
      <c r="G1238" s="16"/>
      <c r="H1238" s="16"/>
      <c r="I1238" s="19" t="s">
        <v>8998</v>
      </c>
      <c r="J1238" s="16"/>
      <c r="K1238" s="16" t="s">
        <v>8999</v>
      </c>
      <c r="L1238" s="16"/>
      <c r="M1238" s="16" t="str">
        <f>HYPERLINK("https://ceds.ed.gov/cedselementdetails.aspx?termid=28025")</f>
        <v>https://ceds.ed.gov/cedselementdetails.aspx?termid=28025</v>
      </c>
    </row>
    <row r="1239" spans="1:13" ht="43.2" x14ac:dyDescent="0.3">
      <c r="A1239" s="16" t="s">
        <v>4737</v>
      </c>
      <c r="B1239" s="16" t="s">
        <v>4738</v>
      </c>
      <c r="C1239" s="16" t="s">
        <v>32</v>
      </c>
      <c r="D1239" s="16" t="s">
        <v>1217</v>
      </c>
      <c r="E1239" s="16"/>
      <c r="F1239" s="16" t="s">
        <v>747</v>
      </c>
      <c r="G1239" s="16"/>
      <c r="H1239" s="16"/>
      <c r="I1239" s="19" t="s">
        <v>4739</v>
      </c>
      <c r="J1239" s="16"/>
      <c r="K1239" s="16" t="s">
        <v>4740</v>
      </c>
      <c r="L1239" s="16" t="s">
        <v>605</v>
      </c>
      <c r="M1239" s="16" t="str">
        <f>HYPERLINK("https://ceds.ed.gov/cedselementdetails.aspx?termid=26369")</f>
        <v>https://ceds.ed.gov/cedselementdetails.aspx?termid=26369</v>
      </c>
    </row>
    <row r="1240" spans="1:13" ht="86.4" x14ac:dyDescent="0.3">
      <c r="A1240" s="16" t="s">
        <v>4741</v>
      </c>
      <c r="B1240" s="16" t="s">
        <v>4742</v>
      </c>
      <c r="C1240" s="16" t="s">
        <v>8237</v>
      </c>
      <c r="D1240" s="16" t="s">
        <v>9378</v>
      </c>
      <c r="E1240" s="16"/>
      <c r="F1240" s="16"/>
      <c r="G1240" s="16"/>
      <c r="H1240" s="16" t="s">
        <v>4743</v>
      </c>
      <c r="I1240" s="19" t="s">
        <v>4744</v>
      </c>
      <c r="J1240" s="16"/>
      <c r="K1240" s="16" t="s">
        <v>4745</v>
      </c>
      <c r="L1240" s="16" t="s">
        <v>69</v>
      </c>
      <c r="M1240" s="16" t="str">
        <f>HYPERLINK("https://ceds.ed.gov/cedselementdetails.aspx?termid=26712")</f>
        <v>https://ceds.ed.gov/cedselementdetails.aspx?termid=26712</v>
      </c>
    </row>
    <row r="1241" spans="1:13" ht="86.4" x14ac:dyDescent="0.3">
      <c r="A1241" s="16" t="s">
        <v>4746</v>
      </c>
      <c r="B1241" s="16" t="s">
        <v>4747</v>
      </c>
      <c r="C1241" s="16" t="s">
        <v>8666</v>
      </c>
      <c r="D1241" s="16" t="s">
        <v>66</v>
      </c>
      <c r="E1241" s="16"/>
      <c r="F1241" s="16"/>
      <c r="G1241" s="16"/>
      <c r="H1241" s="16" t="s">
        <v>2453</v>
      </c>
      <c r="I1241" s="19" t="s">
        <v>4748</v>
      </c>
      <c r="J1241" s="16"/>
      <c r="K1241" s="16" t="s">
        <v>4749</v>
      </c>
      <c r="L1241" s="16" t="s">
        <v>69</v>
      </c>
      <c r="M1241" s="16" t="str">
        <f>HYPERLINK("https://ceds.ed.gov/cedselementdetails.aspx?termid=26716")</f>
        <v>https://ceds.ed.gov/cedselementdetails.aspx?termid=26716</v>
      </c>
    </row>
    <row r="1242" spans="1:13" ht="72" x14ac:dyDescent="0.3">
      <c r="A1242" s="16" t="s">
        <v>4750</v>
      </c>
      <c r="B1242" s="16" t="s">
        <v>8064</v>
      </c>
      <c r="C1242" s="16" t="s">
        <v>22</v>
      </c>
      <c r="D1242" s="16" t="s">
        <v>66</v>
      </c>
      <c r="E1242" s="16"/>
      <c r="F1242" s="16"/>
      <c r="G1242" s="16"/>
      <c r="H1242" s="16" t="s">
        <v>3840</v>
      </c>
      <c r="I1242" s="19" t="s">
        <v>4751</v>
      </c>
      <c r="J1242" s="16"/>
      <c r="K1242" s="16" t="s">
        <v>4752</v>
      </c>
      <c r="L1242" s="16"/>
      <c r="M1242" s="16" t="str">
        <f>HYPERLINK("https://ceds.ed.gov/cedselementdetails.aspx?termid=26709")</f>
        <v>https://ceds.ed.gov/cedselementdetails.aspx?termid=26709</v>
      </c>
    </row>
    <row r="1243" spans="1:13" ht="187.2" x14ac:dyDescent="0.3">
      <c r="A1243" s="16" t="s">
        <v>4753</v>
      </c>
      <c r="B1243" s="16" t="s">
        <v>4754</v>
      </c>
      <c r="C1243" s="16" t="s">
        <v>8494</v>
      </c>
      <c r="D1243" s="16" t="s">
        <v>8495</v>
      </c>
      <c r="E1243" s="16"/>
      <c r="F1243" s="16"/>
      <c r="G1243" s="16"/>
      <c r="H1243" s="16" t="s">
        <v>7936</v>
      </c>
      <c r="I1243" s="19" t="s">
        <v>4755</v>
      </c>
      <c r="J1243" s="16"/>
      <c r="K1243" s="16" t="s">
        <v>4756</v>
      </c>
      <c r="L1243" s="16" t="s">
        <v>3047</v>
      </c>
      <c r="M1243" s="16" t="str">
        <f>HYPERLINK("https://ceds.ed.gov/cedselementdetails.aspx?termid=26334")</f>
        <v>https://ceds.ed.gov/cedselementdetails.aspx?termid=26334</v>
      </c>
    </row>
    <row r="1244" spans="1:13" ht="43.2" x14ac:dyDescent="0.3">
      <c r="A1244" s="16" t="s">
        <v>4757</v>
      </c>
      <c r="B1244" s="16" t="s">
        <v>4758</v>
      </c>
      <c r="C1244" s="16" t="s">
        <v>32</v>
      </c>
      <c r="D1244" s="16" t="s">
        <v>4564</v>
      </c>
      <c r="E1244" s="16"/>
      <c r="F1244" s="16" t="s">
        <v>1481</v>
      </c>
      <c r="G1244" s="16"/>
      <c r="H1244" s="16"/>
      <c r="I1244" s="19" t="s">
        <v>4759</v>
      </c>
      <c r="J1244" s="16"/>
      <c r="K1244" s="16" t="s">
        <v>4760</v>
      </c>
      <c r="L1244" s="16"/>
      <c r="M1244" s="16" t="str">
        <f>HYPERLINK("https://ceds.ed.gov/cedselementdetails.aspx?termid=27875")</f>
        <v>https://ceds.ed.gov/cedselementdetails.aspx?termid=27875</v>
      </c>
    </row>
    <row r="1245" spans="1:13" ht="86.4" x14ac:dyDescent="0.3">
      <c r="A1245" s="16" t="s">
        <v>4761</v>
      </c>
      <c r="B1245" s="16" t="s">
        <v>4762</v>
      </c>
      <c r="C1245" s="16" t="s">
        <v>8667</v>
      </c>
      <c r="D1245" s="16" t="s">
        <v>1499</v>
      </c>
      <c r="E1245" s="16"/>
      <c r="F1245" s="16"/>
      <c r="G1245" s="16"/>
      <c r="H1245" s="16"/>
      <c r="I1245" s="19" t="s">
        <v>4763</v>
      </c>
      <c r="J1245" s="16"/>
      <c r="K1245" s="16" t="s">
        <v>4764</v>
      </c>
      <c r="L1245" s="16" t="s">
        <v>214</v>
      </c>
      <c r="M1245" s="16" t="str">
        <f>HYPERLINK("https://ceds.ed.gov/cedselementdetails.aspx?termid=26170")</f>
        <v>https://ceds.ed.gov/cedselementdetails.aspx?termid=26170</v>
      </c>
    </row>
    <row r="1246" spans="1:13" ht="43.2" x14ac:dyDescent="0.3">
      <c r="A1246" s="16" t="s">
        <v>4765</v>
      </c>
      <c r="B1246" s="16" t="s">
        <v>4766</v>
      </c>
      <c r="C1246" s="16" t="s">
        <v>32</v>
      </c>
      <c r="D1246" s="16" t="s">
        <v>487</v>
      </c>
      <c r="E1246" s="16"/>
      <c r="F1246" s="16" t="s">
        <v>106</v>
      </c>
      <c r="G1246" s="16"/>
      <c r="H1246" s="16"/>
      <c r="I1246" s="19" t="s">
        <v>4767</v>
      </c>
      <c r="J1246" s="16"/>
      <c r="K1246" s="16" t="s">
        <v>4768</v>
      </c>
      <c r="L1246" s="16"/>
      <c r="M1246" s="16" t="str">
        <f>HYPERLINK("https://ceds.ed.gov/cedselementdetails.aspx?termid=27137")</f>
        <v>https://ceds.ed.gov/cedselementdetails.aspx?termid=27137</v>
      </c>
    </row>
    <row r="1247" spans="1:13" ht="100.8" x14ac:dyDescent="0.3">
      <c r="A1247" s="16" t="s">
        <v>8065</v>
      </c>
      <c r="B1247" s="16" t="s">
        <v>8066</v>
      </c>
      <c r="C1247" s="16" t="s">
        <v>22</v>
      </c>
      <c r="D1247" s="16" t="s">
        <v>9379</v>
      </c>
      <c r="E1247" s="16"/>
      <c r="F1247" s="16" t="s">
        <v>2</v>
      </c>
      <c r="G1247" s="16"/>
      <c r="H1247" s="16"/>
      <c r="I1247" s="19" t="s">
        <v>8191</v>
      </c>
      <c r="J1247" s="16"/>
      <c r="K1247" s="16" t="s">
        <v>8067</v>
      </c>
      <c r="L1247" s="16"/>
      <c r="M1247" s="16" t="str">
        <f>HYPERLINK("https://ceds.ed.gov/cedselementdetails.aspx?termid=27989")</f>
        <v>https://ceds.ed.gov/cedselementdetails.aspx?termid=27989</v>
      </c>
    </row>
    <row r="1248" spans="1:13" ht="57.6" x14ac:dyDescent="0.3">
      <c r="A1248" s="16" t="s">
        <v>4769</v>
      </c>
      <c r="B1248" s="16" t="s">
        <v>4770</v>
      </c>
      <c r="C1248" s="16" t="s">
        <v>8238</v>
      </c>
      <c r="D1248" s="16" t="s">
        <v>9380</v>
      </c>
      <c r="E1248" s="16"/>
      <c r="F1248" s="16"/>
      <c r="G1248" s="16"/>
      <c r="H1248" s="16"/>
      <c r="I1248" s="19" t="s">
        <v>4771</v>
      </c>
      <c r="J1248" s="16"/>
      <c r="K1248" s="16" t="s">
        <v>4772</v>
      </c>
      <c r="L1248" s="16" t="s">
        <v>214</v>
      </c>
      <c r="M1248" s="16" t="str">
        <f>HYPERLINK("https://ceds.ed.gov/cedselementdetails.aspx?termid=26580")</f>
        <v>https://ceds.ed.gov/cedselementdetails.aspx?termid=26580</v>
      </c>
    </row>
    <row r="1249" spans="1:13" ht="72" x14ac:dyDescent="0.3">
      <c r="A1249" s="16" t="s">
        <v>7439</v>
      </c>
      <c r="B1249" s="16" t="s">
        <v>7440</v>
      </c>
      <c r="C1249" s="16" t="s">
        <v>22</v>
      </c>
      <c r="D1249" s="16" t="s">
        <v>7894</v>
      </c>
      <c r="E1249" s="16"/>
      <c r="F1249" s="16"/>
      <c r="G1249" s="16"/>
      <c r="H1249" s="16" t="s">
        <v>7441</v>
      </c>
      <c r="I1249" s="19" t="s">
        <v>7442</v>
      </c>
      <c r="J1249" s="16"/>
      <c r="K1249" s="16" t="s">
        <v>7443</v>
      </c>
      <c r="L1249" s="16"/>
      <c r="M1249" s="16" t="str">
        <f>HYPERLINK("https://ceds.ed.gov/cedselementdetails.aspx?termid=27936")</f>
        <v>https://ceds.ed.gov/cedselementdetails.aspx?termid=27936</v>
      </c>
    </row>
    <row r="1250" spans="1:13" ht="172.8" x14ac:dyDescent="0.3">
      <c r="A1250" s="16" t="s">
        <v>7444</v>
      </c>
      <c r="B1250" s="16" t="s">
        <v>13080</v>
      </c>
      <c r="C1250" s="16" t="s">
        <v>8668</v>
      </c>
      <c r="D1250" s="16" t="s">
        <v>12964</v>
      </c>
      <c r="E1250" s="16" t="s">
        <v>160</v>
      </c>
      <c r="F1250" s="16"/>
      <c r="G1250" s="16" t="s">
        <v>12945</v>
      </c>
      <c r="H1250" s="16" t="s">
        <v>13081</v>
      </c>
      <c r="I1250" s="19" t="s">
        <v>7445</v>
      </c>
      <c r="J1250" s="16"/>
      <c r="K1250" s="16"/>
      <c r="L1250" s="16"/>
      <c r="M1250" s="16" t="str">
        <f>HYPERLINK("https://ceds.ed.gov/cedselementdetails.aspx?termid=27937")</f>
        <v>https://ceds.ed.gov/cedselementdetails.aspx?termid=27937</v>
      </c>
    </row>
    <row r="1251" spans="1:13" ht="158.4" x14ac:dyDescent="0.3">
      <c r="A1251" s="16" t="s">
        <v>7446</v>
      </c>
      <c r="B1251" s="16" t="s">
        <v>7447</v>
      </c>
      <c r="C1251" s="16" t="s">
        <v>32</v>
      </c>
      <c r="D1251" s="16" t="s">
        <v>8669</v>
      </c>
      <c r="E1251" s="16"/>
      <c r="F1251" s="16" t="s">
        <v>136</v>
      </c>
      <c r="G1251" s="16"/>
      <c r="H1251" s="16" t="s">
        <v>7448</v>
      </c>
      <c r="I1251" s="19" t="s">
        <v>7449</v>
      </c>
      <c r="J1251" s="16"/>
      <c r="K1251" s="16" t="s">
        <v>7450</v>
      </c>
      <c r="L1251" s="16"/>
      <c r="M1251" s="16" t="str">
        <f>HYPERLINK("https://ceds.ed.gov/cedselementdetails.aspx?termid=27938")</f>
        <v>https://ceds.ed.gov/cedselementdetails.aspx?termid=27938</v>
      </c>
    </row>
    <row r="1252" spans="1:13" ht="100.8" x14ac:dyDescent="0.3">
      <c r="A1252" s="16" t="s">
        <v>7451</v>
      </c>
      <c r="B1252" s="16" t="s">
        <v>7452</v>
      </c>
      <c r="C1252" s="16" t="s">
        <v>8670</v>
      </c>
      <c r="D1252" s="16" t="s">
        <v>7894</v>
      </c>
      <c r="E1252" s="16"/>
      <c r="F1252" s="16"/>
      <c r="G1252" s="16"/>
      <c r="H1252" s="16" t="s">
        <v>7453</v>
      </c>
      <c r="I1252" s="19" t="s">
        <v>7454</v>
      </c>
      <c r="J1252" s="16"/>
      <c r="K1252" s="16" t="s">
        <v>7455</v>
      </c>
      <c r="L1252" s="16"/>
      <c r="M1252" s="16" t="str">
        <f>HYPERLINK("https://ceds.ed.gov/cedselementdetails.aspx?termid=27939")</f>
        <v>https://ceds.ed.gov/cedselementdetails.aspx?termid=27939</v>
      </c>
    </row>
    <row r="1253" spans="1:13" ht="158.4" x14ac:dyDescent="0.3">
      <c r="A1253" s="16" t="s">
        <v>7456</v>
      </c>
      <c r="B1253" s="16" t="s">
        <v>7457</v>
      </c>
      <c r="C1253" s="16" t="s">
        <v>32</v>
      </c>
      <c r="D1253" s="16" t="s">
        <v>8669</v>
      </c>
      <c r="E1253" s="16"/>
      <c r="F1253" s="16" t="s">
        <v>812</v>
      </c>
      <c r="G1253" s="16"/>
      <c r="H1253" s="16" t="s">
        <v>7458</v>
      </c>
      <c r="I1253" s="19" t="s">
        <v>7459</v>
      </c>
      <c r="J1253" s="16"/>
      <c r="K1253" s="16" t="s">
        <v>7460</v>
      </c>
      <c r="L1253" s="16"/>
      <c r="M1253" s="16" t="str">
        <f>HYPERLINK("https://ceds.ed.gov/cedselementdetails.aspx?termid=27940")</f>
        <v>https://ceds.ed.gov/cedselementdetails.aspx?termid=27940</v>
      </c>
    </row>
    <row r="1254" spans="1:13" ht="158.4" x14ac:dyDescent="0.3">
      <c r="A1254" s="16" t="s">
        <v>7461</v>
      </c>
      <c r="B1254" s="16" t="s">
        <v>7462</v>
      </c>
      <c r="C1254" s="16" t="s">
        <v>32</v>
      </c>
      <c r="D1254" s="16" t="s">
        <v>8669</v>
      </c>
      <c r="E1254" s="16"/>
      <c r="F1254" s="16" t="s">
        <v>136</v>
      </c>
      <c r="G1254" s="16"/>
      <c r="H1254" s="16" t="s">
        <v>7463</v>
      </c>
      <c r="I1254" s="19" t="s">
        <v>7464</v>
      </c>
      <c r="J1254" s="16"/>
      <c r="K1254" s="16" t="s">
        <v>7465</v>
      </c>
      <c r="L1254" s="16"/>
      <c r="M1254" s="16" t="str">
        <f>HYPERLINK("https://ceds.ed.gov/cedselementdetails.aspx?termid=27941")</f>
        <v>https://ceds.ed.gov/cedselementdetails.aspx?termid=27941</v>
      </c>
    </row>
    <row r="1255" spans="1:13" ht="57.6" x14ac:dyDescent="0.3">
      <c r="A1255" s="16" t="s">
        <v>4773</v>
      </c>
      <c r="B1255" s="16" t="s">
        <v>8068</v>
      </c>
      <c r="C1255" s="16" t="s">
        <v>32</v>
      </c>
      <c r="D1255" s="16" t="s">
        <v>1499</v>
      </c>
      <c r="E1255" s="16"/>
      <c r="F1255" s="16" t="s">
        <v>305</v>
      </c>
      <c r="G1255" s="16"/>
      <c r="H1255" s="16"/>
      <c r="I1255" s="19" t="s">
        <v>4774</v>
      </c>
      <c r="J1255" s="16"/>
      <c r="K1255" s="16" t="s">
        <v>4775</v>
      </c>
      <c r="L1255" s="16"/>
      <c r="M1255" s="16" t="str">
        <f>HYPERLINK("https://ceds.ed.gov/cedselementdetails.aspx?termid=26665")</f>
        <v>https://ceds.ed.gov/cedselementdetails.aspx?termid=26665</v>
      </c>
    </row>
    <row r="1256" spans="1:13" ht="57.6" x14ac:dyDescent="0.3">
      <c r="A1256" s="16" t="s">
        <v>4776</v>
      </c>
      <c r="B1256" s="16" t="s">
        <v>8069</v>
      </c>
      <c r="C1256" s="16" t="s">
        <v>32</v>
      </c>
      <c r="D1256" s="16" t="s">
        <v>1499</v>
      </c>
      <c r="E1256" s="16"/>
      <c r="F1256" s="16" t="s">
        <v>305</v>
      </c>
      <c r="G1256" s="16"/>
      <c r="H1256" s="16"/>
      <c r="I1256" s="19" t="s">
        <v>4777</v>
      </c>
      <c r="J1256" s="16"/>
      <c r="K1256" s="16" t="s">
        <v>4778</v>
      </c>
      <c r="L1256" s="16"/>
      <c r="M1256" s="16" t="str">
        <f>HYPERLINK("https://ceds.ed.gov/cedselementdetails.aspx?termid=26664")</f>
        <v>https://ceds.ed.gov/cedselementdetails.aspx?termid=26664</v>
      </c>
    </row>
    <row r="1257" spans="1:13" ht="72" x14ac:dyDescent="0.3">
      <c r="A1257" s="16" t="s">
        <v>4779</v>
      </c>
      <c r="B1257" s="16" t="s">
        <v>8070</v>
      </c>
      <c r="C1257" s="16" t="s">
        <v>32</v>
      </c>
      <c r="D1257" s="16" t="s">
        <v>1499</v>
      </c>
      <c r="E1257" s="16"/>
      <c r="F1257" s="16" t="s">
        <v>305</v>
      </c>
      <c r="G1257" s="16"/>
      <c r="H1257" s="16"/>
      <c r="I1257" s="19" t="s">
        <v>4780</v>
      </c>
      <c r="J1257" s="16"/>
      <c r="K1257" s="16" t="s">
        <v>4781</v>
      </c>
      <c r="L1257" s="16"/>
      <c r="M1257" s="16" t="str">
        <f>HYPERLINK("https://ceds.ed.gov/cedselementdetails.aspx?termid=26661")</f>
        <v>https://ceds.ed.gov/cedselementdetails.aspx?termid=26661</v>
      </c>
    </row>
    <row r="1258" spans="1:13" ht="72" x14ac:dyDescent="0.3">
      <c r="A1258" s="16" t="s">
        <v>4782</v>
      </c>
      <c r="B1258" s="16" t="s">
        <v>8071</v>
      </c>
      <c r="C1258" s="16" t="s">
        <v>32</v>
      </c>
      <c r="D1258" s="16" t="s">
        <v>1499</v>
      </c>
      <c r="E1258" s="16"/>
      <c r="F1258" s="16" t="s">
        <v>305</v>
      </c>
      <c r="G1258" s="16"/>
      <c r="H1258" s="16"/>
      <c r="I1258" s="19" t="s">
        <v>4783</v>
      </c>
      <c r="J1258" s="16"/>
      <c r="K1258" s="16" t="s">
        <v>4784</v>
      </c>
      <c r="L1258" s="16"/>
      <c r="M1258" s="16" t="str">
        <f>HYPERLINK("https://ceds.ed.gov/cedselementdetails.aspx?termid=26660")</f>
        <v>https://ceds.ed.gov/cedselementdetails.aspx?termid=26660</v>
      </c>
    </row>
    <row r="1259" spans="1:13" ht="86.4" x14ac:dyDescent="0.3">
      <c r="A1259" s="16" t="s">
        <v>4785</v>
      </c>
      <c r="B1259" s="16" t="s">
        <v>8072</v>
      </c>
      <c r="C1259" s="16" t="s">
        <v>32</v>
      </c>
      <c r="D1259" s="16" t="s">
        <v>1499</v>
      </c>
      <c r="E1259" s="16"/>
      <c r="F1259" s="16" t="s">
        <v>305</v>
      </c>
      <c r="G1259" s="16"/>
      <c r="H1259" s="16"/>
      <c r="I1259" s="19" t="s">
        <v>4786</v>
      </c>
      <c r="J1259" s="16"/>
      <c r="K1259" s="16" t="s">
        <v>4787</v>
      </c>
      <c r="L1259" s="16"/>
      <c r="M1259" s="16" t="str">
        <f>HYPERLINK("https://ceds.ed.gov/cedselementdetails.aspx?termid=26663")</f>
        <v>https://ceds.ed.gov/cedselementdetails.aspx?termid=26663</v>
      </c>
    </row>
    <row r="1260" spans="1:13" ht="86.4" x14ac:dyDescent="0.3">
      <c r="A1260" s="16" t="s">
        <v>4788</v>
      </c>
      <c r="B1260" s="16" t="s">
        <v>8073</v>
      </c>
      <c r="C1260" s="16" t="s">
        <v>32</v>
      </c>
      <c r="D1260" s="16" t="s">
        <v>1499</v>
      </c>
      <c r="E1260" s="16"/>
      <c r="F1260" s="16" t="s">
        <v>305</v>
      </c>
      <c r="G1260" s="16"/>
      <c r="H1260" s="16"/>
      <c r="I1260" s="19" t="s">
        <v>4789</v>
      </c>
      <c r="J1260" s="16"/>
      <c r="K1260" s="16" t="s">
        <v>4790</v>
      </c>
      <c r="L1260" s="16"/>
      <c r="M1260" s="16" t="str">
        <f>HYPERLINK("https://ceds.ed.gov/cedselementdetails.aspx?termid=26662")</f>
        <v>https://ceds.ed.gov/cedselementdetails.aspx?termid=26662</v>
      </c>
    </row>
    <row r="1261" spans="1:13" ht="129.6" x14ac:dyDescent="0.3">
      <c r="A1261" s="16" t="s">
        <v>4791</v>
      </c>
      <c r="B1261" s="16" t="s">
        <v>8074</v>
      </c>
      <c r="C1261" s="16" t="s">
        <v>32</v>
      </c>
      <c r="D1261" s="16" t="s">
        <v>227</v>
      </c>
      <c r="E1261" s="16"/>
      <c r="F1261" s="16" t="s">
        <v>78</v>
      </c>
      <c r="G1261" s="16"/>
      <c r="H1261" s="16"/>
      <c r="I1261" s="19" t="s">
        <v>4792</v>
      </c>
      <c r="J1261" s="16"/>
      <c r="K1261" s="16" t="s">
        <v>4793</v>
      </c>
      <c r="L1261" s="16" t="s">
        <v>230</v>
      </c>
      <c r="M1261" s="16" t="str">
        <f>HYPERLINK("https://ceds.ed.gov/cedselementdetails.aspx?termid=27592")</f>
        <v>https://ceds.ed.gov/cedselementdetails.aspx?termid=27592</v>
      </c>
    </row>
    <row r="1262" spans="1:13" ht="409.6" x14ac:dyDescent="0.3">
      <c r="A1262" s="16" t="s">
        <v>4794</v>
      </c>
      <c r="B1262" s="16" t="s">
        <v>4795</v>
      </c>
      <c r="C1262" s="16" t="s">
        <v>8671</v>
      </c>
      <c r="D1262" s="16" t="s">
        <v>4796</v>
      </c>
      <c r="E1262" s="16"/>
      <c r="F1262" s="16"/>
      <c r="G1262" s="16"/>
      <c r="H1262" s="16"/>
      <c r="I1262" s="19" t="s">
        <v>4797</v>
      </c>
      <c r="J1262" s="16"/>
      <c r="K1262" s="16" t="s">
        <v>4798</v>
      </c>
      <c r="L1262" s="16"/>
      <c r="M1262" s="16" t="str">
        <f>HYPERLINK("https://ceds.ed.gov/cedselementdetails.aspx?termid=27652")</f>
        <v>https://ceds.ed.gov/cedselementdetails.aspx?termid=27652</v>
      </c>
    </row>
    <row r="1263" spans="1:13" ht="201.6" x14ac:dyDescent="0.3">
      <c r="A1263" s="16" t="s">
        <v>4799</v>
      </c>
      <c r="B1263" s="16" t="s">
        <v>4824</v>
      </c>
      <c r="C1263" s="16" t="s">
        <v>8672</v>
      </c>
      <c r="D1263" s="16" t="s">
        <v>4796</v>
      </c>
      <c r="E1263" s="16"/>
      <c r="F1263" s="16"/>
      <c r="G1263" s="16"/>
      <c r="H1263" s="16" t="s">
        <v>4800</v>
      </c>
      <c r="I1263" s="19" t="s">
        <v>4801</v>
      </c>
      <c r="J1263" s="16"/>
      <c r="K1263" s="16" t="s">
        <v>4802</v>
      </c>
      <c r="L1263" s="16"/>
      <c r="M1263" s="16" t="str">
        <f>HYPERLINK("https://ceds.ed.gov/cedselementdetails.aspx?termid=27640")</f>
        <v>https://ceds.ed.gov/cedselementdetails.aspx?termid=27640</v>
      </c>
    </row>
    <row r="1264" spans="1:13" ht="86.4" x14ac:dyDescent="0.3">
      <c r="A1264" s="16" t="s">
        <v>4803</v>
      </c>
      <c r="B1264" s="16" t="s">
        <v>4804</v>
      </c>
      <c r="C1264" s="16" t="s">
        <v>8673</v>
      </c>
      <c r="D1264" s="16" t="s">
        <v>4796</v>
      </c>
      <c r="E1264" s="16"/>
      <c r="F1264" s="16"/>
      <c r="G1264" s="16"/>
      <c r="H1264" s="16"/>
      <c r="I1264" s="19" t="s">
        <v>4805</v>
      </c>
      <c r="J1264" s="16"/>
      <c r="K1264" s="16" t="s">
        <v>4806</v>
      </c>
      <c r="L1264" s="16"/>
      <c r="M1264" s="16" t="str">
        <f>HYPERLINK("https://ceds.ed.gov/cedselementdetails.aspx?termid=27661")</f>
        <v>https://ceds.ed.gov/cedselementdetails.aspx?termid=27661</v>
      </c>
    </row>
    <row r="1265" spans="1:13" ht="409.6" x14ac:dyDescent="0.3">
      <c r="A1265" s="16" t="s">
        <v>4807</v>
      </c>
      <c r="B1265" s="16" t="s">
        <v>4808</v>
      </c>
      <c r="C1265" s="16" t="s">
        <v>8674</v>
      </c>
      <c r="D1265" s="16" t="s">
        <v>4796</v>
      </c>
      <c r="E1265" s="16"/>
      <c r="F1265" s="16"/>
      <c r="G1265" s="16"/>
      <c r="H1265" s="16"/>
      <c r="I1265" s="19" t="s">
        <v>4809</v>
      </c>
      <c r="J1265" s="16"/>
      <c r="K1265" s="16" t="s">
        <v>4810</v>
      </c>
      <c r="L1265" s="16"/>
      <c r="M1265" s="16" t="str">
        <f>HYPERLINK("https://ceds.ed.gov/cedselementdetails.aspx?termid=27654")</f>
        <v>https://ceds.ed.gov/cedselementdetails.aspx?termid=27654</v>
      </c>
    </row>
    <row r="1266" spans="1:13" ht="86.4" x14ac:dyDescent="0.3">
      <c r="A1266" s="16" t="s">
        <v>4811</v>
      </c>
      <c r="B1266" s="16" t="s">
        <v>4812</v>
      </c>
      <c r="C1266" s="16" t="s">
        <v>8675</v>
      </c>
      <c r="D1266" s="16" t="s">
        <v>4796</v>
      </c>
      <c r="E1266" s="16"/>
      <c r="F1266" s="16"/>
      <c r="G1266" s="16"/>
      <c r="H1266" s="16"/>
      <c r="I1266" s="19" t="s">
        <v>4813</v>
      </c>
      <c r="J1266" s="16"/>
      <c r="K1266" s="16" t="s">
        <v>4814</v>
      </c>
      <c r="L1266" s="16"/>
      <c r="M1266" s="16" t="str">
        <f>HYPERLINK("https://ceds.ed.gov/cedselementdetails.aspx?termid=27655")</f>
        <v>https://ceds.ed.gov/cedselementdetails.aspx?termid=27655</v>
      </c>
    </row>
    <row r="1267" spans="1:13" ht="244.8" x14ac:dyDescent="0.3">
      <c r="A1267" s="16" t="s">
        <v>4815</v>
      </c>
      <c r="B1267" s="16" t="s">
        <v>4816</v>
      </c>
      <c r="C1267" s="16" t="s">
        <v>8676</v>
      </c>
      <c r="D1267" s="16" t="s">
        <v>4796</v>
      </c>
      <c r="E1267" s="16"/>
      <c r="F1267" s="16"/>
      <c r="G1267" s="16"/>
      <c r="H1267" s="16"/>
      <c r="I1267" s="19" t="s">
        <v>4817</v>
      </c>
      <c r="J1267" s="16"/>
      <c r="K1267" s="16" t="s">
        <v>4818</v>
      </c>
      <c r="L1267" s="16"/>
      <c r="M1267" s="16" t="str">
        <f>HYPERLINK("https://ceds.ed.gov/cedselementdetails.aspx?termid=27659")</f>
        <v>https://ceds.ed.gov/cedselementdetails.aspx?termid=27659</v>
      </c>
    </row>
    <row r="1268" spans="1:13" ht="409.6" x14ac:dyDescent="0.3">
      <c r="A1268" s="16" t="s">
        <v>4819</v>
      </c>
      <c r="B1268" s="16" t="s">
        <v>4820</v>
      </c>
      <c r="C1268" s="16" t="s">
        <v>8677</v>
      </c>
      <c r="D1268" s="16" t="s">
        <v>4796</v>
      </c>
      <c r="E1268" s="16"/>
      <c r="F1268" s="16"/>
      <c r="G1268" s="16"/>
      <c r="H1268" s="16"/>
      <c r="I1268" s="19" t="s">
        <v>4821</v>
      </c>
      <c r="J1268" s="16"/>
      <c r="K1268" s="16" t="s">
        <v>4822</v>
      </c>
      <c r="L1268" s="16"/>
      <c r="M1268" s="16" t="str">
        <f>HYPERLINK("https://ceds.ed.gov/cedselementdetails.aspx?termid=27651")</f>
        <v>https://ceds.ed.gov/cedselementdetails.aspx?termid=27651</v>
      </c>
    </row>
    <row r="1269" spans="1:13" ht="201.6" x14ac:dyDescent="0.3">
      <c r="A1269" s="16" t="s">
        <v>4823</v>
      </c>
      <c r="B1269" s="16" t="s">
        <v>4824</v>
      </c>
      <c r="C1269" s="16" t="s">
        <v>8678</v>
      </c>
      <c r="D1269" s="16" t="s">
        <v>4796</v>
      </c>
      <c r="E1269" s="16"/>
      <c r="F1269" s="16"/>
      <c r="G1269" s="16"/>
      <c r="H1269" s="16" t="s">
        <v>4800</v>
      </c>
      <c r="I1269" s="19" t="s">
        <v>4825</v>
      </c>
      <c r="J1269" s="16"/>
      <c r="K1269" s="16" t="s">
        <v>4826</v>
      </c>
      <c r="L1269" s="16"/>
      <c r="M1269" s="16" t="str">
        <f>HYPERLINK("https://ceds.ed.gov/cedselementdetails.aspx?termid=27656")</f>
        <v>https://ceds.ed.gov/cedselementdetails.aspx?termid=27656</v>
      </c>
    </row>
    <row r="1270" spans="1:13" ht="409.6" x14ac:dyDescent="0.3">
      <c r="A1270" s="16" t="s">
        <v>4827</v>
      </c>
      <c r="B1270" s="16" t="s">
        <v>4828</v>
      </c>
      <c r="C1270" s="16" t="s">
        <v>8679</v>
      </c>
      <c r="D1270" s="16" t="s">
        <v>4796</v>
      </c>
      <c r="E1270" s="16"/>
      <c r="F1270" s="16"/>
      <c r="G1270" s="16"/>
      <c r="H1270" s="16"/>
      <c r="I1270" s="19" t="s">
        <v>4829</v>
      </c>
      <c r="J1270" s="16"/>
      <c r="K1270" s="16" t="s">
        <v>4830</v>
      </c>
      <c r="L1270" s="16"/>
      <c r="M1270" s="16" t="str">
        <f>HYPERLINK("https://ceds.ed.gov/cedselementdetails.aspx?termid=27653")</f>
        <v>https://ceds.ed.gov/cedselementdetails.aspx?termid=27653</v>
      </c>
    </row>
    <row r="1271" spans="1:13" ht="273.60000000000002" x14ac:dyDescent="0.3">
      <c r="A1271" s="16" t="s">
        <v>4831</v>
      </c>
      <c r="B1271" s="16" t="s">
        <v>4832</v>
      </c>
      <c r="C1271" s="16" t="s">
        <v>8680</v>
      </c>
      <c r="D1271" s="16" t="s">
        <v>4796</v>
      </c>
      <c r="E1271" s="16"/>
      <c r="F1271" s="16"/>
      <c r="G1271" s="16"/>
      <c r="H1271" s="16"/>
      <c r="I1271" s="19" t="s">
        <v>4833</v>
      </c>
      <c r="J1271" s="16"/>
      <c r="K1271" s="16" t="s">
        <v>4834</v>
      </c>
      <c r="L1271" s="16"/>
      <c r="M1271" s="16" t="str">
        <f>HYPERLINK("https://ceds.ed.gov/cedselementdetails.aspx?termid=27658")</f>
        <v>https://ceds.ed.gov/cedselementdetails.aspx?termid=27658</v>
      </c>
    </row>
    <row r="1272" spans="1:13" ht="100.8" x14ac:dyDescent="0.3">
      <c r="A1272" s="16" t="s">
        <v>4835</v>
      </c>
      <c r="B1272" s="16" t="s">
        <v>4836</v>
      </c>
      <c r="C1272" s="16" t="s">
        <v>8681</v>
      </c>
      <c r="D1272" s="16" t="s">
        <v>4796</v>
      </c>
      <c r="E1272" s="16"/>
      <c r="F1272" s="16"/>
      <c r="G1272" s="16"/>
      <c r="H1272" s="16"/>
      <c r="I1272" s="19" t="s">
        <v>4837</v>
      </c>
      <c r="J1272" s="16"/>
      <c r="K1272" s="16" t="s">
        <v>4838</v>
      </c>
      <c r="L1272" s="16"/>
      <c r="M1272" s="16" t="str">
        <f>HYPERLINK("https://ceds.ed.gov/cedselementdetails.aspx?termid=27660")</f>
        <v>https://ceds.ed.gov/cedselementdetails.aspx?termid=27660</v>
      </c>
    </row>
    <row r="1273" spans="1:13" ht="115.2" x14ac:dyDescent="0.3">
      <c r="A1273" s="16" t="s">
        <v>4839</v>
      </c>
      <c r="B1273" s="16" t="s">
        <v>4840</v>
      </c>
      <c r="C1273" s="16" t="s">
        <v>8682</v>
      </c>
      <c r="D1273" s="16" t="s">
        <v>4796</v>
      </c>
      <c r="E1273" s="16"/>
      <c r="F1273" s="16"/>
      <c r="G1273" s="16"/>
      <c r="H1273" s="16" t="s">
        <v>4841</v>
      </c>
      <c r="I1273" s="19" t="s">
        <v>4842</v>
      </c>
      <c r="J1273" s="16"/>
      <c r="K1273" s="16" t="s">
        <v>4843</v>
      </c>
      <c r="L1273" s="16"/>
      <c r="M1273" s="16" t="str">
        <f>HYPERLINK("https://ceds.ed.gov/cedselementdetails.aspx?termid=27657")</f>
        <v>https://ceds.ed.gov/cedselementdetails.aspx?termid=27657</v>
      </c>
    </row>
    <row r="1274" spans="1:13" ht="360" x14ac:dyDescent="0.3">
      <c r="A1274" s="16" t="s">
        <v>4844</v>
      </c>
      <c r="B1274" s="16" t="s">
        <v>4845</v>
      </c>
      <c r="C1274" s="16" t="s">
        <v>8239</v>
      </c>
      <c r="D1274" s="16" t="s">
        <v>9352</v>
      </c>
      <c r="E1274" s="16"/>
      <c r="F1274" s="16"/>
      <c r="G1274" s="16"/>
      <c r="H1274" s="16" t="s">
        <v>4846</v>
      </c>
      <c r="I1274" s="19" t="s">
        <v>4847</v>
      </c>
      <c r="J1274" s="16"/>
      <c r="K1274" s="16" t="s">
        <v>4848</v>
      </c>
      <c r="L1274" s="16" t="s">
        <v>69</v>
      </c>
      <c r="M1274" s="16" t="str">
        <f>HYPERLINK("https://ceds.ed.gov/cedselementdetails.aspx?termid=26708")</f>
        <v>https://ceds.ed.gov/cedselementdetails.aspx?termid=26708</v>
      </c>
    </row>
    <row r="1275" spans="1:13" ht="409.6" x14ac:dyDescent="0.3">
      <c r="A1275" s="16" t="s">
        <v>4849</v>
      </c>
      <c r="B1275" s="16" t="s">
        <v>13082</v>
      </c>
      <c r="C1275" s="16" t="s">
        <v>7313</v>
      </c>
      <c r="D1275" s="16" t="s">
        <v>8240</v>
      </c>
      <c r="E1275" s="16" t="s">
        <v>160</v>
      </c>
      <c r="F1275" s="16"/>
      <c r="G1275" s="16" t="s">
        <v>12946</v>
      </c>
      <c r="H1275" s="16"/>
      <c r="I1275" s="19" t="s">
        <v>4850</v>
      </c>
      <c r="J1275" s="16"/>
      <c r="K1275" s="16"/>
      <c r="L1275" s="16" t="s">
        <v>4851</v>
      </c>
      <c r="M1275" s="16" t="str">
        <f>HYPERLINK("https://ceds.ed.gov/cedselementdetails.aspx?termid=26317")</f>
        <v>https://ceds.ed.gov/cedselementdetails.aspx?termid=26317</v>
      </c>
    </row>
    <row r="1276" spans="1:13" ht="409.6" x14ac:dyDescent="0.3">
      <c r="A1276" s="16" t="s">
        <v>4852</v>
      </c>
      <c r="B1276" s="16" t="s">
        <v>13083</v>
      </c>
      <c r="C1276" s="16" t="s">
        <v>7313</v>
      </c>
      <c r="D1276" s="16" t="s">
        <v>8240</v>
      </c>
      <c r="E1276" s="16" t="s">
        <v>160</v>
      </c>
      <c r="F1276" s="16"/>
      <c r="G1276" s="16" t="s">
        <v>12947</v>
      </c>
      <c r="H1276" s="16" t="s">
        <v>13084</v>
      </c>
      <c r="I1276" s="19" t="s">
        <v>4853</v>
      </c>
      <c r="J1276" s="16"/>
      <c r="K1276" s="16"/>
      <c r="L1276" s="16"/>
      <c r="M1276" s="16" t="str">
        <f>HYPERLINK("https://ceds.ed.gov/cedselementdetails.aspx?termid=27618")</f>
        <v>https://ceds.ed.gov/cedselementdetails.aspx?termid=27618</v>
      </c>
    </row>
    <row r="1277" spans="1:13" ht="409.6" x14ac:dyDescent="0.3">
      <c r="A1277" s="16" t="s">
        <v>4854</v>
      </c>
      <c r="B1277" s="16" t="s">
        <v>13085</v>
      </c>
      <c r="C1277" s="16" t="s">
        <v>8683</v>
      </c>
      <c r="D1277" s="16" t="s">
        <v>8240</v>
      </c>
      <c r="E1277" s="16" t="s">
        <v>160</v>
      </c>
      <c r="F1277" s="16"/>
      <c r="G1277" s="16" t="s">
        <v>12948</v>
      </c>
      <c r="H1277" s="16" t="s">
        <v>13086</v>
      </c>
      <c r="I1277" s="19" t="s">
        <v>4855</v>
      </c>
      <c r="J1277" s="16"/>
      <c r="K1277" s="16"/>
      <c r="L1277" s="16"/>
      <c r="M1277" s="16" t="str">
        <f>HYPERLINK("https://ceds.ed.gov/cedselementdetails.aspx?termid=27619")</f>
        <v>https://ceds.ed.gov/cedselementdetails.aspx?termid=27619</v>
      </c>
    </row>
    <row r="1278" spans="1:13" ht="43.2" x14ac:dyDescent="0.3">
      <c r="A1278" s="16" t="s">
        <v>4856</v>
      </c>
      <c r="B1278" s="16" t="s">
        <v>4857</v>
      </c>
      <c r="C1278" s="16" t="s">
        <v>22</v>
      </c>
      <c r="D1278" s="16" t="s">
        <v>7953</v>
      </c>
      <c r="E1278" s="16"/>
      <c r="F1278" s="16"/>
      <c r="G1278" s="16"/>
      <c r="H1278" s="16"/>
      <c r="I1278" s="19" t="s">
        <v>4858</v>
      </c>
      <c r="J1278" s="16"/>
      <c r="K1278" s="16" t="s">
        <v>4859</v>
      </c>
      <c r="L1278" s="16"/>
      <c r="M1278" s="16" t="str">
        <f>HYPERLINK("https://ceds.ed.gov/cedselementdetails.aspx?termid=27353")</f>
        <v>https://ceds.ed.gov/cedselementdetails.aspx?termid=27353</v>
      </c>
    </row>
    <row r="1279" spans="1:13" ht="43.2" x14ac:dyDescent="0.3">
      <c r="A1279" s="16" t="s">
        <v>4860</v>
      </c>
      <c r="B1279" s="16" t="s">
        <v>4861</v>
      </c>
      <c r="C1279" s="16" t="s">
        <v>22</v>
      </c>
      <c r="D1279" s="16" t="s">
        <v>9381</v>
      </c>
      <c r="E1279" s="16"/>
      <c r="F1279" s="16"/>
      <c r="G1279" s="16"/>
      <c r="H1279" s="16"/>
      <c r="I1279" s="19" t="s">
        <v>4863</v>
      </c>
      <c r="J1279" s="16"/>
      <c r="K1279" s="16" t="s">
        <v>4864</v>
      </c>
      <c r="L1279" s="16"/>
      <c r="M1279" s="16" t="str">
        <f>HYPERLINK("https://ceds.ed.gov/cedselementdetails.aspx?termid=26519")</f>
        <v>https://ceds.ed.gov/cedselementdetails.aspx?termid=26519</v>
      </c>
    </row>
    <row r="1280" spans="1:13" ht="158.4" x14ac:dyDescent="0.3">
      <c r="A1280" s="16" t="s">
        <v>9000</v>
      </c>
      <c r="B1280" s="16" t="s">
        <v>9001</v>
      </c>
      <c r="C1280" s="16" t="s">
        <v>9293</v>
      </c>
      <c r="D1280" s="16" t="s">
        <v>13029</v>
      </c>
      <c r="E1280" s="16"/>
      <c r="F1280" s="16" t="s">
        <v>2</v>
      </c>
      <c r="G1280" s="16"/>
      <c r="H1280" s="16"/>
      <c r="I1280" s="19" t="s">
        <v>9002</v>
      </c>
      <c r="J1280" s="16"/>
      <c r="K1280" s="16" t="s">
        <v>9003</v>
      </c>
      <c r="L1280" s="16"/>
      <c r="M1280" s="16" t="str">
        <f>HYPERLINK("https://ceds.ed.gov/cedselementdetails.aspx?termid=28026")</f>
        <v>https://ceds.ed.gov/cedselementdetails.aspx?termid=28026</v>
      </c>
    </row>
    <row r="1281" spans="1:13" ht="158.4" x14ac:dyDescent="0.3">
      <c r="A1281" s="16" t="s">
        <v>9004</v>
      </c>
      <c r="B1281" s="16" t="s">
        <v>9005</v>
      </c>
      <c r="C1281" s="16" t="s">
        <v>32</v>
      </c>
      <c r="D1281" s="16" t="s">
        <v>13029</v>
      </c>
      <c r="E1281" s="16"/>
      <c r="F1281" s="16" t="s">
        <v>120</v>
      </c>
      <c r="G1281" s="16"/>
      <c r="H1281" s="16"/>
      <c r="I1281" s="19" t="s">
        <v>9006</v>
      </c>
      <c r="J1281" s="16"/>
      <c r="K1281" s="16" t="s">
        <v>9007</v>
      </c>
      <c r="L1281" s="16"/>
      <c r="M1281" s="16" t="str">
        <f>HYPERLINK("https://ceds.ed.gov/cedselementdetails.aspx?termid=28027")</f>
        <v>https://ceds.ed.gov/cedselementdetails.aspx?termid=28027</v>
      </c>
    </row>
    <row r="1282" spans="1:13" ht="158.4" x14ac:dyDescent="0.3">
      <c r="A1282" s="16" t="s">
        <v>9008</v>
      </c>
      <c r="B1282" s="16" t="s">
        <v>9009</v>
      </c>
      <c r="C1282" s="16" t="s">
        <v>32</v>
      </c>
      <c r="D1282" s="16" t="s">
        <v>13029</v>
      </c>
      <c r="E1282" s="16"/>
      <c r="F1282" s="16" t="s">
        <v>106</v>
      </c>
      <c r="G1282" s="16"/>
      <c r="H1282" s="16"/>
      <c r="I1282" s="19" t="s">
        <v>9010</v>
      </c>
      <c r="J1282" s="16"/>
      <c r="K1282" s="16" t="s">
        <v>9011</v>
      </c>
      <c r="L1282" s="16"/>
      <c r="M1282" s="16" t="str">
        <f>HYPERLINK("https://ceds.ed.gov/cedselementdetails.aspx?termid=28028")</f>
        <v>https://ceds.ed.gov/cedselementdetails.aspx?termid=28028</v>
      </c>
    </row>
    <row r="1283" spans="1:13" ht="158.4" x14ac:dyDescent="0.3">
      <c r="A1283" s="16" t="s">
        <v>9012</v>
      </c>
      <c r="B1283" s="16" t="s">
        <v>9013</v>
      </c>
      <c r="C1283" s="16" t="s">
        <v>9293</v>
      </c>
      <c r="D1283" s="16" t="s">
        <v>13029</v>
      </c>
      <c r="E1283" s="16"/>
      <c r="F1283" s="16" t="s">
        <v>2</v>
      </c>
      <c r="G1283" s="16"/>
      <c r="H1283" s="16"/>
      <c r="I1283" s="19" t="s">
        <v>9014</v>
      </c>
      <c r="J1283" s="16"/>
      <c r="K1283" s="16" t="s">
        <v>9015</v>
      </c>
      <c r="L1283" s="16"/>
      <c r="M1283" s="16" t="str">
        <f>HYPERLINK("https://ceds.ed.gov/cedselementdetails.aspx?termid=28029")</f>
        <v>https://ceds.ed.gov/cedselementdetails.aspx?termid=28029</v>
      </c>
    </row>
    <row r="1284" spans="1:13" ht="158.4" x14ac:dyDescent="0.3">
      <c r="A1284" s="16" t="s">
        <v>9016</v>
      </c>
      <c r="B1284" s="16" t="s">
        <v>9017</v>
      </c>
      <c r="C1284" s="16" t="s">
        <v>32</v>
      </c>
      <c r="D1284" s="16" t="s">
        <v>13029</v>
      </c>
      <c r="E1284" s="16"/>
      <c r="F1284" s="16" t="s">
        <v>120</v>
      </c>
      <c r="G1284" s="16"/>
      <c r="H1284" s="16"/>
      <c r="I1284" s="19" t="s">
        <v>9018</v>
      </c>
      <c r="J1284" s="16"/>
      <c r="K1284" s="16" t="s">
        <v>9019</v>
      </c>
      <c r="L1284" s="16"/>
      <c r="M1284" s="16" t="str">
        <f>HYPERLINK("https://ceds.ed.gov/cedselementdetails.aspx?termid=28030")</f>
        <v>https://ceds.ed.gov/cedselementdetails.aspx?termid=28030</v>
      </c>
    </row>
    <row r="1285" spans="1:13" ht="158.4" x14ac:dyDescent="0.3">
      <c r="A1285" s="16" t="s">
        <v>9020</v>
      </c>
      <c r="B1285" s="16" t="s">
        <v>9021</v>
      </c>
      <c r="C1285" s="16" t="s">
        <v>9294</v>
      </c>
      <c r="D1285" s="16" t="s">
        <v>13029</v>
      </c>
      <c r="E1285" s="16"/>
      <c r="F1285" s="16" t="s">
        <v>2</v>
      </c>
      <c r="G1285" s="16"/>
      <c r="H1285" s="16"/>
      <c r="I1285" s="19" t="s">
        <v>9022</v>
      </c>
      <c r="J1285" s="16"/>
      <c r="K1285" s="16" t="s">
        <v>9023</v>
      </c>
      <c r="L1285" s="16"/>
      <c r="M1285" s="16" t="str">
        <f>HYPERLINK("https://ceds.ed.gov/cedselementdetails.aspx?termid=28031")</f>
        <v>https://ceds.ed.gov/cedselementdetails.aspx?termid=28031</v>
      </c>
    </row>
    <row r="1286" spans="1:13" ht="158.4" x14ac:dyDescent="0.3">
      <c r="A1286" s="16" t="s">
        <v>9024</v>
      </c>
      <c r="B1286" s="16" t="s">
        <v>9025</v>
      </c>
      <c r="C1286" s="16" t="s">
        <v>9423</v>
      </c>
      <c r="D1286" s="16" t="s">
        <v>13029</v>
      </c>
      <c r="E1286" s="16"/>
      <c r="F1286" s="16" t="s">
        <v>2</v>
      </c>
      <c r="G1286" s="16"/>
      <c r="H1286" s="16" t="s">
        <v>9026</v>
      </c>
      <c r="I1286" s="19" t="s">
        <v>9027</v>
      </c>
      <c r="J1286" s="16"/>
      <c r="K1286" s="16" t="s">
        <v>9028</v>
      </c>
      <c r="L1286" s="16"/>
      <c r="M1286" s="16" t="str">
        <f>HYPERLINK("https://ceds.ed.gov/cedselementdetails.aspx?termid=28032")</f>
        <v>https://ceds.ed.gov/cedselementdetails.aspx?termid=28032</v>
      </c>
    </row>
    <row r="1287" spans="1:13" ht="158.4" x14ac:dyDescent="0.3">
      <c r="A1287" s="16" t="s">
        <v>9029</v>
      </c>
      <c r="B1287" s="16" t="s">
        <v>9030</v>
      </c>
      <c r="C1287" s="16" t="s">
        <v>32</v>
      </c>
      <c r="D1287" s="16" t="s">
        <v>13029</v>
      </c>
      <c r="E1287" s="16"/>
      <c r="F1287" s="16" t="s">
        <v>106</v>
      </c>
      <c r="G1287" s="16"/>
      <c r="H1287" s="16" t="s">
        <v>9031</v>
      </c>
      <c r="I1287" s="19" t="s">
        <v>9032</v>
      </c>
      <c r="J1287" s="16"/>
      <c r="K1287" s="16" t="s">
        <v>9033</v>
      </c>
      <c r="L1287" s="16"/>
      <c r="M1287" s="16" t="str">
        <f>HYPERLINK("https://ceds.ed.gov/cedselementdetails.aspx?termid=28033")</f>
        <v>https://ceds.ed.gov/cedselementdetails.aspx?termid=28033</v>
      </c>
    </row>
    <row r="1288" spans="1:13" ht="72" x14ac:dyDescent="0.3">
      <c r="A1288" s="16" t="s">
        <v>4865</v>
      </c>
      <c r="B1288" s="16" t="s">
        <v>4866</v>
      </c>
      <c r="C1288" s="16" t="s">
        <v>8684</v>
      </c>
      <c r="D1288" s="16" t="s">
        <v>4867</v>
      </c>
      <c r="E1288" s="16"/>
      <c r="F1288" s="16"/>
      <c r="G1288" s="16"/>
      <c r="H1288" s="16"/>
      <c r="I1288" s="19" t="s">
        <v>4868</v>
      </c>
      <c r="J1288" s="16"/>
      <c r="K1288" s="16" t="s">
        <v>4869</v>
      </c>
      <c r="L1288" s="16"/>
      <c r="M1288" s="16" t="str">
        <f>HYPERLINK("https://ceds.ed.gov/cedselementdetails.aspx?termid=27355")</f>
        <v>https://ceds.ed.gov/cedselementdetails.aspx?termid=27355</v>
      </c>
    </row>
    <row r="1289" spans="1:13" ht="409.6" x14ac:dyDescent="0.3">
      <c r="A1289" s="16" t="s">
        <v>4870</v>
      </c>
      <c r="B1289" s="16" t="s">
        <v>4871</v>
      </c>
      <c r="C1289" s="16" t="s">
        <v>13092</v>
      </c>
      <c r="D1289" s="16" t="s">
        <v>9382</v>
      </c>
      <c r="E1289" s="16" t="s">
        <v>160</v>
      </c>
      <c r="F1289" s="16"/>
      <c r="G1289" s="16" t="s">
        <v>12949</v>
      </c>
      <c r="H1289" s="16"/>
      <c r="I1289" s="19" t="s">
        <v>4872</v>
      </c>
      <c r="J1289" s="16"/>
      <c r="K1289" s="16" t="s">
        <v>4873</v>
      </c>
      <c r="L1289" s="16" t="s">
        <v>4874</v>
      </c>
      <c r="M1289" s="16" t="str">
        <f>HYPERLINK("https://ceds.ed.gov/cedselementdetails.aspx?termid=26087")</f>
        <v>https://ceds.ed.gov/cedselementdetails.aspx?termid=26087</v>
      </c>
    </row>
    <row r="1290" spans="1:13" ht="57.6" x14ac:dyDescent="0.3">
      <c r="A1290" s="16" t="s">
        <v>4875</v>
      </c>
      <c r="B1290" s="16" t="s">
        <v>4876</v>
      </c>
      <c r="C1290" s="16" t="s">
        <v>8685</v>
      </c>
      <c r="D1290" s="16" t="s">
        <v>12965</v>
      </c>
      <c r="E1290" s="16" t="s">
        <v>160</v>
      </c>
      <c r="F1290" s="16"/>
      <c r="G1290" s="16" t="s">
        <v>12935</v>
      </c>
      <c r="H1290" s="16"/>
      <c r="I1290" s="19" t="s">
        <v>4878</v>
      </c>
      <c r="J1290" s="16"/>
      <c r="K1290" s="16" t="s">
        <v>4879</v>
      </c>
      <c r="L1290" s="16" t="s">
        <v>25</v>
      </c>
      <c r="M1290" s="16" t="str">
        <f>HYPERLINK("https://ceds.ed.gov/cedselementdetails.aspx?termid=26482")</f>
        <v>https://ceds.ed.gov/cedselementdetails.aspx?termid=26482</v>
      </c>
    </row>
    <row r="1291" spans="1:13" ht="100.8" x14ac:dyDescent="0.3">
      <c r="A1291" s="16" t="s">
        <v>8075</v>
      </c>
      <c r="B1291" s="16" t="s">
        <v>4880</v>
      </c>
      <c r="C1291" s="16" t="s">
        <v>8686</v>
      </c>
      <c r="D1291" s="16" t="s">
        <v>3161</v>
      </c>
      <c r="E1291" s="16"/>
      <c r="F1291" s="16"/>
      <c r="G1291" s="16"/>
      <c r="H1291" s="16"/>
      <c r="I1291" s="19" t="s">
        <v>4881</v>
      </c>
      <c r="J1291" s="16"/>
      <c r="K1291" s="16" t="s">
        <v>4882</v>
      </c>
      <c r="L1291" s="16"/>
      <c r="M1291" s="16" t="str">
        <f>HYPERLINK("https://ceds.ed.gov/cedselementdetails.aspx?termid=26690")</f>
        <v>https://ceds.ed.gov/cedselementdetails.aspx?termid=26690</v>
      </c>
    </row>
    <row r="1292" spans="1:13" ht="43.2" x14ac:dyDescent="0.3">
      <c r="A1292" s="16" t="s">
        <v>4883</v>
      </c>
      <c r="B1292" s="16" t="s">
        <v>8076</v>
      </c>
      <c r="C1292" s="16" t="s">
        <v>22</v>
      </c>
      <c r="D1292" s="16" t="s">
        <v>8687</v>
      </c>
      <c r="E1292" s="16"/>
      <c r="F1292" s="16"/>
      <c r="G1292" s="16"/>
      <c r="H1292" s="16"/>
      <c r="I1292" s="19" t="s">
        <v>4884</v>
      </c>
      <c r="J1292" s="16"/>
      <c r="K1292" s="16" t="s">
        <v>4885</v>
      </c>
      <c r="L1292" s="16"/>
      <c r="M1292" s="16" t="str">
        <f>HYPERLINK("https://ceds.ed.gov/cedselementdetails.aspx?termid=27190")</f>
        <v>https://ceds.ed.gov/cedselementdetails.aspx?termid=27190</v>
      </c>
    </row>
    <row r="1293" spans="1:13" ht="43.2" x14ac:dyDescent="0.3">
      <c r="A1293" s="16" t="s">
        <v>4886</v>
      </c>
      <c r="B1293" s="16" t="s">
        <v>4887</v>
      </c>
      <c r="C1293" s="16" t="s">
        <v>13005</v>
      </c>
      <c r="D1293" s="16"/>
      <c r="E1293" s="16"/>
      <c r="F1293" s="16"/>
      <c r="G1293" s="16"/>
      <c r="H1293" s="16"/>
      <c r="I1293" s="19"/>
      <c r="J1293" s="16"/>
      <c r="K1293" s="16"/>
      <c r="L1293" s="16"/>
      <c r="M1293" s="16"/>
    </row>
    <row r="1294" spans="1:13" x14ac:dyDescent="0.3">
      <c r="A1294" s="16"/>
      <c r="B1294" s="16"/>
      <c r="C1294" s="16"/>
      <c r="D1294" s="16"/>
      <c r="E1294" s="16"/>
      <c r="F1294" s="16"/>
      <c r="G1294" s="16"/>
      <c r="H1294" s="16"/>
      <c r="I1294" s="19"/>
      <c r="J1294" s="16"/>
      <c r="K1294" s="16"/>
      <c r="L1294" s="16"/>
      <c r="M1294" s="16"/>
    </row>
    <row r="1295" spans="1:13" ht="409.6" x14ac:dyDescent="0.3">
      <c r="A1295" s="16"/>
      <c r="B1295" s="16" t="s">
        <v>13051</v>
      </c>
      <c r="C1295" s="16" t="s">
        <v>8688</v>
      </c>
      <c r="D1295" s="16"/>
      <c r="E1295" s="16"/>
      <c r="F1295" s="16"/>
      <c r="G1295" s="16"/>
      <c r="H1295" s="16">
        <v>316</v>
      </c>
      <c r="I1295" s="19"/>
      <c r="J1295" s="16" t="s">
        <v>4888</v>
      </c>
      <c r="K1295" s="16" t="s">
        <v>4851</v>
      </c>
      <c r="L1295" s="16" t="str">
        <f>HYPERLINK("https://ceds.ed.gov/cedselementdetails.aspx?termid=26316")</f>
        <v>https://ceds.ed.gov/cedselementdetails.aspx?termid=26316</v>
      </c>
      <c r="M1295" s="16"/>
    </row>
    <row r="1296" spans="1:13" ht="86.4" x14ac:dyDescent="0.3">
      <c r="A1296" s="16" t="s">
        <v>4889</v>
      </c>
      <c r="B1296" s="16" t="s">
        <v>4890</v>
      </c>
      <c r="C1296" s="16" t="s">
        <v>32</v>
      </c>
      <c r="D1296" s="16" t="s">
        <v>3010</v>
      </c>
      <c r="E1296" s="16"/>
      <c r="F1296" s="16" t="s">
        <v>106</v>
      </c>
      <c r="G1296" s="16"/>
      <c r="H1296" s="16"/>
      <c r="I1296" s="19" t="s">
        <v>4891</v>
      </c>
      <c r="J1296" s="16"/>
      <c r="K1296" s="16" t="s">
        <v>4892</v>
      </c>
      <c r="L1296" s="16"/>
      <c r="M1296" s="16" t="str">
        <f>HYPERLINK("https://ceds.ed.gov/cedselementdetails.aspx?termid=26489")</f>
        <v>https://ceds.ed.gov/cedselementdetails.aspx?termid=26489</v>
      </c>
    </row>
    <row r="1297" spans="1:13" ht="409.6" x14ac:dyDescent="0.3">
      <c r="A1297" s="16" t="s">
        <v>4893</v>
      </c>
      <c r="B1297" s="16" t="s">
        <v>4894</v>
      </c>
      <c r="C1297" s="16" t="s">
        <v>32</v>
      </c>
      <c r="D1297" s="16" t="s">
        <v>8605</v>
      </c>
      <c r="E1297" s="16"/>
      <c r="F1297" s="16" t="s">
        <v>7426</v>
      </c>
      <c r="G1297" s="16"/>
      <c r="H1297" s="16" t="s">
        <v>8053</v>
      </c>
      <c r="I1297" s="19" t="s">
        <v>4895</v>
      </c>
      <c r="J1297" s="16" t="s">
        <v>4896</v>
      </c>
      <c r="K1297" s="16" t="s">
        <v>4897</v>
      </c>
      <c r="L1297" s="16" t="s">
        <v>3994</v>
      </c>
      <c r="M1297" s="16" t="str">
        <f>HYPERLINK("https://ceds.ed.gov/cedselementdetails.aspx?termid=26172")</f>
        <v>https://ceds.ed.gov/cedselementdetails.aspx?termid=26172</v>
      </c>
    </row>
    <row r="1298" spans="1:13" ht="28.8" x14ac:dyDescent="0.3">
      <c r="A1298" s="16" t="s">
        <v>4898</v>
      </c>
      <c r="B1298" s="16" t="s">
        <v>4899</v>
      </c>
      <c r="C1298" s="16" t="s">
        <v>32</v>
      </c>
      <c r="D1298" s="16" t="s">
        <v>2437</v>
      </c>
      <c r="E1298" s="16"/>
      <c r="F1298" s="16" t="s">
        <v>106</v>
      </c>
      <c r="G1298" s="16"/>
      <c r="H1298" s="16"/>
      <c r="I1298" s="19" t="s">
        <v>4900</v>
      </c>
      <c r="J1298" s="16"/>
      <c r="K1298" s="16" t="s">
        <v>4901</v>
      </c>
      <c r="L1298" s="16" t="s">
        <v>214</v>
      </c>
      <c r="M1298" s="16" t="str">
        <f>HYPERLINK("https://ceds.ed.gov/cedselementdetails.aspx?termid=26171")</f>
        <v>https://ceds.ed.gov/cedselementdetails.aspx?termid=26171</v>
      </c>
    </row>
    <row r="1299" spans="1:13" ht="409.6" x14ac:dyDescent="0.3">
      <c r="A1299" s="16" t="s">
        <v>4902</v>
      </c>
      <c r="B1299" s="16" t="s">
        <v>4903</v>
      </c>
      <c r="C1299" s="16" t="s">
        <v>32</v>
      </c>
      <c r="D1299" s="16" t="s">
        <v>8689</v>
      </c>
      <c r="E1299" s="16"/>
      <c r="F1299" s="16" t="s">
        <v>1130</v>
      </c>
      <c r="G1299" s="16"/>
      <c r="H1299" s="16"/>
      <c r="I1299" s="19" t="s">
        <v>4904</v>
      </c>
      <c r="J1299" s="16"/>
      <c r="K1299" s="16" t="s">
        <v>4902</v>
      </c>
      <c r="L1299" s="16"/>
      <c r="M1299" s="16" t="str">
        <f>HYPERLINK("https://ceds.ed.gov/cedselementdetails.aspx?termid=26599")</f>
        <v>https://ceds.ed.gov/cedselementdetails.aspx?termid=26599</v>
      </c>
    </row>
    <row r="1300" spans="1:13" ht="57.6" x14ac:dyDescent="0.3">
      <c r="A1300" s="16" t="s">
        <v>4905</v>
      </c>
      <c r="B1300" s="16" t="s">
        <v>4906</v>
      </c>
      <c r="C1300" s="16" t="s">
        <v>22</v>
      </c>
      <c r="D1300" s="16" t="s">
        <v>1167</v>
      </c>
      <c r="E1300" s="16"/>
      <c r="F1300" s="16"/>
      <c r="G1300" s="16"/>
      <c r="H1300" s="16"/>
      <c r="I1300" s="19" t="s">
        <v>4907</v>
      </c>
      <c r="J1300" s="16"/>
      <c r="K1300" s="16" t="s">
        <v>4908</v>
      </c>
      <c r="L1300" s="16"/>
      <c r="M1300" s="16" t="str">
        <f>HYPERLINK("https://ceds.ed.gov/cedselementdetails.aspx?termid=27743")</f>
        <v>https://ceds.ed.gov/cedselementdetails.aspx?termid=27743</v>
      </c>
    </row>
    <row r="1301" spans="1:13" ht="158.4" x14ac:dyDescent="0.3">
      <c r="A1301" s="16" t="s">
        <v>9034</v>
      </c>
      <c r="B1301" s="16" t="s">
        <v>9035</v>
      </c>
      <c r="C1301" s="16" t="s">
        <v>9295</v>
      </c>
      <c r="D1301" s="16" t="s">
        <v>13006</v>
      </c>
      <c r="E1301" s="16"/>
      <c r="F1301" s="16" t="s">
        <v>2</v>
      </c>
      <c r="G1301" s="16"/>
      <c r="H1301" s="16" t="s">
        <v>9036</v>
      </c>
      <c r="I1301" s="19" t="s">
        <v>9037</v>
      </c>
      <c r="J1301" s="16"/>
      <c r="K1301" s="16" t="s">
        <v>9038</v>
      </c>
      <c r="L1301" s="16"/>
      <c r="M1301" s="16" t="str">
        <f>HYPERLINK("https://ceds.ed.gov/cedselementdetails.aspx?termid=28034")</f>
        <v>https://ceds.ed.gov/cedselementdetails.aspx?termid=28034</v>
      </c>
    </row>
    <row r="1302" spans="1:13" ht="129.6" x14ac:dyDescent="0.3">
      <c r="A1302" s="16" t="s">
        <v>9039</v>
      </c>
      <c r="B1302" s="16" t="s">
        <v>9040</v>
      </c>
      <c r="C1302" s="16" t="s">
        <v>9295</v>
      </c>
      <c r="D1302" s="16" t="s">
        <v>13006</v>
      </c>
      <c r="E1302" s="16"/>
      <c r="F1302" s="16" t="s">
        <v>2</v>
      </c>
      <c r="G1302" s="16"/>
      <c r="H1302" s="16" t="s">
        <v>9036</v>
      </c>
      <c r="I1302" s="19" t="s">
        <v>9041</v>
      </c>
      <c r="J1302" s="16"/>
      <c r="K1302" s="16" t="s">
        <v>9042</v>
      </c>
      <c r="L1302" s="16"/>
      <c r="M1302" s="16" t="str">
        <f>HYPERLINK("https://ceds.ed.gov/cedselementdetails.aspx?termid=28035")</f>
        <v>https://ceds.ed.gov/cedselementdetails.aspx?termid=28035</v>
      </c>
    </row>
    <row r="1303" spans="1:13" ht="172.8" x14ac:dyDescent="0.3">
      <c r="A1303" s="16" t="s">
        <v>4909</v>
      </c>
      <c r="B1303" s="16" t="s">
        <v>8077</v>
      </c>
      <c r="C1303" s="16" t="s">
        <v>32</v>
      </c>
      <c r="D1303" s="16" t="s">
        <v>4910</v>
      </c>
      <c r="E1303" s="16"/>
      <c r="F1303" s="16" t="s">
        <v>120</v>
      </c>
      <c r="G1303" s="16"/>
      <c r="H1303" s="16" t="s">
        <v>7817</v>
      </c>
      <c r="I1303" s="19" t="s">
        <v>4911</v>
      </c>
      <c r="J1303" s="16"/>
      <c r="K1303" s="16" t="s">
        <v>4912</v>
      </c>
      <c r="L1303" s="16"/>
      <c r="M1303" s="16" t="str">
        <f>HYPERLINK("https://ceds.ed.gov/cedselementdetails.aspx?termid=27533")</f>
        <v>https://ceds.ed.gov/cedselementdetails.aspx?termid=27533</v>
      </c>
    </row>
    <row r="1304" spans="1:13" ht="43.2" x14ac:dyDescent="0.3">
      <c r="A1304" s="16" t="s">
        <v>4913</v>
      </c>
      <c r="B1304" s="16" t="s">
        <v>4914</v>
      </c>
      <c r="C1304" s="16" t="s">
        <v>32</v>
      </c>
      <c r="D1304" s="16" t="s">
        <v>4910</v>
      </c>
      <c r="E1304" s="16"/>
      <c r="F1304" s="16" t="s">
        <v>812</v>
      </c>
      <c r="G1304" s="16"/>
      <c r="H1304" s="16"/>
      <c r="I1304" s="19" t="s">
        <v>4915</v>
      </c>
      <c r="J1304" s="16"/>
      <c r="K1304" s="16" t="s">
        <v>4916</v>
      </c>
      <c r="L1304" s="16"/>
      <c r="M1304" s="16" t="str">
        <f>HYPERLINK("https://ceds.ed.gov/cedselementdetails.aspx?termid=26938")</f>
        <v>https://ceds.ed.gov/cedselementdetails.aspx?termid=26938</v>
      </c>
    </row>
    <row r="1305" spans="1:13" ht="43.2" x14ac:dyDescent="0.3">
      <c r="A1305" s="16" t="s">
        <v>4917</v>
      </c>
      <c r="B1305" s="16" t="s">
        <v>4918</v>
      </c>
      <c r="C1305" s="16" t="s">
        <v>32</v>
      </c>
      <c r="D1305" s="16" t="s">
        <v>4910</v>
      </c>
      <c r="E1305" s="16"/>
      <c r="F1305" s="16" t="s">
        <v>101</v>
      </c>
      <c r="G1305" s="16"/>
      <c r="H1305" s="16"/>
      <c r="I1305" s="19" t="s">
        <v>4919</v>
      </c>
      <c r="J1305" s="16"/>
      <c r="K1305" s="16" t="s">
        <v>4920</v>
      </c>
      <c r="L1305" s="16"/>
      <c r="M1305" s="16" t="str">
        <f>HYPERLINK("https://ceds.ed.gov/cedselementdetails.aspx?termid=27534")</f>
        <v>https://ceds.ed.gov/cedselementdetails.aspx?termid=27534</v>
      </c>
    </row>
    <row r="1306" spans="1:13" ht="172.8" x14ac:dyDescent="0.3">
      <c r="A1306" s="16" t="s">
        <v>4921</v>
      </c>
      <c r="B1306" s="16" t="s">
        <v>4922</v>
      </c>
      <c r="C1306" s="16" t="s">
        <v>32</v>
      </c>
      <c r="D1306" s="16" t="s">
        <v>4910</v>
      </c>
      <c r="E1306" s="16"/>
      <c r="F1306" s="16" t="s">
        <v>120</v>
      </c>
      <c r="G1306" s="16"/>
      <c r="H1306" s="16" t="s">
        <v>7817</v>
      </c>
      <c r="I1306" s="19" t="s">
        <v>4923</v>
      </c>
      <c r="J1306" s="16"/>
      <c r="K1306" s="16" t="s">
        <v>4924</v>
      </c>
      <c r="L1306" s="16"/>
      <c r="M1306" s="16" t="str">
        <f>HYPERLINK("https://ceds.ed.gov/cedselementdetails.aspx?termid=27535")</f>
        <v>https://ceds.ed.gov/cedselementdetails.aspx?termid=27535</v>
      </c>
    </row>
    <row r="1307" spans="1:13" ht="43.2" x14ac:dyDescent="0.3">
      <c r="A1307" s="16" t="s">
        <v>4925</v>
      </c>
      <c r="B1307" s="16" t="s">
        <v>4926</v>
      </c>
      <c r="C1307" s="16" t="s">
        <v>32</v>
      </c>
      <c r="D1307" s="16" t="s">
        <v>4910</v>
      </c>
      <c r="E1307" s="16"/>
      <c r="F1307" s="16" t="s">
        <v>145</v>
      </c>
      <c r="G1307" s="16"/>
      <c r="H1307" s="16"/>
      <c r="I1307" s="19" t="s">
        <v>4927</v>
      </c>
      <c r="J1307" s="16"/>
      <c r="K1307" s="16" t="s">
        <v>4928</v>
      </c>
      <c r="L1307" s="16"/>
      <c r="M1307" s="16" t="str">
        <f>HYPERLINK("https://ceds.ed.gov/cedselementdetails.aspx?termid=27536")</f>
        <v>https://ceds.ed.gov/cedselementdetails.aspx?termid=27536</v>
      </c>
    </row>
    <row r="1308" spans="1:13" ht="409.6" x14ac:dyDescent="0.3">
      <c r="A1308" s="16" t="s">
        <v>4929</v>
      </c>
      <c r="B1308" s="16" t="s">
        <v>4930</v>
      </c>
      <c r="C1308" s="16" t="s">
        <v>8690</v>
      </c>
      <c r="D1308" s="16" t="s">
        <v>4910</v>
      </c>
      <c r="E1308" s="16"/>
      <c r="F1308" s="16"/>
      <c r="G1308" s="16"/>
      <c r="H1308" s="16" t="s">
        <v>8078</v>
      </c>
      <c r="I1308" s="19" t="s">
        <v>4931</v>
      </c>
      <c r="J1308" s="16"/>
      <c r="K1308" s="16" t="s">
        <v>4932</v>
      </c>
      <c r="L1308" s="16"/>
      <c r="M1308" s="16" t="str">
        <f>HYPERLINK("https://ceds.ed.gov/cedselementdetails.aspx?termid=26935")</f>
        <v>https://ceds.ed.gov/cedselementdetails.aspx?termid=26935</v>
      </c>
    </row>
    <row r="1309" spans="1:13" ht="72" x14ac:dyDescent="0.3">
      <c r="A1309" s="16" t="s">
        <v>4933</v>
      </c>
      <c r="B1309" s="16" t="s">
        <v>4934</v>
      </c>
      <c r="C1309" s="16" t="s">
        <v>32</v>
      </c>
      <c r="D1309" s="16" t="s">
        <v>4910</v>
      </c>
      <c r="E1309" s="16"/>
      <c r="F1309" s="16" t="s">
        <v>316</v>
      </c>
      <c r="G1309" s="16"/>
      <c r="H1309" s="16"/>
      <c r="I1309" s="19" t="s">
        <v>4935</v>
      </c>
      <c r="J1309" s="16"/>
      <c r="K1309" s="16" t="s">
        <v>4936</v>
      </c>
      <c r="L1309" s="16"/>
      <c r="M1309" s="16" t="str">
        <f>HYPERLINK("https://ceds.ed.gov/cedselementdetails.aspx?termid=26936")</f>
        <v>https://ceds.ed.gov/cedselementdetails.aspx?termid=26936</v>
      </c>
    </row>
    <row r="1310" spans="1:13" ht="57.6" x14ac:dyDescent="0.3">
      <c r="A1310" s="16" t="s">
        <v>4937</v>
      </c>
      <c r="B1310" s="16" t="s">
        <v>4938</v>
      </c>
      <c r="C1310" s="16" t="s">
        <v>8319</v>
      </c>
      <c r="D1310" s="16" t="s">
        <v>4939</v>
      </c>
      <c r="E1310" s="16"/>
      <c r="F1310" s="16"/>
      <c r="G1310" s="16"/>
      <c r="H1310" s="16"/>
      <c r="I1310" s="19" t="s">
        <v>4940</v>
      </c>
      <c r="J1310" s="16"/>
      <c r="K1310" s="16" t="s">
        <v>4941</v>
      </c>
      <c r="L1310" s="16"/>
      <c r="M1310" s="16" t="str">
        <f>HYPERLINK("https://ceds.ed.gov/cedselementdetails.aspx?termid=26950")</f>
        <v>https://ceds.ed.gov/cedselementdetails.aspx?termid=26950</v>
      </c>
    </row>
    <row r="1311" spans="1:13" x14ac:dyDescent="0.3">
      <c r="A1311" s="16" t="s">
        <v>4942</v>
      </c>
      <c r="B1311" s="16" t="s">
        <v>4943</v>
      </c>
      <c r="C1311" s="16" t="s">
        <v>32</v>
      </c>
      <c r="D1311" s="16" t="s">
        <v>4939</v>
      </c>
      <c r="E1311" s="16"/>
      <c r="F1311" s="16" t="s">
        <v>106</v>
      </c>
      <c r="G1311" s="16"/>
      <c r="H1311" s="16"/>
      <c r="I1311" s="19" t="s">
        <v>4944</v>
      </c>
      <c r="J1311" s="16"/>
      <c r="K1311" s="16" t="s">
        <v>4945</v>
      </c>
      <c r="L1311" s="16"/>
      <c r="M1311" s="16" t="str">
        <f>HYPERLINK("https://ceds.ed.gov/cedselementdetails.aspx?termid=26944")</f>
        <v>https://ceds.ed.gov/cedselementdetails.aspx?termid=26944</v>
      </c>
    </row>
    <row r="1312" spans="1:13" ht="43.2" x14ac:dyDescent="0.3">
      <c r="A1312" s="16" t="s">
        <v>4946</v>
      </c>
      <c r="B1312" s="16" t="s">
        <v>8079</v>
      </c>
      <c r="C1312" s="16" t="s">
        <v>32</v>
      </c>
      <c r="D1312" s="16" t="s">
        <v>4939</v>
      </c>
      <c r="E1312" s="16"/>
      <c r="F1312" s="16" t="s">
        <v>101</v>
      </c>
      <c r="G1312" s="16"/>
      <c r="H1312" s="16"/>
      <c r="I1312" s="19" t="s">
        <v>4947</v>
      </c>
      <c r="J1312" s="16"/>
      <c r="K1312" s="16" t="s">
        <v>4948</v>
      </c>
      <c r="L1312" s="16"/>
      <c r="M1312" s="16" t="str">
        <f>HYPERLINK("https://ceds.ed.gov/cedselementdetails.aspx?termid=26941")</f>
        <v>https://ceds.ed.gov/cedselementdetails.aspx?termid=26941</v>
      </c>
    </row>
    <row r="1313" spans="1:13" x14ac:dyDescent="0.3">
      <c r="A1313" s="16" t="s">
        <v>4949</v>
      </c>
      <c r="B1313" s="16" t="s">
        <v>4950</v>
      </c>
      <c r="C1313" s="16" t="s">
        <v>32</v>
      </c>
      <c r="D1313" s="16" t="s">
        <v>4939</v>
      </c>
      <c r="E1313" s="16"/>
      <c r="F1313" s="16" t="s">
        <v>106</v>
      </c>
      <c r="G1313" s="16"/>
      <c r="H1313" s="16"/>
      <c r="I1313" s="19" t="s">
        <v>4951</v>
      </c>
      <c r="J1313" s="16"/>
      <c r="K1313" s="16" t="s">
        <v>4952</v>
      </c>
      <c r="L1313" s="16"/>
      <c r="M1313" s="16" t="str">
        <f>HYPERLINK("https://ceds.ed.gov/cedselementdetails.aspx?termid=26947")</f>
        <v>https://ceds.ed.gov/cedselementdetails.aspx?termid=26947</v>
      </c>
    </row>
    <row r="1314" spans="1:13" x14ac:dyDescent="0.3">
      <c r="A1314" s="16" t="s">
        <v>4953</v>
      </c>
      <c r="B1314" s="16" t="s">
        <v>4954</v>
      </c>
      <c r="C1314" s="16" t="s">
        <v>32</v>
      </c>
      <c r="D1314" s="16" t="s">
        <v>4939</v>
      </c>
      <c r="E1314" s="16"/>
      <c r="F1314" s="16" t="s">
        <v>403</v>
      </c>
      <c r="G1314" s="16"/>
      <c r="H1314" s="16"/>
      <c r="I1314" s="19" t="s">
        <v>4955</v>
      </c>
      <c r="J1314" s="16"/>
      <c r="K1314" s="16" t="s">
        <v>4956</v>
      </c>
      <c r="L1314" s="16"/>
      <c r="M1314" s="16" t="str">
        <f>HYPERLINK("https://ceds.ed.gov/cedselementdetails.aspx?termid=26948")</f>
        <v>https://ceds.ed.gov/cedselementdetails.aspx?termid=26948</v>
      </c>
    </row>
    <row r="1315" spans="1:13" ht="115.2" x14ac:dyDescent="0.3">
      <c r="A1315" s="16" t="s">
        <v>4957</v>
      </c>
      <c r="B1315" s="16" t="s">
        <v>4958</v>
      </c>
      <c r="C1315" s="16" t="s">
        <v>7313</v>
      </c>
      <c r="D1315" s="16" t="s">
        <v>4939</v>
      </c>
      <c r="E1315" s="16"/>
      <c r="F1315" s="16"/>
      <c r="G1315" s="16"/>
      <c r="H1315" s="16" t="s">
        <v>7859</v>
      </c>
      <c r="I1315" s="19" t="s">
        <v>4959</v>
      </c>
      <c r="J1315" s="16"/>
      <c r="K1315" s="16" t="s">
        <v>4960</v>
      </c>
      <c r="L1315" s="16"/>
      <c r="M1315" s="16" t="str">
        <f>HYPERLINK("https://ceds.ed.gov/cedselementdetails.aspx?termid=26939")</f>
        <v>https://ceds.ed.gov/cedselementdetails.aspx?termid=26939</v>
      </c>
    </row>
    <row r="1316" spans="1:13" ht="43.2" x14ac:dyDescent="0.3">
      <c r="A1316" s="16" t="s">
        <v>4961</v>
      </c>
      <c r="B1316" s="16" t="s">
        <v>4962</v>
      </c>
      <c r="C1316" s="16" t="s">
        <v>32</v>
      </c>
      <c r="D1316" s="16" t="s">
        <v>4939</v>
      </c>
      <c r="E1316" s="16"/>
      <c r="F1316" s="16" t="s">
        <v>305</v>
      </c>
      <c r="G1316" s="16"/>
      <c r="H1316" s="16"/>
      <c r="I1316" s="19" t="s">
        <v>4963</v>
      </c>
      <c r="J1316" s="16"/>
      <c r="K1316" s="16" t="s">
        <v>4964</v>
      </c>
      <c r="L1316" s="16"/>
      <c r="M1316" s="16" t="str">
        <f>HYPERLINK("https://ceds.ed.gov/cedselementdetails.aspx?termid=26949")</f>
        <v>https://ceds.ed.gov/cedselementdetails.aspx?termid=26949</v>
      </c>
    </row>
    <row r="1317" spans="1:13" ht="28.8" x14ac:dyDescent="0.3">
      <c r="A1317" s="16" t="s">
        <v>4965</v>
      </c>
      <c r="B1317" s="16" t="s">
        <v>4966</v>
      </c>
      <c r="C1317" s="16" t="s">
        <v>32</v>
      </c>
      <c r="D1317" s="16" t="s">
        <v>4939</v>
      </c>
      <c r="E1317" s="16"/>
      <c r="F1317" s="16" t="s">
        <v>305</v>
      </c>
      <c r="G1317" s="16"/>
      <c r="H1317" s="16" t="s">
        <v>4967</v>
      </c>
      <c r="I1317" s="19" t="s">
        <v>4968</v>
      </c>
      <c r="J1317" s="16"/>
      <c r="K1317" s="16" t="s">
        <v>4969</v>
      </c>
      <c r="L1317" s="16"/>
      <c r="M1317" s="16" t="str">
        <f>HYPERLINK("https://ceds.ed.gov/cedselementdetails.aspx?termid=26945")</f>
        <v>https://ceds.ed.gov/cedselementdetails.aspx?termid=26945</v>
      </c>
    </row>
    <row r="1318" spans="1:13" ht="86.4" x14ac:dyDescent="0.3">
      <c r="A1318" s="16" t="s">
        <v>4970</v>
      </c>
      <c r="B1318" s="16" t="s">
        <v>13007</v>
      </c>
      <c r="C1318" s="16" t="s">
        <v>8691</v>
      </c>
      <c r="D1318" s="16" t="s">
        <v>4939</v>
      </c>
      <c r="E1318" s="16"/>
      <c r="F1318" s="16"/>
      <c r="G1318" s="16"/>
      <c r="H1318" s="16"/>
      <c r="I1318" s="19" t="s">
        <v>4971</v>
      </c>
      <c r="J1318" s="16"/>
      <c r="K1318" s="16" t="s">
        <v>4972</v>
      </c>
      <c r="L1318" s="16"/>
      <c r="M1318" s="16" t="str">
        <f>HYPERLINK("https://ceds.ed.gov/cedselementdetails.aspx?termid=26946")</f>
        <v>https://ceds.ed.gov/cedselementdetails.aspx?termid=26946</v>
      </c>
    </row>
    <row r="1319" spans="1:13" ht="28.8" x14ac:dyDescent="0.3">
      <c r="A1319" s="16" t="s">
        <v>4973</v>
      </c>
      <c r="B1319" s="16" t="s">
        <v>4974</v>
      </c>
      <c r="C1319" s="16" t="s">
        <v>32</v>
      </c>
      <c r="D1319" s="16" t="s">
        <v>4939</v>
      </c>
      <c r="E1319" s="16"/>
      <c r="F1319" s="16" t="s">
        <v>1481</v>
      </c>
      <c r="G1319" s="16"/>
      <c r="H1319" s="16"/>
      <c r="I1319" s="19" t="s">
        <v>4975</v>
      </c>
      <c r="J1319" s="16"/>
      <c r="K1319" s="16" t="s">
        <v>4976</v>
      </c>
      <c r="L1319" s="16"/>
      <c r="M1319" s="16" t="str">
        <f>HYPERLINK("https://ceds.ed.gov/cedselementdetails.aspx?termid=26953")</f>
        <v>https://ceds.ed.gov/cedselementdetails.aspx?termid=26953</v>
      </c>
    </row>
    <row r="1320" spans="1:13" ht="100.8" x14ac:dyDescent="0.3">
      <c r="A1320" s="16" t="s">
        <v>4977</v>
      </c>
      <c r="B1320" s="16" t="s">
        <v>4978</v>
      </c>
      <c r="C1320" s="16" t="s">
        <v>32</v>
      </c>
      <c r="D1320" s="16" t="s">
        <v>4939</v>
      </c>
      <c r="E1320" s="16"/>
      <c r="F1320" s="16" t="s">
        <v>101</v>
      </c>
      <c r="G1320" s="16"/>
      <c r="H1320" s="16" t="s">
        <v>8080</v>
      </c>
      <c r="I1320" s="19" t="s">
        <v>4979</v>
      </c>
      <c r="J1320" s="16"/>
      <c r="K1320" s="16" t="s">
        <v>4980</v>
      </c>
      <c r="L1320" s="16"/>
      <c r="M1320" s="16" t="str">
        <f>HYPERLINK("https://ceds.ed.gov/cedselementdetails.aspx?termid=26942")</f>
        <v>https://ceds.ed.gov/cedselementdetails.aspx?termid=26942</v>
      </c>
    </row>
    <row r="1321" spans="1:13" ht="43.2" x14ac:dyDescent="0.3">
      <c r="A1321" s="16" t="s">
        <v>4981</v>
      </c>
      <c r="B1321" s="16" t="s">
        <v>4982</v>
      </c>
      <c r="C1321" s="16" t="s">
        <v>32</v>
      </c>
      <c r="D1321" s="16" t="s">
        <v>4939</v>
      </c>
      <c r="E1321" s="16"/>
      <c r="F1321" s="16" t="s">
        <v>106</v>
      </c>
      <c r="G1321" s="16"/>
      <c r="H1321" s="16"/>
      <c r="I1321" s="19" t="s">
        <v>4983</v>
      </c>
      <c r="J1321" s="16"/>
      <c r="K1321" s="16" t="s">
        <v>4984</v>
      </c>
      <c r="L1321" s="16"/>
      <c r="M1321" s="16" t="str">
        <f>HYPERLINK("https://ceds.ed.gov/cedselementdetails.aspx?termid=26951")</f>
        <v>https://ceds.ed.gov/cedselementdetails.aspx?termid=26951</v>
      </c>
    </row>
    <row r="1322" spans="1:13" ht="43.2" x14ac:dyDescent="0.3">
      <c r="A1322" s="16" t="s">
        <v>4985</v>
      </c>
      <c r="B1322" s="16" t="s">
        <v>4986</v>
      </c>
      <c r="C1322" s="16" t="s">
        <v>32</v>
      </c>
      <c r="D1322" s="16" t="s">
        <v>4939</v>
      </c>
      <c r="E1322" s="16"/>
      <c r="F1322" s="16" t="s">
        <v>50</v>
      </c>
      <c r="G1322" s="16"/>
      <c r="H1322" s="16"/>
      <c r="I1322" s="19" t="s">
        <v>4987</v>
      </c>
      <c r="J1322" s="16"/>
      <c r="K1322" s="16" t="s">
        <v>4988</v>
      </c>
      <c r="L1322" s="16"/>
      <c r="M1322" s="16" t="str">
        <f>HYPERLINK("https://ceds.ed.gov/cedselementdetails.aspx?termid=26954")</f>
        <v>https://ceds.ed.gov/cedselementdetails.aspx?termid=26954</v>
      </c>
    </row>
    <row r="1323" spans="1:13" ht="43.2" x14ac:dyDescent="0.3">
      <c r="A1323" s="16" t="s">
        <v>4989</v>
      </c>
      <c r="B1323" s="16" t="s">
        <v>13008</v>
      </c>
      <c r="C1323" s="16" t="s">
        <v>32</v>
      </c>
      <c r="D1323" s="16" t="s">
        <v>4939</v>
      </c>
      <c r="E1323" s="16"/>
      <c r="F1323" s="16" t="s">
        <v>81</v>
      </c>
      <c r="G1323" s="16"/>
      <c r="H1323" s="16"/>
      <c r="I1323" s="19" t="s">
        <v>4990</v>
      </c>
      <c r="J1323" s="16"/>
      <c r="K1323" s="16" t="s">
        <v>4991</v>
      </c>
      <c r="L1323" s="16"/>
      <c r="M1323" s="16" t="str">
        <f>HYPERLINK("https://ceds.ed.gov/cedselementdetails.aspx?termid=26940")</f>
        <v>https://ceds.ed.gov/cedselementdetails.aspx?termid=26940</v>
      </c>
    </row>
    <row r="1324" spans="1:13" ht="72" x14ac:dyDescent="0.3">
      <c r="A1324" s="16" t="s">
        <v>4992</v>
      </c>
      <c r="B1324" s="16" t="s">
        <v>4993</v>
      </c>
      <c r="C1324" s="16" t="s">
        <v>8692</v>
      </c>
      <c r="D1324" s="16" t="s">
        <v>4939</v>
      </c>
      <c r="E1324" s="16"/>
      <c r="F1324" s="16"/>
      <c r="G1324" s="16"/>
      <c r="H1324" s="16"/>
      <c r="I1324" s="19" t="s">
        <v>4994</v>
      </c>
      <c r="J1324" s="16"/>
      <c r="K1324" s="16" t="s">
        <v>4995</v>
      </c>
      <c r="L1324" s="16"/>
      <c r="M1324" s="16" t="str">
        <f>HYPERLINK("https://ceds.ed.gov/cedselementdetails.aspx?termid=26943")</f>
        <v>https://ceds.ed.gov/cedselementdetails.aspx?termid=26943</v>
      </c>
    </row>
    <row r="1325" spans="1:13" ht="28.8" x14ac:dyDescent="0.3">
      <c r="A1325" s="16" t="s">
        <v>4996</v>
      </c>
      <c r="B1325" s="16" t="s">
        <v>4997</v>
      </c>
      <c r="C1325" s="16" t="s">
        <v>32</v>
      </c>
      <c r="D1325" s="16" t="s">
        <v>4939</v>
      </c>
      <c r="E1325" s="16"/>
      <c r="F1325" s="16" t="s">
        <v>742</v>
      </c>
      <c r="G1325" s="16"/>
      <c r="H1325" s="16"/>
      <c r="I1325" s="19" t="s">
        <v>4998</v>
      </c>
      <c r="J1325" s="16"/>
      <c r="K1325" s="16" t="s">
        <v>4999</v>
      </c>
      <c r="L1325" s="16"/>
      <c r="M1325" s="16" t="str">
        <f>HYPERLINK("https://ceds.ed.gov/cedselementdetails.aspx?termid=26952")</f>
        <v>https://ceds.ed.gov/cedselementdetails.aspx?termid=26952</v>
      </c>
    </row>
    <row r="1326" spans="1:13" ht="201.6" x14ac:dyDescent="0.3">
      <c r="A1326" s="16" t="s">
        <v>5000</v>
      </c>
      <c r="B1326" s="16" t="s">
        <v>5001</v>
      </c>
      <c r="C1326" s="16" t="s">
        <v>8693</v>
      </c>
      <c r="D1326" s="16" t="s">
        <v>5002</v>
      </c>
      <c r="E1326" s="16"/>
      <c r="F1326" s="16"/>
      <c r="G1326" s="16"/>
      <c r="H1326" s="16" t="s">
        <v>8081</v>
      </c>
      <c r="I1326" s="19" t="s">
        <v>5003</v>
      </c>
      <c r="J1326" s="16"/>
      <c r="K1326" s="16" t="s">
        <v>5004</v>
      </c>
      <c r="L1326" s="16"/>
      <c r="M1326" s="16" t="str">
        <f>HYPERLINK("https://ceds.ed.gov/cedselementdetails.aspx?termid=27358")</f>
        <v>https://ceds.ed.gov/cedselementdetails.aspx?termid=27358</v>
      </c>
    </row>
    <row r="1327" spans="1:13" ht="57.6" x14ac:dyDescent="0.3">
      <c r="A1327" s="16" t="s">
        <v>5005</v>
      </c>
      <c r="B1327" s="16" t="s">
        <v>5006</v>
      </c>
      <c r="C1327" s="16" t="s">
        <v>8694</v>
      </c>
      <c r="D1327" s="16" t="s">
        <v>5002</v>
      </c>
      <c r="E1327" s="16"/>
      <c r="F1327" s="16"/>
      <c r="G1327" s="16"/>
      <c r="H1327" s="16"/>
      <c r="I1327" s="19" t="s">
        <v>5007</v>
      </c>
      <c r="J1327" s="16"/>
      <c r="K1327" s="16" t="s">
        <v>5008</v>
      </c>
      <c r="L1327" s="16"/>
      <c r="M1327" s="16" t="str">
        <f>HYPERLINK("https://ceds.ed.gov/cedselementdetails.aspx?termid=27359")</f>
        <v>https://ceds.ed.gov/cedselementdetails.aspx?termid=27359</v>
      </c>
    </row>
    <row r="1328" spans="1:13" ht="100.8" x14ac:dyDescent="0.3">
      <c r="A1328" s="16" t="s">
        <v>5009</v>
      </c>
      <c r="B1328" s="16" t="s">
        <v>5010</v>
      </c>
      <c r="C1328" s="16" t="s">
        <v>8695</v>
      </c>
      <c r="D1328" s="16" t="s">
        <v>5002</v>
      </c>
      <c r="E1328" s="16"/>
      <c r="F1328" s="16"/>
      <c r="G1328" s="16"/>
      <c r="H1328" s="16" t="s">
        <v>5011</v>
      </c>
      <c r="I1328" s="19" t="s">
        <v>5012</v>
      </c>
      <c r="J1328" s="16"/>
      <c r="K1328" s="16" t="s">
        <v>5013</v>
      </c>
      <c r="L1328" s="16"/>
      <c r="M1328" s="16" t="str">
        <f>HYPERLINK("https://ceds.ed.gov/cedselementdetails.aspx?termid=27360")</f>
        <v>https://ceds.ed.gov/cedselementdetails.aspx?termid=27360</v>
      </c>
    </row>
    <row r="1329" spans="1:13" ht="144" x14ac:dyDescent="0.3">
      <c r="A1329" s="16" t="s">
        <v>5014</v>
      </c>
      <c r="B1329" s="16" t="s">
        <v>5015</v>
      </c>
      <c r="C1329" s="16" t="s">
        <v>8696</v>
      </c>
      <c r="D1329" s="16" t="s">
        <v>5002</v>
      </c>
      <c r="E1329" s="16"/>
      <c r="F1329" s="16"/>
      <c r="G1329" s="16"/>
      <c r="H1329" s="16"/>
      <c r="I1329" s="19" t="s">
        <v>5016</v>
      </c>
      <c r="J1329" s="16"/>
      <c r="K1329" s="16" t="s">
        <v>5017</v>
      </c>
      <c r="L1329" s="16"/>
      <c r="M1329" s="16" t="str">
        <f>HYPERLINK("https://ceds.ed.gov/cedselementdetails.aspx?termid=27537")</f>
        <v>https://ceds.ed.gov/cedselementdetails.aspx?termid=27537</v>
      </c>
    </row>
    <row r="1330" spans="1:13" ht="43.2" x14ac:dyDescent="0.3">
      <c r="A1330" s="16" t="s">
        <v>5018</v>
      </c>
      <c r="B1330" s="16" t="s">
        <v>5019</v>
      </c>
      <c r="C1330" s="16" t="s">
        <v>32</v>
      </c>
      <c r="D1330" s="16" t="s">
        <v>5002</v>
      </c>
      <c r="E1330" s="16"/>
      <c r="F1330" s="16" t="s">
        <v>50</v>
      </c>
      <c r="G1330" s="16"/>
      <c r="H1330" s="16"/>
      <c r="I1330" s="19" t="s">
        <v>5020</v>
      </c>
      <c r="J1330" s="16"/>
      <c r="K1330" s="16" t="s">
        <v>5021</v>
      </c>
      <c r="L1330" s="16"/>
      <c r="M1330" s="16" t="str">
        <f>HYPERLINK("https://ceds.ed.gov/cedselementdetails.aspx?termid=27361")</f>
        <v>https://ceds.ed.gov/cedselementdetails.aspx?termid=27361</v>
      </c>
    </row>
    <row r="1331" spans="1:13" ht="28.8" x14ac:dyDescent="0.3">
      <c r="A1331" s="16" t="s">
        <v>5022</v>
      </c>
      <c r="B1331" s="16" t="s">
        <v>5023</v>
      </c>
      <c r="C1331" s="16" t="s">
        <v>32</v>
      </c>
      <c r="D1331" s="16" t="s">
        <v>5002</v>
      </c>
      <c r="E1331" s="16"/>
      <c r="F1331" s="16" t="s">
        <v>50</v>
      </c>
      <c r="G1331" s="16"/>
      <c r="H1331" s="16"/>
      <c r="I1331" s="19" t="s">
        <v>5024</v>
      </c>
      <c r="J1331" s="16"/>
      <c r="K1331" s="16" t="s">
        <v>5025</v>
      </c>
      <c r="L1331" s="16"/>
      <c r="M1331" s="16" t="str">
        <f>HYPERLINK("https://ceds.ed.gov/cedselementdetails.aspx?termid=27367")</f>
        <v>https://ceds.ed.gov/cedselementdetails.aspx?termid=27367</v>
      </c>
    </row>
    <row r="1332" spans="1:13" ht="57.6" x14ac:dyDescent="0.3">
      <c r="A1332" s="16" t="s">
        <v>5026</v>
      </c>
      <c r="B1332" s="16" t="s">
        <v>5027</v>
      </c>
      <c r="C1332" s="16" t="s">
        <v>22</v>
      </c>
      <c r="D1332" s="16" t="s">
        <v>5002</v>
      </c>
      <c r="E1332" s="16"/>
      <c r="F1332" s="16"/>
      <c r="G1332" s="16"/>
      <c r="H1332" s="16" t="s">
        <v>5028</v>
      </c>
      <c r="I1332" s="19" t="s">
        <v>5029</v>
      </c>
      <c r="J1332" s="16"/>
      <c r="K1332" s="16" t="s">
        <v>5030</v>
      </c>
      <c r="L1332" s="16"/>
      <c r="M1332" s="16" t="str">
        <f>HYPERLINK("https://ceds.ed.gov/cedselementdetails.aspx?termid=27362")</f>
        <v>https://ceds.ed.gov/cedselementdetails.aspx?termid=27362</v>
      </c>
    </row>
    <row r="1333" spans="1:13" ht="28.8" x14ac:dyDescent="0.3">
      <c r="A1333" s="16" t="s">
        <v>5031</v>
      </c>
      <c r="B1333" s="16" t="s">
        <v>5032</v>
      </c>
      <c r="C1333" s="16" t="s">
        <v>32</v>
      </c>
      <c r="D1333" s="16" t="s">
        <v>5002</v>
      </c>
      <c r="E1333" s="16"/>
      <c r="F1333" s="16" t="s">
        <v>3408</v>
      </c>
      <c r="G1333" s="16"/>
      <c r="H1333" s="16"/>
      <c r="I1333" s="19" t="s">
        <v>5033</v>
      </c>
      <c r="J1333" s="16"/>
      <c r="K1333" s="16" t="s">
        <v>5034</v>
      </c>
      <c r="L1333" s="16"/>
      <c r="M1333" s="16" t="str">
        <f>HYPERLINK("https://ceds.ed.gov/cedselementdetails.aspx?termid=27544")</f>
        <v>https://ceds.ed.gov/cedselementdetails.aspx?termid=27544</v>
      </c>
    </row>
    <row r="1334" spans="1:13" ht="43.2" x14ac:dyDescent="0.3">
      <c r="A1334" s="16" t="s">
        <v>5035</v>
      </c>
      <c r="B1334" s="16" t="s">
        <v>5036</v>
      </c>
      <c r="C1334" s="16" t="s">
        <v>8697</v>
      </c>
      <c r="D1334" s="16" t="s">
        <v>5002</v>
      </c>
      <c r="E1334" s="16"/>
      <c r="F1334" s="16"/>
      <c r="G1334" s="16"/>
      <c r="H1334" s="16"/>
      <c r="I1334" s="19" t="s">
        <v>5037</v>
      </c>
      <c r="J1334" s="16"/>
      <c r="K1334" s="16" t="s">
        <v>5038</v>
      </c>
      <c r="L1334" s="16"/>
      <c r="M1334" s="16" t="str">
        <f>HYPERLINK("https://ceds.ed.gov/cedselementdetails.aspx?termid=27540")</f>
        <v>https://ceds.ed.gov/cedselementdetails.aspx?termid=27540</v>
      </c>
    </row>
    <row r="1335" spans="1:13" ht="43.2" x14ac:dyDescent="0.3">
      <c r="A1335" s="16" t="s">
        <v>5039</v>
      </c>
      <c r="B1335" s="16" t="s">
        <v>5040</v>
      </c>
      <c r="C1335" s="16" t="s">
        <v>32</v>
      </c>
      <c r="D1335" s="16" t="s">
        <v>5002</v>
      </c>
      <c r="E1335" s="16"/>
      <c r="F1335" s="16" t="s">
        <v>50</v>
      </c>
      <c r="G1335" s="16"/>
      <c r="H1335" s="16"/>
      <c r="I1335" s="19" t="s">
        <v>5041</v>
      </c>
      <c r="J1335" s="16"/>
      <c r="K1335" s="16" t="s">
        <v>5042</v>
      </c>
      <c r="L1335" s="16"/>
      <c r="M1335" s="16" t="str">
        <f>HYPERLINK("https://ceds.ed.gov/cedselementdetails.aspx?termid=27541")</f>
        <v>https://ceds.ed.gov/cedselementdetails.aspx?termid=27541</v>
      </c>
    </row>
    <row r="1336" spans="1:13" ht="43.2" x14ac:dyDescent="0.3">
      <c r="A1336" s="16" t="s">
        <v>5043</v>
      </c>
      <c r="B1336" s="16" t="s">
        <v>5044</v>
      </c>
      <c r="C1336" s="16" t="s">
        <v>32</v>
      </c>
      <c r="D1336" s="16" t="s">
        <v>5002</v>
      </c>
      <c r="E1336" s="16"/>
      <c r="F1336" s="16" t="s">
        <v>50</v>
      </c>
      <c r="G1336" s="16"/>
      <c r="H1336" s="16" t="s">
        <v>5045</v>
      </c>
      <c r="I1336" s="19" t="s">
        <v>5046</v>
      </c>
      <c r="J1336" s="16"/>
      <c r="K1336" s="16" t="s">
        <v>5047</v>
      </c>
      <c r="L1336" s="16"/>
      <c r="M1336" s="16" t="str">
        <f>HYPERLINK("https://ceds.ed.gov/cedselementdetails.aspx?termid=26923")</f>
        <v>https://ceds.ed.gov/cedselementdetails.aspx?termid=26923</v>
      </c>
    </row>
    <row r="1337" spans="1:13" ht="129.6" x14ac:dyDescent="0.3">
      <c r="A1337" s="16" t="s">
        <v>5048</v>
      </c>
      <c r="B1337" s="16" t="s">
        <v>8082</v>
      </c>
      <c r="C1337" s="16" t="s">
        <v>8698</v>
      </c>
      <c r="D1337" s="16" t="s">
        <v>5002</v>
      </c>
      <c r="E1337" s="16"/>
      <c r="F1337" s="16"/>
      <c r="G1337" s="16"/>
      <c r="H1337" s="16"/>
      <c r="I1337" s="19" t="s">
        <v>5049</v>
      </c>
      <c r="J1337" s="16"/>
      <c r="K1337" s="16" t="s">
        <v>5050</v>
      </c>
      <c r="L1337" s="16"/>
      <c r="M1337" s="16" t="str">
        <f>HYPERLINK("https://ceds.ed.gov/cedselementdetails.aspx?termid=27363")</f>
        <v>https://ceds.ed.gov/cedselementdetails.aspx?termid=27363</v>
      </c>
    </row>
    <row r="1338" spans="1:13" ht="115.2" x14ac:dyDescent="0.3">
      <c r="A1338" s="16" t="s">
        <v>5051</v>
      </c>
      <c r="B1338" s="16" t="s">
        <v>5052</v>
      </c>
      <c r="C1338" s="16" t="s">
        <v>8699</v>
      </c>
      <c r="D1338" s="16" t="s">
        <v>5002</v>
      </c>
      <c r="E1338" s="16"/>
      <c r="F1338" s="16"/>
      <c r="G1338" s="16"/>
      <c r="H1338" s="16" t="s">
        <v>5053</v>
      </c>
      <c r="I1338" s="19" t="s">
        <v>5054</v>
      </c>
      <c r="J1338" s="16"/>
      <c r="K1338" s="16" t="s">
        <v>5055</v>
      </c>
      <c r="L1338" s="16"/>
      <c r="M1338" s="16" t="str">
        <f>HYPERLINK("https://ceds.ed.gov/cedselementdetails.aspx?termid=26879")</f>
        <v>https://ceds.ed.gov/cedselementdetails.aspx?termid=26879</v>
      </c>
    </row>
    <row r="1339" spans="1:13" ht="43.2" x14ac:dyDescent="0.3">
      <c r="A1339" s="16" t="s">
        <v>5056</v>
      </c>
      <c r="B1339" s="16" t="s">
        <v>5057</v>
      </c>
      <c r="C1339" s="16" t="s">
        <v>32</v>
      </c>
      <c r="D1339" s="16" t="s">
        <v>5002</v>
      </c>
      <c r="E1339" s="16"/>
      <c r="F1339" s="16" t="s">
        <v>101</v>
      </c>
      <c r="G1339" s="16"/>
      <c r="H1339" s="16"/>
      <c r="I1339" s="19" t="s">
        <v>5058</v>
      </c>
      <c r="J1339" s="16"/>
      <c r="K1339" s="16" t="s">
        <v>5059</v>
      </c>
      <c r="L1339" s="16"/>
      <c r="M1339" s="16" t="str">
        <f>HYPERLINK("https://ceds.ed.gov/cedselementdetails.aspx?termid=27159")</f>
        <v>https://ceds.ed.gov/cedselementdetails.aspx?termid=27159</v>
      </c>
    </row>
    <row r="1340" spans="1:13" ht="100.8" x14ac:dyDescent="0.3">
      <c r="A1340" s="16" t="s">
        <v>5060</v>
      </c>
      <c r="B1340" s="16" t="s">
        <v>5061</v>
      </c>
      <c r="C1340" s="16" t="s">
        <v>8700</v>
      </c>
      <c r="D1340" s="16" t="s">
        <v>5002</v>
      </c>
      <c r="E1340" s="16"/>
      <c r="F1340" s="16"/>
      <c r="G1340" s="16"/>
      <c r="H1340" s="16"/>
      <c r="I1340" s="19" t="s">
        <v>5062</v>
      </c>
      <c r="J1340" s="16"/>
      <c r="K1340" s="16" t="s">
        <v>5063</v>
      </c>
      <c r="L1340" s="16"/>
      <c r="M1340" s="16" t="str">
        <f>HYPERLINK("https://ceds.ed.gov/cedselementdetails.aspx?termid=27364")</f>
        <v>https://ceds.ed.gov/cedselementdetails.aspx?termid=27364</v>
      </c>
    </row>
    <row r="1341" spans="1:13" ht="43.2" x14ac:dyDescent="0.3">
      <c r="A1341" s="16" t="s">
        <v>5064</v>
      </c>
      <c r="B1341" s="16" t="s">
        <v>5065</v>
      </c>
      <c r="C1341" s="16" t="s">
        <v>32</v>
      </c>
      <c r="D1341" s="16" t="s">
        <v>5002</v>
      </c>
      <c r="E1341" s="16"/>
      <c r="F1341" s="16" t="s">
        <v>145</v>
      </c>
      <c r="G1341" s="16"/>
      <c r="H1341" s="16"/>
      <c r="I1341" s="19" t="s">
        <v>5066</v>
      </c>
      <c r="J1341" s="16"/>
      <c r="K1341" s="16" t="s">
        <v>5067</v>
      </c>
      <c r="L1341" s="16"/>
      <c r="M1341" s="16" t="str">
        <f>HYPERLINK("https://ceds.ed.gov/cedselementdetails.aspx?termid=27157")</f>
        <v>https://ceds.ed.gov/cedselementdetails.aspx?termid=27157</v>
      </c>
    </row>
    <row r="1342" spans="1:13" ht="28.8" x14ac:dyDescent="0.3">
      <c r="A1342" s="16" t="s">
        <v>5068</v>
      </c>
      <c r="B1342" s="16" t="s">
        <v>5069</v>
      </c>
      <c r="C1342" s="16" t="s">
        <v>32</v>
      </c>
      <c r="D1342" s="16" t="s">
        <v>5002</v>
      </c>
      <c r="E1342" s="16"/>
      <c r="F1342" s="16" t="s">
        <v>1807</v>
      </c>
      <c r="G1342" s="16"/>
      <c r="H1342" s="16"/>
      <c r="I1342" s="19" t="s">
        <v>5070</v>
      </c>
      <c r="J1342" s="16"/>
      <c r="K1342" s="16" t="s">
        <v>5071</v>
      </c>
      <c r="L1342" s="16"/>
      <c r="M1342" s="16" t="str">
        <f>HYPERLINK("https://ceds.ed.gov/cedselementdetails.aspx?termid=27158")</f>
        <v>https://ceds.ed.gov/cedselementdetails.aspx?termid=27158</v>
      </c>
    </row>
    <row r="1343" spans="1:13" ht="28.8" x14ac:dyDescent="0.3">
      <c r="A1343" s="16" t="s">
        <v>5072</v>
      </c>
      <c r="B1343" s="16" t="s">
        <v>5073</v>
      </c>
      <c r="C1343" s="16" t="s">
        <v>32</v>
      </c>
      <c r="D1343" s="16" t="s">
        <v>5002</v>
      </c>
      <c r="E1343" s="16"/>
      <c r="F1343" s="16" t="s">
        <v>145</v>
      </c>
      <c r="G1343" s="16"/>
      <c r="H1343" s="16"/>
      <c r="I1343" s="19" t="s">
        <v>5074</v>
      </c>
      <c r="J1343" s="16"/>
      <c r="K1343" s="16" t="s">
        <v>5075</v>
      </c>
      <c r="L1343" s="16"/>
      <c r="M1343" s="16" t="str">
        <f>HYPERLINK("https://ceds.ed.gov/cedselementdetails.aspx?termid=26918")</f>
        <v>https://ceds.ed.gov/cedselementdetails.aspx?termid=26918</v>
      </c>
    </row>
    <row r="1344" spans="1:13" ht="28.8" x14ac:dyDescent="0.3">
      <c r="A1344" s="16" t="s">
        <v>5076</v>
      </c>
      <c r="B1344" s="16" t="s">
        <v>5077</v>
      </c>
      <c r="C1344" s="16" t="s">
        <v>32</v>
      </c>
      <c r="D1344" s="16" t="s">
        <v>5002</v>
      </c>
      <c r="E1344" s="16"/>
      <c r="F1344" s="16" t="s">
        <v>106</v>
      </c>
      <c r="G1344" s="16"/>
      <c r="H1344" s="16"/>
      <c r="I1344" s="19" t="s">
        <v>5078</v>
      </c>
      <c r="J1344" s="16"/>
      <c r="K1344" s="16" t="s">
        <v>5079</v>
      </c>
      <c r="L1344" s="16"/>
      <c r="M1344" s="16" t="str">
        <f>HYPERLINK("https://ceds.ed.gov/cedselementdetails.aspx?termid=26916")</f>
        <v>https://ceds.ed.gov/cedselementdetails.aspx?termid=26916</v>
      </c>
    </row>
    <row r="1345" spans="1:13" ht="28.8" x14ac:dyDescent="0.3">
      <c r="A1345" s="16" t="s">
        <v>5080</v>
      </c>
      <c r="B1345" s="16" t="s">
        <v>5081</v>
      </c>
      <c r="C1345" s="16" t="s">
        <v>32</v>
      </c>
      <c r="D1345" s="16" t="s">
        <v>5002</v>
      </c>
      <c r="E1345" s="16"/>
      <c r="F1345" s="16" t="s">
        <v>106</v>
      </c>
      <c r="G1345" s="16"/>
      <c r="H1345" s="16"/>
      <c r="I1345" s="19" t="s">
        <v>5082</v>
      </c>
      <c r="J1345" s="16"/>
      <c r="K1345" s="16" t="s">
        <v>5083</v>
      </c>
      <c r="L1345" s="16"/>
      <c r="M1345" s="16" t="str">
        <f>HYPERLINK("https://ceds.ed.gov/cedselementdetails.aspx?termid=27542")</f>
        <v>https://ceds.ed.gov/cedselementdetails.aspx?termid=27542</v>
      </c>
    </row>
    <row r="1346" spans="1:13" ht="28.8" x14ac:dyDescent="0.3">
      <c r="A1346" s="16" t="s">
        <v>5084</v>
      </c>
      <c r="B1346" s="16" t="s">
        <v>8083</v>
      </c>
      <c r="C1346" s="16" t="s">
        <v>32</v>
      </c>
      <c r="D1346" s="16" t="s">
        <v>5002</v>
      </c>
      <c r="E1346" s="16"/>
      <c r="F1346" s="16" t="s">
        <v>101</v>
      </c>
      <c r="G1346" s="16"/>
      <c r="H1346" s="16"/>
      <c r="I1346" s="19" t="s">
        <v>5085</v>
      </c>
      <c r="J1346" s="16"/>
      <c r="K1346" s="16" t="s">
        <v>5086</v>
      </c>
      <c r="L1346" s="16"/>
      <c r="M1346" s="16" t="str">
        <f>HYPERLINK("https://ceds.ed.gov/cedselementdetails.aspx?termid=27156")</f>
        <v>https://ceds.ed.gov/cedselementdetails.aspx?termid=27156</v>
      </c>
    </row>
    <row r="1347" spans="1:13" ht="86.4" x14ac:dyDescent="0.3">
      <c r="A1347" s="16" t="s">
        <v>5087</v>
      </c>
      <c r="B1347" s="16" t="s">
        <v>5088</v>
      </c>
      <c r="C1347" s="16" t="s">
        <v>5089</v>
      </c>
      <c r="D1347" s="16" t="s">
        <v>5002</v>
      </c>
      <c r="E1347" s="16"/>
      <c r="F1347" s="16"/>
      <c r="G1347" s="16"/>
      <c r="H1347" s="16"/>
      <c r="I1347" s="19" t="s">
        <v>5090</v>
      </c>
      <c r="J1347" s="16"/>
      <c r="K1347" s="16" t="s">
        <v>5091</v>
      </c>
      <c r="L1347" s="16"/>
      <c r="M1347" s="16" t="str">
        <f>HYPERLINK("https://ceds.ed.gov/cedselementdetails.aspx?termid=27365")</f>
        <v>https://ceds.ed.gov/cedselementdetails.aspx?termid=27365</v>
      </c>
    </row>
    <row r="1348" spans="1:13" ht="144" x14ac:dyDescent="0.3">
      <c r="A1348" s="16" t="s">
        <v>5092</v>
      </c>
      <c r="B1348" s="16" t="s">
        <v>5093</v>
      </c>
      <c r="C1348" s="16" t="s">
        <v>8701</v>
      </c>
      <c r="D1348" s="16" t="s">
        <v>5002</v>
      </c>
      <c r="E1348" s="16"/>
      <c r="F1348" s="16"/>
      <c r="G1348" s="16"/>
      <c r="H1348" s="16"/>
      <c r="I1348" s="19" t="s">
        <v>5094</v>
      </c>
      <c r="J1348" s="16"/>
      <c r="K1348" s="16" t="s">
        <v>5095</v>
      </c>
      <c r="L1348" s="16"/>
      <c r="M1348" s="16" t="str">
        <f>HYPERLINK("https://ceds.ed.gov/cedselementdetails.aspx?termid=27366")</f>
        <v>https://ceds.ed.gov/cedselementdetails.aspx?termid=27366</v>
      </c>
    </row>
    <row r="1349" spans="1:13" ht="409.6" x14ac:dyDescent="0.3">
      <c r="A1349" s="16" t="s">
        <v>5096</v>
      </c>
      <c r="B1349" s="16" t="s">
        <v>5097</v>
      </c>
      <c r="C1349" s="16" t="s">
        <v>8458</v>
      </c>
      <c r="D1349" s="16" t="s">
        <v>5002</v>
      </c>
      <c r="E1349" s="16"/>
      <c r="F1349" s="16"/>
      <c r="G1349" s="16"/>
      <c r="H1349" s="16"/>
      <c r="I1349" s="19" t="s">
        <v>5098</v>
      </c>
      <c r="J1349" s="16"/>
      <c r="K1349" s="16" t="s">
        <v>5099</v>
      </c>
      <c r="L1349" s="16"/>
      <c r="M1349" s="16" t="str">
        <f>HYPERLINK("https://ceds.ed.gov/cedselementdetails.aspx?termid=27212")</f>
        <v>https://ceds.ed.gov/cedselementdetails.aspx?termid=27212</v>
      </c>
    </row>
    <row r="1350" spans="1:13" ht="100.8" x14ac:dyDescent="0.3">
      <c r="A1350" s="16" t="s">
        <v>5100</v>
      </c>
      <c r="B1350" s="16" t="s">
        <v>5101</v>
      </c>
      <c r="C1350" s="16" t="s">
        <v>8702</v>
      </c>
      <c r="D1350" s="16" t="s">
        <v>5002</v>
      </c>
      <c r="E1350" s="16"/>
      <c r="F1350" s="16"/>
      <c r="G1350" s="16"/>
      <c r="H1350" s="16"/>
      <c r="I1350" s="19" t="s">
        <v>5102</v>
      </c>
      <c r="J1350" s="16"/>
      <c r="K1350" s="16" t="s">
        <v>5103</v>
      </c>
      <c r="L1350" s="16"/>
      <c r="M1350" s="16" t="str">
        <f>HYPERLINK("https://ceds.ed.gov/cedselementdetails.aspx?termid=27005")</f>
        <v>https://ceds.ed.gov/cedselementdetails.aspx?termid=27005</v>
      </c>
    </row>
    <row r="1351" spans="1:13" ht="57.6" x14ac:dyDescent="0.3">
      <c r="A1351" s="16" t="s">
        <v>9043</v>
      </c>
      <c r="B1351" s="16" t="s">
        <v>9044</v>
      </c>
      <c r="C1351" s="16" t="s">
        <v>9296</v>
      </c>
      <c r="D1351" s="16" t="s">
        <v>5002</v>
      </c>
      <c r="E1351" s="16"/>
      <c r="F1351" s="16" t="s">
        <v>2</v>
      </c>
      <c r="G1351" s="16"/>
      <c r="H1351" s="16"/>
      <c r="I1351" s="19" t="s">
        <v>9045</v>
      </c>
      <c r="J1351" s="16"/>
      <c r="K1351" s="16" t="s">
        <v>9046</v>
      </c>
      <c r="L1351" s="16"/>
      <c r="M1351" s="16" t="str">
        <f>HYPERLINK("https://ceds.ed.gov/cedselementdetails.aspx?termid=28036")</f>
        <v>https://ceds.ed.gov/cedselementdetails.aspx?termid=28036</v>
      </c>
    </row>
    <row r="1352" spans="1:13" ht="43.2" x14ac:dyDescent="0.3">
      <c r="A1352" s="16" t="s">
        <v>9047</v>
      </c>
      <c r="B1352" s="16" t="s">
        <v>9048</v>
      </c>
      <c r="C1352" s="16" t="s">
        <v>32</v>
      </c>
      <c r="D1352" s="16" t="s">
        <v>5002</v>
      </c>
      <c r="E1352" s="16"/>
      <c r="F1352" s="16" t="s">
        <v>120</v>
      </c>
      <c r="G1352" s="16"/>
      <c r="H1352" s="16"/>
      <c r="I1352" s="19" t="s">
        <v>9049</v>
      </c>
      <c r="J1352" s="16"/>
      <c r="K1352" s="16" t="s">
        <v>9050</v>
      </c>
      <c r="L1352" s="16"/>
      <c r="M1352" s="16" t="str">
        <f>HYPERLINK("https://ceds.ed.gov/cedselementdetails.aspx?termid=28037")</f>
        <v>https://ceds.ed.gov/cedselementdetails.aspx?termid=28037</v>
      </c>
    </row>
    <row r="1353" spans="1:13" ht="144" x14ac:dyDescent="0.3">
      <c r="A1353" s="16" t="s">
        <v>5104</v>
      </c>
      <c r="B1353" s="16" t="s">
        <v>5105</v>
      </c>
      <c r="C1353" s="16" t="s">
        <v>8703</v>
      </c>
      <c r="D1353" s="16" t="s">
        <v>5002</v>
      </c>
      <c r="E1353" s="16"/>
      <c r="F1353" s="16"/>
      <c r="G1353" s="16"/>
      <c r="H1353" s="16"/>
      <c r="I1353" s="19" t="s">
        <v>5106</v>
      </c>
      <c r="J1353" s="16"/>
      <c r="K1353" s="16" t="s">
        <v>5107</v>
      </c>
      <c r="L1353" s="16"/>
      <c r="M1353" s="16" t="str">
        <f>HYPERLINK("https://ceds.ed.gov/cedselementdetails.aspx?termid=26924")</f>
        <v>https://ceds.ed.gov/cedselementdetails.aspx?termid=26924</v>
      </c>
    </row>
    <row r="1354" spans="1:13" ht="129.6" x14ac:dyDescent="0.3">
      <c r="A1354" s="16" t="s">
        <v>5108</v>
      </c>
      <c r="B1354" s="16" t="s">
        <v>5109</v>
      </c>
      <c r="C1354" s="16" t="s">
        <v>8704</v>
      </c>
      <c r="D1354" s="16" t="s">
        <v>5002</v>
      </c>
      <c r="E1354" s="16"/>
      <c r="F1354" s="16"/>
      <c r="G1354" s="16"/>
      <c r="H1354" s="16"/>
      <c r="I1354" s="19" t="s">
        <v>5110</v>
      </c>
      <c r="J1354" s="16"/>
      <c r="K1354" s="16" t="s">
        <v>5111</v>
      </c>
      <c r="L1354" s="16"/>
      <c r="M1354" s="16" t="str">
        <f>HYPERLINK("https://ceds.ed.gov/cedselementdetails.aspx?termid=27543")</f>
        <v>https://ceds.ed.gov/cedselementdetails.aspx?termid=27543</v>
      </c>
    </row>
    <row r="1355" spans="1:13" ht="57.6" x14ac:dyDescent="0.3">
      <c r="A1355" s="16" t="s">
        <v>5112</v>
      </c>
      <c r="B1355" s="16" t="s">
        <v>5113</v>
      </c>
      <c r="C1355" s="16" t="s">
        <v>8705</v>
      </c>
      <c r="D1355" s="16" t="s">
        <v>5002</v>
      </c>
      <c r="E1355" s="16"/>
      <c r="F1355" s="16"/>
      <c r="G1355" s="16"/>
      <c r="H1355" s="16"/>
      <c r="I1355" s="19" t="s">
        <v>5114</v>
      </c>
      <c r="J1355" s="16"/>
      <c r="K1355" s="16" t="s">
        <v>5115</v>
      </c>
      <c r="L1355" s="16"/>
      <c r="M1355" s="16" t="str">
        <f>HYPERLINK("https://ceds.ed.gov/cedselementdetails.aspx?termid=26928")</f>
        <v>https://ceds.ed.gov/cedselementdetails.aspx?termid=26928</v>
      </c>
    </row>
    <row r="1356" spans="1:13" ht="28.8" x14ac:dyDescent="0.3">
      <c r="A1356" s="16" t="s">
        <v>9051</v>
      </c>
      <c r="B1356" s="16" t="s">
        <v>9052</v>
      </c>
      <c r="C1356" s="16" t="s">
        <v>32</v>
      </c>
      <c r="D1356" s="16" t="s">
        <v>5002</v>
      </c>
      <c r="E1356" s="16"/>
      <c r="F1356" s="16" t="s">
        <v>106</v>
      </c>
      <c r="G1356" s="16"/>
      <c r="H1356" s="16"/>
      <c r="I1356" s="19" t="s">
        <v>9053</v>
      </c>
      <c r="J1356" s="16"/>
      <c r="K1356" s="16" t="s">
        <v>9054</v>
      </c>
      <c r="L1356" s="16"/>
      <c r="M1356" s="16" t="str">
        <f>HYPERLINK("https://ceds.ed.gov/cedselementdetails.aspx?termid=28038")</f>
        <v>https://ceds.ed.gov/cedselementdetails.aspx?termid=28038</v>
      </c>
    </row>
    <row r="1357" spans="1:13" ht="172.8" x14ac:dyDescent="0.3">
      <c r="A1357" s="16" t="s">
        <v>5116</v>
      </c>
      <c r="B1357" s="16" t="s">
        <v>5117</v>
      </c>
      <c r="C1357" s="16" t="s">
        <v>7313</v>
      </c>
      <c r="D1357" s="16" t="s">
        <v>5002</v>
      </c>
      <c r="E1357" s="16"/>
      <c r="F1357" s="16"/>
      <c r="G1357" s="16"/>
      <c r="H1357" s="16" t="s">
        <v>8084</v>
      </c>
      <c r="I1357" s="19" t="s">
        <v>5118</v>
      </c>
      <c r="J1357" s="16"/>
      <c r="K1357" s="16" t="s">
        <v>5119</v>
      </c>
      <c r="L1357" s="16"/>
      <c r="M1357" s="16" t="str">
        <f>HYPERLINK("https://ceds.ed.gov/cedselementdetails.aspx?termid=26920")</f>
        <v>https://ceds.ed.gov/cedselementdetails.aspx?termid=26920</v>
      </c>
    </row>
    <row r="1358" spans="1:13" ht="43.2" x14ac:dyDescent="0.3">
      <c r="A1358" s="16" t="s">
        <v>5120</v>
      </c>
      <c r="B1358" s="16" t="s">
        <v>5121</v>
      </c>
      <c r="C1358" s="16" t="s">
        <v>32</v>
      </c>
      <c r="D1358" s="16" t="s">
        <v>5002</v>
      </c>
      <c r="E1358" s="16"/>
      <c r="F1358" s="16" t="s">
        <v>50</v>
      </c>
      <c r="G1358" s="16"/>
      <c r="H1358" s="16" t="s">
        <v>5122</v>
      </c>
      <c r="I1358" s="19" t="s">
        <v>5123</v>
      </c>
      <c r="J1358" s="16"/>
      <c r="K1358" s="16" t="s">
        <v>5124</v>
      </c>
      <c r="L1358" s="16"/>
      <c r="M1358" s="16" t="str">
        <f>HYPERLINK("https://ceds.ed.gov/cedselementdetails.aspx?termid=26922")</f>
        <v>https://ceds.ed.gov/cedselementdetails.aspx?termid=26922</v>
      </c>
    </row>
    <row r="1359" spans="1:13" ht="331.2" x14ac:dyDescent="0.3">
      <c r="A1359" s="16" t="s">
        <v>5125</v>
      </c>
      <c r="B1359" s="16" t="s">
        <v>5126</v>
      </c>
      <c r="C1359" s="16" t="s">
        <v>8706</v>
      </c>
      <c r="D1359" s="16" t="s">
        <v>5002</v>
      </c>
      <c r="E1359" s="16"/>
      <c r="F1359" s="16"/>
      <c r="G1359" s="16"/>
      <c r="H1359" s="16" t="s">
        <v>5127</v>
      </c>
      <c r="I1359" s="19" t="s">
        <v>5128</v>
      </c>
      <c r="J1359" s="16"/>
      <c r="K1359" s="16" t="s">
        <v>5129</v>
      </c>
      <c r="L1359" s="16"/>
      <c r="M1359" s="16" t="str">
        <f>HYPERLINK("https://ceds.ed.gov/cedselementdetails.aspx?termid=27368")</f>
        <v>https://ceds.ed.gov/cedselementdetails.aspx?termid=27368</v>
      </c>
    </row>
    <row r="1360" spans="1:13" ht="28.8" x14ac:dyDescent="0.3">
      <c r="A1360" s="16" t="s">
        <v>9055</v>
      </c>
      <c r="B1360" s="16" t="s">
        <v>9056</v>
      </c>
      <c r="C1360" s="16" t="s">
        <v>32</v>
      </c>
      <c r="D1360" s="16" t="s">
        <v>5002</v>
      </c>
      <c r="E1360" s="16"/>
      <c r="F1360" s="16" t="s">
        <v>106</v>
      </c>
      <c r="G1360" s="16"/>
      <c r="H1360" s="16"/>
      <c r="I1360" s="19" t="s">
        <v>9057</v>
      </c>
      <c r="J1360" s="16"/>
      <c r="K1360" s="16" t="s">
        <v>9058</v>
      </c>
      <c r="L1360" s="16"/>
      <c r="M1360" s="16" t="str">
        <f>HYPERLINK("https://ceds.ed.gov/cedselementdetails.aspx?termid=28039")</f>
        <v>https://ceds.ed.gov/cedselementdetails.aspx?termid=28039</v>
      </c>
    </row>
    <row r="1361" spans="1:13" ht="57.6" x14ac:dyDescent="0.3">
      <c r="A1361" s="16" t="s">
        <v>5130</v>
      </c>
      <c r="B1361" s="16" t="s">
        <v>5131</v>
      </c>
      <c r="C1361" s="16" t="s">
        <v>32</v>
      </c>
      <c r="D1361" s="16" t="s">
        <v>5132</v>
      </c>
      <c r="E1361" s="16"/>
      <c r="F1361" s="16" t="s">
        <v>305</v>
      </c>
      <c r="G1361" s="16"/>
      <c r="H1361" s="16"/>
      <c r="I1361" s="19" t="s">
        <v>5133</v>
      </c>
      <c r="J1361" s="16"/>
      <c r="K1361" s="16" t="s">
        <v>5134</v>
      </c>
      <c r="L1361" s="16"/>
      <c r="M1361" s="16" t="str">
        <f>HYPERLINK("https://ceds.ed.gov/cedselementdetails.aspx?termid=27369")</f>
        <v>https://ceds.ed.gov/cedselementdetails.aspx?termid=27369</v>
      </c>
    </row>
    <row r="1362" spans="1:13" ht="72" x14ac:dyDescent="0.3">
      <c r="A1362" s="16" t="s">
        <v>5135</v>
      </c>
      <c r="B1362" s="16" t="s">
        <v>5136</v>
      </c>
      <c r="C1362" s="16" t="s">
        <v>32</v>
      </c>
      <c r="D1362" s="16" t="s">
        <v>5132</v>
      </c>
      <c r="E1362" s="16"/>
      <c r="F1362" s="16" t="s">
        <v>955</v>
      </c>
      <c r="G1362" s="16"/>
      <c r="H1362" s="16"/>
      <c r="I1362" s="19" t="s">
        <v>5137</v>
      </c>
      <c r="J1362" s="16"/>
      <c r="K1362" s="16" t="s">
        <v>5138</v>
      </c>
      <c r="L1362" s="16"/>
      <c r="M1362" s="16" t="str">
        <f>HYPERLINK("https://ceds.ed.gov/cedselementdetails.aspx?termid=27161")</f>
        <v>https://ceds.ed.gov/cedselementdetails.aspx?termid=27161</v>
      </c>
    </row>
    <row r="1363" spans="1:13" ht="409.6" x14ac:dyDescent="0.3">
      <c r="A1363" s="16" t="s">
        <v>5139</v>
      </c>
      <c r="B1363" s="16" t="s">
        <v>5140</v>
      </c>
      <c r="C1363" s="16" t="s">
        <v>8707</v>
      </c>
      <c r="D1363" s="16" t="s">
        <v>5002</v>
      </c>
      <c r="E1363" s="16"/>
      <c r="F1363" s="16"/>
      <c r="G1363" s="16"/>
      <c r="H1363" s="16"/>
      <c r="I1363" s="19" t="s">
        <v>5141</v>
      </c>
      <c r="J1363" s="16"/>
      <c r="K1363" s="16" t="s">
        <v>5142</v>
      </c>
      <c r="L1363" s="16"/>
      <c r="M1363" s="16" t="str">
        <f>HYPERLINK("https://ceds.ed.gov/cedselementdetails.aspx?termid=27370")</f>
        <v>https://ceds.ed.gov/cedselementdetails.aspx?termid=27370</v>
      </c>
    </row>
    <row r="1364" spans="1:13" ht="57.6" x14ac:dyDescent="0.3">
      <c r="A1364" s="16" t="s">
        <v>5143</v>
      </c>
      <c r="B1364" s="16" t="s">
        <v>5144</v>
      </c>
      <c r="C1364" s="16" t="s">
        <v>32</v>
      </c>
      <c r="D1364" s="16" t="s">
        <v>495</v>
      </c>
      <c r="E1364" s="16"/>
      <c r="F1364" s="16" t="s">
        <v>106</v>
      </c>
      <c r="G1364" s="16"/>
      <c r="H1364" s="16"/>
      <c r="I1364" s="19" t="s">
        <v>5145</v>
      </c>
      <c r="J1364" s="16"/>
      <c r="K1364" s="16" t="s">
        <v>5146</v>
      </c>
      <c r="L1364" s="16"/>
      <c r="M1364" s="16" t="str">
        <f>HYPERLINK("https://ceds.ed.gov/cedselementdetails.aspx?termid=27135")</f>
        <v>https://ceds.ed.gov/cedselementdetails.aspx?termid=27135</v>
      </c>
    </row>
    <row r="1365" spans="1:13" ht="28.8" x14ac:dyDescent="0.3">
      <c r="A1365" s="16" t="s">
        <v>5147</v>
      </c>
      <c r="B1365" s="16" t="s">
        <v>5148</v>
      </c>
      <c r="C1365" s="16" t="s">
        <v>32</v>
      </c>
      <c r="D1365" s="16" t="s">
        <v>5002</v>
      </c>
      <c r="E1365" s="16"/>
      <c r="F1365" s="16" t="s">
        <v>3408</v>
      </c>
      <c r="G1365" s="16"/>
      <c r="H1365" s="16"/>
      <c r="I1365" s="19" t="s">
        <v>5149</v>
      </c>
      <c r="J1365" s="16"/>
      <c r="K1365" s="16" t="s">
        <v>5150</v>
      </c>
      <c r="L1365" s="16"/>
      <c r="M1365" s="16" t="str">
        <f>HYPERLINK("https://ceds.ed.gov/cedselementdetails.aspx?termid=27545")</f>
        <v>https://ceds.ed.gov/cedselementdetails.aspx?termid=27545</v>
      </c>
    </row>
    <row r="1366" spans="1:13" ht="28.8" x14ac:dyDescent="0.3">
      <c r="A1366" s="16" t="s">
        <v>5151</v>
      </c>
      <c r="B1366" s="16" t="s">
        <v>5152</v>
      </c>
      <c r="C1366" s="16" t="s">
        <v>32</v>
      </c>
      <c r="D1366" s="16" t="s">
        <v>5002</v>
      </c>
      <c r="E1366" s="16"/>
      <c r="F1366" s="16" t="s">
        <v>145</v>
      </c>
      <c r="G1366" s="16"/>
      <c r="H1366" s="16"/>
      <c r="I1366" s="19" t="s">
        <v>5153</v>
      </c>
      <c r="J1366" s="16"/>
      <c r="K1366" s="16" t="s">
        <v>5154</v>
      </c>
      <c r="L1366" s="16"/>
      <c r="M1366" s="16" t="str">
        <f>HYPERLINK("https://ceds.ed.gov/cedselementdetails.aspx?termid=26919")</f>
        <v>https://ceds.ed.gov/cedselementdetails.aspx?termid=26919</v>
      </c>
    </row>
    <row r="1367" spans="1:13" ht="43.2" x14ac:dyDescent="0.3">
      <c r="A1367" s="16" t="s">
        <v>5155</v>
      </c>
      <c r="B1367" s="16" t="s">
        <v>5156</v>
      </c>
      <c r="C1367" s="16" t="s">
        <v>32</v>
      </c>
      <c r="D1367" s="16" t="s">
        <v>5002</v>
      </c>
      <c r="E1367" s="16"/>
      <c r="F1367" s="16" t="s">
        <v>50</v>
      </c>
      <c r="G1367" s="16"/>
      <c r="H1367" s="16"/>
      <c r="I1367" s="19" t="s">
        <v>5157</v>
      </c>
      <c r="J1367" s="16"/>
      <c r="K1367" s="16" t="s">
        <v>5158</v>
      </c>
      <c r="L1367" s="16"/>
      <c r="M1367" s="16" t="str">
        <f>HYPERLINK("https://ceds.ed.gov/cedselementdetails.aspx?termid=27547")</f>
        <v>https://ceds.ed.gov/cedselementdetails.aspx?termid=27547</v>
      </c>
    </row>
    <row r="1368" spans="1:13" ht="43.2" x14ac:dyDescent="0.3">
      <c r="A1368" s="16" t="s">
        <v>9059</v>
      </c>
      <c r="B1368" s="16" t="s">
        <v>9060</v>
      </c>
      <c r="C1368" s="16" t="s">
        <v>32</v>
      </c>
      <c r="D1368" s="16" t="s">
        <v>5002</v>
      </c>
      <c r="E1368" s="16"/>
      <c r="F1368" s="16" t="s">
        <v>106</v>
      </c>
      <c r="G1368" s="16"/>
      <c r="H1368" s="16"/>
      <c r="I1368" s="19" t="s">
        <v>9061</v>
      </c>
      <c r="J1368" s="16"/>
      <c r="K1368" s="16" t="s">
        <v>9062</v>
      </c>
      <c r="L1368" s="16"/>
      <c r="M1368" s="16" t="str">
        <f>HYPERLINK("https://ceds.ed.gov/cedselementdetails.aspx?termid=28040")</f>
        <v>https://ceds.ed.gov/cedselementdetails.aspx?termid=28040</v>
      </c>
    </row>
    <row r="1369" spans="1:13" ht="86.4" x14ac:dyDescent="0.3">
      <c r="A1369" s="16" t="s">
        <v>9063</v>
      </c>
      <c r="B1369" s="16" t="s">
        <v>9064</v>
      </c>
      <c r="C1369" s="16" t="s">
        <v>9297</v>
      </c>
      <c r="D1369" s="16" t="s">
        <v>5002</v>
      </c>
      <c r="E1369" s="16"/>
      <c r="F1369" s="16" t="s">
        <v>2</v>
      </c>
      <c r="G1369" s="16"/>
      <c r="H1369" s="16"/>
      <c r="I1369" s="19" t="s">
        <v>9065</v>
      </c>
      <c r="J1369" s="16"/>
      <c r="K1369" s="16" t="s">
        <v>9066</v>
      </c>
      <c r="L1369" s="16"/>
      <c r="M1369" s="16" t="str">
        <f>HYPERLINK("https://ceds.ed.gov/cedselementdetails.aspx?termid=28041")</f>
        <v>https://ceds.ed.gov/cedselementdetails.aspx?termid=28041</v>
      </c>
    </row>
    <row r="1370" spans="1:13" ht="43.2" x14ac:dyDescent="0.3">
      <c r="A1370" s="16" t="s">
        <v>9067</v>
      </c>
      <c r="B1370" s="16" t="s">
        <v>9068</v>
      </c>
      <c r="C1370" s="16" t="s">
        <v>32</v>
      </c>
      <c r="D1370" s="16" t="s">
        <v>5002</v>
      </c>
      <c r="E1370" s="16"/>
      <c r="F1370" s="16" t="s">
        <v>305</v>
      </c>
      <c r="G1370" s="16"/>
      <c r="H1370" s="16"/>
      <c r="I1370" s="19" t="s">
        <v>9069</v>
      </c>
      <c r="J1370" s="16"/>
      <c r="K1370" s="16" t="s">
        <v>9070</v>
      </c>
      <c r="L1370" s="16"/>
      <c r="M1370" s="16" t="str">
        <f>HYPERLINK("https://ceds.ed.gov/cedselementdetails.aspx?termid=28042")</f>
        <v>https://ceds.ed.gov/cedselementdetails.aspx?termid=28042</v>
      </c>
    </row>
    <row r="1371" spans="1:13" ht="187.2" x14ac:dyDescent="0.3">
      <c r="A1371" s="16" t="s">
        <v>5159</v>
      </c>
      <c r="B1371" s="16" t="s">
        <v>5160</v>
      </c>
      <c r="C1371" s="16" t="s">
        <v>32</v>
      </c>
      <c r="D1371" s="16" t="s">
        <v>5002</v>
      </c>
      <c r="E1371" s="16"/>
      <c r="F1371" s="16" t="s">
        <v>81</v>
      </c>
      <c r="G1371" s="16"/>
      <c r="H1371" s="16" t="s">
        <v>8085</v>
      </c>
      <c r="I1371" s="19" t="s">
        <v>5161</v>
      </c>
      <c r="J1371" s="16"/>
      <c r="K1371" s="16" t="s">
        <v>5162</v>
      </c>
      <c r="L1371" s="16"/>
      <c r="M1371" s="16" t="str">
        <f>HYPERLINK("https://ceds.ed.gov/cedselementdetails.aspx?termid=26914")</f>
        <v>https://ceds.ed.gov/cedselementdetails.aspx?termid=26914</v>
      </c>
    </row>
    <row r="1372" spans="1:13" ht="216" x14ac:dyDescent="0.3">
      <c r="A1372" s="16" t="s">
        <v>5163</v>
      </c>
      <c r="B1372" s="16" t="s">
        <v>5164</v>
      </c>
      <c r="C1372" s="16" t="s">
        <v>32</v>
      </c>
      <c r="D1372" s="16" t="s">
        <v>5002</v>
      </c>
      <c r="E1372" s="16"/>
      <c r="F1372" s="16" t="s">
        <v>81</v>
      </c>
      <c r="G1372" s="16"/>
      <c r="H1372" s="16" t="s">
        <v>8086</v>
      </c>
      <c r="I1372" s="19" t="s">
        <v>5165</v>
      </c>
      <c r="J1372" s="16"/>
      <c r="K1372" s="16" t="s">
        <v>5166</v>
      </c>
      <c r="L1372" s="16"/>
      <c r="M1372" s="16" t="str">
        <f>HYPERLINK("https://ceds.ed.gov/cedselementdetails.aspx?termid=26915")</f>
        <v>https://ceds.ed.gov/cedselementdetails.aspx?termid=26915</v>
      </c>
    </row>
    <row r="1373" spans="1:13" ht="28.8" x14ac:dyDescent="0.3">
      <c r="A1373" s="16" t="s">
        <v>5167</v>
      </c>
      <c r="B1373" s="16" t="s">
        <v>5168</v>
      </c>
      <c r="C1373" s="16" t="s">
        <v>32</v>
      </c>
      <c r="D1373" s="16" t="s">
        <v>5002</v>
      </c>
      <c r="E1373" s="16"/>
      <c r="F1373" s="16" t="s">
        <v>81</v>
      </c>
      <c r="G1373" s="16"/>
      <c r="H1373" s="16"/>
      <c r="I1373" s="19" t="s">
        <v>5169</v>
      </c>
      <c r="J1373" s="16"/>
      <c r="K1373" s="16" t="s">
        <v>5170</v>
      </c>
      <c r="L1373" s="16"/>
      <c r="M1373" s="16" t="str">
        <f>HYPERLINK("https://ceds.ed.gov/cedselementdetails.aspx?termid=26913")</f>
        <v>https://ceds.ed.gov/cedselementdetails.aspx?termid=26913</v>
      </c>
    </row>
    <row r="1374" spans="1:13" ht="28.8" x14ac:dyDescent="0.3">
      <c r="A1374" s="16" t="s">
        <v>5171</v>
      </c>
      <c r="B1374" s="16" t="s">
        <v>5172</v>
      </c>
      <c r="C1374" s="16" t="s">
        <v>32</v>
      </c>
      <c r="D1374" s="16" t="s">
        <v>5002</v>
      </c>
      <c r="E1374" s="16"/>
      <c r="F1374" s="16" t="s">
        <v>81</v>
      </c>
      <c r="G1374" s="16"/>
      <c r="H1374" s="16"/>
      <c r="I1374" s="19" t="s">
        <v>5173</v>
      </c>
      <c r="J1374" s="16"/>
      <c r="K1374" s="16" t="s">
        <v>5174</v>
      </c>
      <c r="L1374" s="16"/>
      <c r="M1374" s="16" t="str">
        <f>HYPERLINK("https://ceds.ed.gov/cedselementdetails.aspx?termid=26931")</f>
        <v>https://ceds.ed.gov/cedselementdetails.aspx?termid=26931</v>
      </c>
    </row>
    <row r="1375" spans="1:13" ht="43.2" x14ac:dyDescent="0.3">
      <c r="A1375" s="16" t="s">
        <v>5175</v>
      </c>
      <c r="B1375" s="16" t="s">
        <v>5176</v>
      </c>
      <c r="C1375" s="16" t="s">
        <v>32</v>
      </c>
      <c r="D1375" s="16" t="s">
        <v>5002</v>
      </c>
      <c r="E1375" s="16"/>
      <c r="F1375" s="16" t="s">
        <v>81</v>
      </c>
      <c r="G1375" s="16"/>
      <c r="H1375" s="16"/>
      <c r="I1375" s="19" t="s">
        <v>5177</v>
      </c>
      <c r="J1375" s="16"/>
      <c r="K1375" s="16" t="s">
        <v>5178</v>
      </c>
      <c r="L1375" s="16"/>
      <c r="M1375" s="16" t="str">
        <f>HYPERLINK("https://ceds.ed.gov/cedselementdetails.aspx?termid=26930")</f>
        <v>https://ceds.ed.gov/cedselementdetails.aspx?termid=26930</v>
      </c>
    </row>
    <row r="1376" spans="1:13" ht="43.2" x14ac:dyDescent="0.3">
      <c r="A1376" s="16" t="s">
        <v>5179</v>
      </c>
      <c r="B1376" s="16" t="s">
        <v>5180</v>
      </c>
      <c r="C1376" s="16" t="s">
        <v>32</v>
      </c>
      <c r="D1376" s="16" t="s">
        <v>5002</v>
      </c>
      <c r="E1376" s="16"/>
      <c r="F1376" s="16" t="s">
        <v>2788</v>
      </c>
      <c r="G1376" s="16"/>
      <c r="H1376" s="16"/>
      <c r="I1376" s="19" t="s">
        <v>5181</v>
      </c>
      <c r="J1376" s="16"/>
      <c r="K1376" s="16" t="s">
        <v>5182</v>
      </c>
      <c r="L1376" s="16"/>
      <c r="M1376" s="16" t="str">
        <f>HYPERLINK("https://ceds.ed.gov/cedselementdetails.aspx?termid=26925")</f>
        <v>https://ceds.ed.gov/cedselementdetails.aspx?termid=26925</v>
      </c>
    </row>
    <row r="1377" spans="1:13" x14ac:dyDescent="0.3">
      <c r="A1377" s="16" t="s">
        <v>5183</v>
      </c>
      <c r="B1377" s="16" t="s">
        <v>5184</v>
      </c>
      <c r="C1377" s="16" t="s">
        <v>32</v>
      </c>
      <c r="D1377" s="16" t="s">
        <v>5002</v>
      </c>
      <c r="E1377" s="16"/>
      <c r="F1377" s="16" t="s">
        <v>81</v>
      </c>
      <c r="G1377" s="16"/>
      <c r="H1377" s="16"/>
      <c r="I1377" s="19" t="s">
        <v>5185</v>
      </c>
      <c r="J1377" s="16"/>
      <c r="K1377" s="16" t="s">
        <v>5186</v>
      </c>
      <c r="L1377" s="16"/>
      <c r="M1377" s="16" t="str">
        <f>HYPERLINK("https://ceds.ed.gov/cedselementdetails.aspx?termid=26912")</f>
        <v>https://ceds.ed.gov/cedselementdetails.aspx?termid=26912</v>
      </c>
    </row>
    <row r="1378" spans="1:13" ht="331.2" x14ac:dyDescent="0.3">
      <c r="A1378" s="16" t="s">
        <v>5187</v>
      </c>
      <c r="B1378" s="16" t="s">
        <v>5188</v>
      </c>
      <c r="C1378" s="16" t="s">
        <v>8708</v>
      </c>
      <c r="D1378" s="16" t="s">
        <v>5002</v>
      </c>
      <c r="E1378" s="16"/>
      <c r="F1378" s="16"/>
      <c r="G1378" s="16"/>
      <c r="H1378" s="16" t="s">
        <v>5189</v>
      </c>
      <c r="I1378" s="19" t="s">
        <v>5190</v>
      </c>
      <c r="J1378" s="16"/>
      <c r="K1378" s="16" t="s">
        <v>5191</v>
      </c>
      <c r="L1378" s="16"/>
      <c r="M1378" s="16" t="str">
        <f>HYPERLINK("https://ceds.ed.gov/cedselementdetails.aspx?termid=26929")</f>
        <v>https://ceds.ed.gov/cedselementdetails.aspx?termid=26929</v>
      </c>
    </row>
    <row r="1379" spans="1:13" ht="28.8" x14ac:dyDescent="0.3">
      <c r="A1379" s="16" t="s">
        <v>5192</v>
      </c>
      <c r="B1379" s="16" t="s">
        <v>5193</v>
      </c>
      <c r="C1379" s="16" t="s">
        <v>32</v>
      </c>
      <c r="D1379" s="16" t="s">
        <v>5002</v>
      </c>
      <c r="E1379" s="16"/>
      <c r="F1379" s="16" t="s">
        <v>305</v>
      </c>
      <c r="G1379" s="16"/>
      <c r="H1379" s="16"/>
      <c r="I1379" s="19" t="s">
        <v>5194</v>
      </c>
      <c r="J1379" s="16"/>
      <c r="K1379" s="16" t="s">
        <v>5195</v>
      </c>
      <c r="L1379" s="16"/>
      <c r="M1379" s="16" t="str">
        <f>HYPERLINK("https://ceds.ed.gov/cedselementdetails.aspx?termid=26927")</f>
        <v>https://ceds.ed.gov/cedselementdetails.aspx?termid=26927</v>
      </c>
    </row>
    <row r="1380" spans="1:13" ht="28.8" x14ac:dyDescent="0.3">
      <c r="A1380" s="16" t="s">
        <v>5196</v>
      </c>
      <c r="B1380" s="16" t="s">
        <v>5197</v>
      </c>
      <c r="C1380" s="16" t="s">
        <v>32</v>
      </c>
      <c r="D1380" s="16" t="s">
        <v>5002</v>
      </c>
      <c r="E1380" s="16"/>
      <c r="F1380" s="16" t="s">
        <v>305</v>
      </c>
      <c r="G1380" s="16"/>
      <c r="H1380" s="16"/>
      <c r="I1380" s="19" t="s">
        <v>5198</v>
      </c>
      <c r="J1380" s="16"/>
      <c r="K1380" s="16" t="s">
        <v>5199</v>
      </c>
      <c r="L1380" s="16"/>
      <c r="M1380" s="16" t="str">
        <f>HYPERLINK("https://ceds.ed.gov/cedselementdetails.aspx?termid=26926")</f>
        <v>https://ceds.ed.gov/cedselementdetails.aspx?termid=26926</v>
      </c>
    </row>
    <row r="1381" spans="1:13" ht="57.6" x14ac:dyDescent="0.3">
      <c r="A1381" s="16" t="s">
        <v>5200</v>
      </c>
      <c r="B1381" s="16" t="s">
        <v>5201</v>
      </c>
      <c r="C1381" s="16" t="s">
        <v>32</v>
      </c>
      <c r="D1381" s="16" t="s">
        <v>5002</v>
      </c>
      <c r="E1381" s="16"/>
      <c r="F1381" s="16" t="s">
        <v>50</v>
      </c>
      <c r="G1381" s="16"/>
      <c r="H1381" s="16"/>
      <c r="I1381" s="19" t="s">
        <v>5202</v>
      </c>
      <c r="J1381" s="16"/>
      <c r="K1381" s="16" t="s">
        <v>5203</v>
      </c>
      <c r="L1381" s="16"/>
      <c r="M1381" s="16" t="str">
        <f>HYPERLINK("https://ceds.ed.gov/cedselementdetails.aspx?termid=26911")</f>
        <v>https://ceds.ed.gov/cedselementdetails.aspx?termid=26911</v>
      </c>
    </row>
    <row r="1382" spans="1:13" ht="28.8" x14ac:dyDescent="0.3">
      <c r="A1382" s="16" t="s">
        <v>5204</v>
      </c>
      <c r="B1382" s="16" t="s">
        <v>5205</v>
      </c>
      <c r="C1382" s="16" t="s">
        <v>32</v>
      </c>
      <c r="D1382" s="16" t="s">
        <v>5002</v>
      </c>
      <c r="E1382" s="16"/>
      <c r="F1382" s="16" t="s">
        <v>81</v>
      </c>
      <c r="G1382" s="16"/>
      <c r="H1382" s="16"/>
      <c r="I1382" s="19" t="s">
        <v>5206</v>
      </c>
      <c r="J1382" s="16"/>
      <c r="K1382" s="16" t="s">
        <v>5207</v>
      </c>
      <c r="L1382" s="16"/>
      <c r="M1382" s="16" t="str">
        <f>HYPERLINK("https://ceds.ed.gov/cedselementdetails.aspx?termid=27182")</f>
        <v>https://ceds.ed.gov/cedselementdetails.aspx?termid=27182</v>
      </c>
    </row>
    <row r="1383" spans="1:13" ht="331.2" x14ac:dyDescent="0.3">
      <c r="A1383" s="16" t="s">
        <v>5208</v>
      </c>
      <c r="B1383" s="16" t="s">
        <v>5209</v>
      </c>
      <c r="C1383" s="16" t="s">
        <v>8241</v>
      </c>
      <c r="D1383" s="16" t="s">
        <v>9383</v>
      </c>
      <c r="E1383" s="16"/>
      <c r="F1383" s="16"/>
      <c r="G1383" s="16"/>
      <c r="H1383" s="16"/>
      <c r="I1383" s="19" t="s">
        <v>5210</v>
      </c>
      <c r="J1383" s="16"/>
      <c r="K1383" s="16" t="s">
        <v>5211</v>
      </c>
      <c r="L1383" s="16"/>
      <c r="M1383" s="16" t="str">
        <f>HYPERLINK("https://ceds.ed.gov/cedselementdetails.aspx?termid=26617")</f>
        <v>https://ceds.ed.gov/cedselementdetails.aspx?termid=26617</v>
      </c>
    </row>
    <row r="1384" spans="1:13" ht="86.4" x14ac:dyDescent="0.3">
      <c r="A1384" s="16" t="s">
        <v>5212</v>
      </c>
      <c r="B1384" s="16" t="s">
        <v>5213</v>
      </c>
      <c r="C1384" s="16" t="s">
        <v>8709</v>
      </c>
      <c r="D1384" s="16" t="s">
        <v>5214</v>
      </c>
      <c r="E1384" s="16"/>
      <c r="F1384" s="16"/>
      <c r="G1384" s="16"/>
      <c r="H1384" s="16"/>
      <c r="I1384" s="19" t="s">
        <v>5215</v>
      </c>
      <c r="J1384" s="16"/>
      <c r="K1384" s="16" t="s">
        <v>5216</v>
      </c>
      <c r="L1384" s="16" t="s">
        <v>1927</v>
      </c>
      <c r="M1384" s="16" t="str">
        <f>HYPERLINK("https://ceds.ed.gov/cedselementdetails.aspx?termid=26178")</f>
        <v>https://ceds.ed.gov/cedselementdetails.aspx?termid=26178</v>
      </c>
    </row>
    <row r="1385" spans="1:13" ht="100.8" x14ac:dyDescent="0.3">
      <c r="A1385" s="16" t="s">
        <v>5217</v>
      </c>
      <c r="B1385" s="16" t="s">
        <v>5218</v>
      </c>
      <c r="C1385" s="16" t="s">
        <v>8710</v>
      </c>
      <c r="D1385" s="16" t="s">
        <v>7942</v>
      </c>
      <c r="E1385" s="16"/>
      <c r="F1385" s="16"/>
      <c r="G1385" s="16"/>
      <c r="H1385" s="16"/>
      <c r="I1385" s="19" t="s">
        <v>5219</v>
      </c>
      <c r="J1385" s="16"/>
      <c r="K1385" s="16" t="s">
        <v>5220</v>
      </c>
      <c r="L1385" s="16" t="s">
        <v>3502</v>
      </c>
      <c r="M1385" s="16" t="str">
        <f>HYPERLINK("https://ceds.ed.gov/cedselementdetails.aspx?termid=26340")</f>
        <v>https://ceds.ed.gov/cedselementdetails.aspx?termid=26340</v>
      </c>
    </row>
    <row r="1386" spans="1:13" ht="57.6" x14ac:dyDescent="0.3">
      <c r="A1386" s="16" t="s">
        <v>5221</v>
      </c>
      <c r="B1386" s="16" t="s">
        <v>5222</v>
      </c>
      <c r="C1386" s="16" t="s">
        <v>8317</v>
      </c>
      <c r="D1386" s="16" t="s">
        <v>7913</v>
      </c>
      <c r="E1386" s="16"/>
      <c r="F1386" s="16"/>
      <c r="G1386" s="16"/>
      <c r="H1386" s="16"/>
      <c r="I1386" s="19" t="s">
        <v>5223</v>
      </c>
      <c r="J1386" s="16"/>
      <c r="K1386" s="16" t="s">
        <v>5224</v>
      </c>
      <c r="L1386" s="16" t="s">
        <v>2444</v>
      </c>
      <c r="M1386" s="16" t="str">
        <f>HYPERLINK("https://ceds.ed.gov/cedselementdetails.aspx?termid=26349")</f>
        <v>https://ceds.ed.gov/cedselementdetails.aspx?termid=26349</v>
      </c>
    </row>
    <row r="1387" spans="1:13" ht="57.6" x14ac:dyDescent="0.3">
      <c r="A1387" s="16" t="s">
        <v>5225</v>
      </c>
      <c r="B1387" s="16" t="s">
        <v>5226</v>
      </c>
      <c r="C1387" s="16" t="s">
        <v>32</v>
      </c>
      <c r="D1387" s="16" t="s">
        <v>1547</v>
      </c>
      <c r="E1387" s="16"/>
      <c r="F1387" s="16" t="s">
        <v>1481</v>
      </c>
      <c r="G1387" s="16"/>
      <c r="H1387" s="16"/>
      <c r="I1387" s="19" t="s">
        <v>5227</v>
      </c>
      <c r="J1387" s="16"/>
      <c r="K1387" s="16" t="s">
        <v>5228</v>
      </c>
      <c r="L1387" s="16"/>
      <c r="M1387" s="16" t="str">
        <f>HYPERLINK("https://ceds.ed.gov/cedselementdetails.aspx?termid=27830")</f>
        <v>https://ceds.ed.gov/cedselementdetails.aspx?termid=27830</v>
      </c>
    </row>
    <row r="1388" spans="1:13" ht="230.4" x14ac:dyDescent="0.3">
      <c r="A1388" s="16" t="s">
        <v>5229</v>
      </c>
      <c r="B1388" s="16" t="s">
        <v>5230</v>
      </c>
      <c r="C1388" s="16" t="s">
        <v>8711</v>
      </c>
      <c r="D1388" s="16" t="s">
        <v>61</v>
      </c>
      <c r="E1388" s="16"/>
      <c r="F1388" s="16"/>
      <c r="G1388" s="16"/>
      <c r="H1388" s="16"/>
      <c r="I1388" s="19" t="s">
        <v>5231</v>
      </c>
      <c r="J1388" s="16"/>
      <c r="K1388" s="16" t="s">
        <v>5232</v>
      </c>
      <c r="L1388" s="16" t="s">
        <v>202</v>
      </c>
      <c r="M1388" s="16" t="str">
        <f>HYPERLINK("https://ceds.ed.gov/cedselementdetails.aspx?termid=26456")</f>
        <v>https://ceds.ed.gov/cedselementdetails.aspx?termid=26456</v>
      </c>
    </row>
    <row r="1389" spans="1:13" ht="57.6" x14ac:dyDescent="0.3">
      <c r="A1389" s="16" t="s">
        <v>5233</v>
      </c>
      <c r="B1389" s="16" t="s">
        <v>5234</v>
      </c>
      <c r="C1389" s="16" t="s">
        <v>22</v>
      </c>
      <c r="D1389" s="16" t="s">
        <v>61</v>
      </c>
      <c r="E1389" s="16"/>
      <c r="F1389" s="16"/>
      <c r="G1389" s="16"/>
      <c r="H1389" s="16"/>
      <c r="I1389" s="19" t="s">
        <v>5235</v>
      </c>
      <c r="J1389" s="16"/>
      <c r="K1389" s="16" t="s">
        <v>5236</v>
      </c>
      <c r="L1389" s="16" t="s">
        <v>202</v>
      </c>
      <c r="M1389" s="16" t="str">
        <f>HYPERLINK("https://ceds.ed.gov/cedselementdetails.aspx?termid=26457")</f>
        <v>https://ceds.ed.gov/cedselementdetails.aspx?termid=26457</v>
      </c>
    </row>
    <row r="1390" spans="1:13" ht="43.2" x14ac:dyDescent="0.3">
      <c r="A1390" s="16" t="s">
        <v>5237</v>
      </c>
      <c r="B1390" s="16" t="s">
        <v>5238</v>
      </c>
      <c r="C1390" s="16" t="s">
        <v>22</v>
      </c>
      <c r="D1390" s="16" t="s">
        <v>61</v>
      </c>
      <c r="E1390" s="16"/>
      <c r="F1390" s="16"/>
      <c r="G1390" s="16"/>
      <c r="H1390" s="16"/>
      <c r="I1390" s="19" t="s">
        <v>5239</v>
      </c>
      <c r="J1390" s="16"/>
      <c r="K1390" s="16" t="s">
        <v>5240</v>
      </c>
      <c r="L1390" s="16" t="s">
        <v>202</v>
      </c>
      <c r="M1390" s="16" t="str">
        <f>HYPERLINK("https://ceds.ed.gov/cedselementdetails.aspx?termid=26458")</f>
        <v>https://ceds.ed.gov/cedselementdetails.aspx?termid=26458</v>
      </c>
    </row>
    <row r="1391" spans="1:13" ht="43.2" x14ac:dyDescent="0.3">
      <c r="A1391" s="16" t="s">
        <v>5241</v>
      </c>
      <c r="B1391" s="16" t="s">
        <v>5242</v>
      </c>
      <c r="C1391" s="16" t="s">
        <v>22</v>
      </c>
      <c r="D1391" s="16" t="s">
        <v>61</v>
      </c>
      <c r="E1391" s="16"/>
      <c r="F1391" s="16"/>
      <c r="G1391" s="16"/>
      <c r="H1391" s="16"/>
      <c r="I1391" s="19" t="s">
        <v>5243</v>
      </c>
      <c r="J1391" s="16"/>
      <c r="K1391" s="16" t="s">
        <v>5244</v>
      </c>
      <c r="L1391" s="16" t="s">
        <v>202</v>
      </c>
      <c r="M1391" s="16" t="str">
        <f>HYPERLINK("https://ceds.ed.gov/cedselementdetails.aspx?termid=26459")</f>
        <v>https://ceds.ed.gov/cedselementdetails.aspx?termid=26459</v>
      </c>
    </row>
    <row r="1392" spans="1:13" ht="43.2" x14ac:dyDescent="0.3">
      <c r="A1392" s="16" t="s">
        <v>13087</v>
      </c>
      <c r="B1392" s="16" t="s">
        <v>13088</v>
      </c>
      <c r="C1392" s="16" t="s">
        <v>22</v>
      </c>
      <c r="D1392" s="16" t="s">
        <v>3442</v>
      </c>
      <c r="E1392" s="16" t="s">
        <v>160</v>
      </c>
      <c r="F1392" s="16"/>
      <c r="G1392" s="16" t="s">
        <v>12950</v>
      </c>
      <c r="H1392" s="16"/>
      <c r="I1392" s="19" t="s">
        <v>5750</v>
      </c>
      <c r="J1392" s="16"/>
      <c r="K1392" s="16" t="s">
        <v>13089</v>
      </c>
      <c r="L1392" s="16"/>
      <c r="M1392" s="16" t="str">
        <f>HYPERLINK("https://ceds.ed.gov/cedselementdetails.aspx?termid=27394")</f>
        <v>https://ceds.ed.gov/cedselementdetails.aspx?termid=27394</v>
      </c>
    </row>
    <row r="1393" spans="1:13" ht="57.6" x14ac:dyDescent="0.3">
      <c r="A1393" s="16" t="s">
        <v>5245</v>
      </c>
      <c r="B1393" s="16" t="s">
        <v>5246</v>
      </c>
      <c r="C1393" s="16" t="s">
        <v>8712</v>
      </c>
      <c r="D1393" s="16" t="s">
        <v>5247</v>
      </c>
      <c r="E1393" s="16"/>
      <c r="F1393" s="16"/>
      <c r="G1393" s="16"/>
      <c r="H1393" s="16"/>
      <c r="I1393" s="19" t="s">
        <v>5248</v>
      </c>
      <c r="J1393" s="16" t="s">
        <v>5249</v>
      </c>
      <c r="K1393" s="16" t="s">
        <v>5250</v>
      </c>
      <c r="L1393" s="16" t="s">
        <v>202</v>
      </c>
      <c r="M1393" s="16" t="str">
        <f>HYPERLINK("https://ceds.ed.gov/cedselementdetails.aspx?termid=26441")</f>
        <v>https://ceds.ed.gov/cedselementdetails.aspx?termid=26441</v>
      </c>
    </row>
    <row r="1394" spans="1:13" ht="244.8" x14ac:dyDescent="0.3">
      <c r="A1394" s="16" t="s">
        <v>5251</v>
      </c>
      <c r="B1394" s="16" t="s">
        <v>5252</v>
      </c>
      <c r="C1394" s="16" t="s">
        <v>8242</v>
      </c>
      <c r="D1394" s="16" t="s">
        <v>9384</v>
      </c>
      <c r="E1394" s="16"/>
      <c r="F1394" s="16"/>
      <c r="G1394" s="16"/>
      <c r="H1394" s="16"/>
      <c r="I1394" s="19" t="s">
        <v>5253</v>
      </c>
      <c r="J1394" s="16" t="s">
        <v>5254</v>
      </c>
      <c r="K1394" s="16" t="s">
        <v>5255</v>
      </c>
      <c r="L1394" s="16" t="s">
        <v>5256</v>
      </c>
      <c r="M1394" s="16" t="str">
        <f>HYPERLINK("https://ceds.ed.gov/cedselementdetails.aspx?termid=26159")</f>
        <v>https://ceds.ed.gov/cedselementdetails.aspx?termid=26159</v>
      </c>
    </row>
    <row r="1395" spans="1:13" ht="216" x14ac:dyDescent="0.3">
      <c r="A1395" s="16" t="s">
        <v>5257</v>
      </c>
      <c r="B1395" s="16" t="s">
        <v>5258</v>
      </c>
      <c r="C1395" s="16" t="s">
        <v>32</v>
      </c>
      <c r="D1395" s="16" t="s">
        <v>9384</v>
      </c>
      <c r="E1395" s="16"/>
      <c r="F1395" s="16" t="s">
        <v>120</v>
      </c>
      <c r="G1395" s="16"/>
      <c r="H1395" s="16" t="s">
        <v>7905</v>
      </c>
      <c r="I1395" s="19" t="s">
        <v>5259</v>
      </c>
      <c r="J1395" s="16" t="s">
        <v>5260</v>
      </c>
      <c r="K1395" s="16" t="s">
        <v>5261</v>
      </c>
      <c r="L1395" s="16" t="s">
        <v>5256</v>
      </c>
      <c r="M1395" s="16" t="str">
        <f>HYPERLINK("https://ceds.ed.gov/cedselementdetails.aspx?termid=26153")</f>
        <v>https://ceds.ed.gov/cedselementdetails.aspx?termid=26153</v>
      </c>
    </row>
    <row r="1396" spans="1:13" ht="86.4" x14ac:dyDescent="0.3">
      <c r="A1396" s="16" t="s">
        <v>5262</v>
      </c>
      <c r="B1396" s="16" t="s">
        <v>5263</v>
      </c>
      <c r="C1396" s="16" t="s">
        <v>8713</v>
      </c>
      <c r="D1396" s="16" t="s">
        <v>90</v>
      </c>
      <c r="E1396" s="16"/>
      <c r="F1396" s="16"/>
      <c r="G1396" s="16"/>
      <c r="H1396" s="16"/>
      <c r="I1396" s="19" t="s">
        <v>5264</v>
      </c>
      <c r="J1396" s="16" t="s">
        <v>5265</v>
      </c>
      <c r="K1396" s="16" t="s">
        <v>5266</v>
      </c>
      <c r="L1396" s="16" t="s">
        <v>214</v>
      </c>
      <c r="M1396" s="16" t="str">
        <f>HYPERLINK("https://ceds.ed.gov/cedselementdetails.aspx?termid=26173")</f>
        <v>https://ceds.ed.gov/cedselementdetails.aspx?termid=26173</v>
      </c>
    </row>
    <row r="1397" spans="1:13" ht="129.6" x14ac:dyDescent="0.3">
      <c r="A1397" s="16" t="s">
        <v>5267</v>
      </c>
      <c r="B1397" s="16" t="s">
        <v>5268</v>
      </c>
      <c r="C1397" s="16" t="s">
        <v>8243</v>
      </c>
      <c r="D1397" s="16" t="s">
        <v>9385</v>
      </c>
      <c r="E1397" s="16"/>
      <c r="F1397" s="16"/>
      <c r="G1397" s="16"/>
      <c r="H1397" s="16"/>
      <c r="I1397" s="19" t="s">
        <v>5270</v>
      </c>
      <c r="J1397" s="16" t="s">
        <v>5271</v>
      </c>
      <c r="K1397" s="16" t="s">
        <v>5272</v>
      </c>
      <c r="L1397" s="16" t="s">
        <v>214</v>
      </c>
      <c r="M1397" s="16" t="str">
        <f>HYPERLINK("https://ceds.ed.gov/cedselementdetails.aspx?termid=26174")</f>
        <v>https://ceds.ed.gov/cedselementdetails.aspx?termid=26174</v>
      </c>
    </row>
    <row r="1398" spans="1:13" ht="28.8" x14ac:dyDescent="0.3">
      <c r="A1398" s="16" t="s">
        <v>5273</v>
      </c>
      <c r="B1398" s="16" t="s">
        <v>8087</v>
      </c>
      <c r="C1398" s="16" t="s">
        <v>32</v>
      </c>
      <c r="D1398" s="16" t="s">
        <v>5269</v>
      </c>
      <c r="E1398" s="16"/>
      <c r="F1398" s="16" t="s">
        <v>5274</v>
      </c>
      <c r="G1398" s="16"/>
      <c r="H1398" s="16"/>
      <c r="I1398" s="19" t="s">
        <v>5275</v>
      </c>
      <c r="J1398" s="16" t="s">
        <v>5276</v>
      </c>
      <c r="K1398" s="16" t="s">
        <v>5277</v>
      </c>
      <c r="L1398" s="16" t="s">
        <v>214</v>
      </c>
      <c r="M1398" s="16" t="str">
        <f>HYPERLINK("https://ceds.ed.gov/cedselementdetails.aspx?termid=26175")</f>
        <v>https://ceds.ed.gov/cedselementdetails.aspx?termid=26175</v>
      </c>
    </row>
    <row r="1399" spans="1:13" ht="57.6" x14ac:dyDescent="0.3">
      <c r="A1399" s="16" t="s">
        <v>5278</v>
      </c>
      <c r="B1399" s="16" t="s">
        <v>5279</v>
      </c>
      <c r="C1399" s="16" t="s">
        <v>22</v>
      </c>
      <c r="D1399" s="16" t="s">
        <v>5247</v>
      </c>
      <c r="E1399" s="16"/>
      <c r="F1399" s="16"/>
      <c r="G1399" s="16"/>
      <c r="H1399" s="16"/>
      <c r="I1399" s="19" t="s">
        <v>5280</v>
      </c>
      <c r="J1399" s="16" t="s">
        <v>5281</v>
      </c>
      <c r="K1399" s="16" t="s">
        <v>5282</v>
      </c>
      <c r="L1399" s="16" t="s">
        <v>202</v>
      </c>
      <c r="M1399" s="16" t="str">
        <f>HYPERLINK("https://ceds.ed.gov/cedselementdetails.aspx?termid=26436")</f>
        <v>https://ceds.ed.gov/cedselementdetails.aspx?termid=26436</v>
      </c>
    </row>
    <row r="1400" spans="1:13" x14ac:dyDescent="0.3">
      <c r="A1400" s="16" t="s">
        <v>5283</v>
      </c>
      <c r="B1400" s="16"/>
      <c r="C1400" s="16"/>
      <c r="D1400" s="16"/>
      <c r="E1400" s="16"/>
      <c r="F1400" s="16"/>
      <c r="G1400" s="16"/>
      <c r="H1400" s="16"/>
      <c r="I1400" s="19"/>
      <c r="J1400" s="16"/>
      <c r="K1400" s="16"/>
      <c r="L1400" s="16"/>
      <c r="M1400" s="16"/>
    </row>
    <row r="1401" spans="1:13" ht="259.2" x14ac:dyDescent="0.3">
      <c r="A1401" s="16" t="s">
        <v>13009</v>
      </c>
      <c r="B1401" s="16" t="s">
        <v>8244</v>
      </c>
      <c r="C1401" s="16" t="s">
        <v>9385</v>
      </c>
      <c r="D1401" s="16"/>
      <c r="E1401" s="16"/>
      <c r="F1401" s="16"/>
      <c r="G1401" s="16" t="s">
        <v>8088</v>
      </c>
      <c r="H1401" s="16">
        <v>537</v>
      </c>
      <c r="I1401" s="19"/>
      <c r="J1401" s="16" t="s">
        <v>5284</v>
      </c>
      <c r="K1401" s="16" t="s">
        <v>214</v>
      </c>
      <c r="L1401" s="16" t="str">
        <f>HYPERLINK("https://ceds.ed.gov/cedselementdetails.aspx?termid=26528")</f>
        <v>https://ceds.ed.gov/cedselementdetails.aspx?termid=26528</v>
      </c>
      <c r="M1401" s="16"/>
    </row>
    <row r="1402" spans="1:13" ht="158.4" x14ac:dyDescent="0.3">
      <c r="A1402" s="16" t="s">
        <v>9071</v>
      </c>
      <c r="B1402" s="16" t="s">
        <v>9072</v>
      </c>
      <c r="C1402" s="16" t="s">
        <v>8200</v>
      </c>
      <c r="D1402" s="16" t="s">
        <v>13029</v>
      </c>
      <c r="E1402" s="16"/>
      <c r="F1402" s="16" t="s">
        <v>2</v>
      </c>
      <c r="G1402" s="16"/>
      <c r="H1402" s="16"/>
      <c r="I1402" s="19" t="s">
        <v>9073</v>
      </c>
      <c r="J1402" s="16"/>
      <c r="K1402" s="16" t="s">
        <v>9074</v>
      </c>
      <c r="L1402" s="16"/>
      <c r="M1402" s="16" t="str">
        <f>HYPERLINK("https://ceds.ed.gov/cedselementdetails.aspx?termid=28043")</f>
        <v>https://ceds.ed.gov/cedselementdetails.aspx?termid=28043</v>
      </c>
    </row>
    <row r="1403" spans="1:13" ht="158.4" x14ac:dyDescent="0.3">
      <c r="A1403" s="16" t="s">
        <v>9075</v>
      </c>
      <c r="B1403" s="16" t="s">
        <v>9076</v>
      </c>
      <c r="C1403" s="16" t="s">
        <v>8200</v>
      </c>
      <c r="D1403" s="16" t="s">
        <v>13029</v>
      </c>
      <c r="E1403" s="16"/>
      <c r="F1403" s="16" t="s">
        <v>2</v>
      </c>
      <c r="G1403" s="16"/>
      <c r="H1403" s="16"/>
      <c r="I1403" s="19" t="s">
        <v>9077</v>
      </c>
      <c r="J1403" s="16"/>
      <c r="K1403" s="16" t="s">
        <v>9078</v>
      </c>
      <c r="L1403" s="16"/>
      <c r="M1403" s="16" t="str">
        <f>HYPERLINK("https://ceds.ed.gov/cedselementdetails.aspx?termid=28044")</f>
        <v>https://ceds.ed.gov/cedselementdetails.aspx?termid=28044</v>
      </c>
    </row>
    <row r="1404" spans="1:13" ht="216" x14ac:dyDescent="0.3">
      <c r="A1404" s="16" t="s">
        <v>12811</v>
      </c>
      <c r="B1404" s="16" t="s">
        <v>12812</v>
      </c>
      <c r="C1404" s="16" t="s">
        <v>12913</v>
      </c>
      <c r="D1404" s="16" t="s">
        <v>12914</v>
      </c>
      <c r="E1404" s="16" t="s">
        <v>155</v>
      </c>
      <c r="F1404" s="16" t="s">
        <v>12813</v>
      </c>
      <c r="G1404" s="16" t="s">
        <v>12636</v>
      </c>
      <c r="H1404" s="16" t="s">
        <v>12814</v>
      </c>
      <c r="I1404" s="19" t="s">
        <v>12815</v>
      </c>
      <c r="J1404" s="16"/>
      <c r="K1404" s="16" t="s">
        <v>12816</v>
      </c>
      <c r="L1404" s="16"/>
      <c r="M1404" s="16" t="str">
        <f>HYPERLINK("https://ceds.ed.gov/cedselementdetails.aspx?termid=28111")</f>
        <v>https://ceds.ed.gov/cedselementdetails.aspx?termid=28111</v>
      </c>
    </row>
    <row r="1405" spans="1:13" ht="409.6" x14ac:dyDescent="0.3">
      <c r="A1405" s="16" t="s">
        <v>5285</v>
      </c>
      <c r="B1405" s="16" t="s">
        <v>5286</v>
      </c>
      <c r="C1405" s="16" t="s">
        <v>32</v>
      </c>
      <c r="D1405" s="16" t="s">
        <v>8689</v>
      </c>
      <c r="E1405" s="16"/>
      <c r="F1405" s="16" t="s">
        <v>1130</v>
      </c>
      <c r="G1405" s="16"/>
      <c r="H1405" s="16"/>
      <c r="I1405" s="19" t="s">
        <v>5287</v>
      </c>
      <c r="J1405" s="16"/>
      <c r="K1405" s="16" t="s">
        <v>5285</v>
      </c>
      <c r="L1405" s="16"/>
      <c r="M1405" s="16" t="str">
        <f>HYPERLINK("https://ceds.ed.gov/cedselementdetails.aspx?termid=26600")</f>
        <v>https://ceds.ed.gov/cedselementdetails.aspx?termid=26600</v>
      </c>
    </row>
    <row r="1406" spans="1:13" ht="360" x14ac:dyDescent="0.3">
      <c r="A1406" s="16" t="s">
        <v>9079</v>
      </c>
      <c r="B1406" s="16" t="s">
        <v>9080</v>
      </c>
      <c r="C1406" s="16" t="s">
        <v>9434</v>
      </c>
      <c r="D1406" s="16" t="s">
        <v>2751</v>
      </c>
      <c r="E1406" s="16"/>
      <c r="F1406" s="16" t="s">
        <v>2</v>
      </c>
      <c r="G1406" s="16"/>
      <c r="H1406" s="16"/>
      <c r="I1406" s="19" t="s">
        <v>9081</v>
      </c>
      <c r="J1406" s="16"/>
      <c r="K1406" s="16" t="s">
        <v>9082</v>
      </c>
      <c r="L1406" s="16"/>
      <c r="M1406" s="16" t="str">
        <f>HYPERLINK("https://ceds.ed.gov/cedselementdetails.aspx?termid=28045")</f>
        <v>https://ceds.ed.gov/cedselementdetails.aspx?termid=28045</v>
      </c>
    </row>
    <row r="1407" spans="1:13" ht="158.4" x14ac:dyDescent="0.3">
      <c r="A1407" s="16" t="s">
        <v>5288</v>
      </c>
      <c r="B1407" s="16" t="s">
        <v>5289</v>
      </c>
      <c r="C1407" s="16" t="s">
        <v>22</v>
      </c>
      <c r="D1407" s="16" t="s">
        <v>12966</v>
      </c>
      <c r="E1407" s="16" t="s">
        <v>160</v>
      </c>
      <c r="F1407" s="16"/>
      <c r="G1407" s="16" t="s">
        <v>12935</v>
      </c>
      <c r="H1407" s="16"/>
      <c r="I1407" s="19" t="s">
        <v>5290</v>
      </c>
      <c r="J1407" s="16"/>
      <c r="K1407" s="16" t="s">
        <v>5291</v>
      </c>
      <c r="L1407" s="16"/>
      <c r="M1407" s="16" t="str">
        <f>HYPERLINK("https://ceds.ed.gov/cedselementdetails.aspx?termid=26758")</f>
        <v>https://ceds.ed.gov/cedselementdetails.aspx?termid=26758</v>
      </c>
    </row>
    <row r="1408" spans="1:13" ht="28.8" x14ac:dyDescent="0.3">
      <c r="A1408" s="16" t="s">
        <v>9083</v>
      </c>
      <c r="B1408" s="16" t="s">
        <v>9084</v>
      </c>
      <c r="C1408" s="16" t="s">
        <v>32</v>
      </c>
      <c r="D1408" s="16" t="s">
        <v>3010</v>
      </c>
      <c r="E1408" s="16"/>
      <c r="F1408" s="16" t="s">
        <v>8997</v>
      </c>
      <c r="G1408" s="16"/>
      <c r="H1408" s="16"/>
      <c r="I1408" s="19" t="s">
        <v>9085</v>
      </c>
      <c r="J1408" s="16"/>
      <c r="K1408" s="16" t="s">
        <v>9086</v>
      </c>
      <c r="L1408" s="16"/>
      <c r="M1408" s="16" t="str">
        <f>HYPERLINK("https://ceds.ed.gov/cedselementdetails.aspx?termid=28046")</f>
        <v>https://ceds.ed.gov/cedselementdetails.aspx?termid=28046</v>
      </c>
    </row>
    <row r="1409" spans="1:13" ht="129.6" x14ac:dyDescent="0.3">
      <c r="A1409" s="16" t="s">
        <v>5292</v>
      </c>
      <c r="B1409" s="16" t="s">
        <v>5293</v>
      </c>
      <c r="C1409" s="16" t="s">
        <v>8714</v>
      </c>
      <c r="D1409" s="16" t="s">
        <v>217</v>
      </c>
      <c r="E1409" s="16"/>
      <c r="F1409" s="16"/>
      <c r="G1409" s="16"/>
      <c r="H1409" s="16"/>
      <c r="I1409" s="19" t="s">
        <v>5294</v>
      </c>
      <c r="J1409" s="16"/>
      <c r="K1409" s="16" t="s">
        <v>5295</v>
      </c>
      <c r="L1409" s="16" t="s">
        <v>64</v>
      </c>
      <c r="M1409" s="16" t="str">
        <f>HYPERLINK("https://ceds.ed.gov/cedselementdetails.aspx?termid=26181")</f>
        <v>https://ceds.ed.gov/cedselementdetails.aspx?termid=26181</v>
      </c>
    </row>
    <row r="1410" spans="1:13" ht="86.4" x14ac:dyDescent="0.3">
      <c r="A1410" s="16" t="s">
        <v>7466</v>
      </c>
      <c r="B1410" s="16" t="s">
        <v>7467</v>
      </c>
      <c r="C1410" s="16" t="s">
        <v>8715</v>
      </c>
      <c r="D1410" s="16" t="s">
        <v>8716</v>
      </c>
      <c r="E1410" s="16"/>
      <c r="F1410" s="16"/>
      <c r="G1410" s="16"/>
      <c r="H1410" s="16" t="s">
        <v>7468</v>
      </c>
      <c r="I1410" s="19" t="s">
        <v>7469</v>
      </c>
      <c r="J1410" s="16"/>
      <c r="K1410" s="16" t="s">
        <v>7470</v>
      </c>
      <c r="L1410" s="16"/>
      <c r="M1410" s="16" t="str">
        <f>HYPERLINK("https://ceds.ed.gov/cedselementdetails.aspx?termid=27942")</f>
        <v>https://ceds.ed.gov/cedselementdetails.aspx?termid=27942</v>
      </c>
    </row>
    <row r="1411" spans="1:13" ht="100.8" x14ac:dyDescent="0.3">
      <c r="A1411" s="16" t="s">
        <v>5296</v>
      </c>
      <c r="B1411" s="16" t="s">
        <v>5297</v>
      </c>
      <c r="C1411" s="16" t="s">
        <v>32</v>
      </c>
      <c r="D1411" s="16" t="s">
        <v>5298</v>
      </c>
      <c r="E1411" s="16"/>
      <c r="F1411" s="16" t="s">
        <v>81</v>
      </c>
      <c r="G1411" s="16"/>
      <c r="H1411" s="16"/>
      <c r="I1411" s="19" t="s">
        <v>5299</v>
      </c>
      <c r="J1411" s="16"/>
      <c r="K1411" s="16" t="s">
        <v>5300</v>
      </c>
      <c r="L1411" s="16" t="s">
        <v>64</v>
      </c>
      <c r="M1411" s="16" t="str">
        <f>HYPERLINK("https://ceds.ed.gov/cedselementdetails.aspx?termid=26182")</f>
        <v>https://ceds.ed.gov/cedselementdetails.aspx?termid=26182</v>
      </c>
    </row>
    <row r="1412" spans="1:13" ht="158.4" x14ac:dyDescent="0.3">
      <c r="A1412" s="16" t="s">
        <v>5301</v>
      </c>
      <c r="B1412" s="16" t="s">
        <v>5302</v>
      </c>
      <c r="C1412" s="16" t="s">
        <v>8717</v>
      </c>
      <c r="D1412" s="16" t="s">
        <v>1837</v>
      </c>
      <c r="E1412" s="16"/>
      <c r="F1412" s="16"/>
      <c r="G1412" s="16"/>
      <c r="H1412" s="16"/>
      <c r="I1412" s="19" t="s">
        <v>5303</v>
      </c>
      <c r="J1412" s="16"/>
      <c r="K1412" s="16" t="s">
        <v>5304</v>
      </c>
      <c r="L1412" s="16"/>
      <c r="M1412" s="16" t="str">
        <f>HYPERLINK("https://ceds.ed.gov/cedselementdetails.aspx?termid=27194")</f>
        <v>https://ceds.ed.gov/cedselementdetails.aspx?termid=27194</v>
      </c>
    </row>
    <row r="1413" spans="1:13" ht="57.6" x14ac:dyDescent="0.3">
      <c r="A1413" s="16" t="s">
        <v>5305</v>
      </c>
      <c r="B1413" s="16" t="s">
        <v>5306</v>
      </c>
      <c r="C1413" s="16" t="s">
        <v>8718</v>
      </c>
      <c r="D1413" s="16" t="s">
        <v>8314</v>
      </c>
      <c r="E1413" s="16"/>
      <c r="F1413" s="16"/>
      <c r="G1413" s="16"/>
      <c r="H1413" s="16"/>
      <c r="I1413" s="19" t="s">
        <v>5307</v>
      </c>
      <c r="J1413" s="16"/>
      <c r="K1413" s="16" t="s">
        <v>5308</v>
      </c>
      <c r="L1413" s="16" t="s">
        <v>1516</v>
      </c>
      <c r="M1413" s="16" t="str">
        <f>HYPERLINK("https://ceds.ed.gov/cedselementdetails.aspx?termid=26429")</f>
        <v>https://ceds.ed.gov/cedselementdetails.aspx?termid=26429</v>
      </c>
    </row>
    <row r="1414" spans="1:13" ht="144" x14ac:dyDescent="0.3">
      <c r="A1414" s="16" t="s">
        <v>5309</v>
      </c>
      <c r="B1414" s="16" t="s">
        <v>8089</v>
      </c>
      <c r="C1414" s="16" t="s">
        <v>22</v>
      </c>
      <c r="D1414" s="16" t="s">
        <v>66</v>
      </c>
      <c r="E1414" s="16"/>
      <c r="F1414" s="16"/>
      <c r="G1414" s="16"/>
      <c r="H1414" s="16" t="s">
        <v>3840</v>
      </c>
      <c r="I1414" s="19" t="s">
        <v>5310</v>
      </c>
      <c r="J1414" s="16"/>
      <c r="K1414" s="16" t="s">
        <v>5311</v>
      </c>
      <c r="L1414" s="16" t="s">
        <v>69</v>
      </c>
      <c r="M1414" s="16" t="str">
        <f>HYPERLINK("https://ceds.ed.gov/cedselementdetails.aspx?termid=26710")</f>
        <v>https://ceds.ed.gov/cedselementdetails.aspx?termid=26710</v>
      </c>
    </row>
    <row r="1415" spans="1:13" ht="129.6" x14ac:dyDescent="0.3">
      <c r="A1415" s="16" t="s">
        <v>12817</v>
      </c>
      <c r="B1415" s="16" t="s">
        <v>12818</v>
      </c>
      <c r="C1415" s="16" t="s">
        <v>12915</v>
      </c>
      <c r="D1415" s="16" t="s">
        <v>12887</v>
      </c>
      <c r="E1415" s="16" t="s">
        <v>155</v>
      </c>
      <c r="F1415" s="16" t="s">
        <v>2</v>
      </c>
      <c r="G1415" s="16" t="s">
        <v>12636</v>
      </c>
      <c r="H1415" s="16"/>
      <c r="I1415" s="19" t="s">
        <v>12819</v>
      </c>
      <c r="J1415" s="16"/>
      <c r="K1415" s="16" t="s">
        <v>12820</v>
      </c>
      <c r="L1415" s="16"/>
      <c r="M1415" s="16" t="str">
        <f>HYPERLINK("https://ceds.ed.gov/cedselementdetails.aspx?termid=28141")</f>
        <v>https://ceds.ed.gov/cedselementdetails.aspx?termid=28141</v>
      </c>
    </row>
    <row r="1416" spans="1:13" ht="57.6" x14ac:dyDescent="0.3">
      <c r="A1416" s="16" t="s">
        <v>5312</v>
      </c>
      <c r="B1416" s="16" t="s">
        <v>5313</v>
      </c>
      <c r="C1416" s="16" t="s">
        <v>32</v>
      </c>
      <c r="D1416" s="16" t="s">
        <v>8090</v>
      </c>
      <c r="E1416" s="16"/>
      <c r="F1416" s="16" t="s">
        <v>106</v>
      </c>
      <c r="G1416" s="16"/>
      <c r="H1416" s="16" t="s">
        <v>131</v>
      </c>
      <c r="I1416" s="19" t="s">
        <v>5314</v>
      </c>
      <c r="J1416" s="16"/>
      <c r="K1416" s="16" t="s">
        <v>5315</v>
      </c>
      <c r="L1416" s="16"/>
      <c r="M1416" s="16" t="str">
        <f>HYPERLINK("https://ceds.ed.gov/cedselementdetails.aspx?termid=27593")</f>
        <v>https://ceds.ed.gov/cedselementdetails.aspx?termid=27593</v>
      </c>
    </row>
    <row r="1417" spans="1:13" ht="57.6" x14ac:dyDescent="0.3">
      <c r="A1417" s="16" t="s">
        <v>5316</v>
      </c>
      <c r="B1417" s="16" t="s">
        <v>5317</v>
      </c>
      <c r="C1417" s="16" t="s">
        <v>32</v>
      </c>
      <c r="D1417" s="16" t="s">
        <v>8090</v>
      </c>
      <c r="E1417" s="16"/>
      <c r="F1417" s="16" t="s">
        <v>106</v>
      </c>
      <c r="G1417" s="16"/>
      <c r="H1417" s="16"/>
      <c r="I1417" s="19" t="s">
        <v>5318</v>
      </c>
      <c r="J1417" s="16"/>
      <c r="K1417" s="16" t="s">
        <v>5319</v>
      </c>
      <c r="L1417" s="16"/>
      <c r="M1417" s="16" t="str">
        <f>HYPERLINK("https://ceds.ed.gov/cedselementdetails.aspx?termid=27594")</f>
        <v>https://ceds.ed.gov/cedselementdetails.aspx?termid=27594</v>
      </c>
    </row>
    <row r="1418" spans="1:13" ht="43.2" x14ac:dyDescent="0.3">
      <c r="A1418" s="16" t="s">
        <v>5320</v>
      </c>
      <c r="B1418" s="16" t="s">
        <v>5321</v>
      </c>
      <c r="C1418" s="16" t="s">
        <v>8719</v>
      </c>
      <c r="D1418" s="16" t="s">
        <v>8059</v>
      </c>
      <c r="E1418" s="16"/>
      <c r="F1418" s="16" t="s">
        <v>145</v>
      </c>
      <c r="G1418" s="16"/>
      <c r="H1418" s="16"/>
      <c r="I1418" s="19" t="s">
        <v>5322</v>
      </c>
      <c r="J1418" s="16"/>
      <c r="K1418" s="16" t="s">
        <v>5323</v>
      </c>
      <c r="L1418" s="16"/>
      <c r="M1418" s="16" t="str">
        <f>HYPERLINK("https://ceds.ed.gov/cedselementdetails.aspx?termid=27482")</f>
        <v>https://ceds.ed.gov/cedselementdetails.aspx?termid=27482</v>
      </c>
    </row>
    <row r="1419" spans="1:13" ht="129.6" x14ac:dyDescent="0.3">
      <c r="A1419" s="16" t="s">
        <v>12821</v>
      </c>
      <c r="B1419" s="16" t="s">
        <v>12822</v>
      </c>
      <c r="C1419" s="16" t="s">
        <v>12916</v>
      </c>
      <c r="D1419" s="16" t="s">
        <v>2479</v>
      </c>
      <c r="E1419" s="16" t="s">
        <v>155</v>
      </c>
      <c r="F1419" s="16" t="s">
        <v>2</v>
      </c>
      <c r="G1419" s="16" t="s">
        <v>12636</v>
      </c>
      <c r="H1419" s="16" t="s">
        <v>12823</v>
      </c>
      <c r="I1419" s="19" t="s">
        <v>12824</v>
      </c>
      <c r="J1419" s="16"/>
      <c r="K1419" s="16" t="s">
        <v>12825</v>
      </c>
      <c r="L1419" s="16"/>
      <c r="M1419" s="16" t="str">
        <f>HYPERLINK("https://ceds.ed.gov/cedselementdetails.aspx?termid=28122")</f>
        <v>https://ceds.ed.gov/cedselementdetails.aspx?termid=28122</v>
      </c>
    </row>
    <row r="1420" spans="1:13" ht="100.8" x14ac:dyDescent="0.3">
      <c r="A1420" s="16" t="s">
        <v>5324</v>
      </c>
      <c r="B1420" s="16" t="s">
        <v>5325</v>
      </c>
      <c r="C1420" s="16" t="s">
        <v>32</v>
      </c>
      <c r="D1420" s="16" t="s">
        <v>5298</v>
      </c>
      <c r="E1420" s="16"/>
      <c r="F1420" s="16" t="s">
        <v>2500</v>
      </c>
      <c r="G1420" s="16"/>
      <c r="H1420" s="16"/>
      <c r="I1420" s="19" t="s">
        <v>5326</v>
      </c>
      <c r="J1420" s="16"/>
      <c r="K1420" s="16" t="s">
        <v>5327</v>
      </c>
      <c r="L1420" s="16" t="s">
        <v>64</v>
      </c>
      <c r="M1420" s="16" t="str">
        <f>HYPERLINK("https://ceds.ed.gov/cedselementdetails.aspx?termid=26183")</f>
        <v>https://ceds.ed.gov/cedselementdetails.aspx?termid=26183</v>
      </c>
    </row>
    <row r="1421" spans="1:13" ht="409.6" x14ac:dyDescent="0.3">
      <c r="A1421" s="16" t="s">
        <v>5328</v>
      </c>
      <c r="B1421" s="16" t="s">
        <v>5329</v>
      </c>
      <c r="C1421" s="16" t="s">
        <v>32</v>
      </c>
      <c r="D1421" s="16" t="s">
        <v>8720</v>
      </c>
      <c r="E1421" s="16"/>
      <c r="F1421" s="16" t="s">
        <v>7426</v>
      </c>
      <c r="G1421" s="16"/>
      <c r="H1421" s="16" t="s">
        <v>8053</v>
      </c>
      <c r="I1421" s="19" t="s">
        <v>5330</v>
      </c>
      <c r="J1421" s="16"/>
      <c r="K1421" s="16" t="s">
        <v>5331</v>
      </c>
      <c r="L1421" s="16" t="s">
        <v>3994</v>
      </c>
      <c r="M1421" s="16" t="str">
        <f>HYPERLINK("https://ceds.ed.gov/cedselementdetails.aspx?termid=26184")</f>
        <v>https://ceds.ed.gov/cedselementdetails.aspx?termid=26184</v>
      </c>
    </row>
    <row r="1422" spans="1:13" ht="72" x14ac:dyDescent="0.3">
      <c r="A1422" s="16" t="s">
        <v>5332</v>
      </c>
      <c r="B1422" s="16" t="s">
        <v>5333</v>
      </c>
      <c r="C1422" s="16" t="s">
        <v>22</v>
      </c>
      <c r="D1422" s="16" t="s">
        <v>2437</v>
      </c>
      <c r="E1422" s="16"/>
      <c r="F1422" s="16"/>
      <c r="G1422" s="16"/>
      <c r="H1422" s="16"/>
      <c r="I1422" s="19" t="s">
        <v>5334</v>
      </c>
      <c r="J1422" s="16" t="s">
        <v>5335</v>
      </c>
      <c r="K1422" s="16" t="s">
        <v>5336</v>
      </c>
      <c r="L1422" s="16" t="s">
        <v>214</v>
      </c>
      <c r="M1422" s="16" t="str">
        <f>HYPERLINK("https://ceds.ed.gov/cedselementdetails.aspx?termid=26555")</f>
        <v>https://ceds.ed.gov/cedselementdetails.aspx?termid=26555</v>
      </c>
    </row>
    <row r="1423" spans="1:13" ht="115.2" x14ac:dyDescent="0.3">
      <c r="A1423" s="16" t="s">
        <v>5337</v>
      </c>
      <c r="B1423" s="16" t="s">
        <v>5338</v>
      </c>
      <c r="C1423" s="16" t="s">
        <v>32</v>
      </c>
      <c r="D1423" s="16" t="s">
        <v>2437</v>
      </c>
      <c r="E1423" s="16"/>
      <c r="F1423" s="16" t="s">
        <v>106</v>
      </c>
      <c r="G1423" s="16"/>
      <c r="H1423" s="16"/>
      <c r="I1423" s="19" t="s">
        <v>5339</v>
      </c>
      <c r="J1423" s="16" t="s">
        <v>5340</v>
      </c>
      <c r="K1423" s="16" t="s">
        <v>5341</v>
      </c>
      <c r="L1423" s="16" t="s">
        <v>1516</v>
      </c>
      <c r="M1423" s="16" t="str">
        <f>HYPERLINK("https://ceds.ed.gov/cedselementdetails.aspx?termid=26420")</f>
        <v>https://ceds.ed.gov/cedselementdetails.aspx?termid=26420</v>
      </c>
    </row>
    <row r="1424" spans="1:13" ht="129.6" x14ac:dyDescent="0.3">
      <c r="A1424" s="16" t="s">
        <v>5342</v>
      </c>
      <c r="B1424" s="16" t="s">
        <v>5343</v>
      </c>
      <c r="C1424" s="16" t="s">
        <v>8721</v>
      </c>
      <c r="D1424" s="16" t="s">
        <v>2437</v>
      </c>
      <c r="E1424" s="16"/>
      <c r="F1424" s="16"/>
      <c r="G1424" s="16"/>
      <c r="H1424" s="16"/>
      <c r="I1424" s="19" t="s">
        <v>5344</v>
      </c>
      <c r="J1424" s="16" t="s">
        <v>5345</v>
      </c>
      <c r="K1424" s="16" t="s">
        <v>5346</v>
      </c>
      <c r="L1424" s="16" t="s">
        <v>1516</v>
      </c>
      <c r="M1424" s="16" t="str">
        <f>HYPERLINK("https://ceds.ed.gov/cedselementdetails.aspx?termid=26427")</f>
        <v>https://ceds.ed.gov/cedselementdetails.aspx?termid=26427</v>
      </c>
    </row>
    <row r="1425" spans="1:13" ht="43.2" x14ac:dyDescent="0.3">
      <c r="A1425" s="16" t="s">
        <v>5347</v>
      </c>
      <c r="B1425" s="16" t="s">
        <v>5348</v>
      </c>
      <c r="C1425" s="16" t="s">
        <v>22</v>
      </c>
      <c r="D1425" s="16" t="s">
        <v>2437</v>
      </c>
      <c r="E1425" s="16"/>
      <c r="F1425" s="16"/>
      <c r="G1425" s="16"/>
      <c r="H1425" s="16"/>
      <c r="I1425" s="19" t="s">
        <v>5349</v>
      </c>
      <c r="J1425" s="16" t="s">
        <v>5350</v>
      </c>
      <c r="K1425" s="16" t="s">
        <v>5351</v>
      </c>
      <c r="L1425" s="16" t="s">
        <v>214</v>
      </c>
      <c r="M1425" s="16" t="str">
        <f>HYPERLINK("https://ceds.ed.gov/cedselementdetails.aspx?termid=26185")</f>
        <v>https://ceds.ed.gov/cedselementdetails.aspx?termid=26185</v>
      </c>
    </row>
    <row r="1426" spans="1:13" ht="57.6" x14ac:dyDescent="0.3">
      <c r="A1426" s="16" t="s">
        <v>5352</v>
      </c>
      <c r="B1426" s="16" t="s">
        <v>5353</v>
      </c>
      <c r="C1426" s="16" t="s">
        <v>22</v>
      </c>
      <c r="D1426" s="16" t="s">
        <v>8554</v>
      </c>
      <c r="E1426" s="16"/>
      <c r="F1426" s="16"/>
      <c r="G1426" s="16"/>
      <c r="H1426" s="16"/>
      <c r="I1426" s="19" t="s">
        <v>5354</v>
      </c>
      <c r="J1426" s="16" t="s">
        <v>5355</v>
      </c>
      <c r="K1426" s="16" t="s">
        <v>5356</v>
      </c>
      <c r="L1426" s="16" t="s">
        <v>214</v>
      </c>
      <c r="M1426" s="16" t="str">
        <f>HYPERLINK("https://ceds.ed.gov/cedselementdetails.aspx?termid=26534")</f>
        <v>https://ceds.ed.gov/cedselementdetails.aspx?termid=26534</v>
      </c>
    </row>
    <row r="1427" spans="1:13" ht="57.6" x14ac:dyDescent="0.3">
      <c r="A1427" s="16" t="s">
        <v>5357</v>
      </c>
      <c r="B1427" s="16" t="s">
        <v>5358</v>
      </c>
      <c r="C1427" s="16" t="s">
        <v>8722</v>
      </c>
      <c r="D1427" s="16" t="s">
        <v>2437</v>
      </c>
      <c r="E1427" s="16"/>
      <c r="F1427" s="16"/>
      <c r="G1427" s="16"/>
      <c r="H1427" s="16"/>
      <c r="I1427" s="19" t="s">
        <v>5359</v>
      </c>
      <c r="J1427" s="16" t="s">
        <v>5360</v>
      </c>
      <c r="K1427" s="16" t="s">
        <v>5361</v>
      </c>
      <c r="L1427" s="16" t="s">
        <v>1516</v>
      </c>
      <c r="M1427" s="16" t="str">
        <f>HYPERLINK("https://ceds.ed.gov/cedselementdetails.aspx?termid=26430")</f>
        <v>https://ceds.ed.gov/cedselementdetails.aspx?termid=26430</v>
      </c>
    </row>
    <row r="1428" spans="1:13" ht="115.2" x14ac:dyDescent="0.3">
      <c r="A1428" s="16" t="s">
        <v>5362</v>
      </c>
      <c r="B1428" s="16" t="s">
        <v>5363</v>
      </c>
      <c r="C1428" s="16" t="s">
        <v>8723</v>
      </c>
      <c r="D1428" s="16" t="s">
        <v>4877</v>
      </c>
      <c r="E1428" s="16"/>
      <c r="F1428" s="16"/>
      <c r="G1428" s="16"/>
      <c r="H1428" s="16"/>
      <c r="I1428" s="19" t="s">
        <v>5364</v>
      </c>
      <c r="J1428" s="16" t="s">
        <v>5365</v>
      </c>
      <c r="K1428" s="16" t="s">
        <v>5366</v>
      </c>
      <c r="L1428" s="16" t="s">
        <v>202</v>
      </c>
      <c r="M1428" s="16" t="str">
        <f>HYPERLINK("https://ceds.ed.gov/cedselementdetails.aspx?termid=26453")</f>
        <v>https://ceds.ed.gov/cedselementdetails.aspx?termid=26453</v>
      </c>
    </row>
    <row r="1429" spans="1:13" ht="144" x14ac:dyDescent="0.3">
      <c r="A1429" s="16" t="s">
        <v>5367</v>
      </c>
      <c r="B1429" s="16" t="s">
        <v>5368</v>
      </c>
      <c r="C1429" s="16" t="s">
        <v>8724</v>
      </c>
      <c r="D1429" s="16" t="s">
        <v>2437</v>
      </c>
      <c r="E1429" s="16"/>
      <c r="F1429" s="16"/>
      <c r="G1429" s="16"/>
      <c r="H1429" s="16"/>
      <c r="I1429" s="19" t="s">
        <v>5369</v>
      </c>
      <c r="J1429" s="16" t="s">
        <v>5370</v>
      </c>
      <c r="K1429" s="16" t="s">
        <v>5371</v>
      </c>
      <c r="L1429" s="16" t="s">
        <v>214</v>
      </c>
      <c r="M1429" s="16" t="str">
        <f>HYPERLINK("https://ceds.ed.gov/cedselementdetails.aspx?termid=26186")</f>
        <v>https://ceds.ed.gov/cedselementdetails.aspx?termid=26186</v>
      </c>
    </row>
    <row r="1430" spans="1:13" ht="57.6" x14ac:dyDescent="0.3">
      <c r="A1430" s="16" t="s">
        <v>5372</v>
      </c>
      <c r="B1430" s="16" t="s">
        <v>5373</v>
      </c>
      <c r="C1430" s="16" t="s">
        <v>8725</v>
      </c>
      <c r="D1430" s="16" t="s">
        <v>4877</v>
      </c>
      <c r="E1430" s="16"/>
      <c r="F1430" s="16"/>
      <c r="G1430" s="16"/>
      <c r="H1430" s="16"/>
      <c r="I1430" s="19" t="s">
        <v>5374</v>
      </c>
      <c r="J1430" s="16" t="s">
        <v>5375</v>
      </c>
      <c r="K1430" s="16" t="s">
        <v>5376</v>
      </c>
      <c r="L1430" s="16" t="s">
        <v>214</v>
      </c>
      <c r="M1430" s="16" t="str">
        <f>HYPERLINK("https://ceds.ed.gov/cedselementdetails.aspx?termid=26187")</f>
        <v>https://ceds.ed.gov/cedselementdetails.aspx?termid=26187</v>
      </c>
    </row>
    <row r="1431" spans="1:13" ht="115.2" x14ac:dyDescent="0.3">
      <c r="A1431" s="16" t="s">
        <v>5377</v>
      </c>
      <c r="B1431" s="16" t="s">
        <v>5378</v>
      </c>
      <c r="C1431" s="16" t="s">
        <v>8726</v>
      </c>
      <c r="D1431" s="16" t="s">
        <v>4862</v>
      </c>
      <c r="E1431" s="16"/>
      <c r="F1431" s="16"/>
      <c r="G1431" s="16"/>
      <c r="H1431" s="16" t="s">
        <v>5379</v>
      </c>
      <c r="I1431" s="19" t="s">
        <v>5380</v>
      </c>
      <c r="J1431" s="16" t="s">
        <v>5381</v>
      </c>
      <c r="K1431" s="16" t="s">
        <v>5382</v>
      </c>
      <c r="L1431" s="16" t="s">
        <v>214</v>
      </c>
      <c r="M1431" s="16" t="str">
        <f>HYPERLINK("https://ceds.ed.gov/cedselementdetails.aspx?termid=26188")</f>
        <v>https://ceds.ed.gov/cedselementdetails.aspx?termid=26188</v>
      </c>
    </row>
    <row r="1432" spans="1:13" ht="100.8" x14ac:dyDescent="0.3">
      <c r="A1432" s="16" t="s">
        <v>5383</v>
      </c>
      <c r="B1432" s="16" t="s">
        <v>5384</v>
      </c>
      <c r="C1432" s="16" t="s">
        <v>22</v>
      </c>
      <c r="D1432" s="16" t="s">
        <v>2437</v>
      </c>
      <c r="E1432" s="16"/>
      <c r="F1432" s="16"/>
      <c r="G1432" s="16"/>
      <c r="H1432" s="16"/>
      <c r="I1432" s="19" t="s">
        <v>5385</v>
      </c>
      <c r="J1432" s="16"/>
      <c r="K1432" s="16" t="s">
        <v>5386</v>
      </c>
      <c r="L1432" s="16" t="s">
        <v>214</v>
      </c>
      <c r="M1432" s="16" t="str">
        <f>HYPERLINK("https://ceds.ed.gov/cedselementdetails.aspx?termid=26554")</f>
        <v>https://ceds.ed.gov/cedselementdetails.aspx?termid=26554</v>
      </c>
    </row>
    <row r="1433" spans="1:13" ht="230.4" x14ac:dyDescent="0.3">
      <c r="A1433" s="16" t="s">
        <v>5387</v>
      </c>
      <c r="B1433" s="16" t="s">
        <v>5388</v>
      </c>
      <c r="C1433" s="16" t="s">
        <v>22</v>
      </c>
      <c r="D1433" s="16" t="s">
        <v>8727</v>
      </c>
      <c r="E1433" s="16"/>
      <c r="F1433" s="16"/>
      <c r="G1433" s="16"/>
      <c r="H1433" s="16"/>
      <c r="I1433" s="19" t="s">
        <v>5389</v>
      </c>
      <c r="J1433" s="16"/>
      <c r="K1433" s="16" t="s">
        <v>5390</v>
      </c>
      <c r="L1433" s="16" t="s">
        <v>1863</v>
      </c>
      <c r="M1433" s="16" t="str">
        <f>HYPERLINK("https://ceds.ed.gov/cedselementdetails.aspx?termid=26189")</f>
        <v>https://ceds.ed.gov/cedselementdetails.aspx?termid=26189</v>
      </c>
    </row>
    <row r="1434" spans="1:13" ht="172.8" x14ac:dyDescent="0.3">
      <c r="A1434" s="16" t="s">
        <v>5391</v>
      </c>
      <c r="B1434" s="16" t="s">
        <v>8091</v>
      </c>
      <c r="C1434" s="16" t="s">
        <v>32</v>
      </c>
      <c r="D1434" s="16" t="s">
        <v>2437</v>
      </c>
      <c r="E1434" s="16"/>
      <c r="F1434" s="16" t="s">
        <v>106</v>
      </c>
      <c r="G1434" s="16"/>
      <c r="H1434" s="16"/>
      <c r="I1434" s="19" t="s">
        <v>5392</v>
      </c>
      <c r="J1434" s="16"/>
      <c r="K1434" s="16" t="s">
        <v>5393</v>
      </c>
      <c r="L1434" s="16" t="s">
        <v>1516</v>
      </c>
      <c r="M1434" s="16" t="str">
        <f>HYPERLINK("https://ceds.ed.gov/cedselementdetails.aspx?termid=26422")</f>
        <v>https://ceds.ed.gov/cedselementdetails.aspx?termid=26422</v>
      </c>
    </row>
    <row r="1435" spans="1:13" ht="302.39999999999998" x14ac:dyDescent="0.3">
      <c r="A1435" s="16" t="s">
        <v>5395</v>
      </c>
      <c r="B1435" s="16" t="s">
        <v>8092</v>
      </c>
      <c r="C1435" s="16" t="s">
        <v>8728</v>
      </c>
      <c r="D1435" s="16" t="s">
        <v>8729</v>
      </c>
      <c r="E1435" s="16"/>
      <c r="F1435" s="16"/>
      <c r="G1435" s="16"/>
      <c r="H1435" s="16"/>
      <c r="I1435" s="19" t="s">
        <v>5396</v>
      </c>
      <c r="J1435" s="16"/>
      <c r="K1435" s="16" t="s">
        <v>5397</v>
      </c>
      <c r="L1435" s="16"/>
      <c r="M1435" s="16" t="str">
        <f>HYPERLINK("https://ceds.ed.gov/cedselementdetails.aspx?termid=27621")</f>
        <v>https://ceds.ed.gov/cedselementdetails.aspx?termid=27621</v>
      </c>
    </row>
    <row r="1436" spans="1:13" ht="302.39999999999998" x14ac:dyDescent="0.3">
      <c r="A1436" s="16" t="s">
        <v>9087</v>
      </c>
      <c r="B1436" s="16" t="s">
        <v>9088</v>
      </c>
      <c r="C1436" s="16" t="s">
        <v>9298</v>
      </c>
      <c r="D1436" s="16" t="s">
        <v>13019</v>
      </c>
      <c r="E1436" s="16"/>
      <c r="F1436" s="16" t="s">
        <v>2</v>
      </c>
      <c r="G1436" s="16"/>
      <c r="H1436" s="16" t="s">
        <v>9089</v>
      </c>
      <c r="I1436" s="19" t="s">
        <v>9090</v>
      </c>
      <c r="J1436" s="16"/>
      <c r="K1436" s="16" t="s">
        <v>9091</v>
      </c>
      <c r="L1436" s="16"/>
      <c r="M1436" s="16" t="str">
        <f>HYPERLINK("https://ceds.ed.gov/cedselementdetails.aspx?termid=28047")</f>
        <v>https://ceds.ed.gov/cedselementdetails.aspx?termid=28047</v>
      </c>
    </row>
    <row r="1437" spans="1:13" ht="100.8" x14ac:dyDescent="0.3">
      <c r="A1437" s="16" t="s">
        <v>5398</v>
      </c>
      <c r="B1437" s="16" t="s">
        <v>5399</v>
      </c>
      <c r="C1437" s="16" t="s">
        <v>8245</v>
      </c>
      <c r="D1437" s="16" t="s">
        <v>13052</v>
      </c>
      <c r="E1437" s="16"/>
      <c r="F1437" s="16"/>
      <c r="G1437" s="16"/>
      <c r="H1437" s="16"/>
      <c r="I1437" s="19" t="s">
        <v>5400</v>
      </c>
      <c r="J1437" s="16"/>
      <c r="K1437" s="16" t="s">
        <v>5401</v>
      </c>
      <c r="L1437" s="16"/>
      <c r="M1437" s="16" t="str">
        <f>HYPERLINK("https://ceds.ed.gov/cedselementdetails.aspx?termid=27555")</f>
        <v>https://ceds.ed.gov/cedselementdetails.aspx?termid=27555</v>
      </c>
    </row>
    <row r="1438" spans="1:13" ht="409.6" x14ac:dyDescent="0.3">
      <c r="A1438" s="16" t="s">
        <v>9092</v>
      </c>
      <c r="B1438" s="16" t="s">
        <v>9093</v>
      </c>
      <c r="C1438" s="16" t="s">
        <v>9299</v>
      </c>
      <c r="D1438" s="16" t="s">
        <v>13019</v>
      </c>
      <c r="E1438" s="16"/>
      <c r="F1438" s="16" t="s">
        <v>2</v>
      </c>
      <c r="G1438" s="16"/>
      <c r="H1438" s="16" t="s">
        <v>9094</v>
      </c>
      <c r="I1438" s="19" t="s">
        <v>9095</v>
      </c>
      <c r="J1438" s="16"/>
      <c r="K1438" s="16" t="s">
        <v>9096</v>
      </c>
      <c r="L1438" s="16"/>
      <c r="M1438" s="16" t="str">
        <f>HYPERLINK("https://ceds.ed.gov/cedselementdetails.aspx?termid=28048")</f>
        <v>https://ceds.ed.gov/cedselementdetails.aspx?termid=28048</v>
      </c>
    </row>
    <row r="1439" spans="1:13" ht="302.39999999999998" x14ac:dyDescent="0.3">
      <c r="A1439" s="16" t="s">
        <v>9097</v>
      </c>
      <c r="B1439" s="16" t="s">
        <v>9098</v>
      </c>
      <c r="C1439" s="16" t="s">
        <v>32</v>
      </c>
      <c r="D1439" s="16" t="s">
        <v>13019</v>
      </c>
      <c r="E1439" s="16"/>
      <c r="F1439" s="16" t="s">
        <v>120</v>
      </c>
      <c r="G1439" s="16"/>
      <c r="H1439" s="16" t="s">
        <v>9089</v>
      </c>
      <c r="I1439" s="19" t="s">
        <v>9099</v>
      </c>
      <c r="J1439" s="16"/>
      <c r="K1439" s="16" t="s">
        <v>9100</v>
      </c>
      <c r="L1439" s="16"/>
      <c r="M1439" s="16" t="str">
        <f>HYPERLINK("https://ceds.ed.gov/cedselementdetails.aspx?termid=28049")</f>
        <v>https://ceds.ed.gov/cedselementdetails.aspx?termid=28049</v>
      </c>
    </row>
    <row r="1440" spans="1:13" ht="302.39999999999998" x14ac:dyDescent="0.3">
      <c r="A1440" s="16" t="s">
        <v>9101</v>
      </c>
      <c r="B1440" s="16" t="s">
        <v>9102</v>
      </c>
      <c r="C1440" s="16" t="s">
        <v>32</v>
      </c>
      <c r="D1440" s="16" t="s">
        <v>13019</v>
      </c>
      <c r="E1440" s="16"/>
      <c r="F1440" s="16" t="s">
        <v>9103</v>
      </c>
      <c r="G1440" s="16"/>
      <c r="H1440" s="16" t="s">
        <v>9089</v>
      </c>
      <c r="I1440" s="19" t="s">
        <v>9104</v>
      </c>
      <c r="J1440" s="16"/>
      <c r="K1440" s="16" t="s">
        <v>9105</v>
      </c>
      <c r="L1440" s="16"/>
      <c r="M1440" s="16" t="str">
        <f>HYPERLINK("https://ceds.ed.gov/cedselementdetails.aspx?termid=28050")</f>
        <v>https://ceds.ed.gov/cedselementdetails.aspx?termid=28050</v>
      </c>
    </row>
    <row r="1441" spans="1:13" ht="302.39999999999998" x14ac:dyDescent="0.3">
      <c r="A1441" s="16" t="s">
        <v>9106</v>
      </c>
      <c r="B1441" s="16" t="s">
        <v>9107</v>
      </c>
      <c r="C1441" s="16" t="s">
        <v>32</v>
      </c>
      <c r="D1441" s="16" t="s">
        <v>13019</v>
      </c>
      <c r="E1441" s="16"/>
      <c r="F1441" s="16" t="s">
        <v>9108</v>
      </c>
      <c r="G1441" s="16"/>
      <c r="H1441" s="16" t="s">
        <v>9089</v>
      </c>
      <c r="I1441" s="19" t="s">
        <v>9109</v>
      </c>
      <c r="J1441" s="16"/>
      <c r="K1441" s="16" t="s">
        <v>9110</v>
      </c>
      <c r="L1441" s="16"/>
      <c r="M1441" s="16" t="str">
        <f>HYPERLINK("https://ceds.ed.gov/cedselementdetails.aspx?termid=28051")</f>
        <v>https://ceds.ed.gov/cedselementdetails.aspx?termid=28051</v>
      </c>
    </row>
    <row r="1442" spans="1:13" ht="302.39999999999998" x14ac:dyDescent="0.3">
      <c r="A1442" s="16" t="s">
        <v>9111</v>
      </c>
      <c r="B1442" s="16" t="s">
        <v>9112</v>
      </c>
      <c r="C1442" s="16" t="s">
        <v>32</v>
      </c>
      <c r="D1442" s="16" t="s">
        <v>13019</v>
      </c>
      <c r="E1442" s="16"/>
      <c r="F1442" s="16" t="s">
        <v>9103</v>
      </c>
      <c r="G1442" s="16"/>
      <c r="H1442" s="16" t="s">
        <v>9089</v>
      </c>
      <c r="I1442" s="19" t="s">
        <v>9113</v>
      </c>
      <c r="J1442" s="16"/>
      <c r="K1442" s="16" t="s">
        <v>9114</v>
      </c>
      <c r="L1442" s="16"/>
      <c r="M1442" s="16" t="str">
        <f>HYPERLINK("https://ceds.ed.gov/cedselementdetails.aspx?termid=28052")</f>
        <v>https://ceds.ed.gov/cedselementdetails.aspx?termid=28052</v>
      </c>
    </row>
    <row r="1443" spans="1:13" ht="302.39999999999998" x14ac:dyDescent="0.3">
      <c r="A1443" s="16" t="s">
        <v>9115</v>
      </c>
      <c r="B1443" s="16" t="s">
        <v>9116</v>
      </c>
      <c r="C1443" s="16" t="s">
        <v>32</v>
      </c>
      <c r="D1443" s="16" t="s">
        <v>13019</v>
      </c>
      <c r="E1443" s="16"/>
      <c r="F1443" s="16" t="s">
        <v>34</v>
      </c>
      <c r="G1443" s="16"/>
      <c r="H1443" s="16" t="s">
        <v>9089</v>
      </c>
      <c r="I1443" s="19" t="s">
        <v>9117</v>
      </c>
      <c r="J1443" s="16"/>
      <c r="K1443" s="16" t="s">
        <v>9118</v>
      </c>
      <c r="L1443" s="16"/>
      <c r="M1443" s="16" t="str">
        <f>HYPERLINK("https://ceds.ed.gov/cedselementdetails.aspx?termid=28053")</f>
        <v>https://ceds.ed.gov/cedselementdetails.aspx?termid=28053</v>
      </c>
    </row>
    <row r="1444" spans="1:13" ht="302.39999999999998" x14ac:dyDescent="0.3">
      <c r="A1444" s="16" t="s">
        <v>9119</v>
      </c>
      <c r="B1444" s="16" t="s">
        <v>9120</v>
      </c>
      <c r="C1444" s="16" t="s">
        <v>32</v>
      </c>
      <c r="D1444" s="16" t="s">
        <v>13019</v>
      </c>
      <c r="E1444" s="16"/>
      <c r="F1444" s="16" t="s">
        <v>9103</v>
      </c>
      <c r="G1444" s="16"/>
      <c r="H1444" s="16" t="s">
        <v>9089</v>
      </c>
      <c r="I1444" s="19" t="s">
        <v>9121</v>
      </c>
      <c r="J1444" s="16"/>
      <c r="K1444" s="16" t="s">
        <v>9122</v>
      </c>
      <c r="L1444" s="16"/>
      <c r="M1444" s="16" t="str">
        <f>HYPERLINK("https://ceds.ed.gov/cedselementdetails.aspx?termid=28054")</f>
        <v>https://ceds.ed.gov/cedselementdetails.aspx?termid=28054</v>
      </c>
    </row>
    <row r="1445" spans="1:13" ht="302.39999999999998" x14ac:dyDescent="0.3">
      <c r="A1445" s="16" t="s">
        <v>9123</v>
      </c>
      <c r="B1445" s="16" t="s">
        <v>9124</v>
      </c>
      <c r="C1445" s="16" t="s">
        <v>32</v>
      </c>
      <c r="D1445" s="16" t="s">
        <v>13019</v>
      </c>
      <c r="E1445" s="16"/>
      <c r="F1445" s="16" t="s">
        <v>747</v>
      </c>
      <c r="G1445" s="16"/>
      <c r="H1445" s="16" t="s">
        <v>9089</v>
      </c>
      <c r="I1445" s="19" t="s">
        <v>9125</v>
      </c>
      <c r="J1445" s="16"/>
      <c r="K1445" s="16" t="s">
        <v>9126</v>
      </c>
      <c r="L1445" s="16"/>
      <c r="M1445" s="16" t="str">
        <f>HYPERLINK("https://ceds.ed.gov/cedselementdetails.aspx?termid=28055")</f>
        <v>https://ceds.ed.gov/cedselementdetails.aspx?termid=28055</v>
      </c>
    </row>
    <row r="1446" spans="1:13" ht="302.39999999999998" x14ac:dyDescent="0.3">
      <c r="A1446" s="16" t="s">
        <v>9127</v>
      </c>
      <c r="B1446" s="16" t="s">
        <v>9128</v>
      </c>
      <c r="C1446" s="16" t="s">
        <v>32</v>
      </c>
      <c r="D1446" s="16" t="s">
        <v>13019</v>
      </c>
      <c r="E1446" s="16"/>
      <c r="F1446" s="16" t="s">
        <v>34</v>
      </c>
      <c r="G1446" s="16"/>
      <c r="H1446" s="16" t="s">
        <v>9089</v>
      </c>
      <c r="I1446" s="19" t="s">
        <v>9129</v>
      </c>
      <c r="J1446" s="16"/>
      <c r="K1446" s="16" t="s">
        <v>9130</v>
      </c>
      <c r="L1446" s="16"/>
      <c r="M1446" s="16" t="str">
        <f>HYPERLINK("https://ceds.ed.gov/cedselementdetails.aspx?termid=28056")</f>
        <v>https://ceds.ed.gov/cedselementdetails.aspx?termid=28056</v>
      </c>
    </row>
    <row r="1447" spans="1:13" ht="302.39999999999998" x14ac:dyDescent="0.3">
      <c r="A1447" s="16" t="s">
        <v>9131</v>
      </c>
      <c r="B1447" s="16" t="s">
        <v>9132</v>
      </c>
      <c r="C1447" s="16" t="s">
        <v>9300</v>
      </c>
      <c r="D1447" s="16" t="s">
        <v>13019</v>
      </c>
      <c r="E1447" s="16"/>
      <c r="F1447" s="16" t="s">
        <v>2</v>
      </c>
      <c r="G1447" s="16"/>
      <c r="H1447" s="16" t="s">
        <v>9089</v>
      </c>
      <c r="I1447" s="19" t="s">
        <v>9133</v>
      </c>
      <c r="J1447" s="16"/>
      <c r="K1447" s="16" t="s">
        <v>9134</v>
      </c>
      <c r="L1447" s="16"/>
      <c r="M1447" s="16" t="str">
        <f>HYPERLINK("https://ceds.ed.gov/cedselementdetails.aspx?termid=28057")</f>
        <v>https://ceds.ed.gov/cedselementdetails.aspx?termid=28057</v>
      </c>
    </row>
    <row r="1448" spans="1:13" ht="302.39999999999998" x14ac:dyDescent="0.3">
      <c r="A1448" s="16" t="s">
        <v>9135</v>
      </c>
      <c r="B1448" s="16" t="s">
        <v>9136</v>
      </c>
      <c r="C1448" s="16" t="s">
        <v>9301</v>
      </c>
      <c r="D1448" s="16" t="s">
        <v>13019</v>
      </c>
      <c r="E1448" s="16"/>
      <c r="F1448" s="16" t="s">
        <v>2</v>
      </c>
      <c r="G1448" s="16"/>
      <c r="H1448" s="16" t="s">
        <v>9089</v>
      </c>
      <c r="I1448" s="19" t="s">
        <v>9137</v>
      </c>
      <c r="J1448" s="16"/>
      <c r="K1448" s="16" t="s">
        <v>9138</v>
      </c>
      <c r="L1448" s="16"/>
      <c r="M1448" s="16" t="str">
        <f>HYPERLINK("https://ceds.ed.gov/cedselementdetails.aspx?termid=28058")</f>
        <v>https://ceds.ed.gov/cedselementdetails.aspx?termid=28058</v>
      </c>
    </row>
    <row r="1449" spans="1:13" ht="302.39999999999998" x14ac:dyDescent="0.3">
      <c r="A1449" s="16" t="s">
        <v>9139</v>
      </c>
      <c r="B1449" s="16" t="s">
        <v>9140</v>
      </c>
      <c r="C1449" s="16" t="s">
        <v>32</v>
      </c>
      <c r="D1449" s="16" t="s">
        <v>13019</v>
      </c>
      <c r="E1449" s="16"/>
      <c r="F1449" s="16" t="s">
        <v>34</v>
      </c>
      <c r="G1449" s="16"/>
      <c r="H1449" s="16" t="s">
        <v>9089</v>
      </c>
      <c r="I1449" s="19" t="s">
        <v>9141</v>
      </c>
      <c r="J1449" s="16"/>
      <c r="K1449" s="16" t="s">
        <v>9142</v>
      </c>
      <c r="L1449" s="16"/>
      <c r="M1449" s="16" t="str">
        <f>HYPERLINK("https://ceds.ed.gov/cedselementdetails.aspx?termid=28059")</f>
        <v>https://ceds.ed.gov/cedselementdetails.aspx?termid=28059</v>
      </c>
    </row>
    <row r="1450" spans="1:13" ht="302.39999999999998" x14ac:dyDescent="0.3">
      <c r="A1450" s="16" t="s">
        <v>9143</v>
      </c>
      <c r="B1450" s="16" t="s">
        <v>9144</v>
      </c>
      <c r="C1450" s="16" t="s">
        <v>32</v>
      </c>
      <c r="D1450" s="16" t="s">
        <v>13019</v>
      </c>
      <c r="E1450" s="16"/>
      <c r="F1450" s="16" t="s">
        <v>120</v>
      </c>
      <c r="G1450" s="16"/>
      <c r="H1450" s="16" t="s">
        <v>9089</v>
      </c>
      <c r="I1450" s="19" t="s">
        <v>9145</v>
      </c>
      <c r="J1450" s="16"/>
      <c r="K1450" s="16" t="s">
        <v>9146</v>
      </c>
      <c r="L1450" s="16"/>
      <c r="M1450" s="16" t="str">
        <f>HYPERLINK("https://ceds.ed.gov/cedselementdetails.aspx?termid=28060")</f>
        <v>https://ceds.ed.gov/cedselementdetails.aspx?termid=28060</v>
      </c>
    </row>
    <row r="1451" spans="1:13" ht="302.39999999999998" x14ac:dyDescent="0.3">
      <c r="A1451" s="16" t="s">
        <v>9147</v>
      </c>
      <c r="B1451" s="16" t="s">
        <v>9148</v>
      </c>
      <c r="C1451" s="16" t="s">
        <v>9302</v>
      </c>
      <c r="D1451" s="16" t="s">
        <v>13019</v>
      </c>
      <c r="E1451" s="16"/>
      <c r="F1451" s="16" t="s">
        <v>2</v>
      </c>
      <c r="G1451" s="16"/>
      <c r="H1451" s="16" t="s">
        <v>9089</v>
      </c>
      <c r="I1451" s="19" t="s">
        <v>9149</v>
      </c>
      <c r="J1451" s="16"/>
      <c r="K1451" s="16" t="s">
        <v>9150</v>
      </c>
      <c r="L1451" s="16"/>
      <c r="M1451" s="16" t="str">
        <f>HYPERLINK("https://ceds.ed.gov/cedselementdetails.aspx?termid=28061")</f>
        <v>https://ceds.ed.gov/cedselementdetails.aspx?termid=28061</v>
      </c>
    </row>
    <row r="1452" spans="1:13" ht="172.8" x14ac:dyDescent="0.3">
      <c r="A1452" s="16" t="s">
        <v>5402</v>
      </c>
      <c r="B1452" s="16" t="s">
        <v>5403</v>
      </c>
      <c r="C1452" s="16" t="s">
        <v>22</v>
      </c>
      <c r="D1452" s="16" t="s">
        <v>3453</v>
      </c>
      <c r="E1452" s="16"/>
      <c r="F1452" s="16"/>
      <c r="G1452" s="16"/>
      <c r="H1452" s="16" t="s">
        <v>8093</v>
      </c>
      <c r="I1452" s="19" t="s">
        <v>5404</v>
      </c>
      <c r="J1452" s="16"/>
      <c r="K1452" s="16" t="s">
        <v>5405</v>
      </c>
      <c r="L1452" s="16"/>
      <c r="M1452" s="16" t="str">
        <f>HYPERLINK("https://ceds.ed.gov/cedselementdetails.aspx?termid=27381")</f>
        <v>https://ceds.ed.gov/cedselementdetails.aspx?termid=27381</v>
      </c>
    </row>
    <row r="1453" spans="1:13" ht="302.39999999999998" x14ac:dyDescent="0.3">
      <c r="A1453" s="16" t="s">
        <v>9151</v>
      </c>
      <c r="B1453" s="16" t="s">
        <v>9152</v>
      </c>
      <c r="C1453" s="16" t="s">
        <v>9303</v>
      </c>
      <c r="D1453" s="16" t="s">
        <v>13019</v>
      </c>
      <c r="E1453" s="16"/>
      <c r="F1453" s="16" t="s">
        <v>2</v>
      </c>
      <c r="G1453" s="16"/>
      <c r="H1453" s="16" t="s">
        <v>9089</v>
      </c>
      <c r="I1453" s="19" t="s">
        <v>9153</v>
      </c>
      <c r="J1453" s="16"/>
      <c r="K1453" s="16" t="s">
        <v>9154</v>
      </c>
      <c r="L1453" s="16"/>
      <c r="M1453" s="16" t="str">
        <f>HYPERLINK("https://ceds.ed.gov/cedselementdetails.aspx?termid=28062")</f>
        <v>https://ceds.ed.gov/cedselementdetails.aspx?termid=28062</v>
      </c>
    </row>
    <row r="1454" spans="1:13" ht="302.39999999999998" x14ac:dyDescent="0.3">
      <c r="A1454" s="16" t="s">
        <v>9155</v>
      </c>
      <c r="B1454" s="16" t="s">
        <v>9156</v>
      </c>
      <c r="C1454" s="16" t="s">
        <v>32</v>
      </c>
      <c r="D1454" s="16" t="s">
        <v>13019</v>
      </c>
      <c r="E1454" s="16"/>
      <c r="F1454" s="16" t="s">
        <v>120</v>
      </c>
      <c r="G1454" s="16"/>
      <c r="H1454" s="16" t="s">
        <v>9089</v>
      </c>
      <c r="I1454" s="19" t="s">
        <v>9157</v>
      </c>
      <c r="J1454" s="16"/>
      <c r="K1454" s="16" t="s">
        <v>9158</v>
      </c>
      <c r="L1454" s="16"/>
      <c r="M1454" s="16" t="str">
        <f>HYPERLINK("https://ceds.ed.gov/cedselementdetails.aspx?termid=28063")</f>
        <v>https://ceds.ed.gov/cedselementdetails.aspx?termid=28063</v>
      </c>
    </row>
    <row r="1455" spans="1:13" ht="302.39999999999998" x14ac:dyDescent="0.3">
      <c r="A1455" s="16" t="s">
        <v>9159</v>
      </c>
      <c r="B1455" s="16" t="s">
        <v>9160</v>
      </c>
      <c r="C1455" s="16" t="s">
        <v>32</v>
      </c>
      <c r="D1455" s="16" t="s">
        <v>13019</v>
      </c>
      <c r="E1455" s="16"/>
      <c r="F1455" s="16" t="s">
        <v>120</v>
      </c>
      <c r="G1455" s="16"/>
      <c r="H1455" s="16" t="s">
        <v>9089</v>
      </c>
      <c r="I1455" s="19" t="s">
        <v>9161</v>
      </c>
      <c r="J1455" s="16"/>
      <c r="K1455" s="16" t="s">
        <v>9162</v>
      </c>
      <c r="L1455" s="16"/>
      <c r="M1455" s="16" t="str">
        <f>HYPERLINK("https://ceds.ed.gov/cedselementdetails.aspx?termid=28064")</f>
        <v>https://ceds.ed.gov/cedselementdetails.aspx?termid=28064</v>
      </c>
    </row>
    <row r="1456" spans="1:13" ht="302.39999999999998" x14ac:dyDescent="0.3">
      <c r="A1456" s="16" t="s">
        <v>9163</v>
      </c>
      <c r="B1456" s="16" t="s">
        <v>9164</v>
      </c>
      <c r="C1456" s="16" t="s">
        <v>32</v>
      </c>
      <c r="D1456" s="16" t="s">
        <v>13019</v>
      </c>
      <c r="E1456" s="16"/>
      <c r="F1456" s="16" t="s">
        <v>34</v>
      </c>
      <c r="G1456" s="16"/>
      <c r="H1456" s="16" t="s">
        <v>9089</v>
      </c>
      <c r="I1456" s="19" t="s">
        <v>9165</v>
      </c>
      <c r="J1456" s="16"/>
      <c r="K1456" s="16" t="s">
        <v>9166</v>
      </c>
      <c r="L1456" s="16"/>
      <c r="M1456" s="16" t="str">
        <f>HYPERLINK("https://ceds.ed.gov/cedselementdetails.aspx?termid=28065")</f>
        <v>https://ceds.ed.gov/cedselementdetails.aspx?termid=28065</v>
      </c>
    </row>
    <row r="1457" spans="1:13" ht="302.39999999999998" x14ac:dyDescent="0.3">
      <c r="A1457" s="16" t="s">
        <v>9167</v>
      </c>
      <c r="B1457" s="16" t="s">
        <v>9168</v>
      </c>
      <c r="C1457" s="16" t="s">
        <v>32</v>
      </c>
      <c r="D1457" s="16" t="s">
        <v>13019</v>
      </c>
      <c r="E1457" s="16"/>
      <c r="F1457" s="16" t="s">
        <v>120</v>
      </c>
      <c r="G1457" s="16"/>
      <c r="H1457" s="16" t="s">
        <v>9089</v>
      </c>
      <c r="I1457" s="19" t="s">
        <v>9169</v>
      </c>
      <c r="J1457" s="16"/>
      <c r="K1457" s="16" t="s">
        <v>9170</v>
      </c>
      <c r="L1457" s="16"/>
      <c r="M1457" s="16" t="str">
        <f>HYPERLINK("https://ceds.ed.gov/cedselementdetails.aspx?termid=28066")</f>
        <v>https://ceds.ed.gov/cedselementdetails.aspx?termid=28066</v>
      </c>
    </row>
    <row r="1458" spans="1:13" ht="302.39999999999998" x14ac:dyDescent="0.3">
      <c r="A1458" s="16" t="s">
        <v>9171</v>
      </c>
      <c r="B1458" s="16" t="s">
        <v>9172</v>
      </c>
      <c r="C1458" s="16" t="s">
        <v>32</v>
      </c>
      <c r="D1458" s="16" t="s">
        <v>13019</v>
      </c>
      <c r="E1458" s="16"/>
      <c r="F1458" s="16" t="s">
        <v>9103</v>
      </c>
      <c r="G1458" s="16"/>
      <c r="H1458" s="16" t="s">
        <v>9173</v>
      </c>
      <c r="I1458" s="19" t="s">
        <v>9174</v>
      </c>
      <c r="J1458" s="16"/>
      <c r="K1458" s="16" t="s">
        <v>9175</v>
      </c>
      <c r="L1458" s="16"/>
      <c r="M1458" s="16" t="str">
        <f>HYPERLINK("https://ceds.ed.gov/cedselementdetails.aspx?termid=28067")</f>
        <v>https://ceds.ed.gov/cedselementdetails.aspx?termid=28067</v>
      </c>
    </row>
    <row r="1459" spans="1:13" ht="302.39999999999998" x14ac:dyDescent="0.3">
      <c r="A1459" s="16" t="s">
        <v>9176</v>
      </c>
      <c r="B1459" s="16" t="s">
        <v>9177</v>
      </c>
      <c r="C1459" s="16" t="s">
        <v>32</v>
      </c>
      <c r="D1459" s="16" t="s">
        <v>13019</v>
      </c>
      <c r="E1459" s="16"/>
      <c r="F1459" s="16" t="s">
        <v>34</v>
      </c>
      <c r="G1459" s="16"/>
      <c r="H1459" s="16" t="s">
        <v>9089</v>
      </c>
      <c r="I1459" s="19" t="s">
        <v>9178</v>
      </c>
      <c r="J1459" s="16"/>
      <c r="K1459" s="16" t="s">
        <v>9179</v>
      </c>
      <c r="L1459" s="16"/>
      <c r="M1459" s="16" t="str">
        <f>HYPERLINK("https://ceds.ed.gov/cedselementdetails.aspx?termid=28068")</f>
        <v>https://ceds.ed.gov/cedselementdetails.aspx?termid=28068</v>
      </c>
    </row>
    <row r="1460" spans="1:13" ht="302.39999999999998" x14ac:dyDescent="0.3">
      <c r="A1460" s="16" t="s">
        <v>9180</v>
      </c>
      <c r="B1460" s="16" t="s">
        <v>9181</v>
      </c>
      <c r="C1460" s="16" t="s">
        <v>32</v>
      </c>
      <c r="D1460" s="16" t="s">
        <v>13019</v>
      </c>
      <c r="E1460" s="16"/>
      <c r="F1460" s="16" t="s">
        <v>316</v>
      </c>
      <c r="G1460" s="16"/>
      <c r="H1460" s="16" t="s">
        <v>9089</v>
      </c>
      <c r="I1460" s="19" t="s">
        <v>9182</v>
      </c>
      <c r="J1460" s="16"/>
      <c r="K1460" s="16" t="s">
        <v>9183</v>
      </c>
      <c r="L1460" s="16"/>
      <c r="M1460" s="16" t="str">
        <f>HYPERLINK("https://ceds.ed.gov/cedselementdetails.aspx?termid=28069")</f>
        <v>https://ceds.ed.gov/cedselementdetails.aspx?termid=28069</v>
      </c>
    </row>
    <row r="1461" spans="1:13" ht="302.39999999999998" x14ac:dyDescent="0.3">
      <c r="A1461" s="16" t="s">
        <v>9184</v>
      </c>
      <c r="B1461" s="16" t="s">
        <v>9185</v>
      </c>
      <c r="C1461" s="16" t="s">
        <v>32</v>
      </c>
      <c r="D1461" s="16" t="s">
        <v>13019</v>
      </c>
      <c r="E1461" s="16"/>
      <c r="F1461" s="16" t="s">
        <v>120</v>
      </c>
      <c r="G1461" s="16"/>
      <c r="H1461" s="16" t="s">
        <v>9186</v>
      </c>
      <c r="I1461" s="19" t="s">
        <v>9187</v>
      </c>
      <c r="J1461" s="16"/>
      <c r="K1461" s="16" t="s">
        <v>9188</v>
      </c>
      <c r="L1461" s="16"/>
      <c r="M1461" s="16" t="str">
        <f>HYPERLINK("https://ceds.ed.gov/cedselementdetails.aspx?termid=28070")</f>
        <v>https://ceds.ed.gov/cedselementdetails.aspx?termid=28070</v>
      </c>
    </row>
    <row r="1462" spans="1:13" ht="302.39999999999998" x14ac:dyDescent="0.3">
      <c r="A1462" s="16" t="s">
        <v>9320</v>
      </c>
      <c r="B1462" s="16" t="s">
        <v>9321</v>
      </c>
      <c r="C1462" s="16" t="s">
        <v>8730</v>
      </c>
      <c r="D1462" s="16" t="s">
        <v>13019</v>
      </c>
      <c r="E1462" s="16"/>
      <c r="F1462" s="16"/>
      <c r="G1462" s="16"/>
      <c r="H1462" s="16"/>
      <c r="I1462" s="19" t="s">
        <v>5406</v>
      </c>
      <c r="J1462" s="16"/>
      <c r="K1462" s="16" t="s">
        <v>9322</v>
      </c>
      <c r="L1462" s="16"/>
      <c r="M1462" s="16" t="str">
        <f>HYPERLINK("https://ceds.ed.gov/cedselementdetails.aspx?termid=27557")</f>
        <v>https://ceds.ed.gov/cedselementdetails.aspx?termid=27557</v>
      </c>
    </row>
    <row r="1463" spans="1:13" ht="43.2" x14ac:dyDescent="0.3">
      <c r="A1463" s="16" t="s">
        <v>5407</v>
      </c>
      <c r="B1463" s="16" t="s">
        <v>5408</v>
      </c>
      <c r="C1463" s="16" t="s">
        <v>32</v>
      </c>
      <c r="D1463" s="16" t="s">
        <v>12965</v>
      </c>
      <c r="E1463" s="16" t="s">
        <v>160</v>
      </c>
      <c r="F1463" s="16" t="s">
        <v>305</v>
      </c>
      <c r="G1463" s="16" t="s">
        <v>12935</v>
      </c>
      <c r="H1463" s="16"/>
      <c r="I1463" s="19" t="s">
        <v>5409</v>
      </c>
      <c r="J1463" s="16"/>
      <c r="K1463" s="16" t="s">
        <v>5410</v>
      </c>
      <c r="L1463" s="16"/>
      <c r="M1463" s="16" t="str">
        <f>HYPERLINK("https://ceds.ed.gov/cedselementdetails.aspx?termid=26491")</f>
        <v>https://ceds.ed.gov/cedselementdetails.aspx?termid=26491</v>
      </c>
    </row>
    <row r="1464" spans="1:13" ht="57.6" x14ac:dyDescent="0.3">
      <c r="A1464" s="16" t="s">
        <v>5411</v>
      </c>
      <c r="B1464" s="16" t="s">
        <v>5412</v>
      </c>
      <c r="C1464" s="16" t="s">
        <v>32</v>
      </c>
      <c r="D1464" s="16" t="s">
        <v>8094</v>
      </c>
      <c r="E1464" s="16"/>
      <c r="F1464" s="16" t="s">
        <v>106</v>
      </c>
      <c r="G1464" s="16"/>
      <c r="H1464" s="16" t="s">
        <v>131</v>
      </c>
      <c r="I1464" s="19" t="s">
        <v>5413</v>
      </c>
      <c r="J1464" s="16"/>
      <c r="K1464" s="16" t="s">
        <v>5414</v>
      </c>
      <c r="L1464" s="16"/>
      <c r="M1464" s="16" t="str">
        <f>HYPERLINK("https://ceds.ed.gov/cedselementdetails.aspx?termid=27298")</f>
        <v>https://ceds.ed.gov/cedselementdetails.aspx?termid=27298</v>
      </c>
    </row>
    <row r="1465" spans="1:13" x14ac:dyDescent="0.3">
      <c r="A1465" s="16" t="s">
        <v>5415</v>
      </c>
      <c r="B1465" s="16" t="s">
        <v>5416</v>
      </c>
      <c r="C1465" s="16" t="s">
        <v>32</v>
      </c>
      <c r="D1465" s="16" t="s">
        <v>8094</v>
      </c>
      <c r="E1465" s="16"/>
      <c r="F1465" s="16" t="s">
        <v>106</v>
      </c>
      <c r="G1465" s="16"/>
      <c r="H1465" s="16"/>
      <c r="I1465" s="19" t="s">
        <v>5417</v>
      </c>
      <c r="J1465" s="16"/>
      <c r="K1465" s="16" t="s">
        <v>5418</v>
      </c>
      <c r="L1465" s="16"/>
      <c r="M1465" s="16" t="str">
        <f>HYPERLINK("https://ceds.ed.gov/cedselementdetails.aspx?termid=27297")</f>
        <v>https://ceds.ed.gov/cedselementdetails.aspx?termid=27297</v>
      </c>
    </row>
    <row r="1466" spans="1:13" ht="201.6" x14ac:dyDescent="0.3">
      <c r="A1466" s="16" t="s">
        <v>9189</v>
      </c>
      <c r="B1466" s="16" t="s">
        <v>9190</v>
      </c>
      <c r="C1466" s="16" t="s">
        <v>9304</v>
      </c>
      <c r="D1466" s="16" t="s">
        <v>13010</v>
      </c>
      <c r="E1466" s="16"/>
      <c r="F1466" s="16" t="s">
        <v>2</v>
      </c>
      <c r="G1466" s="16"/>
      <c r="H1466" s="16"/>
      <c r="I1466" s="19" t="s">
        <v>9191</v>
      </c>
      <c r="J1466" s="16"/>
      <c r="K1466" s="16" t="s">
        <v>9192</v>
      </c>
      <c r="L1466" s="16"/>
      <c r="M1466" s="16" t="str">
        <f>HYPERLINK("https://ceds.ed.gov/cedselementdetails.aspx?termid=28071")</f>
        <v>https://ceds.ed.gov/cedselementdetails.aspx?termid=28071</v>
      </c>
    </row>
    <row r="1467" spans="1:13" ht="43.2" x14ac:dyDescent="0.3">
      <c r="A1467" s="16" t="s">
        <v>5419</v>
      </c>
      <c r="B1467" s="16" t="s">
        <v>5420</v>
      </c>
      <c r="C1467" s="16" t="s">
        <v>22</v>
      </c>
      <c r="D1467" s="16" t="s">
        <v>2437</v>
      </c>
      <c r="E1467" s="16"/>
      <c r="F1467" s="16"/>
      <c r="G1467" s="16"/>
      <c r="H1467" s="16"/>
      <c r="I1467" s="19" t="s">
        <v>5421</v>
      </c>
      <c r="J1467" s="16"/>
      <c r="K1467" s="16" t="s">
        <v>5422</v>
      </c>
      <c r="L1467" s="16" t="s">
        <v>1516</v>
      </c>
      <c r="M1467" s="16" t="str">
        <f>HYPERLINK("https://ceds.ed.gov/cedselementdetails.aspx?termid=26421")</f>
        <v>https://ceds.ed.gov/cedselementdetails.aspx?termid=26421</v>
      </c>
    </row>
    <row r="1468" spans="1:13" ht="100.8" x14ac:dyDescent="0.3">
      <c r="A1468" s="16" t="s">
        <v>5423</v>
      </c>
      <c r="B1468" s="16" t="s">
        <v>5424</v>
      </c>
      <c r="C1468" s="16" t="s">
        <v>8731</v>
      </c>
      <c r="D1468" s="16" t="s">
        <v>602</v>
      </c>
      <c r="E1468" s="16"/>
      <c r="F1468" s="16"/>
      <c r="G1468" s="16"/>
      <c r="H1468" s="16"/>
      <c r="I1468" s="19" t="s">
        <v>5425</v>
      </c>
      <c r="J1468" s="16"/>
      <c r="K1468" s="16" t="s">
        <v>5426</v>
      </c>
      <c r="L1468" s="16"/>
      <c r="M1468" s="16" t="str">
        <f>HYPERLINK("https://ceds.ed.gov/cedselementdetails.aspx?termid=27166")</f>
        <v>https://ceds.ed.gov/cedselementdetails.aspx?termid=27166</v>
      </c>
    </row>
    <row r="1469" spans="1:13" ht="72" x14ac:dyDescent="0.3">
      <c r="A1469" s="16" t="s">
        <v>5427</v>
      </c>
      <c r="B1469" s="16" t="s">
        <v>5428</v>
      </c>
      <c r="C1469" s="16" t="s">
        <v>8732</v>
      </c>
      <c r="D1469" s="16" t="s">
        <v>602</v>
      </c>
      <c r="E1469" s="16"/>
      <c r="F1469" s="16"/>
      <c r="G1469" s="16"/>
      <c r="H1469" s="16"/>
      <c r="I1469" s="19" t="s">
        <v>5429</v>
      </c>
      <c r="J1469" s="16"/>
      <c r="K1469" s="16" t="s">
        <v>5430</v>
      </c>
      <c r="L1469" s="16"/>
      <c r="M1469" s="16" t="str">
        <f>HYPERLINK("https://ceds.ed.gov/cedselementdetails.aspx?termid=27072")</f>
        <v>https://ceds.ed.gov/cedselementdetails.aspx?termid=27072</v>
      </c>
    </row>
    <row r="1470" spans="1:13" ht="273.60000000000002" x14ac:dyDescent="0.3">
      <c r="A1470" s="16" t="s">
        <v>5431</v>
      </c>
      <c r="B1470" s="16" t="s">
        <v>5432</v>
      </c>
      <c r="C1470" s="16" t="s">
        <v>32</v>
      </c>
      <c r="D1470" s="16" t="s">
        <v>9386</v>
      </c>
      <c r="E1470" s="16"/>
      <c r="F1470" s="16" t="s">
        <v>145</v>
      </c>
      <c r="G1470" s="16"/>
      <c r="H1470" s="16"/>
      <c r="I1470" s="19" t="s">
        <v>5433</v>
      </c>
      <c r="J1470" s="16"/>
      <c r="K1470" s="16" t="s">
        <v>5434</v>
      </c>
      <c r="L1470" s="16" t="s">
        <v>5435</v>
      </c>
      <c r="M1470" s="16" t="str">
        <f>HYPERLINK("https://ceds.ed.gov/cedselementdetails.aspx?termid=26191")</f>
        <v>https://ceds.ed.gov/cedselementdetails.aspx?termid=26191</v>
      </c>
    </row>
    <row r="1471" spans="1:13" ht="43.2" x14ac:dyDescent="0.3">
      <c r="A1471" s="16" t="s">
        <v>5436</v>
      </c>
      <c r="B1471" s="16" t="s">
        <v>5437</v>
      </c>
      <c r="C1471" s="16" t="s">
        <v>32</v>
      </c>
      <c r="D1471" s="16" t="s">
        <v>8483</v>
      </c>
      <c r="E1471" s="16"/>
      <c r="F1471" s="16" t="s">
        <v>145</v>
      </c>
      <c r="G1471" s="16"/>
      <c r="H1471" s="16"/>
      <c r="I1471" s="19" t="s">
        <v>5438</v>
      </c>
      <c r="J1471" s="16"/>
      <c r="K1471" s="16" t="s">
        <v>5439</v>
      </c>
      <c r="L1471" s="16" t="s">
        <v>195</v>
      </c>
      <c r="M1471" s="16" t="str">
        <f>HYPERLINK("https://ceds.ed.gov/cedselementdetails.aspx?termid=27064")</f>
        <v>https://ceds.ed.gov/cedselementdetails.aspx?termid=27064</v>
      </c>
    </row>
    <row r="1472" spans="1:13" ht="100.8" x14ac:dyDescent="0.3">
      <c r="A1472" s="16" t="s">
        <v>5440</v>
      </c>
      <c r="B1472" s="16" t="s">
        <v>5441</v>
      </c>
      <c r="C1472" s="16" t="s">
        <v>22</v>
      </c>
      <c r="D1472" s="16" t="s">
        <v>2525</v>
      </c>
      <c r="E1472" s="16"/>
      <c r="F1472" s="16"/>
      <c r="G1472" s="16"/>
      <c r="H1472" s="16"/>
      <c r="I1472" s="19" t="s">
        <v>5442</v>
      </c>
      <c r="J1472" s="16" t="s">
        <v>5443</v>
      </c>
      <c r="K1472" s="16" t="s">
        <v>5444</v>
      </c>
      <c r="L1472" s="16"/>
      <c r="M1472" s="16" t="str">
        <f>HYPERLINK("https://ceds.ed.gov/cedselementdetails.aspx?termid=27382")</f>
        <v>https://ceds.ed.gov/cedselementdetails.aspx?termid=27382</v>
      </c>
    </row>
    <row r="1473" spans="1:13" ht="302.39999999999998" x14ac:dyDescent="0.3">
      <c r="A1473" s="16" t="s">
        <v>9193</v>
      </c>
      <c r="B1473" s="16" t="s">
        <v>9194</v>
      </c>
      <c r="C1473" s="16" t="s">
        <v>2987</v>
      </c>
      <c r="D1473" s="16" t="s">
        <v>13019</v>
      </c>
      <c r="E1473" s="16"/>
      <c r="F1473" s="16" t="s">
        <v>2</v>
      </c>
      <c r="G1473" s="16"/>
      <c r="H1473" s="16" t="s">
        <v>9089</v>
      </c>
      <c r="I1473" s="19" t="s">
        <v>9195</v>
      </c>
      <c r="J1473" s="16"/>
      <c r="K1473" s="16" t="s">
        <v>9196</v>
      </c>
      <c r="L1473" s="16"/>
      <c r="M1473" s="16" t="str">
        <f>HYPERLINK("https://ceds.ed.gov/cedselementdetails.aspx?termid=28072")</f>
        <v>https://ceds.ed.gov/cedselementdetails.aspx?termid=28072</v>
      </c>
    </row>
    <row r="1474" spans="1:13" ht="57.6" x14ac:dyDescent="0.3">
      <c r="A1474" s="16" t="s">
        <v>5445</v>
      </c>
      <c r="B1474" s="16" t="s">
        <v>5446</v>
      </c>
      <c r="C1474" s="16" t="s">
        <v>22</v>
      </c>
      <c r="D1474" s="16" t="s">
        <v>3389</v>
      </c>
      <c r="E1474" s="16"/>
      <c r="F1474" s="16"/>
      <c r="G1474" s="16"/>
      <c r="H1474" s="16" t="s">
        <v>5447</v>
      </c>
      <c r="I1474" s="19" t="s">
        <v>5448</v>
      </c>
      <c r="J1474" s="16"/>
      <c r="K1474" s="16" t="s">
        <v>5449</v>
      </c>
      <c r="L1474" s="16" t="s">
        <v>214</v>
      </c>
      <c r="M1474" s="16" t="str">
        <f>HYPERLINK("https://ceds.ed.gov/cedselementdetails.aspx?termid=27635")</f>
        <v>https://ceds.ed.gov/cedselementdetails.aspx?termid=27635</v>
      </c>
    </row>
    <row r="1475" spans="1:13" ht="115.2" x14ac:dyDescent="0.3">
      <c r="A1475" s="16" t="s">
        <v>5450</v>
      </c>
      <c r="B1475" s="16" t="s">
        <v>5451</v>
      </c>
      <c r="C1475" s="16" t="s">
        <v>8246</v>
      </c>
      <c r="D1475" s="16" t="s">
        <v>9387</v>
      </c>
      <c r="E1475" s="16"/>
      <c r="F1475" s="16"/>
      <c r="G1475" s="16"/>
      <c r="H1475" s="16"/>
      <c r="I1475" s="19" t="s">
        <v>5452</v>
      </c>
      <c r="J1475" s="16"/>
      <c r="K1475" s="16" t="s">
        <v>5453</v>
      </c>
      <c r="L1475" s="16"/>
      <c r="M1475" s="16" t="str">
        <f>HYPERLINK("https://ceds.ed.gov/cedselementdetails.aspx?termid=27748")</f>
        <v>https://ceds.ed.gov/cedselementdetails.aspx?termid=27748</v>
      </c>
    </row>
    <row r="1476" spans="1:13" ht="244.8" x14ac:dyDescent="0.3">
      <c r="A1476" s="16" t="s">
        <v>5454</v>
      </c>
      <c r="B1476" s="16" t="s">
        <v>5455</v>
      </c>
      <c r="C1476" s="16" t="s">
        <v>8319</v>
      </c>
      <c r="D1476" s="16" t="s">
        <v>8320</v>
      </c>
      <c r="E1476" s="16"/>
      <c r="F1476" s="16"/>
      <c r="G1476" s="16"/>
      <c r="H1476" s="16" t="s">
        <v>7828</v>
      </c>
      <c r="I1476" s="19" t="s">
        <v>5456</v>
      </c>
      <c r="J1476" s="16" t="s">
        <v>5457</v>
      </c>
      <c r="K1476" s="16" t="s">
        <v>5458</v>
      </c>
      <c r="L1476" s="16" t="s">
        <v>353</v>
      </c>
      <c r="M1476" s="16" t="str">
        <f>HYPERLINK("https://ceds.ed.gov/cedselementdetails.aspx?termid=26658")</f>
        <v>https://ceds.ed.gov/cedselementdetails.aspx?termid=26658</v>
      </c>
    </row>
    <row r="1477" spans="1:13" ht="72" x14ac:dyDescent="0.3">
      <c r="A1477" s="16" t="s">
        <v>5459</v>
      </c>
      <c r="B1477" s="16" t="s">
        <v>5460</v>
      </c>
      <c r="C1477" s="16" t="s">
        <v>5461</v>
      </c>
      <c r="D1477" s="16" t="s">
        <v>311</v>
      </c>
      <c r="E1477" s="16"/>
      <c r="F1477" s="16"/>
      <c r="G1477" s="16"/>
      <c r="H1477" s="16"/>
      <c r="I1477" s="19" t="s">
        <v>5462</v>
      </c>
      <c r="J1477" s="16"/>
      <c r="K1477" s="16" t="s">
        <v>5463</v>
      </c>
      <c r="L1477" s="16"/>
      <c r="M1477" s="16" t="str">
        <f>HYPERLINK("https://ceds.ed.gov/cedselementdetails.aspx?termid=27383")</f>
        <v>https://ceds.ed.gov/cedselementdetails.aspx?termid=27383</v>
      </c>
    </row>
    <row r="1478" spans="1:13" ht="72" x14ac:dyDescent="0.3">
      <c r="A1478" s="16" t="s">
        <v>7471</v>
      </c>
      <c r="B1478" s="16" t="s">
        <v>7472</v>
      </c>
      <c r="C1478" s="16" t="s">
        <v>32</v>
      </c>
      <c r="D1478" s="16" t="s">
        <v>3389</v>
      </c>
      <c r="E1478" s="16"/>
      <c r="F1478" s="16" t="s">
        <v>106</v>
      </c>
      <c r="G1478" s="16"/>
      <c r="H1478" s="16"/>
      <c r="I1478" s="19" t="s">
        <v>7473</v>
      </c>
      <c r="J1478" s="16"/>
      <c r="K1478" s="16" t="s">
        <v>7474</v>
      </c>
      <c r="L1478" s="16"/>
      <c r="M1478" s="16" t="str">
        <f>HYPERLINK("https://ceds.ed.gov/cedselementdetails.aspx?termid=27943")</f>
        <v>https://ceds.ed.gov/cedselementdetails.aspx?termid=27943</v>
      </c>
    </row>
    <row r="1479" spans="1:13" ht="57.6" x14ac:dyDescent="0.3">
      <c r="A1479" s="16" t="s">
        <v>7475</v>
      </c>
      <c r="B1479" s="16" t="s">
        <v>7476</v>
      </c>
      <c r="C1479" s="16" t="s">
        <v>32</v>
      </c>
      <c r="D1479" s="16" t="s">
        <v>3389</v>
      </c>
      <c r="E1479" s="16"/>
      <c r="F1479" s="16" t="s">
        <v>136</v>
      </c>
      <c r="G1479" s="16"/>
      <c r="H1479" s="16"/>
      <c r="I1479" s="19" t="s">
        <v>7477</v>
      </c>
      <c r="J1479" s="16"/>
      <c r="K1479" s="16" t="s">
        <v>7478</v>
      </c>
      <c r="L1479" s="16"/>
      <c r="M1479" s="16" t="str">
        <f>HYPERLINK("https://ceds.ed.gov/cedselementdetails.aspx?termid=27944")</f>
        <v>https://ceds.ed.gov/cedselementdetails.aspx?termid=27944</v>
      </c>
    </row>
    <row r="1480" spans="1:13" ht="57.6" x14ac:dyDescent="0.3">
      <c r="A1480" s="16" t="s">
        <v>7479</v>
      </c>
      <c r="B1480" s="16" t="s">
        <v>7480</v>
      </c>
      <c r="C1480" s="16" t="s">
        <v>32</v>
      </c>
      <c r="D1480" s="16" t="s">
        <v>3389</v>
      </c>
      <c r="E1480" s="16"/>
      <c r="F1480" s="16" t="s">
        <v>136</v>
      </c>
      <c r="G1480" s="16"/>
      <c r="H1480" s="16"/>
      <c r="I1480" s="19" t="s">
        <v>7481</v>
      </c>
      <c r="J1480" s="16"/>
      <c r="K1480" s="16" t="s">
        <v>7482</v>
      </c>
      <c r="L1480" s="16"/>
      <c r="M1480" s="16" t="str">
        <f>HYPERLINK("https://ceds.ed.gov/cedselementdetails.aspx?termid=27945")</f>
        <v>https://ceds.ed.gov/cedselementdetails.aspx?termid=27945</v>
      </c>
    </row>
    <row r="1481" spans="1:13" ht="72" x14ac:dyDescent="0.3">
      <c r="A1481" s="16" t="s">
        <v>7483</v>
      </c>
      <c r="B1481" s="16" t="s">
        <v>7484</v>
      </c>
      <c r="C1481" s="16" t="s">
        <v>32</v>
      </c>
      <c r="D1481" s="16" t="s">
        <v>3389</v>
      </c>
      <c r="E1481" s="16"/>
      <c r="F1481" s="16" t="s">
        <v>1807</v>
      </c>
      <c r="G1481" s="16"/>
      <c r="H1481" s="16" t="s">
        <v>7485</v>
      </c>
      <c r="I1481" s="19" t="s">
        <v>7486</v>
      </c>
      <c r="J1481" s="16"/>
      <c r="K1481" s="16" t="s">
        <v>7487</v>
      </c>
      <c r="L1481" s="16"/>
      <c r="M1481" s="16" t="str">
        <f>HYPERLINK("https://ceds.ed.gov/cedselementdetails.aspx?termid=27946")</f>
        <v>https://ceds.ed.gov/cedselementdetails.aspx?termid=27946</v>
      </c>
    </row>
    <row r="1482" spans="1:13" ht="72" x14ac:dyDescent="0.3">
      <c r="A1482" s="16" t="s">
        <v>7488</v>
      </c>
      <c r="B1482" s="16" t="s">
        <v>7489</v>
      </c>
      <c r="C1482" s="16" t="s">
        <v>32</v>
      </c>
      <c r="D1482" s="16" t="s">
        <v>3389</v>
      </c>
      <c r="E1482" s="16"/>
      <c r="F1482" s="16" t="s">
        <v>1807</v>
      </c>
      <c r="G1482" s="16"/>
      <c r="H1482" s="16" t="s">
        <v>7490</v>
      </c>
      <c r="I1482" s="19" t="s">
        <v>7491</v>
      </c>
      <c r="J1482" s="16"/>
      <c r="K1482" s="16" t="s">
        <v>7492</v>
      </c>
      <c r="L1482" s="16"/>
      <c r="M1482" s="16" t="str">
        <f>HYPERLINK("https://ceds.ed.gov/cedselementdetails.aspx?termid=27947")</f>
        <v>https://ceds.ed.gov/cedselementdetails.aspx?termid=27947</v>
      </c>
    </row>
    <row r="1483" spans="1:13" ht="72" x14ac:dyDescent="0.3">
      <c r="A1483" s="16" t="s">
        <v>5464</v>
      </c>
      <c r="B1483" s="16" t="s">
        <v>5465</v>
      </c>
      <c r="C1483" s="16" t="s">
        <v>22</v>
      </c>
      <c r="D1483" s="16" t="s">
        <v>5466</v>
      </c>
      <c r="E1483" s="16"/>
      <c r="F1483" s="16"/>
      <c r="G1483" s="16"/>
      <c r="H1483" s="16" t="s">
        <v>13011</v>
      </c>
      <c r="I1483" s="19"/>
      <c r="J1483" s="16"/>
      <c r="K1483" s="16"/>
      <c r="L1483" s="16"/>
      <c r="M1483" s="16"/>
    </row>
    <row r="1484" spans="1:13" ht="86.4" x14ac:dyDescent="0.3">
      <c r="A1484" s="16"/>
      <c r="B1484" s="16" t="s">
        <v>13012</v>
      </c>
      <c r="C1484" s="16">
        <v>635</v>
      </c>
      <c r="D1484" s="16"/>
      <c r="E1484" s="16" t="s">
        <v>5467</v>
      </c>
      <c r="F1484" s="16" t="s">
        <v>214</v>
      </c>
      <c r="G1484" s="16" t="str">
        <f>HYPERLINK("https://ceds.ed.gov/cedselementdetails.aspx?termid=26636")</f>
        <v>https://ceds.ed.gov/cedselementdetails.aspx?termid=26636</v>
      </c>
      <c r="H1484" s="16"/>
      <c r="I1484" s="19"/>
      <c r="J1484" s="16"/>
      <c r="K1484" s="16"/>
      <c r="L1484" s="16"/>
      <c r="M1484" s="16"/>
    </row>
    <row r="1485" spans="1:13" ht="72" x14ac:dyDescent="0.3">
      <c r="A1485" s="16" t="s">
        <v>5468</v>
      </c>
      <c r="B1485" s="16" t="s">
        <v>5469</v>
      </c>
      <c r="C1485" s="16" t="s">
        <v>22</v>
      </c>
      <c r="D1485" s="16" t="s">
        <v>5466</v>
      </c>
      <c r="E1485" s="16"/>
      <c r="F1485" s="16"/>
      <c r="G1485" s="16"/>
      <c r="H1485" s="16" t="s">
        <v>13011</v>
      </c>
      <c r="I1485" s="19"/>
      <c r="J1485" s="16"/>
      <c r="K1485" s="16"/>
      <c r="L1485" s="16"/>
      <c r="M1485" s="16"/>
    </row>
    <row r="1486" spans="1:13" ht="86.4" x14ac:dyDescent="0.3">
      <c r="A1486" s="16"/>
      <c r="B1486" s="16" t="s">
        <v>13012</v>
      </c>
      <c r="C1486" s="16">
        <v>636</v>
      </c>
      <c r="D1486" s="16"/>
      <c r="E1486" s="16" t="s">
        <v>5470</v>
      </c>
      <c r="F1486" s="16" t="s">
        <v>214</v>
      </c>
      <c r="G1486" s="16" t="str">
        <f>HYPERLINK("https://ceds.ed.gov/cedselementdetails.aspx?termid=26638")</f>
        <v>https://ceds.ed.gov/cedselementdetails.aspx?termid=26638</v>
      </c>
      <c r="H1486" s="16"/>
      <c r="I1486" s="19"/>
      <c r="J1486" s="16"/>
      <c r="K1486" s="16"/>
      <c r="L1486" s="16"/>
      <c r="M1486" s="16"/>
    </row>
    <row r="1487" spans="1:13" ht="43.2" x14ac:dyDescent="0.3">
      <c r="A1487" s="16" t="s">
        <v>5471</v>
      </c>
      <c r="B1487" s="16" t="s">
        <v>5472</v>
      </c>
      <c r="C1487" s="16" t="s">
        <v>22</v>
      </c>
      <c r="D1487" s="16" t="s">
        <v>5466</v>
      </c>
      <c r="E1487" s="16"/>
      <c r="F1487" s="16"/>
      <c r="G1487" s="16"/>
      <c r="H1487" s="16"/>
      <c r="I1487" s="19" t="s">
        <v>5473</v>
      </c>
      <c r="J1487" s="16"/>
      <c r="K1487" s="16" t="s">
        <v>5474</v>
      </c>
      <c r="L1487" s="16" t="s">
        <v>202</v>
      </c>
      <c r="M1487" s="16" t="str">
        <f>HYPERLINK("https://ceds.ed.gov/cedselementdetails.aspx?termid=26475")</f>
        <v>https://ceds.ed.gov/cedselementdetails.aspx?termid=26475</v>
      </c>
    </row>
    <row r="1488" spans="1:13" ht="115.2" x14ac:dyDescent="0.3">
      <c r="A1488" s="16" t="s">
        <v>5475</v>
      </c>
      <c r="B1488" s="16" t="s">
        <v>5476</v>
      </c>
      <c r="C1488" s="16" t="s">
        <v>9334</v>
      </c>
      <c r="D1488" s="16" t="s">
        <v>5466</v>
      </c>
      <c r="E1488" s="16"/>
      <c r="F1488" s="16"/>
      <c r="G1488" s="16"/>
      <c r="H1488" s="16"/>
      <c r="I1488" s="19" t="s">
        <v>5477</v>
      </c>
      <c r="J1488" s="16"/>
      <c r="K1488" s="16" t="s">
        <v>5478</v>
      </c>
      <c r="L1488" s="16" t="s">
        <v>214</v>
      </c>
      <c r="M1488" s="16" t="str">
        <f>HYPERLINK("https://ceds.ed.gov/cedselementdetails.aspx?termid=26194")</f>
        <v>https://ceds.ed.gov/cedselementdetails.aspx?termid=26194</v>
      </c>
    </row>
    <row r="1489" spans="1:13" ht="86.4" x14ac:dyDescent="0.3">
      <c r="A1489" s="16" t="s">
        <v>5479</v>
      </c>
      <c r="B1489" s="16" t="s">
        <v>5480</v>
      </c>
      <c r="C1489" s="16" t="s">
        <v>2987</v>
      </c>
      <c r="D1489" s="16" t="s">
        <v>5466</v>
      </c>
      <c r="E1489" s="16"/>
      <c r="F1489" s="16"/>
      <c r="G1489" s="16"/>
      <c r="H1489" s="16"/>
      <c r="I1489" s="19" t="s">
        <v>5481</v>
      </c>
      <c r="J1489" s="16"/>
      <c r="K1489" s="16" t="s">
        <v>5482</v>
      </c>
      <c r="L1489" s="16" t="s">
        <v>1863</v>
      </c>
      <c r="M1489" s="16" t="str">
        <f>HYPERLINK("https://ceds.ed.gov/cedselementdetails.aspx?termid=26193")</f>
        <v>https://ceds.ed.gov/cedselementdetails.aspx?termid=26193</v>
      </c>
    </row>
    <row r="1490" spans="1:13" ht="115.2" x14ac:dyDescent="0.3">
      <c r="A1490" s="16" t="s">
        <v>9197</v>
      </c>
      <c r="B1490" s="16" t="s">
        <v>9198</v>
      </c>
      <c r="C1490" s="16" t="s">
        <v>9305</v>
      </c>
      <c r="D1490" s="16" t="s">
        <v>5466</v>
      </c>
      <c r="E1490" s="16"/>
      <c r="F1490" s="16" t="s">
        <v>2</v>
      </c>
      <c r="G1490" s="16"/>
      <c r="H1490" s="16"/>
      <c r="I1490" s="19" t="s">
        <v>9199</v>
      </c>
      <c r="J1490" s="16"/>
      <c r="K1490" s="16" t="s">
        <v>9200</v>
      </c>
      <c r="L1490" s="16"/>
      <c r="M1490" s="16" t="str">
        <f>HYPERLINK("https://ceds.ed.gov/cedselementdetails.aspx?termid=28073")</f>
        <v>https://ceds.ed.gov/cedselementdetails.aspx?termid=28073</v>
      </c>
    </row>
    <row r="1491" spans="1:13" ht="144" x14ac:dyDescent="0.3">
      <c r="A1491" s="16" t="s">
        <v>5483</v>
      </c>
      <c r="B1491" s="16" t="s">
        <v>5484</v>
      </c>
      <c r="C1491" s="16" t="s">
        <v>8733</v>
      </c>
      <c r="D1491" s="16" t="s">
        <v>61</v>
      </c>
      <c r="E1491" s="16"/>
      <c r="F1491" s="16"/>
      <c r="G1491" s="16"/>
      <c r="H1491" s="16"/>
      <c r="I1491" s="19" t="s">
        <v>5485</v>
      </c>
      <c r="J1491" s="16"/>
      <c r="K1491" s="16" t="s">
        <v>5486</v>
      </c>
      <c r="L1491" s="16"/>
      <c r="M1491" s="16" t="str">
        <f>HYPERLINK("https://ceds.ed.gov/cedselementdetails.aspx?termid=26522")</f>
        <v>https://ceds.ed.gov/cedselementdetails.aspx?termid=26522</v>
      </c>
    </row>
    <row r="1492" spans="1:13" ht="187.2" x14ac:dyDescent="0.3">
      <c r="A1492" s="16" t="s">
        <v>5487</v>
      </c>
      <c r="B1492" s="16" t="s">
        <v>5488</v>
      </c>
      <c r="C1492" s="16" t="s">
        <v>32</v>
      </c>
      <c r="D1492" s="16" t="s">
        <v>3172</v>
      </c>
      <c r="E1492" s="16"/>
      <c r="F1492" s="16" t="s">
        <v>145</v>
      </c>
      <c r="G1492" s="16"/>
      <c r="H1492" s="16"/>
      <c r="I1492" s="19" t="s">
        <v>5489</v>
      </c>
      <c r="J1492" s="16"/>
      <c r="K1492" s="16" t="s">
        <v>5490</v>
      </c>
      <c r="L1492" s="16" t="s">
        <v>186</v>
      </c>
      <c r="M1492" s="16" t="str">
        <f>HYPERLINK("https://ceds.ed.gov/cedselementdetails.aspx?termid=26197")</f>
        <v>https://ceds.ed.gov/cedselementdetails.aspx?termid=26197</v>
      </c>
    </row>
    <row r="1493" spans="1:13" ht="86.4" x14ac:dyDescent="0.3">
      <c r="A1493" s="16" t="s">
        <v>5491</v>
      </c>
      <c r="B1493" s="16" t="s">
        <v>5492</v>
      </c>
      <c r="C1493" s="16" t="s">
        <v>8734</v>
      </c>
      <c r="D1493" s="16" t="s">
        <v>3172</v>
      </c>
      <c r="E1493" s="16"/>
      <c r="F1493" s="16"/>
      <c r="G1493" s="16"/>
      <c r="H1493" s="16"/>
      <c r="I1493" s="19" t="s">
        <v>5493</v>
      </c>
      <c r="J1493" s="16"/>
      <c r="K1493" s="16" t="s">
        <v>5494</v>
      </c>
      <c r="L1493" s="16" t="s">
        <v>186</v>
      </c>
      <c r="M1493" s="16" t="str">
        <f>HYPERLINK("https://ceds.ed.gov/cedselementdetails.aspx?termid=26198")</f>
        <v>https://ceds.ed.gov/cedselementdetails.aspx?termid=26198</v>
      </c>
    </row>
    <row r="1494" spans="1:13" ht="43.2" x14ac:dyDescent="0.3">
      <c r="A1494" s="16" t="s">
        <v>5495</v>
      </c>
      <c r="B1494" s="16" t="s">
        <v>5496</v>
      </c>
      <c r="C1494" s="16" t="s">
        <v>32</v>
      </c>
      <c r="D1494" s="16" t="s">
        <v>7960</v>
      </c>
      <c r="E1494" s="16"/>
      <c r="F1494" s="16" t="s">
        <v>305</v>
      </c>
      <c r="G1494" s="16"/>
      <c r="H1494" s="16"/>
      <c r="I1494" s="19" t="s">
        <v>5497</v>
      </c>
      <c r="J1494" s="16"/>
      <c r="K1494" s="16" t="s">
        <v>5498</v>
      </c>
      <c r="L1494" s="16" t="s">
        <v>98</v>
      </c>
      <c r="M1494" s="16" t="str">
        <f>HYPERLINK("https://ceds.ed.gov/cedselementdetails.aspx?termid=26844")</f>
        <v>https://ceds.ed.gov/cedselementdetails.aspx?termid=26844</v>
      </c>
    </row>
    <row r="1495" spans="1:13" ht="129.6" x14ac:dyDescent="0.3">
      <c r="A1495" s="16" t="s">
        <v>5499</v>
      </c>
      <c r="B1495" s="16" t="s">
        <v>5500</v>
      </c>
      <c r="C1495" s="16" t="s">
        <v>32</v>
      </c>
      <c r="D1495" s="16" t="s">
        <v>8735</v>
      </c>
      <c r="E1495" s="16"/>
      <c r="F1495" s="16" t="s">
        <v>1481</v>
      </c>
      <c r="G1495" s="16"/>
      <c r="H1495" s="16"/>
      <c r="I1495" s="19" t="s">
        <v>5501</v>
      </c>
      <c r="J1495" s="16"/>
      <c r="K1495" s="16" t="s">
        <v>5502</v>
      </c>
      <c r="L1495" s="16" t="s">
        <v>64</v>
      </c>
      <c r="M1495" s="16" t="str">
        <f>HYPERLINK("https://ceds.ed.gov/cedselementdetails.aspx?termid=26199")</f>
        <v>https://ceds.ed.gov/cedselementdetails.aspx?termid=26199</v>
      </c>
    </row>
    <row r="1496" spans="1:13" ht="331.2" x14ac:dyDescent="0.3">
      <c r="A1496" s="16" t="s">
        <v>5503</v>
      </c>
      <c r="B1496" s="16" t="s">
        <v>5504</v>
      </c>
      <c r="C1496" s="16" t="s">
        <v>32</v>
      </c>
      <c r="D1496" s="16" t="s">
        <v>8736</v>
      </c>
      <c r="E1496" s="16"/>
      <c r="F1496" s="16" t="s">
        <v>1481</v>
      </c>
      <c r="G1496" s="16"/>
      <c r="H1496" s="16"/>
      <c r="I1496" s="19" t="s">
        <v>5505</v>
      </c>
      <c r="J1496" s="16"/>
      <c r="K1496" s="16" t="s">
        <v>5506</v>
      </c>
      <c r="L1496" s="16" t="s">
        <v>5256</v>
      </c>
      <c r="M1496" s="16" t="str">
        <f>HYPERLINK("https://ceds.ed.gov/cedselementdetails.aspx?termid=26200")</f>
        <v>https://ceds.ed.gov/cedselementdetails.aspx?termid=26200</v>
      </c>
    </row>
    <row r="1497" spans="1:13" ht="129.6" x14ac:dyDescent="0.3">
      <c r="A1497" s="16" t="s">
        <v>5507</v>
      </c>
      <c r="B1497" s="16" t="s">
        <v>5508</v>
      </c>
      <c r="C1497" s="16" t="s">
        <v>32</v>
      </c>
      <c r="D1497" s="16" t="s">
        <v>9388</v>
      </c>
      <c r="E1497" s="16"/>
      <c r="F1497" s="16" t="s">
        <v>1481</v>
      </c>
      <c r="G1497" s="16"/>
      <c r="H1497" s="16"/>
      <c r="I1497" s="19" t="s">
        <v>5509</v>
      </c>
      <c r="J1497" s="16"/>
      <c r="K1497" s="16" t="s">
        <v>5510</v>
      </c>
      <c r="L1497" s="16" t="s">
        <v>5511</v>
      </c>
      <c r="M1497" s="16" t="str">
        <f>HYPERLINK("https://ceds.ed.gov/cedselementdetails.aspx?termid=26201")</f>
        <v>https://ceds.ed.gov/cedselementdetails.aspx?termid=26201</v>
      </c>
    </row>
    <row r="1498" spans="1:13" ht="72" x14ac:dyDescent="0.3">
      <c r="A1498" s="16" t="s">
        <v>5512</v>
      </c>
      <c r="B1498" s="16" t="s">
        <v>5513</v>
      </c>
      <c r="C1498" s="16" t="s">
        <v>32</v>
      </c>
      <c r="D1498" s="16" t="s">
        <v>2996</v>
      </c>
      <c r="E1498" s="16"/>
      <c r="F1498" s="16" t="s">
        <v>1481</v>
      </c>
      <c r="G1498" s="16"/>
      <c r="H1498" s="16"/>
      <c r="I1498" s="19" t="s">
        <v>5514</v>
      </c>
      <c r="J1498" s="16"/>
      <c r="K1498" s="16" t="s">
        <v>5515</v>
      </c>
      <c r="L1498" s="16" t="s">
        <v>202</v>
      </c>
      <c r="M1498" s="16" t="str">
        <f>HYPERLINK("https://ceds.ed.gov/cedselementdetails.aspx?termid=26447")</f>
        <v>https://ceds.ed.gov/cedselementdetails.aspx?termid=26447</v>
      </c>
    </row>
    <row r="1499" spans="1:13" ht="230.4" x14ac:dyDescent="0.3">
      <c r="A1499" s="16" t="s">
        <v>5516</v>
      </c>
      <c r="B1499" s="16" t="s">
        <v>5517</v>
      </c>
      <c r="C1499" s="16" t="s">
        <v>32</v>
      </c>
      <c r="D1499" s="16" t="s">
        <v>9389</v>
      </c>
      <c r="E1499" s="16"/>
      <c r="F1499" s="16" t="s">
        <v>1481</v>
      </c>
      <c r="G1499" s="16"/>
      <c r="H1499" s="16" t="s">
        <v>8095</v>
      </c>
      <c r="I1499" s="19" t="s">
        <v>5518</v>
      </c>
      <c r="J1499" s="16"/>
      <c r="K1499" s="16" t="s">
        <v>5519</v>
      </c>
      <c r="L1499" s="16" t="s">
        <v>5520</v>
      </c>
      <c r="M1499" s="16" t="str">
        <f>HYPERLINK("https://ceds.ed.gov/cedselementdetails.aspx?termid=26202")</f>
        <v>https://ceds.ed.gov/cedselementdetails.aspx?termid=26202</v>
      </c>
    </row>
    <row r="1500" spans="1:13" ht="43.2" x14ac:dyDescent="0.3">
      <c r="A1500" s="16" t="s">
        <v>7493</v>
      </c>
      <c r="B1500" s="16" t="s">
        <v>7494</v>
      </c>
      <c r="C1500" s="16" t="s">
        <v>32</v>
      </c>
      <c r="D1500" s="16" t="s">
        <v>8737</v>
      </c>
      <c r="E1500" s="16"/>
      <c r="F1500" s="16" t="s">
        <v>1481</v>
      </c>
      <c r="G1500" s="16"/>
      <c r="H1500" s="16"/>
      <c r="I1500" s="19" t="s">
        <v>7495</v>
      </c>
      <c r="J1500" s="16"/>
      <c r="K1500" s="16" t="s">
        <v>7496</v>
      </c>
      <c r="L1500" s="16"/>
      <c r="M1500" s="16" t="str">
        <f>HYPERLINK("https://ceds.ed.gov/cedselementdetails.aspx?termid=27948")</f>
        <v>https://ceds.ed.gov/cedselementdetails.aspx?termid=27948</v>
      </c>
    </row>
    <row r="1501" spans="1:13" ht="43.2" x14ac:dyDescent="0.3">
      <c r="A1501" s="16" t="s">
        <v>5521</v>
      </c>
      <c r="B1501" s="16" t="s">
        <v>7497</v>
      </c>
      <c r="C1501" s="16" t="s">
        <v>32</v>
      </c>
      <c r="D1501" s="16" t="s">
        <v>1837</v>
      </c>
      <c r="E1501" s="16"/>
      <c r="F1501" s="16" t="s">
        <v>305</v>
      </c>
      <c r="G1501" s="16"/>
      <c r="H1501" s="16"/>
      <c r="I1501" s="19" t="s">
        <v>5522</v>
      </c>
      <c r="J1501" s="16"/>
      <c r="K1501" s="16" t="s">
        <v>5523</v>
      </c>
      <c r="L1501" s="16"/>
      <c r="M1501" s="16" t="str">
        <f>HYPERLINK("https://ceds.ed.gov/cedselementdetails.aspx?termid=27384")</f>
        <v>https://ceds.ed.gov/cedselementdetails.aspx?termid=27384</v>
      </c>
    </row>
    <row r="1502" spans="1:13" ht="86.4" x14ac:dyDescent="0.3">
      <c r="A1502" s="16" t="s">
        <v>7498</v>
      </c>
      <c r="B1502" s="16" t="s">
        <v>7499</v>
      </c>
      <c r="C1502" s="16" t="s">
        <v>8738</v>
      </c>
      <c r="D1502" s="16" t="s">
        <v>1837</v>
      </c>
      <c r="E1502" s="16"/>
      <c r="F1502" s="16"/>
      <c r="G1502" s="16"/>
      <c r="H1502" s="16"/>
      <c r="I1502" s="19" t="s">
        <v>7500</v>
      </c>
      <c r="J1502" s="16"/>
      <c r="K1502" s="16" t="s">
        <v>7501</v>
      </c>
      <c r="L1502" s="16"/>
      <c r="M1502" s="16" t="str">
        <f>HYPERLINK("https://ceds.ed.gov/cedselementdetails.aspx?termid=27949")</f>
        <v>https://ceds.ed.gov/cedselementdetails.aspx?termid=27949</v>
      </c>
    </row>
    <row r="1503" spans="1:13" ht="28.8" x14ac:dyDescent="0.3">
      <c r="A1503" s="16" t="s">
        <v>5524</v>
      </c>
      <c r="B1503" s="16" t="s">
        <v>5525</v>
      </c>
      <c r="C1503" s="16" t="s">
        <v>32</v>
      </c>
      <c r="D1503" s="16" t="s">
        <v>7913</v>
      </c>
      <c r="E1503" s="16"/>
      <c r="F1503" s="16" t="s">
        <v>305</v>
      </c>
      <c r="G1503" s="16"/>
      <c r="H1503" s="16"/>
      <c r="I1503" s="19" t="s">
        <v>5526</v>
      </c>
      <c r="J1503" s="16"/>
      <c r="K1503" s="16" t="s">
        <v>5527</v>
      </c>
      <c r="L1503" s="16" t="s">
        <v>98</v>
      </c>
      <c r="M1503" s="16" t="str">
        <f>HYPERLINK("https://ceds.ed.gov/cedselementdetails.aspx?termid=26835")</f>
        <v>https://ceds.ed.gov/cedselementdetails.aspx?termid=26835</v>
      </c>
    </row>
    <row r="1504" spans="1:13" ht="28.8" x14ac:dyDescent="0.3">
      <c r="A1504" s="16" t="s">
        <v>5528</v>
      </c>
      <c r="B1504" s="16" t="s">
        <v>5529</v>
      </c>
      <c r="C1504" s="16" t="s">
        <v>32</v>
      </c>
      <c r="D1504" s="16" t="s">
        <v>7913</v>
      </c>
      <c r="E1504" s="16"/>
      <c r="F1504" s="16" t="s">
        <v>305</v>
      </c>
      <c r="G1504" s="16"/>
      <c r="H1504" s="16"/>
      <c r="I1504" s="19" t="s">
        <v>5530</v>
      </c>
      <c r="J1504" s="16"/>
      <c r="K1504" s="16" t="s">
        <v>5531</v>
      </c>
      <c r="L1504" s="16" t="s">
        <v>98</v>
      </c>
      <c r="M1504" s="16" t="str">
        <f>HYPERLINK("https://ceds.ed.gov/cedselementdetails.aspx?termid=26836")</f>
        <v>https://ceds.ed.gov/cedselementdetails.aspx?termid=26836</v>
      </c>
    </row>
    <row r="1505" spans="1:13" ht="57.6" x14ac:dyDescent="0.3">
      <c r="A1505" s="16" t="s">
        <v>7502</v>
      </c>
      <c r="B1505" s="16" t="s">
        <v>7503</v>
      </c>
      <c r="C1505" s="16" t="s">
        <v>32</v>
      </c>
      <c r="D1505" s="16" t="s">
        <v>8096</v>
      </c>
      <c r="E1505" s="16"/>
      <c r="F1505" s="16" t="s">
        <v>305</v>
      </c>
      <c r="G1505" s="16"/>
      <c r="H1505" s="16" t="s">
        <v>7504</v>
      </c>
      <c r="I1505" s="19" t="s">
        <v>7505</v>
      </c>
      <c r="J1505" s="16"/>
      <c r="K1505" s="16" t="s">
        <v>7506</v>
      </c>
      <c r="L1505" s="16"/>
      <c r="M1505" s="16" t="str">
        <f>HYPERLINK("https://ceds.ed.gov/cedselementdetails.aspx?termid=27950")</f>
        <v>https://ceds.ed.gov/cedselementdetails.aspx?termid=27950</v>
      </c>
    </row>
    <row r="1506" spans="1:13" ht="28.8" x14ac:dyDescent="0.3">
      <c r="A1506" s="16" t="s">
        <v>5532</v>
      </c>
      <c r="B1506" s="16" t="s">
        <v>5533</v>
      </c>
      <c r="C1506" s="16" t="s">
        <v>32</v>
      </c>
      <c r="D1506" s="16" t="s">
        <v>4877</v>
      </c>
      <c r="E1506" s="16"/>
      <c r="F1506" s="16" t="s">
        <v>305</v>
      </c>
      <c r="G1506" s="16"/>
      <c r="H1506" s="16"/>
      <c r="I1506" s="19" t="s">
        <v>5534</v>
      </c>
      <c r="J1506" s="16"/>
      <c r="K1506" s="16" t="s">
        <v>5535</v>
      </c>
      <c r="L1506" s="16" t="s">
        <v>202</v>
      </c>
      <c r="M1506" s="16" t="str">
        <f>HYPERLINK("https://ceds.ed.gov/cedselementdetails.aspx?termid=26460")</f>
        <v>https://ceds.ed.gov/cedselementdetails.aspx?termid=26460</v>
      </c>
    </row>
    <row r="1507" spans="1:13" ht="129.6" x14ac:dyDescent="0.3">
      <c r="A1507" s="16" t="s">
        <v>5536</v>
      </c>
      <c r="B1507" s="16" t="s">
        <v>13013</v>
      </c>
      <c r="C1507" s="16"/>
      <c r="D1507" s="16"/>
      <c r="E1507" s="16"/>
      <c r="F1507" s="16"/>
      <c r="G1507" s="16"/>
      <c r="H1507" s="16"/>
      <c r="I1507" s="19"/>
      <c r="J1507" s="16"/>
      <c r="K1507" s="16"/>
      <c r="L1507" s="16"/>
      <c r="M1507" s="16"/>
    </row>
    <row r="1508" spans="1:13" ht="57.6" x14ac:dyDescent="0.3">
      <c r="A1508" s="16" t="s">
        <v>13014</v>
      </c>
      <c r="B1508" s="16" t="s">
        <v>32</v>
      </c>
      <c r="C1508" s="16" t="s">
        <v>7975</v>
      </c>
      <c r="D1508" s="16"/>
      <c r="E1508" s="16" t="s">
        <v>305</v>
      </c>
      <c r="F1508" s="16"/>
      <c r="G1508" s="16"/>
      <c r="H1508" s="16">
        <v>330</v>
      </c>
      <c r="I1508" s="19"/>
      <c r="J1508" s="16" t="s">
        <v>5537</v>
      </c>
      <c r="K1508" s="16" t="s">
        <v>3047</v>
      </c>
      <c r="L1508" s="16" t="str">
        <f>HYPERLINK("https://ceds.ed.gov/cedselementdetails.aspx?termid=26329")</f>
        <v>https://ceds.ed.gov/cedselementdetails.aspx?termid=26329</v>
      </c>
      <c r="M1508" s="16"/>
    </row>
    <row r="1509" spans="1:13" ht="86.4" x14ac:dyDescent="0.3">
      <c r="A1509" s="16" t="s">
        <v>5538</v>
      </c>
      <c r="B1509" s="16" t="s">
        <v>5539</v>
      </c>
      <c r="C1509" s="16" t="s">
        <v>32</v>
      </c>
      <c r="D1509" s="16" t="s">
        <v>8739</v>
      </c>
      <c r="E1509" s="16"/>
      <c r="F1509" s="16" t="s">
        <v>305</v>
      </c>
      <c r="G1509" s="16"/>
      <c r="H1509" s="16" t="s">
        <v>7507</v>
      </c>
      <c r="I1509" s="19" t="s">
        <v>5540</v>
      </c>
      <c r="J1509" s="16"/>
      <c r="K1509" s="16" t="s">
        <v>5541</v>
      </c>
      <c r="L1509" s="16" t="s">
        <v>3047</v>
      </c>
      <c r="M1509" s="16" t="str">
        <f>HYPERLINK("https://ceds.ed.gov/cedselementdetails.aspx?termid=26330")</f>
        <v>https://ceds.ed.gov/cedselementdetails.aspx?termid=26330</v>
      </c>
    </row>
    <row r="1510" spans="1:13" ht="28.8" x14ac:dyDescent="0.3">
      <c r="A1510" s="16" t="s">
        <v>5542</v>
      </c>
      <c r="B1510" s="16" t="s">
        <v>5543</v>
      </c>
      <c r="C1510" s="16" t="s">
        <v>32</v>
      </c>
      <c r="D1510" s="16" t="s">
        <v>8097</v>
      </c>
      <c r="E1510" s="16"/>
      <c r="F1510" s="16" t="s">
        <v>305</v>
      </c>
      <c r="G1510" s="16"/>
      <c r="H1510" s="16"/>
      <c r="I1510" s="19" t="s">
        <v>5544</v>
      </c>
      <c r="J1510" s="16" t="s">
        <v>5545</v>
      </c>
      <c r="K1510" s="16" t="s">
        <v>5546</v>
      </c>
      <c r="L1510" s="16" t="s">
        <v>98</v>
      </c>
      <c r="M1510" s="16" t="str">
        <f>HYPERLINK("https://ceds.ed.gov/cedselementdetails.aspx?termid=26843")</f>
        <v>https://ceds.ed.gov/cedselementdetails.aspx?termid=26843</v>
      </c>
    </row>
    <row r="1511" spans="1:13" ht="100.8" x14ac:dyDescent="0.3">
      <c r="A1511" s="16" t="s">
        <v>5547</v>
      </c>
      <c r="B1511" s="16" t="s">
        <v>5548</v>
      </c>
      <c r="C1511" s="16" t="s">
        <v>32</v>
      </c>
      <c r="D1511" s="16" t="s">
        <v>8740</v>
      </c>
      <c r="E1511" s="16"/>
      <c r="F1511" s="16" t="s">
        <v>1481</v>
      </c>
      <c r="G1511" s="16"/>
      <c r="H1511" s="16"/>
      <c r="I1511" s="19" t="s">
        <v>5549</v>
      </c>
      <c r="J1511" s="16"/>
      <c r="K1511" s="16" t="s">
        <v>5550</v>
      </c>
      <c r="L1511" s="16" t="s">
        <v>195</v>
      </c>
      <c r="M1511" s="16" t="str">
        <f>HYPERLINK("https://ceds.ed.gov/cedselementdetails.aspx?termid=26815")</f>
        <v>https://ceds.ed.gov/cedselementdetails.aspx?termid=26815</v>
      </c>
    </row>
    <row r="1512" spans="1:13" ht="57.6" x14ac:dyDescent="0.3">
      <c r="A1512" s="16" t="s">
        <v>5551</v>
      </c>
      <c r="B1512" s="16" t="s">
        <v>5552</v>
      </c>
      <c r="C1512" s="16" t="s">
        <v>32</v>
      </c>
      <c r="D1512" s="16" t="s">
        <v>2751</v>
      </c>
      <c r="E1512" s="16"/>
      <c r="F1512" s="16" t="s">
        <v>5553</v>
      </c>
      <c r="G1512" s="16"/>
      <c r="H1512" s="16" t="s">
        <v>8098</v>
      </c>
      <c r="I1512" s="19" t="s">
        <v>5554</v>
      </c>
      <c r="J1512" s="16"/>
      <c r="K1512" s="16" t="s">
        <v>5555</v>
      </c>
      <c r="L1512" s="16"/>
      <c r="M1512" s="16" t="str">
        <f>HYPERLINK("https://ceds.ed.gov/cedselementdetails.aspx?termid=27737")</f>
        <v>https://ceds.ed.gov/cedselementdetails.aspx?termid=27737</v>
      </c>
    </row>
    <row r="1513" spans="1:13" ht="172.8" x14ac:dyDescent="0.3">
      <c r="A1513" s="16" t="s">
        <v>5556</v>
      </c>
      <c r="B1513" s="16" t="s">
        <v>5557</v>
      </c>
      <c r="C1513" s="16" t="s">
        <v>32</v>
      </c>
      <c r="D1513" s="16" t="s">
        <v>5558</v>
      </c>
      <c r="E1513" s="16"/>
      <c r="F1513" s="16" t="s">
        <v>5559</v>
      </c>
      <c r="G1513" s="16"/>
      <c r="H1513" s="16"/>
      <c r="I1513" s="19" t="s">
        <v>5560</v>
      </c>
      <c r="J1513" s="16" t="s">
        <v>5561</v>
      </c>
      <c r="K1513" s="16" t="s">
        <v>5561</v>
      </c>
      <c r="L1513" s="16"/>
      <c r="M1513" s="16" t="str">
        <f>HYPERLINK("https://ceds.ed.gov/cedselementdetails.aspx?termid=26203")</f>
        <v>https://ceds.ed.gov/cedselementdetails.aspx?termid=26203</v>
      </c>
    </row>
    <row r="1514" spans="1:13" ht="43.2" x14ac:dyDescent="0.3">
      <c r="A1514" s="16" t="s">
        <v>5562</v>
      </c>
      <c r="B1514" s="16" t="s">
        <v>5563</v>
      </c>
      <c r="C1514" s="16" t="s">
        <v>22</v>
      </c>
      <c r="D1514" s="16" t="s">
        <v>7955</v>
      </c>
      <c r="E1514" s="16"/>
      <c r="F1514" s="16"/>
      <c r="G1514" s="16"/>
      <c r="H1514" s="16"/>
      <c r="I1514" s="19" t="s">
        <v>5564</v>
      </c>
      <c r="J1514" s="16"/>
      <c r="K1514" s="16" t="s">
        <v>5565</v>
      </c>
      <c r="L1514" s="16" t="s">
        <v>98</v>
      </c>
      <c r="M1514" s="16" t="str">
        <f>HYPERLINK("https://ceds.ed.gov/cedselementdetails.aspx?termid=26847")</f>
        <v>https://ceds.ed.gov/cedselementdetails.aspx?termid=26847</v>
      </c>
    </row>
    <row r="1515" spans="1:13" ht="28.8" x14ac:dyDescent="0.3">
      <c r="A1515" s="16" t="s">
        <v>5566</v>
      </c>
      <c r="B1515" s="16" t="s">
        <v>5567</v>
      </c>
      <c r="C1515" s="16" t="s">
        <v>32</v>
      </c>
      <c r="D1515" s="16" t="s">
        <v>7960</v>
      </c>
      <c r="E1515" s="16"/>
      <c r="F1515" s="16" t="s">
        <v>106</v>
      </c>
      <c r="G1515" s="16"/>
      <c r="H1515" s="16"/>
      <c r="I1515" s="19" t="s">
        <v>5568</v>
      </c>
      <c r="J1515" s="16"/>
      <c r="K1515" s="16" t="s">
        <v>5569</v>
      </c>
      <c r="L1515" s="16" t="s">
        <v>2444</v>
      </c>
      <c r="M1515" s="16" t="str">
        <f>HYPERLINK("https://ceds.ed.gov/cedselementdetails.aspx?termid=26350")</f>
        <v>https://ceds.ed.gov/cedselementdetails.aspx?termid=26350</v>
      </c>
    </row>
    <row r="1516" spans="1:13" ht="158.4" x14ac:dyDescent="0.3">
      <c r="A1516" s="16" t="s">
        <v>5570</v>
      </c>
      <c r="B1516" s="16" t="s">
        <v>5571</v>
      </c>
      <c r="C1516" s="16" t="s">
        <v>32</v>
      </c>
      <c r="D1516" s="16" t="s">
        <v>9390</v>
      </c>
      <c r="E1516" s="16"/>
      <c r="F1516" s="16" t="s">
        <v>106</v>
      </c>
      <c r="G1516" s="16"/>
      <c r="H1516" s="16"/>
      <c r="I1516" s="19" t="s">
        <v>5572</v>
      </c>
      <c r="J1516" s="16"/>
      <c r="K1516" s="16" t="s">
        <v>5573</v>
      </c>
      <c r="L1516" s="16" t="s">
        <v>214</v>
      </c>
      <c r="M1516" s="16" t="str">
        <f>HYPERLINK("https://ceds.ed.gov/cedselementdetails.aspx?termid=26525")</f>
        <v>https://ceds.ed.gov/cedselementdetails.aspx?termid=26525</v>
      </c>
    </row>
    <row r="1517" spans="1:13" ht="72" x14ac:dyDescent="0.3">
      <c r="A1517" s="16" t="s">
        <v>5574</v>
      </c>
      <c r="B1517" s="16" t="s">
        <v>5575</v>
      </c>
      <c r="C1517" s="16" t="s">
        <v>22</v>
      </c>
      <c r="D1517" s="16" t="s">
        <v>3181</v>
      </c>
      <c r="E1517" s="16"/>
      <c r="F1517" s="16"/>
      <c r="G1517" s="16"/>
      <c r="H1517" s="16"/>
      <c r="I1517" s="19" t="s">
        <v>5576</v>
      </c>
      <c r="J1517" s="16"/>
      <c r="K1517" s="16" t="s">
        <v>5577</v>
      </c>
      <c r="L1517" s="16"/>
      <c r="M1517" s="16" t="str">
        <f>HYPERLINK("https://ceds.ed.gov/cedselementdetails.aspx?termid=27385")</f>
        <v>https://ceds.ed.gov/cedselementdetails.aspx?termid=27385</v>
      </c>
    </row>
    <row r="1518" spans="1:13" ht="28.8" x14ac:dyDescent="0.3">
      <c r="A1518" s="16" t="s">
        <v>5578</v>
      </c>
      <c r="B1518" s="16" t="s">
        <v>5579</v>
      </c>
      <c r="C1518" s="16" t="s">
        <v>32</v>
      </c>
      <c r="D1518" s="16" t="s">
        <v>3181</v>
      </c>
      <c r="E1518" s="16"/>
      <c r="F1518" s="16" t="s">
        <v>106</v>
      </c>
      <c r="G1518" s="16"/>
      <c r="H1518" s="16"/>
      <c r="I1518" s="19" t="s">
        <v>5580</v>
      </c>
      <c r="J1518" s="16"/>
      <c r="K1518" s="16" t="s">
        <v>5581</v>
      </c>
      <c r="L1518" s="16"/>
      <c r="M1518" s="16" t="str">
        <f>HYPERLINK("https://ceds.ed.gov/cedselementdetails.aspx?termid=27386")</f>
        <v>https://ceds.ed.gov/cedselementdetails.aspx?termid=27386</v>
      </c>
    </row>
    <row r="1519" spans="1:13" ht="409.6" x14ac:dyDescent="0.3">
      <c r="A1519" s="16" t="s">
        <v>5582</v>
      </c>
      <c r="B1519" s="16" t="s">
        <v>5583</v>
      </c>
      <c r="C1519" s="16" t="s">
        <v>8247</v>
      </c>
      <c r="D1519" s="16" t="s">
        <v>13053</v>
      </c>
      <c r="E1519" s="16"/>
      <c r="F1519" s="16"/>
      <c r="G1519" s="16"/>
      <c r="H1519" s="16"/>
      <c r="I1519" s="19" t="s">
        <v>5584</v>
      </c>
      <c r="J1519" s="16"/>
      <c r="K1519" s="16" t="s">
        <v>5585</v>
      </c>
      <c r="L1519" s="16" t="s">
        <v>98</v>
      </c>
      <c r="M1519" s="16" t="str">
        <f>HYPERLINK("https://ceds.ed.gov/cedselementdetails.aspx?termid=26827")</f>
        <v>https://ceds.ed.gov/cedselementdetails.aspx?termid=26827</v>
      </c>
    </row>
    <row r="1520" spans="1:13" ht="388.8" x14ac:dyDescent="0.3">
      <c r="A1520" s="16" t="s">
        <v>5586</v>
      </c>
      <c r="B1520" s="16" t="s">
        <v>5587</v>
      </c>
      <c r="C1520" s="16" t="s">
        <v>32</v>
      </c>
      <c r="D1520" s="16" t="s">
        <v>13054</v>
      </c>
      <c r="E1520" s="16"/>
      <c r="F1520" s="16" t="s">
        <v>120</v>
      </c>
      <c r="G1520" s="16"/>
      <c r="H1520" s="16" t="s">
        <v>7817</v>
      </c>
      <c r="I1520" s="19" t="s">
        <v>5588</v>
      </c>
      <c r="J1520" s="16"/>
      <c r="K1520" s="16" t="s">
        <v>5589</v>
      </c>
      <c r="L1520" s="16" t="s">
        <v>98</v>
      </c>
      <c r="M1520" s="16" t="str">
        <f>HYPERLINK("https://ceds.ed.gov/cedselementdetails.aspx?termid=26825")</f>
        <v>https://ceds.ed.gov/cedselementdetails.aspx?termid=26825</v>
      </c>
    </row>
    <row r="1521" spans="1:13" ht="187.2" x14ac:dyDescent="0.3">
      <c r="A1521" s="16" t="s">
        <v>5590</v>
      </c>
      <c r="B1521" s="16" t="s">
        <v>5591</v>
      </c>
      <c r="C1521" s="16" t="s">
        <v>32</v>
      </c>
      <c r="D1521" s="16" t="s">
        <v>8741</v>
      </c>
      <c r="E1521" s="16"/>
      <c r="F1521" s="16" t="s">
        <v>50</v>
      </c>
      <c r="G1521" s="16"/>
      <c r="H1521" s="16"/>
      <c r="I1521" s="19" t="s">
        <v>5592</v>
      </c>
      <c r="J1521" s="16"/>
      <c r="K1521" s="16" t="s">
        <v>5593</v>
      </c>
      <c r="L1521" s="16"/>
      <c r="M1521" s="16" t="str">
        <f>HYPERLINK("https://ceds.ed.gov/cedselementdetails.aspx?termid=27644")</f>
        <v>https://ceds.ed.gov/cedselementdetails.aspx?termid=27644</v>
      </c>
    </row>
    <row r="1522" spans="1:13" ht="158.4" x14ac:dyDescent="0.3">
      <c r="A1522" s="16" t="s">
        <v>9201</v>
      </c>
      <c r="B1522" s="16" t="s">
        <v>9202</v>
      </c>
      <c r="C1522" s="16" t="s">
        <v>32</v>
      </c>
      <c r="D1522" s="16" t="s">
        <v>13055</v>
      </c>
      <c r="E1522" s="16"/>
      <c r="F1522" s="16" t="s">
        <v>955</v>
      </c>
      <c r="G1522" s="16"/>
      <c r="H1522" s="16"/>
      <c r="I1522" s="19" t="s">
        <v>9203</v>
      </c>
      <c r="J1522" s="16"/>
      <c r="K1522" s="16" t="s">
        <v>9204</v>
      </c>
      <c r="L1522" s="16"/>
      <c r="M1522" s="16" t="str">
        <f>HYPERLINK("https://ceds.ed.gov/cedselementdetails.aspx?termid=28074")</f>
        <v>https://ceds.ed.gov/cedselementdetails.aspx?termid=28074</v>
      </c>
    </row>
    <row r="1523" spans="1:13" ht="43.2" x14ac:dyDescent="0.3">
      <c r="A1523" s="16" t="s">
        <v>5594</v>
      </c>
      <c r="B1523" s="16" t="s">
        <v>5595</v>
      </c>
      <c r="C1523" s="16" t="s">
        <v>8742</v>
      </c>
      <c r="D1523" s="16" t="s">
        <v>8094</v>
      </c>
      <c r="E1523" s="16"/>
      <c r="F1523" s="16"/>
      <c r="G1523" s="16"/>
      <c r="H1523" s="16"/>
      <c r="I1523" s="19" t="s">
        <v>5596</v>
      </c>
      <c r="J1523" s="16"/>
      <c r="K1523" s="16" t="s">
        <v>5597</v>
      </c>
      <c r="L1523" s="16"/>
      <c r="M1523" s="16" t="str">
        <f>HYPERLINK("https://ceds.ed.gov/cedselementdetails.aspx?termid=27296")</f>
        <v>https://ceds.ed.gov/cedselementdetails.aspx?termid=27296</v>
      </c>
    </row>
    <row r="1524" spans="1:13" ht="273.60000000000002" x14ac:dyDescent="0.3">
      <c r="A1524" s="16" t="s">
        <v>5598</v>
      </c>
      <c r="B1524" s="16" t="s">
        <v>5599</v>
      </c>
      <c r="C1524" s="16" t="s">
        <v>32</v>
      </c>
      <c r="D1524" s="16" t="s">
        <v>13056</v>
      </c>
      <c r="E1524" s="16"/>
      <c r="F1524" s="16" t="s">
        <v>145</v>
      </c>
      <c r="G1524" s="16"/>
      <c r="H1524" s="16"/>
      <c r="I1524" s="19" t="s">
        <v>5600</v>
      </c>
      <c r="J1524" s="16"/>
      <c r="K1524" s="16" t="s">
        <v>5601</v>
      </c>
      <c r="L1524" s="16" t="s">
        <v>195</v>
      </c>
      <c r="M1524" s="16" t="str">
        <f>HYPERLINK("https://ceds.ed.gov/cedselementdetails.aspx?termid=26204")</f>
        <v>https://ceds.ed.gov/cedselementdetails.aspx?termid=26204</v>
      </c>
    </row>
    <row r="1525" spans="1:13" ht="129.6" x14ac:dyDescent="0.3">
      <c r="A1525" s="16" t="s">
        <v>5602</v>
      </c>
      <c r="B1525" s="16" t="s">
        <v>5603</v>
      </c>
      <c r="C1525" s="16" t="s">
        <v>8248</v>
      </c>
      <c r="D1525" s="16" t="s">
        <v>9391</v>
      </c>
      <c r="E1525" s="16"/>
      <c r="F1525" s="16"/>
      <c r="G1525" s="16"/>
      <c r="H1525" s="16"/>
      <c r="I1525" s="19" t="s">
        <v>5604</v>
      </c>
      <c r="J1525" s="16"/>
      <c r="K1525" s="16" t="s">
        <v>5605</v>
      </c>
      <c r="L1525" s="16"/>
      <c r="M1525" s="16" t="str">
        <f>HYPERLINK("https://ceds.ed.gov/cedselementdetails.aspx?termid=27387")</f>
        <v>https://ceds.ed.gov/cedselementdetails.aspx?termid=27387</v>
      </c>
    </row>
    <row r="1526" spans="1:13" ht="216" x14ac:dyDescent="0.3">
      <c r="A1526" s="16" t="s">
        <v>5606</v>
      </c>
      <c r="B1526" s="16" t="s">
        <v>5607</v>
      </c>
      <c r="C1526" s="16" t="s">
        <v>32</v>
      </c>
      <c r="D1526" s="16" t="s">
        <v>8743</v>
      </c>
      <c r="E1526" s="16"/>
      <c r="F1526" s="16" t="s">
        <v>2807</v>
      </c>
      <c r="G1526" s="16"/>
      <c r="H1526" s="16"/>
      <c r="I1526" s="19" t="s">
        <v>5608</v>
      </c>
      <c r="J1526" s="16"/>
      <c r="K1526" s="16" t="s">
        <v>5609</v>
      </c>
      <c r="L1526" s="16"/>
      <c r="M1526" s="16" t="str">
        <f>HYPERLINK("https://ceds.ed.gov/cedselementdetails.aspx?termid=27731")</f>
        <v>https://ceds.ed.gov/cedselementdetails.aspx?termid=27731</v>
      </c>
    </row>
    <row r="1527" spans="1:13" ht="187.2" x14ac:dyDescent="0.3">
      <c r="A1527" s="16" t="s">
        <v>5610</v>
      </c>
      <c r="B1527" s="16" t="s">
        <v>5611</v>
      </c>
      <c r="C1527" s="16" t="s">
        <v>8249</v>
      </c>
      <c r="D1527" s="16" t="s">
        <v>8250</v>
      </c>
      <c r="E1527" s="16"/>
      <c r="F1527" s="16"/>
      <c r="G1527" s="16"/>
      <c r="H1527" s="16" t="s">
        <v>8099</v>
      </c>
      <c r="I1527" s="19" t="s">
        <v>5612</v>
      </c>
      <c r="J1527" s="16"/>
      <c r="K1527" s="16" t="s">
        <v>5613</v>
      </c>
      <c r="L1527" s="16"/>
      <c r="M1527" s="16" t="str">
        <f>HYPERLINK("https://ceds.ed.gov/cedselementdetails.aspx?termid=27886")</f>
        <v>https://ceds.ed.gov/cedselementdetails.aspx?termid=27886</v>
      </c>
    </row>
    <row r="1528" spans="1:13" ht="43.2" x14ac:dyDescent="0.3">
      <c r="A1528" s="16" t="s">
        <v>5614</v>
      </c>
      <c r="B1528" s="16" t="s">
        <v>5615</v>
      </c>
      <c r="C1528" s="16" t="s">
        <v>32</v>
      </c>
      <c r="D1528" s="16" t="s">
        <v>8744</v>
      </c>
      <c r="E1528" s="16"/>
      <c r="F1528" s="16" t="s">
        <v>106</v>
      </c>
      <c r="G1528" s="16"/>
      <c r="H1528" s="16"/>
      <c r="I1528" s="19" t="s">
        <v>5616</v>
      </c>
      <c r="J1528" s="16"/>
      <c r="K1528" s="16" t="s">
        <v>5617</v>
      </c>
      <c r="L1528" s="16"/>
      <c r="M1528" s="16" t="str">
        <f>HYPERLINK("https://ceds.ed.gov/cedselementdetails.aspx?termid=27388")</f>
        <v>https://ceds.ed.gov/cedselementdetails.aspx?termid=27388</v>
      </c>
    </row>
    <row r="1529" spans="1:13" ht="409.6" x14ac:dyDescent="0.3">
      <c r="A1529" s="16" t="s">
        <v>5618</v>
      </c>
      <c r="B1529" s="16" t="s">
        <v>5619</v>
      </c>
      <c r="C1529" s="16" t="s">
        <v>9335</v>
      </c>
      <c r="D1529" s="16" t="s">
        <v>13057</v>
      </c>
      <c r="E1529" s="16"/>
      <c r="F1529" s="16"/>
      <c r="G1529" s="16"/>
      <c r="H1529" s="16" t="s">
        <v>5620</v>
      </c>
      <c r="I1529" s="19" t="s">
        <v>5621</v>
      </c>
      <c r="J1529" s="16"/>
      <c r="K1529" s="16" t="s">
        <v>5622</v>
      </c>
      <c r="L1529" s="16"/>
      <c r="M1529" s="16" t="str">
        <f>HYPERLINK("https://ceds.ed.gov/cedselementdetails.aspx?termid=27165")</f>
        <v>https://ceds.ed.gov/cedselementdetails.aspx?termid=27165</v>
      </c>
    </row>
    <row r="1530" spans="1:13" ht="28.8" x14ac:dyDescent="0.3">
      <c r="A1530" s="16" t="s">
        <v>5623</v>
      </c>
      <c r="B1530" s="16" t="s">
        <v>5624</v>
      </c>
      <c r="C1530" s="16" t="s">
        <v>32</v>
      </c>
      <c r="D1530" s="16" t="s">
        <v>8094</v>
      </c>
      <c r="E1530" s="16"/>
      <c r="F1530" s="16" t="s">
        <v>101</v>
      </c>
      <c r="G1530" s="16"/>
      <c r="H1530" s="16"/>
      <c r="I1530" s="19" t="s">
        <v>5625</v>
      </c>
      <c r="J1530" s="16"/>
      <c r="K1530" s="16" t="s">
        <v>5626</v>
      </c>
      <c r="L1530" s="16"/>
      <c r="M1530" s="16" t="str">
        <f>HYPERLINK("https://ceds.ed.gov/cedselementdetails.aspx?termid=27300")</f>
        <v>https://ceds.ed.gov/cedselementdetails.aspx?termid=27300</v>
      </c>
    </row>
    <row r="1531" spans="1:13" ht="172.8" x14ac:dyDescent="0.3">
      <c r="A1531" s="16" t="s">
        <v>5627</v>
      </c>
      <c r="B1531" s="16" t="s">
        <v>5628</v>
      </c>
      <c r="C1531" s="16" t="s">
        <v>32</v>
      </c>
      <c r="D1531" s="16" t="s">
        <v>2505</v>
      </c>
      <c r="E1531" s="16"/>
      <c r="F1531" s="16" t="s">
        <v>120</v>
      </c>
      <c r="G1531" s="16"/>
      <c r="H1531" s="16" t="s">
        <v>7817</v>
      </c>
      <c r="I1531" s="19" t="s">
        <v>5629</v>
      </c>
      <c r="J1531" s="16"/>
      <c r="K1531" s="16" t="s">
        <v>5630</v>
      </c>
      <c r="L1531" s="16"/>
      <c r="M1531" s="16" t="str">
        <f>HYPERLINK("https://ceds.ed.gov/cedselementdetails.aspx?termid=27389")</f>
        <v>https://ceds.ed.gov/cedselementdetails.aspx?termid=27389</v>
      </c>
    </row>
    <row r="1532" spans="1:13" ht="409.6" x14ac:dyDescent="0.3">
      <c r="A1532" s="16" t="s">
        <v>5631</v>
      </c>
      <c r="B1532" s="16" t="s">
        <v>5632</v>
      </c>
      <c r="C1532" s="16" t="s">
        <v>32</v>
      </c>
      <c r="D1532" s="16" t="s">
        <v>8745</v>
      </c>
      <c r="E1532" s="16"/>
      <c r="F1532" s="16" t="s">
        <v>1266</v>
      </c>
      <c r="G1532" s="16"/>
      <c r="H1532" s="16" t="s">
        <v>5633</v>
      </c>
      <c r="I1532" s="19" t="s">
        <v>5634</v>
      </c>
      <c r="J1532" s="16"/>
      <c r="K1532" s="16" t="s">
        <v>5635</v>
      </c>
      <c r="L1532" s="16"/>
      <c r="M1532" s="16" t="str">
        <f>HYPERLINK("https://ceds.ed.gov/cedselementdetails.aspx?termid=27486")</f>
        <v>https://ceds.ed.gov/cedselementdetails.aspx?termid=27486</v>
      </c>
    </row>
    <row r="1533" spans="1:13" ht="409.6" x14ac:dyDescent="0.3">
      <c r="A1533" s="16" t="s">
        <v>5636</v>
      </c>
      <c r="B1533" s="16" t="s">
        <v>5637</v>
      </c>
      <c r="C1533" s="16" t="s">
        <v>32</v>
      </c>
      <c r="D1533" s="16" t="s">
        <v>8745</v>
      </c>
      <c r="E1533" s="16"/>
      <c r="F1533" s="16" t="s">
        <v>1266</v>
      </c>
      <c r="G1533" s="16"/>
      <c r="H1533" s="16" t="s">
        <v>5638</v>
      </c>
      <c r="I1533" s="19" t="s">
        <v>5639</v>
      </c>
      <c r="J1533" s="16"/>
      <c r="K1533" s="16" t="s">
        <v>5640</v>
      </c>
      <c r="L1533" s="16"/>
      <c r="M1533" s="16" t="str">
        <f>HYPERLINK("https://ceds.ed.gov/cedselementdetails.aspx?termid=27485")</f>
        <v>https://ceds.ed.gov/cedselementdetails.aspx?termid=27485</v>
      </c>
    </row>
    <row r="1534" spans="1:13" ht="409.6" x14ac:dyDescent="0.3">
      <c r="A1534" s="16" t="s">
        <v>5641</v>
      </c>
      <c r="B1534" s="16" t="s">
        <v>5642</v>
      </c>
      <c r="C1534" s="16" t="s">
        <v>32</v>
      </c>
      <c r="D1534" s="16" t="s">
        <v>8745</v>
      </c>
      <c r="E1534" s="16"/>
      <c r="F1534" s="16" t="s">
        <v>1266</v>
      </c>
      <c r="G1534" s="16"/>
      <c r="H1534" s="16" t="s">
        <v>5643</v>
      </c>
      <c r="I1534" s="19" t="s">
        <v>5644</v>
      </c>
      <c r="J1534" s="16"/>
      <c r="K1534" s="16" t="s">
        <v>5645</v>
      </c>
      <c r="L1534" s="16"/>
      <c r="M1534" s="16" t="str">
        <f>HYPERLINK("https://ceds.ed.gov/cedselementdetails.aspx?termid=27487")</f>
        <v>https://ceds.ed.gov/cedselementdetails.aspx?termid=27487</v>
      </c>
    </row>
    <row r="1535" spans="1:13" ht="409.6" x14ac:dyDescent="0.3">
      <c r="A1535" s="16" t="s">
        <v>5646</v>
      </c>
      <c r="B1535" s="16" t="s">
        <v>5647</v>
      </c>
      <c r="C1535" s="16" t="s">
        <v>32</v>
      </c>
      <c r="D1535" s="16" t="s">
        <v>8745</v>
      </c>
      <c r="E1535" s="16"/>
      <c r="F1535" s="16" t="s">
        <v>120</v>
      </c>
      <c r="G1535" s="16"/>
      <c r="H1535" s="16"/>
      <c r="I1535" s="19" t="s">
        <v>5648</v>
      </c>
      <c r="J1535" s="16"/>
      <c r="K1535" s="16" t="s">
        <v>5649</v>
      </c>
      <c r="L1535" s="16" t="s">
        <v>4059</v>
      </c>
      <c r="M1535" s="16" t="str">
        <f>HYPERLINK("https://ceds.ed.gov/cedselementdetails.aspx?termid=26206")</f>
        <v>https://ceds.ed.gov/cedselementdetails.aspx?termid=26206</v>
      </c>
    </row>
    <row r="1536" spans="1:13" ht="409.6" x14ac:dyDescent="0.3">
      <c r="A1536" s="16" t="s">
        <v>5650</v>
      </c>
      <c r="B1536" s="16" t="s">
        <v>5651</v>
      </c>
      <c r="C1536" s="16" t="s">
        <v>8746</v>
      </c>
      <c r="D1536" s="16" t="s">
        <v>8747</v>
      </c>
      <c r="E1536" s="16"/>
      <c r="F1536" s="16" t="s">
        <v>81</v>
      </c>
      <c r="G1536" s="16"/>
      <c r="H1536" s="16"/>
      <c r="I1536" s="19" t="s">
        <v>5652</v>
      </c>
      <c r="J1536" s="16"/>
      <c r="K1536" s="16" t="s">
        <v>5653</v>
      </c>
      <c r="L1536" s="16" t="s">
        <v>5654</v>
      </c>
      <c r="M1536" s="16" t="str">
        <f>HYPERLINK("https://ceds.ed.gov/cedselementdetails.aspx?termid=26627")</f>
        <v>https://ceds.ed.gov/cedselementdetails.aspx?termid=26627</v>
      </c>
    </row>
    <row r="1537" spans="1:13" ht="43.2" x14ac:dyDescent="0.3">
      <c r="A1537" s="16" t="s">
        <v>5655</v>
      </c>
      <c r="B1537" s="16" t="s">
        <v>5656</v>
      </c>
      <c r="C1537" s="16" t="s">
        <v>22</v>
      </c>
      <c r="D1537" s="16" t="s">
        <v>8100</v>
      </c>
      <c r="E1537" s="16"/>
      <c r="F1537" s="16"/>
      <c r="G1537" s="16"/>
      <c r="H1537" s="16" t="s">
        <v>5657</v>
      </c>
      <c r="I1537" s="19" t="s">
        <v>5658</v>
      </c>
      <c r="J1537" s="16"/>
      <c r="K1537" s="16" t="s">
        <v>5659</v>
      </c>
      <c r="L1537" s="16"/>
      <c r="M1537" s="16" t="str">
        <f>HYPERLINK("https://ceds.ed.gov/cedselementdetails.aspx?termid=27390")</f>
        <v>https://ceds.ed.gov/cedselementdetails.aspx?termid=27390</v>
      </c>
    </row>
    <row r="1538" spans="1:13" ht="57.6" x14ac:dyDescent="0.3">
      <c r="A1538" s="16" t="s">
        <v>5660</v>
      </c>
      <c r="B1538" s="16" t="s">
        <v>5661</v>
      </c>
      <c r="C1538" s="16" t="s">
        <v>32</v>
      </c>
      <c r="D1538" s="16" t="s">
        <v>227</v>
      </c>
      <c r="E1538" s="16"/>
      <c r="F1538" s="16" t="s">
        <v>1481</v>
      </c>
      <c r="G1538" s="16"/>
      <c r="H1538" s="16" t="s">
        <v>356</v>
      </c>
      <c r="I1538" s="19" t="s">
        <v>5662</v>
      </c>
      <c r="J1538" s="16"/>
      <c r="K1538" s="16" t="s">
        <v>5663</v>
      </c>
      <c r="L1538" s="16" t="s">
        <v>1531</v>
      </c>
      <c r="M1538" s="16" t="str">
        <f>HYPERLINK("https://ceds.ed.gov/cedselementdetails.aspx?termid=26731")</f>
        <v>https://ceds.ed.gov/cedselementdetails.aspx?termid=26731</v>
      </c>
    </row>
    <row r="1539" spans="1:13" ht="244.8" x14ac:dyDescent="0.3">
      <c r="A1539" s="16" t="s">
        <v>5664</v>
      </c>
      <c r="B1539" s="16" t="s">
        <v>5665</v>
      </c>
      <c r="C1539" s="16" t="s">
        <v>2987</v>
      </c>
      <c r="D1539" s="16" t="s">
        <v>12967</v>
      </c>
      <c r="E1539" s="16" t="s">
        <v>160</v>
      </c>
      <c r="F1539" s="16"/>
      <c r="G1539" s="16" t="s">
        <v>12935</v>
      </c>
      <c r="H1539" s="16"/>
      <c r="I1539" s="19" t="s">
        <v>5666</v>
      </c>
      <c r="J1539" s="16"/>
      <c r="K1539" s="16" t="s">
        <v>5667</v>
      </c>
      <c r="L1539" s="16"/>
      <c r="M1539" s="16" t="str">
        <f>HYPERLINK("https://ceds.ed.gov/cedselementdetails.aspx?termid=27908")</f>
        <v>https://ceds.ed.gov/cedselementdetails.aspx?termid=27908</v>
      </c>
    </row>
    <row r="1540" spans="1:13" ht="72" x14ac:dyDescent="0.3">
      <c r="A1540" s="16" t="s">
        <v>5668</v>
      </c>
      <c r="B1540" s="16" t="s">
        <v>5669</v>
      </c>
      <c r="C1540" s="16" t="s">
        <v>32</v>
      </c>
      <c r="D1540" s="16" t="s">
        <v>2505</v>
      </c>
      <c r="E1540" s="16"/>
      <c r="F1540" s="16" t="s">
        <v>81</v>
      </c>
      <c r="G1540" s="16"/>
      <c r="H1540" s="16"/>
      <c r="I1540" s="19" t="s">
        <v>5670</v>
      </c>
      <c r="J1540" s="16"/>
      <c r="K1540" s="16" t="s">
        <v>5671</v>
      </c>
      <c r="L1540" s="16"/>
      <c r="M1540" s="16" t="str">
        <f>HYPERLINK("https://ceds.ed.gov/cedselementdetails.aspx?termid=27391")</f>
        <v>https://ceds.ed.gov/cedselementdetails.aspx?termid=27391</v>
      </c>
    </row>
    <row r="1541" spans="1:13" ht="43.2" x14ac:dyDescent="0.3">
      <c r="A1541" s="16" t="s">
        <v>5672</v>
      </c>
      <c r="B1541" s="16" t="s">
        <v>5673</v>
      </c>
      <c r="C1541" s="16" t="s">
        <v>8748</v>
      </c>
      <c r="D1541" s="16" t="s">
        <v>4275</v>
      </c>
      <c r="E1541" s="16"/>
      <c r="F1541" s="16"/>
      <c r="G1541" s="16"/>
      <c r="H1541" s="16"/>
      <c r="I1541" s="19" t="s">
        <v>5674</v>
      </c>
      <c r="J1541" s="16"/>
      <c r="K1541" s="16" t="s">
        <v>5675</v>
      </c>
      <c r="L1541" s="16" t="s">
        <v>214</v>
      </c>
      <c r="M1541" s="16" t="str">
        <f>HYPERLINK("https://ceds.ed.gov/cedselementdetails.aspx?termid=26207")</f>
        <v>https://ceds.ed.gov/cedselementdetails.aspx?termid=26207</v>
      </c>
    </row>
    <row r="1542" spans="1:13" ht="144" x14ac:dyDescent="0.3">
      <c r="A1542" s="16" t="s">
        <v>5676</v>
      </c>
      <c r="B1542" s="16" t="s">
        <v>5677</v>
      </c>
      <c r="C1542" s="16" t="s">
        <v>8749</v>
      </c>
      <c r="D1542" s="16" t="s">
        <v>7881</v>
      </c>
      <c r="E1542" s="16"/>
      <c r="F1542" s="16"/>
      <c r="G1542" s="16"/>
      <c r="H1542" s="16"/>
      <c r="I1542" s="19" t="s">
        <v>5678</v>
      </c>
      <c r="J1542" s="16"/>
      <c r="K1542" s="16" t="s">
        <v>5679</v>
      </c>
      <c r="L1542" s="16" t="s">
        <v>98</v>
      </c>
      <c r="M1542" s="16" t="str">
        <f>HYPERLINK("https://ceds.ed.gov/cedselementdetails.aspx?termid=26857")</f>
        <v>https://ceds.ed.gov/cedselementdetails.aspx?termid=26857</v>
      </c>
    </row>
    <row r="1543" spans="1:13" ht="144" x14ac:dyDescent="0.3">
      <c r="A1543" s="16" t="s">
        <v>9205</v>
      </c>
      <c r="B1543" s="16" t="s">
        <v>9206</v>
      </c>
      <c r="C1543" s="16" t="s">
        <v>9428</v>
      </c>
      <c r="D1543" s="16" t="s">
        <v>6732</v>
      </c>
      <c r="E1543" s="16"/>
      <c r="F1543" s="16" t="s">
        <v>2</v>
      </c>
      <c r="G1543" s="16"/>
      <c r="H1543" s="16"/>
      <c r="I1543" s="19" t="s">
        <v>9207</v>
      </c>
      <c r="J1543" s="16"/>
      <c r="K1543" s="16" t="s">
        <v>9208</v>
      </c>
      <c r="L1543" s="16"/>
      <c r="M1543" s="16" t="str">
        <f>HYPERLINK("https://ceds.ed.gov/cedselementdetails.aspx?termid=28075")</f>
        <v>https://ceds.ed.gov/cedselementdetails.aspx?termid=28075</v>
      </c>
    </row>
    <row r="1544" spans="1:13" ht="409.6" x14ac:dyDescent="0.3">
      <c r="A1544" s="16" t="s">
        <v>5680</v>
      </c>
      <c r="B1544" s="16" t="s">
        <v>5681</v>
      </c>
      <c r="C1544" s="16" t="s">
        <v>8606</v>
      </c>
      <c r="D1544" s="16" t="s">
        <v>8607</v>
      </c>
      <c r="E1544" s="16"/>
      <c r="F1544" s="16"/>
      <c r="G1544" s="16"/>
      <c r="H1544" s="16"/>
      <c r="I1544" s="19" t="s">
        <v>5682</v>
      </c>
      <c r="J1544" s="16"/>
      <c r="K1544" s="16" t="s">
        <v>5683</v>
      </c>
      <c r="L1544" s="16" t="s">
        <v>3397</v>
      </c>
      <c r="M1544" s="16" t="str">
        <f>HYPERLINK("https://ceds.ed.gov/cedselementdetails.aspx?termid=26867")</f>
        <v>https://ceds.ed.gov/cedselementdetails.aspx?termid=26867</v>
      </c>
    </row>
    <row r="1545" spans="1:13" ht="259.2" x14ac:dyDescent="0.3">
      <c r="A1545" s="16" t="s">
        <v>5684</v>
      </c>
      <c r="B1545" s="16" t="s">
        <v>5685</v>
      </c>
      <c r="C1545" s="16" t="s">
        <v>8750</v>
      </c>
      <c r="D1545" s="16" t="s">
        <v>8751</v>
      </c>
      <c r="E1545" s="16"/>
      <c r="F1545" s="16"/>
      <c r="G1545" s="16"/>
      <c r="H1545" s="16"/>
      <c r="I1545" s="19" t="s">
        <v>5686</v>
      </c>
      <c r="J1545" s="16"/>
      <c r="K1545" s="16" t="s">
        <v>5687</v>
      </c>
      <c r="L1545" s="16" t="s">
        <v>372</v>
      </c>
      <c r="M1545" s="16" t="str">
        <f>HYPERLINK("https://ceds.ed.gov/cedselementdetails.aspx?termid=26325")</f>
        <v>https://ceds.ed.gov/cedselementdetails.aspx?termid=26325</v>
      </c>
    </row>
    <row r="1546" spans="1:13" ht="100.8" x14ac:dyDescent="0.3">
      <c r="A1546" s="16" t="s">
        <v>5688</v>
      </c>
      <c r="B1546" s="16" t="s">
        <v>5689</v>
      </c>
      <c r="C1546" s="16" t="s">
        <v>8752</v>
      </c>
      <c r="D1546" s="16" t="s">
        <v>198</v>
      </c>
      <c r="E1546" s="16"/>
      <c r="F1546" s="16"/>
      <c r="G1546" s="16"/>
      <c r="H1546" s="16"/>
      <c r="I1546" s="19" t="s">
        <v>5690</v>
      </c>
      <c r="J1546" s="16"/>
      <c r="K1546" s="16" t="s">
        <v>5691</v>
      </c>
      <c r="L1546" s="16" t="s">
        <v>214</v>
      </c>
      <c r="M1546" s="16" t="str">
        <f>HYPERLINK("https://ceds.ed.gov/cedselementdetails.aspx?termid=26208")</f>
        <v>https://ceds.ed.gov/cedselementdetails.aspx?termid=26208</v>
      </c>
    </row>
    <row r="1547" spans="1:13" ht="100.8" x14ac:dyDescent="0.3">
      <c r="A1547" s="16" t="s">
        <v>5692</v>
      </c>
      <c r="B1547" s="16" t="s">
        <v>5693</v>
      </c>
      <c r="C1547" s="16" t="s">
        <v>8752</v>
      </c>
      <c r="D1547" s="16" t="s">
        <v>198</v>
      </c>
      <c r="E1547" s="16"/>
      <c r="F1547" s="16"/>
      <c r="G1547" s="16"/>
      <c r="H1547" s="16"/>
      <c r="I1547" s="19" t="s">
        <v>5694</v>
      </c>
      <c r="J1547" s="16"/>
      <c r="K1547" s="16" t="s">
        <v>5695</v>
      </c>
      <c r="L1547" s="16" t="s">
        <v>214</v>
      </c>
      <c r="M1547" s="16" t="str">
        <f>HYPERLINK("https://ceds.ed.gov/cedselementdetails.aspx?termid=26209")</f>
        <v>https://ceds.ed.gov/cedselementdetails.aspx?termid=26209</v>
      </c>
    </row>
    <row r="1548" spans="1:13" ht="158.4" x14ac:dyDescent="0.3">
      <c r="A1548" s="16" t="s">
        <v>5696</v>
      </c>
      <c r="B1548" s="16" t="s">
        <v>5697</v>
      </c>
      <c r="C1548" s="16" t="s">
        <v>8717</v>
      </c>
      <c r="D1548" s="16" t="s">
        <v>1837</v>
      </c>
      <c r="E1548" s="16"/>
      <c r="F1548" s="16"/>
      <c r="G1548" s="16"/>
      <c r="H1548" s="16"/>
      <c r="I1548" s="19" t="s">
        <v>5698</v>
      </c>
      <c r="J1548" s="16"/>
      <c r="K1548" s="16" t="s">
        <v>5699</v>
      </c>
      <c r="L1548" s="16"/>
      <c r="M1548" s="16" t="str">
        <f>HYPERLINK("https://ceds.ed.gov/cedselementdetails.aspx?termid=27195")</f>
        <v>https://ceds.ed.gov/cedselementdetails.aspx?termid=27195</v>
      </c>
    </row>
    <row r="1549" spans="1:13" ht="28.8" x14ac:dyDescent="0.3">
      <c r="A1549" s="16" t="s">
        <v>5700</v>
      </c>
      <c r="B1549" s="16" t="s">
        <v>5701</v>
      </c>
      <c r="C1549" s="16" t="s">
        <v>32</v>
      </c>
      <c r="D1549" s="16" t="s">
        <v>5132</v>
      </c>
      <c r="E1549" s="16"/>
      <c r="F1549" s="16" t="s">
        <v>106</v>
      </c>
      <c r="G1549" s="16"/>
      <c r="H1549" s="16"/>
      <c r="I1549" s="19" t="s">
        <v>5702</v>
      </c>
      <c r="J1549" s="16"/>
      <c r="K1549" s="16" t="s">
        <v>5703</v>
      </c>
      <c r="L1549" s="16"/>
      <c r="M1549" s="16" t="str">
        <f>HYPERLINK("https://ceds.ed.gov/cedselementdetails.aspx?termid=27171")</f>
        <v>https://ceds.ed.gov/cedselementdetails.aspx?termid=27171</v>
      </c>
    </row>
    <row r="1550" spans="1:13" ht="28.8" x14ac:dyDescent="0.3">
      <c r="A1550" s="16" t="s">
        <v>5704</v>
      </c>
      <c r="B1550" s="16" t="s">
        <v>8101</v>
      </c>
      <c r="C1550" s="16" t="s">
        <v>32</v>
      </c>
      <c r="D1550" s="16" t="s">
        <v>5705</v>
      </c>
      <c r="E1550" s="16"/>
      <c r="F1550" s="16" t="s">
        <v>955</v>
      </c>
      <c r="G1550" s="16"/>
      <c r="H1550" s="16"/>
      <c r="I1550" s="19" t="s">
        <v>5706</v>
      </c>
      <c r="J1550" s="16"/>
      <c r="K1550" s="16" t="s">
        <v>5707</v>
      </c>
      <c r="L1550" s="16"/>
      <c r="M1550" s="16" t="str">
        <f>HYPERLINK("https://ceds.ed.gov/cedselementdetails.aspx?termid=27162")</f>
        <v>https://ceds.ed.gov/cedselementdetails.aspx?termid=27162</v>
      </c>
    </row>
    <row r="1551" spans="1:13" ht="28.8" x14ac:dyDescent="0.3">
      <c r="A1551" s="16" t="s">
        <v>5708</v>
      </c>
      <c r="B1551" s="16" t="s">
        <v>5709</v>
      </c>
      <c r="C1551" s="16" t="s">
        <v>32</v>
      </c>
      <c r="D1551" s="16" t="s">
        <v>5705</v>
      </c>
      <c r="E1551" s="16"/>
      <c r="F1551" s="16" t="s">
        <v>955</v>
      </c>
      <c r="G1551" s="16"/>
      <c r="H1551" s="16"/>
      <c r="I1551" s="19" t="s">
        <v>5710</v>
      </c>
      <c r="J1551" s="16"/>
      <c r="K1551" s="16" t="s">
        <v>5711</v>
      </c>
      <c r="L1551" s="16"/>
      <c r="M1551" s="16" t="str">
        <f>HYPERLINK("https://ceds.ed.gov/cedselementdetails.aspx?termid=27163")</f>
        <v>https://ceds.ed.gov/cedselementdetails.aspx?termid=27163</v>
      </c>
    </row>
    <row r="1552" spans="1:13" ht="28.8" x14ac:dyDescent="0.3">
      <c r="A1552" s="16" t="s">
        <v>5712</v>
      </c>
      <c r="B1552" s="16" t="s">
        <v>5713</v>
      </c>
      <c r="C1552" s="16" t="s">
        <v>32</v>
      </c>
      <c r="D1552" s="16" t="s">
        <v>5705</v>
      </c>
      <c r="E1552" s="16"/>
      <c r="F1552" s="16" t="s">
        <v>145</v>
      </c>
      <c r="G1552" s="16"/>
      <c r="H1552" s="16"/>
      <c r="I1552" s="19" t="s">
        <v>5714</v>
      </c>
      <c r="J1552" s="16"/>
      <c r="K1552" s="16" t="s">
        <v>5715</v>
      </c>
      <c r="L1552" s="16"/>
      <c r="M1552" s="16" t="str">
        <f>HYPERLINK("https://ceds.ed.gov/cedselementdetails.aspx?termid=27160")</f>
        <v>https://ceds.ed.gov/cedselementdetails.aspx?termid=27160</v>
      </c>
    </row>
    <row r="1553" spans="1:13" ht="57.6" x14ac:dyDescent="0.3">
      <c r="A1553" s="16" t="s">
        <v>5716</v>
      </c>
      <c r="B1553" s="16" t="s">
        <v>8102</v>
      </c>
      <c r="C1553" s="16" t="s">
        <v>32</v>
      </c>
      <c r="D1553" s="16" t="s">
        <v>5705</v>
      </c>
      <c r="E1553" s="16"/>
      <c r="F1553" s="16" t="s">
        <v>955</v>
      </c>
      <c r="G1553" s="16"/>
      <c r="H1553" s="16"/>
      <c r="I1553" s="19" t="s">
        <v>5717</v>
      </c>
      <c r="J1553" s="16"/>
      <c r="K1553" s="16" t="s">
        <v>5718</v>
      </c>
      <c r="L1553" s="16"/>
      <c r="M1553" s="16" t="str">
        <f>HYPERLINK("https://ceds.ed.gov/cedselementdetails.aspx?termid=27164")</f>
        <v>https://ceds.ed.gov/cedselementdetails.aspx?termid=27164</v>
      </c>
    </row>
    <row r="1554" spans="1:13" ht="115.2" x14ac:dyDescent="0.3">
      <c r="A1554" s="16" t="s">
        <v>8103</v>
      </c>
      <c r="B1554" s="16" t="s">
        <v>8104</v>
      </c>
      <c r="C1554" s="16" t="s">
        <v>22</v>
      </c>
      <c r="D1554" s="16" t="s">
        <v>5719</v>
      </c>
      <c r="E1554" s="16"/>
      <c r="F1554" s="16"/>
      <c r="G1554" s="16"/>
      <c r="H1554" s="16"/>
      <c r="I1554" s="19" t="s">
        <v>5720</v>
      </c>
      <c r="J1554" s="16"/>
      <c r="K1554" s="16" t="s">
        <v>8105</v>
      </c>
      <c r="L1554" s="16" t="s">
        <v>214</v>
      </c>
      <c r="M1554" s="16" t="str">
        <f>HYPERLINK("https://ceds.ed.gov/cedselementdetails.aspx?termid=26574")</f>
        <v>https://ceds.ed.gov/cedselementdetails.aspx?termid=26574</v>
      </c>
    </row>
    <row r="1555" spans="1:13" ht="331.2" x14ac:dyDescent="0.3">
      <c r="A1555" s="16" t="s">
        <v>12826</v>
      </c>
      <c r="B1555" s="16" t="s">
        <v>12827</v>
      </c>
      <c r="C1555" s="16" t="s">
        <v>12917</v>
      </c>
      <c r="D1555" s="16" t="s">
        <v>12918</v>
      </c>
      <c r="E1555" s="16" t="s">
        <v>155</v>
      </c>
      <c r="F1555" s="16" t="s">
        <v>2</v>
      </c>
      <c r="G1555" s="16" t="s">
        <v>12636</v>
      </c>
      <c r="H1555" s="16" t="s">
        <v>12828</v>
      </c>
      <c r="I1555" s="19" t="s">
        <v>12829</v>
      </c>
      <c r="J1555" s="16"/>
      <c r="K1555" s="16" t="s">
        <v>12830</v>
      </c>
      <c r="L1555" s="16"/>
      <c r="M1555" s="16" t="str">
        <f>HYPERLINK("https://ceds.ed.gov/cedselementdetails.aspx?termid=28096")</f>
        <v>https://ceds.ed.gov/cedselementdetails.aspx?termid=28096</v>
      </c>
    </row>
    <row r="1556" spans="1:13" ht="244.8" x14ac:dyDescent="0.3">
      <c r="A1556" s="16" t="s">
        <v>9209</v>
      </c>
      <c r="B1556" s="16" t="s">
        <v>9210</v>
      </c>
      <c r="C1556" s="16" t="s">
        <v>9431</v>
      </c>
      <c r="D1556" s="16" t="s">
        <v>13015</v>
      </c>
      <c r="E1556" s="16"/>
      <c r="F1556" s="16" t="s">
        <v>2</v>
      </c>
      <c r="G1556" s="16"/>
      <c r="H1556" s="16"/>
      <c r="I1556" s="19" t="s">
        <v>9211</v>
      </c>
      <c r="J1556" s="16"/>
      <c r="K1556" s="16" t="s">
        <v>9212</v>
      </c>
      <c r="L1556" s="16"/>
      <c r="M1556" s="16" t="str">
        <f>HYPERLINK("https://ceds.ed.gov/cedselementdetails.aspx?termid=28076")</f>
        <v>https://ceds.ed.gov/cedselementdetails.aspx?termid=28076</v>
      </c>
    </row>
    <row r="1557" spans="1:13" ht="43.2" x14ac:dyDescent="0.3">
      <c r="A1557" s="16" t="s">
        <v>5721</v>
      </c>
      <c r="B1557" s="16" t="s">
        <v>5722</v>
      </c>
      <c r="C1557" s="16" t="s">
        <v>22</v>
      </c>
      <c r="D1557" s="16" t="s">
        <v>2474</v>
      </c>
      <c r="E1557" s="16"/>
      <c r="F1557" s="16"/>
      <c r="G1557" s="16"/>
      <c r="H1557" s="16"/>
      <c r="I1557" s="19" t="s">
        <v>5723</v>
      </c>
      <c r="J1557" s="16"/>
      <c r="K1557" s="16" t="s">
        <v>5724</v>
      </c>
      <c r="L1557" s="16" t="s">
        <v>214</v>
      </c>
      <c r="M1557" s="16" t="str">
        <f>HYPERLINK("https://ceds.ed.gov/cedselementdetails.aspx?termid=26210")</f>
        <v>https://ceds.ed.gov/cedselementdetails.aspx?termid=26210</v>
      </c>
    </row>
    <row r="1558" spans="1:13" ht="43.2" x14ac:dyDescent="0.3">
      <c r="A1558" s="16" t="s">
        <v>5725</v>
      </c>
      <c r="B1558" s="16" t="s">
        <v>5726</v>
      </c>
      <c r="C1558" s="16" t="s">
        <v>22</v>
      </c>
      <c r="D1558" s="16" t="s">
        <v>2474</v>
      </c>
      <c r="E1558" s="16"/>
      <c r="F1558" s="16"/>
      <c r="G1558" s="16"/>
      <c r="H1558" s="16"/>
      <c r="I1558" s="19" t="s">
        <v>5727</v>
      </c>
      <c r="J1558" s="16"/>
      <c r="K1558" s="16" t="s">
        <v>5728</v>
      </c>
      <c r="L1558" s="16" t="s">
        <v>214</v>
      </c>
      <c r="M1558" s="16" t="str">
        <f>HYPERLINK("https://ceds.ed.gov/cedselementdetails.aspx?termid=26211")</f>
        <v>https://ceds.ed.gov/cedselementdetails.aspx?termid=26211</v>
      </c>
    </row>
    <row r="1559" spans="1:13" ht="187.2" x14ac:dyDescent="0.3">
      <c r="A1559" s="16" t="s">
        <v>5729</v>
      </c>
      <c r="B1559" s="16" t="s">
        <v>5730</v>
      </c>
      <c r="C1559" s="16" t="s">
        <v>32</v>
      </c>
      <c r="D1559" s="16" t="s">
        <v>3453</v>
      </c>
      <c r="E1559" s="16"/>
      <c r="F1559" s="16" t="s">
        <v>305</v>
      </c>
      <c r="G1559" s="16"/>
      <c r="H1559" s="16" t="s">
        <v>5731</v>
      </c>
      <c r="I1559" s="19" t="s">
        <v>5732</v>
      </c>
      <c r="J1559" s="16"/>
      <c r="K1559" s="16" t="s">
        <v>5733</v>
      </c>
      <c r="L1559" s="16"/>
      <c r="M1559" s="16" t="str">
        <f>HYPERLINK("https://ceds.ed.gov/cedselementdetails.aspx?termid=26993")</f>
        <v>https://ceds.ed.gov/cedselementdetails.aspx?termid=26993</v>
      </c>
    </row>
    <row r="1560" spans="1:13" ht="409.6" x14ac:dyDescent="0.3">
      <c r="A1560" s="16" t="s">
        <v>5734</v>
      </c>
      <c r="B1560" s="16" t="s">
        <v>5735</v>
      </c>
      <c r="C1560" s="16" t="s">
        <v>9336</v>
      </c>
      <c r="D1560" s="16" t="s">
        <v>9337</v>
      </c>
      <c r="E1560" s="16"/>
      <c r="F1560" s="16"/>
      <c r="G1560" s="16"/>
      <c r="H1560" s="16"/>
      <c r="I1560" s="19" t="s">
        <v>5736</v>
      </c>
      <c r="J1560" s="16"/>
      <c r="K1560" s="16" t="s">
        <v>5737</v>
      </c>
      <c r="L1560" s="16"/>
      <c r="M1560" s="16" t="str">
        <f>HYPERLINK("https://ceds.ed.gov/cedselementdetails.aspx?termid=27550")</f>
        <v>https://ceds.ed.gov/cedselementdetails.aspx?termid=27550</v>
      </c>
    </row>
    <row r="1561" spans="1:13" ht="409.6" x14ac:dyDescent="0.3">
      <c r="A1561" s="16" t="s">
        <v>5738</v>
      </c>
      <c r="B1561" s="16" t="s">
        <v>5739</v>
      </c>
      <c r="C1561" s="16" t="s">
        <v>32</v>
      </c>
      <c r="D1561" s="16" t="s">
        <v>9337</v>
      </c>
      <c r="E1561" s="16"/>
      <c r="F1561" s="16" t="s">
        <v>120</v>
      </c>
      <c r="G1561" s="16"/>
      <c r="H1561" s="16" t="s">
        <v>7905</v>
      </c>
      <c r="I1561" s="19" t="s">
        <v>5740</v>
      </c>
      <c r="J1561" s="16"/>
      <c r="K1561" s="16" t="s">
        <v>5741</v>
      </c>
      <c r="L1561" s="16"/>
      <c r="M1561" s="16" t="str">
        <f>HYPERLINK("https://ceds.ed.gov/cedselementdetails.aspx?termid=27551")</f>
        <v>https://ceds.ed.gov/cedselementdetails.aspx?termid=27551</v>
      </c>
    </row>
    <row r="1562" spans="1:13" ht="43.2" x14ac:dyDescent="0.3">
      <c r="A1562" s="16" t="s">
        <v>5742</v>
      </c>
      <c r="B1562" s="16" t="s">
        <v>5743</v>
      </c>
      <c r="C1562" s="16" t="s">
        <v>32</v>
      </c>
      <c r="D1562" s="16" t="s">
        <v>3442</v>
      </c>
      <c r="E1562" s="16"/>
      <c r="F1562" s="16" t="s">
        <v>305</v>
      </c>
      <c r="G1562" s="16"/>
      <c r="H1562" s="16"/>
      <c r="I1562" s="19" t="s">
        <v>5744</v>
      </c>
      <c r="J1562" s="16"/>
      <c r="K1562" s="16" t="s">
        <v>5745</v>
      </c>
      <c r="L1562" s="16"/>
      <c r="M1562" s="16" t="str">
        <f>HYPERLINK("https://ceds.ed.gov/cedselementdetails.aspx?termid=27392")</f>
        <v>https://ceds.ed.gov/cedselementdetails.aspx?termid=27392</v>
      </c>
    </row>
    <row r="1563" spans="1:13" ht="57.6" x14ac:dyDescent="0.3">
      <c r="A1563" s="16" t="s">
        <v>5746</v>
      </c>
      <c r="B1563" s="16" t="s">
        <v>5747</v>
      </c>
      <c r="C1563" s="16" t="s">
        <v>32</v>
      </c>
      <c r="D1563" s="16" t="s">
        <v>3442</v>
      </c>
      <c r="E1563" s="16"/>
      <c r="F1563" s="16" t="s">
        <v>316</v>
      </c>
      <c r="G1563" s="16"/>
      <c r="H1563" s="16"/>
      <c r="I1563" s="19" t="s">
        <v>5748</v>
      </c>
      <c r="J1563" s="16"/>
      <c r="K1563" s="16" t="s">
        <v>5749</v>
      </c>
      <c r="L1563" s="16"/>
      <c r="M1563" s="16" t="str">
        <f>HYPERLINK("https://ceds.ed.gov/cedselementdetails.aspx?termid=27393")</f>
        <v>https://ceds.ed.gov/cedselementdetails.aspx?termid=27393</v>
      </c>
    </row>
    <row r="1564" spans="1:13" ht="409.6" x14ac:dyDescent="0.3">
      <c r="A1564" s="16" t="s">
        <v>5751</v>
      </c>
      <c r="B1564" s="16" t="s">
        <v>5752</v>
      </c>
      <c r="C1564" s="16" t="s">
        <v>8753</v>
      </c>
      <c r="D1564" s="16" t="s">
        <v>8754</v>
      </c>
      <c r="E1564" s="16"/>
      <c r="F1564" s="16"/>
      <c r="G1564" s="16"/>
      <c r="H1564" s="16" t="s">
        <v>5753</v>
      </c>
      <c r="I1564" s="19" t="s">
        <v>5754</v>
      </c>
      <c r="J1564" s="16"/>
      <c r="K1564" s="16" t="s">
        <v>5755</v>
      </c>
      <c r="L1564" s="16" t="s">
        <v>1516</v>
      </c>
      <c r="M1564" s="16" t="str">
        <f>HYPERLINK("https://ceds.ed.gov/cedselementdetails.aspx?termid=26415")</f>
        <v>https://ceds.ed.gov/cedselementdetails.aspx?termid=26415</v>
      </c>
    </row>
    <row r="1565" spans="1:13" ht="388.8" x14ac:dyDescent="0.3">
      <c r="A1565" s="16" t="s">
        <v>7508</v>
      </c>
      <c r="B1565" s="16" t="s">
        <v>7509</v>
      </c>
      <c r="C1565" s="16" t="s">
        <v>8251</v>
      </c>
      <c r="D1565" s="16" t="s">
        <v>9392</v>
      </c>
      <c r="E1565" s="16"/>
      <c r="F1565" s="16"/>
      <c r="G1565" s="16"/>
      <c r="H1565" s="16"/>
      <c r="I1565" s="19" t="s">
        <v>7510</v>
      </c>
      <c r="J1565" s="16"/>
      <c r="K1565" s="16" t="s">
        <v>7511</v>
      </c>
      <c r="L1565" s="16"/>
      <c r="M1565" s="16" t="str">
        <f>HYPERLINK("https://ceds.ed.gov/cedselementdetails.aspx?termid=27951")</f>
        <v>https://ceds.ed.gov/cedselementdetails.aspx?termid=27951</v>
      </c>
    </row>
    <row r="1566" spans="1:13" ht="403.2" x14ac:dyDescent="0.3">
      <c r="A1566" s="16" t="s">
        <v>5756</v>
      </c>
      <c r="B1566" s="16" t="s">
        <v>5757</v>
      </c>
      <c r="C1566" s="16" t="s">
        <v>8252</v>
      </c>
      <c r="D1566" s="16" t="s">
        <v>9392</v>
      </c>
      <c r="E1566" s="16"/>
      <c r="F1566" s="16"/>
      <c r="G1566" s="16"/>
      <c r="H1566" s="16"/>
      <c r="I1566" s="19" t="s">
        <v>5758</v>
      </c>
      <c r="J1566" s="16"/>
      <c r="K1566" s="16" t="s">
        <v>5759</v>
      </c>
      <c r="L1566" s="16"/>
      <c r="M1566" s="16" t="str">
        <f>HYPERLINK("https://ceds.ed.gov/cedselementdetails.aspx?termid=26611")</f>
        <v>https://ceds.ed.gov/cedselementdetails.aspx?termid=26611</v>
      </c>
    </row>
    <row r="1567" spans="1:13" ht="409.6" x14ac:dyDescent="0.3">
      <c r="A1567" s="16" t="s">
        <v>5760</v>
      </c>
      <c r="B1567" s="16" t="s">
        <v>5761</v>
      </c>
      <c r="C1567" s="16" t="s">
        <v>32</v>
      </c>
      <c r="D1567" s="16" t="s">
        <v>8755</v>
      </c>
      <c r="E1567" s="16"/>
      <c r="F1567" s="16" t="s">
        <v>81</v>
      </c>
      <c r="G1567" s="16"/>
      <c r="H1567" s="16"/>
      <c r="I1567" s="19" t="s">
        <v>5762</v>
      </c>
      <c r="J1567" s="16" t="s">
        <v>5763</v>
      </c>
      <c r="K1567" s="16" t="s">
        <v>5764</v>
      </c>
      <c r="L1567" s="16" t="s">
        <v>5765</v>
      </c>
      <c r="M1567" s="16" t="str">
        <f>HYPERLINK("https://ceds.ed.gov/cedselementdetails.aspx?termid=26212")</f>
        <v>https://ceds.ed.gov/cedselementdetails.aspx?termid=26212</v>
      </c>
    </row>
    <row r="1568" spans="1:13" ht="86.4" x14ac:dyDescent="0.3">
      <c r="A1568" s="16" t="s">
        <v>5766</v>
      </c>
      <c r="B1568" s="16" t="s">
        <v>5767</v>
      </c>
      <c r="C1568" s="16" t="s">
        <v>8756</v>
      </c>
      <c r="D1568" s="16" t="s">
        <v>7824</v>
      </c>
      <c r="E1568" s="16"/>
      <c r="F1568" s="16"/>
      <c r="G1568" s="16"/>
      <c r="H1568" s="16"/>
      <c r="I1568" s="19" t="s">
        <v>5768</v>
      </c>
      <c r="J1568" s="16"/>
      <c r="K1568" s="16" t="s">
        <v>5769</v>
      </c>
      <c r="L1568" s="16" t="s">
        <v>98</v>
      </c>
      <c r="M1568" s="16" t="str">
        <f>HYPERLINK("https://ceds.ed.gov/cedselementdetails.aspx?termid=26842")</f>
        <v>https://ceds.ed.gov/cedselementdetails.aspx?termid=26842</v>
      </c>
    </row>
    <row r="1569" spans="1:13" ht="409.6" x14ac:dyDescent="0.3">
      <c r="A1569" s="16" t="s">
        <v>5770</v>
      </c>
      <c r="B1569" s="16" t="s">
        <v>39</v>
      </c>
      <c r="C1569" s="16" t="s">
        <v>8757</v>
      </c>
      <c r="D1569" s="16" t="s">
        <v>45</v>
      </c>
      <c r="E1569" s="16"/>
      <c r="F1569" s="16"/>
      <c r="G1569" s="16"/>
      <c r="H1569" s="16"/>
      <c r="I1569" s="19" t="s">
        <v>5771</v>
      </c>
      <c r="J1569" s="16"/>
      <c r="K1569" s="16" t="s">
        <v>5772</v>
      </c>
      <c r="L1569" s="16"/>
      <c r="M1569" s="16" t="str">
        <f>HYPERLINK("https://ceds.ed.gov/cedselementdetails.aspx?termid=27649")</f>
        <v>https://ceds.ed.gov/cedselementdetails.aspx?termid=27649</v>
      </c>
    </row>
    <row r="1570" spans="1:13" ht="273.60000000000002" x14ac:dyDescent="0.3">
      <c r="A1570" s="16" t="s">
        <v>5773</v>
      </c>
      <c r="B1570" s="16" t="s">
        <v>5774</v>
      </c>
      <c r="C1570" s="16" t="s">
        <v>32</v>
      </c>
      <c r="D1570" s="16" t="s">
        <v>13058</v>
      </c>
      <c r="E1570" s="16"/>
      <c r="F1570" s="16" t="s">
        <v>1304</v>
      </c>
      <c r="G1570" s="16"/>
      <c r="H1570" s="16"/>
      <c r="I1570" s="19" t="s">
        <v>5775</v>
      </c>
      <c r="J1570" s="16"/>
      <c r="K1570" s="16" t="s">
        <v>5776</v>
      </c>
      <c r="L1570" s="16" t="s">
        <v>64</v>
      </c>
      <c r="M1570" s="16" t="str">
        <f>HYPERLINK("https://ceds.ed.gov/cedselementdetails.aspx?termid=26213")</f>
        <v>https://ceds.ed.gov/cedselementdetails.aspx?termid=26213</v>
      </c>
    </row>
    <row r="1571" spans="1:13" ht="158.4" x14ac:dyDescent="0.3">
      <c r="A1571" s="16" t="s">
        <v>5777</v>
      </c>
      <c r="B1571" s="16" t="s">
        <v>5778</v>
      </c>
      <c r="C1571" s="16" t="s">
        <v>22</v>
      </c>
      <c r="D1571" s="16" t="s">
        <v>237</v>
      </c>
      <c r="E1571" s="16"/>
      <c r="F1571" s="16"/>
      <c r="G1571" s="16"/>
      <c r="H1571" s="16" t="s">
        <v>5779</v>
      </c>
      <c r="I1571" s="19" t="s">
        <v>5780</v>
      </c>
      <c r="J1571" s="16"/>
      <c r="K1571" s="16" t="s">
        <v>5781</v>
      </c>
      <c r="L1571" s="16" t="s">
        <v>240</v>
      </c>
      <c r="M1571" s="16" t="str">
        <f>HYPERLINK("https://ceds.ed.gov/cedselementdetails.aspx?termid=26735")</f>
        <v>https://ceds.ed.gov/cedselementdetails.aspx?termid=26735</v>
      </c>
    </row>
    <row r="1572" spans="1:13" ht="72" x14ac:dyDescent="0.3">
      <c r="A1572" s="16" t="s">
        <v>5782</v>
      </c>
      <c r="B1572" s="16" t="s">
        <v>5783</v>
      </c>
      <c r="C1572" s="16" t="s">
        <v>32</v>
      </c>
      <c r="D1572" s="16" t="s">
        <v>311</v>
      </c>
      <c r="E1572" s="16"/>
      <c r="F1572" s="16" t="s">
        <v>145</v>
      </c>
      <c r="G1572" s="16"/>
      <c r="H1572" s="16"/>
      <c r="I1572" s="19" t="s">
        <v>5784</v>
      </c>
      <c r="J1572" s="16"/>
      <c r="K1572" s="16" t="s">
        <v>5785</v>
      </c>
      <c r="L1572" s="16" t="s">
        <v>58</v>
      </c>
      <c r="M1572" s="16" t="str">
        <f>HYPERLINK("https://ceds.ed.gov/cedselementdetails.aspx?termid=26068")</f>
        <v>https://ceds.ed.gov/cedselementdetails.aspx?termid=26068</v>
      </c>
    </row>
    <row r="1573" spans="1:13" ht="57.6" x14ac:dyDescent="0.3">
      <c r="A1573" s="16" t="s">
        <v>5786</v>
      </c>
      <c r="B1573" s="16" t="s">
        <v>5787</v>
      </c>
      <c r="C1573" s="16" t="s">
        <v>8305</v>
      </c>
      <c r="D1573" s="16" t="s">
        <v>13059</v>
      </c>
      <c r="E1573" s="16"/>
      <c r="F1573" s="16"/>
      <c r="G1573" s="16"/>
      <c r="H1573" s="16"/>
      <c r="I1573" s="19" t="s">
        <v>5788</v>
      </c>
      <c r="J1573" s="16"/>
      <c r="K1573" s="16" t="s">
        <v>5789</v>
      </c>
      <c r="L1573" s="16" t="s">
        <v>214</v>
      </c>
      <c r="M1573" s="16" t="str">
        <f>HYPERLINK("https://ceds.ed.gov/cedselementdetails.aspx?termid=26579")</f>
        <v>https://ceds.ed.gov/cedselementdetails.aspx?termid=26579</v>
      </c>
    </row>
    <row r="1574" spans="1:13" ht="129.6" x14ac:dyDescent="0.3">
      <c r="A1574" s="16" t="s">
        <v>5790</v>
      </c>
      <c r="B1574" s="16" t="s">
        <v>5791</v>
      </c>
      <c r="C1574" s="16" t="s">
        <v>8758</v>
      </c>
      <c r="D1574" s="16" t="s">
        <v>3165</v>
      </c>
      <c r="E1574" s="16"/>
      <c r="F1574" s="16"/>
      <c r="G1574" s="16"/>
      <c r="H1574" s="16" t="s">
        <v>5792</v>
      </c>
      <c r="I1574" s="19" t="s">
        <v>5793</v>
      </c>
      <c r="J1574" s="16"/>
      <c r="K1574" s="16" t="s">
        <v>5794</v>
      </c>
      <c r="L1574" s="16" t="s">
        <v>5795</v>
      </c>
      <c r="M1574" s="16" t="str">
        <f>HYPERLINK("https://ceds.ed.gov/cedselementdetails.aspx?termid=26096")</f>
        <v>https://ceds.ed.gov/cedselementdetails.aspx?termid=26096</v>
      </c>
    </row>
    <row r="1575" spans="1:13" ht="86.4" x14ac:dyDescent="0.3">
      <c r="A1575" s="16" t="s">
        <v>5796</v>
      </c>
      <c r="B1575" s="16" t="s">
        <v>5797</v>
      </c>
      <c r="C1575" s="16" t="s">
        <v>8759</v>
      </c>
      <c r="D1575" s="16" t="s">
        <v>3165</v>
      </c>
      <c r="E1575" s="16"/>
      <c r="F1575" s="16"/>
      <c r="G1575" s="16"/>
      <c r="H1575" s="16"/>
      <c r="I1575" s="19" t="s">
        <v>5798</v>
      </c>
      <c r="J1575" s="16"/>
      <c r="K1575" s="16" t="s">
        <v>5799</v>
      </c>
      <c r="L1575" s="16" t="s">
        <v>186</v>
      </c>
      <c r="M1575" s="16" t="str">
        <f>HYPERLINK("https://ceds.ed.gov/cedselementdetails.aspx?termid=26095")</f>
        <v>https://ceds.ed.gov/cedselementdetails.aspx?termid=26095</v>
      </c>
    </row>
    <row r="1576" spans="1:13" ht="86.4" x14ac:dyDescent="0.3">
      <c r="A1576" s="16" t="s">
        <v>5800</v>
      </c>
      <c r="B1576" s="16" t="s">
        <v>5801</v>
      </c>
      <c r="C1576" s="16" t="s">
        <v>22</v>
      </c>
      <c r="D1576" s="16" t="s">
        <v>5802</v>
      </c>
      <c r="E1576" s="16"/>
      <c r="F1576" s="16"/>
      <c r="G1576" s="16"/>
      <c r="H1576" s="16" t="s">
        <v>5803</v>
      </c>
      <c r="I1576" s="19" t="s">
        <v>5804</v>
      </c>
      <c r="J1576" s="16"/>
      <c r="K1576" s="16" t="s">
        <v>5805</v>
      </c>
      <c r="L1576" s="16"/>
      <c r="M1576" s="16" t="str">
        <f>HYPERLINK("https://ceds.ed.gov/cedselementdetails.aspx?termid=27395")</f>
        <v>https://ceds.ed.gov/cedselementdetails.aspx?termid=27395</v>
      </c>
    </row>
    <row r="1577" spans="1:13" ht="100.8" x14ac:dyDescent="0.3">
      <c r="A1577" s="16" t="s">
        <v>5806</v>
      </c>
      <c r="B1577" s="16" t="s">
        <v>8106</v>
      </c>
      <c r="C1577" s="16" t="s">
        <v>8760</v>
      </c>
      <c r="D1577" s="16" t="s">
        <v>2074</v>
      </c>
      <c r="E1577" s="16"/>
      <c r="F1577" s="16"/>
      <c r="G1577" s="16"/>
      <c r="H1577" s="16"/>
      <c r="I1577" s="19" t="s">
        <v>5807</v>
      </c>
      <c r="J1577" s="16"/>
      <c r="K1577" s="16" t="s">
        <v>5808</v>
      </c>
      <c r="L1577" s="16" t="s">
        <v>2564</v>
      </c>
      <c r="M1577" s="16" t="str">
        <f>HYPERLINK("https://ceds.ed.gov/cedselementdetails.aspx?termid=27596")</f>
        <v>https://ceds.ed.gov/cedselementdetails.aspx?termid=27596</v>
      </c>
    </row>
    <row r="1578" spans="1:13" ht="187.2" x14ac:dyDescent="0.3">
      <c r="A1578" s="16" t="s">
        <v>5809</v>
      </c>
      <c r="B1578" s="16" t="s">
        <v>5810</v>
      </c>
      <c r="C1578" s="16" t="s">
        <v>8761</v>
      </c>
      <c r="D1578" s="16" t="s">
        <v>2051</v>
      </c>
      <c r="E1578" s="16"/>
      <c r="F1578" s="16"/>
      <c r="G1578" s="16"/>
      <c r="H1578" s="16"/>
      <c r="I1578" s="19" t="s">
        <v>5811</v>
      </c>
      <c r="J1578" s="16"/>
      <c r="K1578" s="16" t="s">
        <v>5812</v>
      </c>
      <c r="L1578" s="16" t="s">
        <v>5813</v>
      </c>
      <c r="M1578" s="16" t="str">
        <f>HYPERLINK("https://ceds.ed.gov/cedselementdetails.aspx?termid=27595")</f>
        <v>https://ceds.ed.gov/cedselementdetails.aspx?termid=27595</v>
      </c>
    </row>
    <row r="1579" spans="1:13" ht="86.4" x14ac:dyDescent="0.3">
      <c r="A1579" s="16" t="s">
        <v>5814</v>
      </c>
      <c r="B1579" s="16" t="s">
        <v>5815</v>
      </c>
      <c r="C1579" s="16" t="s">
        <v>32</v>
      </c>
      <c r="D1579" s="16" t="s">
        <v>5802</v>
      </c>
      <c r="E1579" s="16"/>
      <c r="F1579" s="16" t="s">
        <v>81</v>
      </c>
      <c r="G1579" s="16"/>
      <c r="H1579" s="16" t="s">
        <v>5803</v>
      </c>
      <c r="I1579" s="19" t="s">
        <v>5816</v>
      </c>
      <c r="J1579" s="16"/>
      <c r="K1579" s="16" t="s">
        <v>5817</v>
      </c>
      <c r="L1579" s="16"/>
      <c r="M1579" s="16" t="str">
        <f>HYPERLINK("https://ceds.ed.gov/cedselementdetails.aspx?termid=27396")</f>
        <v>https://ceds.ed.gov/cedselementdetails.aspx?termid=27396</v>
      </c>
    </row>
    <row r="1580" spans="1:13" ht="100.8" x14ac:dyDescent="0.3">
      <c r="A1580" s="16" t="s">
        <v>5818</v>
      </c>
      <c r="B1580" s="16" t="s">
        <v>5819</v>
      </c>
      <c r="C1580" s="16" t="s">
        <v>22</v>
      </c>
      <c r="D1580" s="16" t="s">
        <v>3165</v>
      </c>
      <c r="E1580" s="16"/>
      <c r="F1580" s="16"/>
      <c r="G1580" s="16"/>
      <c r="H1580" s="16" t="s">
        <v>5820</v>
      </c>
      <c r="I1580" s="19" t="s">
        <v>5821</v>
      </c>
      <c r="J1580" s="16"/>
      <c r="K1580" s="16" t="s">
        <v>5822</v>
      </c>
      <c r="L1580" s="16" t="s">
        <v>240</v>
      </c>
      <c r="M1580" s="16" t="str">
        <f>HYPERLINK("https://ceds.ed.gov/cedselementdetails.aspx?termid=26741")</f>
        <v>https://ceds.ed.gov/cedselementdetails.aspx?termid=26741</v>
      </c>
    </row>
    <row r="1581" spans="1:13" ht="72" x14ac:dyDescent="0.3">
      <c r="A1581" s="16" t="s">
        <v>5823</v>
      </c>
      <c r="B1581" s="16" t="s">
        <v>5824</v>
      </c>
      <c r="C1581" s="16" t="s">
        <v>8762</v>
      </c>
      <c r="D1581" s="16" t="s">
        <v>61</v>
      </c>
      <c r="E1581" s="16"/>
      <c r="F1581" s="16"/>
      <c r="G1581" s="16"/>
      <c r="H1581" s="16"/>
      <c r="I1581" s="19" t="s">
        <v>5825</v>
      </c>
      <c r="J1581" s="16"/>
      <c r="K1581" s="16" t="s">
        <v>5826</v>
      </c>
      <c r="L1581" s="16" t="s">
        <v>1254</v>
      </c>
      <c r="M1581" s="16" t="str">
        <f>HYPERLINK("https://ceds.ed.gov/cedselementdetails.aspx?termid=26563")</f>
        <v>https://ceds.ed.gov/cedselementdetails.aspx?termid=26563</v>
      </c>
    </row>
    <row r="1582" spans="1:13" ht="115.2" x14ac:dyDescent="0.3">
      <c r="A1582" s="16" t="s">
        <v>5827</v>
      </c>
      <c r="B1582" s="16" t="s">
        <v>5828</v>
      </c>
      <c r="C1582" s="16" t="s">
        <v>8253</v>
      </c>
      <c r="D1582" s="16" t="s">
        <v>9361</v>
      </c>
      <c r="E1582" s="16"/>
      <c r="F1582" s="16"/>
      <c r="G1582" s="16"/>
      <c r="H1582" s="16" t="s">
        <v>5829</v>
      </c>
      <c r="I1582" s="19" t="s">
        <v>5830</v>
      </c>
      <c r="J1582" s="16"/>
      <c r="K1582" s="16" t="s">
        <v>5831</v>
      </c>
      <c r="L1582" s="16" t="s">
        <v>5832</v>
      </c>
      <c r="M1582" s="16" t="str">
        <f>HYPERLINK("https://ceds.ed.gov/cedselementdetails.aspx?termid=26705")</f>
        <v>https://ceds.ed.gov/cedselementdetails.aspx?termid=26705</v>
      </c>
    </row>
    <row r="1583" spans="1:13" ht="57.6" x14ac:dyDescent="0.3">
      <c r="A1583" s="16" t="s">
        <v>5833</v>
      </c>
      <c r="B1583" s="16" t="s">
        <v>5834</v>
      </c>
      <c r="C1583" s="16" t="s">
        <v>8685</v>
      </c>
      <c r="D1583" s="16" t="s">
        <v>4877</v>
      </c>
      <c r="E1583" s="16"/>
      <c r="F1583" s="16"/>
      <c r="G1583" s="16"/>
      <c r="H1583" s="16"/>
      <c r="I1583" s="19" t="s">
        <v>5835</v>
      </c>
      <c r="J1583" s="16"/>
      <c r="K1583" s="16" t="s">
        <v>5836</v>
      </c>
      <c r="L1583" s="16" t="s">
        <v>25</v>
      </c>
      <c r="M1583" s="16" t="str">
        <f>HYPERLINK("https://ceds.ed.gov/cedselementdetails.aspx?termid=26481")</f>
        <v>https://ceds.ed.gov/cedselementdetails.aspx?termid=26481</v>
      </c>
    </row>
    <row r="1584" spans="1:13" ht="100.8" x14ac:dyDescent="0.3">
      <c r="A1584" s="16" t="s">
        <v>5837</v>
      </c>
      <c r="B1584" s="16" t="s">
        <v>5838</v>
      </c>
      <c r="C1584" s="16" t="s">
        <v>8763</v>
      </c>
      <c r="D1584" s="16" t="s">
        <v>4877</v>
      </c>
      <c r="E1584" s="16"/>
      <c r="F1584" s="16"/>
      <c r="G1584" s="16"/>
      <c r="H1584" s="16"/>
      <c r="I1584" s="19" t="s">
        <v>5839</v>
      </c>
      <c r="J1584" s="16"/>
      <c r="K1584" s="16" t="s">
        <v>5840</v>
      </c>
      <c r="L1584" s="16" t="s">
        <v>25</v>
      </c>
      <c r="M1584" s="16" t="str">
        <f>HYPERLINK("https://ceds.ed.gov/cedselementdetails.aspx?termid=26216")</f>
        <v>https://ceds.ed.gov/cedselementdetails.aspx?termid=26216</v>
      </c>
    </row>
    <row r="1585" spans="1:13" ht="86.4" x14ac:dyDescent="0.3">
      <c r="A1585" s="16" t="s">
        <v>5841</v>
      </c>
      <c r="B1585" s="16" t="s">
        <v>8107</v>
      </c>
      <c r="C1585" s="16" t="s">
        <v>8764</v>
      </c>
      <c r="D1585" s="16" t="s">
        <v>4877</v>
      </c>
      <c r="E1585" s="16"/>
      <c r="F1585" s="16"/>
      <c r="G1585" s="16"/>
      <c r="H1585" s="16"/>
      <c r="I1585" s="19" t="s">
        <v>5842</v>
      </c>
      <c r="J1585" s="16"/>
      <c r="K1585" s="16" t="s">
        <v>5843</v>
      </c>
      <c r="L1585" s="16" t="s">
        <v>25</v>
      </c>
      <c r="M1585" s="16" t="str">
        <f>HYPERLINK("https://ceds.ed.gov/cedselementdetails.aspx?termid=26217")</f>
        <v>https://ceds.ed.gov/cedselementdetails.aspx?termid=26217</v>
      </c>
    </row>
    <row r="1586" spans="1:13" ht="172.8" x14ac:dyDescent="0.3">
      <c r="A1586" s="16" t="s">
        <v>5844</v>
      </c>
      <c r="B1586" s="16" t="s">
        <v>5845</v>
      </c>
      <c r="C1586" s="16" t="s">
        <v>8765</v>
      </c>
      <c r="D1586" s="16" t="s">
        <v>27</v>
      </c>
      <c r="E1586" s="16"/>
      <c r="F1586" s="16"/>
      <c r="G1586" s="16"/>
      <c r="H1586" s="16"/>
      <c r="I1586" s="19" t="s">
        <v>5846</v>
      </c>
      <c r="J1586" s="16"/>
      <c r="K1586" s="16" t="s">
        <v>5847</v>
      </c>
      <c r="L1586" s="16"/>
      <c r="M1586" s="16" t="str">
        <f>HYPERLINK("https://ceds.ed.gov/cedselementdetails.aspx?termid=26593")</f>
        <v>https://ceds.ed.gov/cedselementdetails.aspx?termid=26593</v>
      </c>
    </row>
    <row r="1587" spans="1:13" ht="158.4" x14ac:dyDescent="0.3">
      <c r="A1587" s="16" t="s">
        <v>5848</v>
      </c>
      <c r="B1587" s="16" t="s">
        <v>5849</v>
      </c>
      <c r="C1587" s="16" t="s">
        <v>32</v>
      </c>
      <c r="D1587" s="16" t="s">
        <v>227</v>
      </c>
      <c r="E1587" s="16"/>
      <c r="F1587" s="16" t="s">
        <v>1481</v>
      </c>
      <c r="G1587" s="16"/>
      <c r="H1587" s="16" t="s">
        <v>356</v>
      </c>
      <c r="I1587" s="19" t="s">
        <v>5850</v>
      </c>
      <c r="J1587" s="16"/>
      <c r="K1587" s="16" t="s">
        <v>5851</v>
      </c>
      <c r="L1587" s="16" t="s">
        <v>1531</v>
      </c>
      <c r="M1587" s="16" t="str">
        <f>HYPERLINK("https://ceds.ed.gov/cedselementdetails.aspx?termid=26732")</f>
        <v>https://ceds.ed.gov/cedselementdetails.aspx?termid=26732</v>
      </c>
    </row>
    <row r="1588" spans="1:13" ht="43.2" x14ac:dyDescent="0.3">
      <c r="A1588" s="16" t="s">
        <v>5852</v>
      </c>
      <c r="B1588" s="16" t="s">
        <v>7311</v>
      </c>
      <c r="C1588" s="16" t="s">
        <v>22</v>
      </c>
      <c r="D1588" s="16" t="s">
        <v>4862</v>
      </c>
      <c r="E1588" s="16"/>
      <c r="F1588" s="16"/>
      <c r="G1588" s="16"/>
      <c r="H1588" s="16"/>
      <c r="I1588" s="19" t="s">
        <v>5853</v>
      </c>
      <c r="J1588" s="16"/>
      <c r="K1588" s="16" t="s">
        <v>5854</v>
      </c>
      <c r="L1588" s="16"/>
      <c r="M1588" s="16" t="str">
        <f>HYPERLINK("https://ceds.ed.gov/cedselementdetails.aspx?termid=26516")</f>
        <v>https://ceds.ed.gov/cedselementdetails.aspx?termid=26516</v>
      </c>
    </row>
    <row r="1589" spans="1:13" ht="158.4" x14ac:dyDescent="0.3">
      <c r="A1589" s="16" t="s">
        <v>5855</v>
      </c>
      <c r="B1589" s="16" t="s">
        <v>5856</v>
      </c>
      <c r="C1589" s="16" t="s">
        <v>22</v>
      </c>
      <c r="D1589" s="16" t="s">
        <v>8766</v>
      </c>
      <c r="E1589" s="16"/>
      <c r="F1589" s="16"/>
      <c r="G1589" s="16"/>
      <c r="H1589" s="16"/>
      <c r="I1589" s="19" t="s">
        <v>5857</v>
      </c>
      <c r="J1589" s="16"/>
      <c r="K1589" s="16" t="s">
        <v>5858</v>
      </c>
      <c r="L1589" s="16"/>
      <c r="M1589" s="16" t="str">
        <f>HYPERLINK("https://ceds.ed.gov/cedselementdetails.aspx?termid=27397")</f>
        <v>https://ceds.ed.gov/cedselementdetails.aspx?termid=27397</v>
      </c>
    </row>
    <row r="1590" spans="1:13" ht="201.6" x14ac:dyDescent="0.3">
      <c r="A1590" s="16" t="s">
        <v>5859</v>
      </c>
      <c r="B1590" s="16" t="s">
        <v>5860</v>
      </c>
      <c r="C1590" s="16" t="s">
        <v>8767</v>
      </c>
      <c r="D1590" s="16" t="s">
        <v>8768</v>
      </c>
      <c r="E1590" s="16"/>
      <c r="F1590" s="16"/>
      <c r="G1590" s="16"/>
      <c r="H1590" s="16" t="s">
        <v>5861</v>
      </c>
      <c r="I1590" s="19" t="s">
        <v>5862</v>
      </c>
      <c r="J1590" s="16"/>
      <c r="K1590" s="16" t="s">
        <v>5863</v>
      </c>
      <c r="L1590" s="16" t="s">
        <v>5864</v>
      </c>
      <c r="M1590" s="16" t="str">
        <f>HYPERLINK("https://ceds.ed.gov/cedselementdetails.aspx?termid=26218")</f>
        <v>https://ceds.ed.gov/cedselementdetails.aspx?termid=26218</v>
      </c>
    </row>
    <row r="1591" spans="1:13" ht="72" x14ac:dyDescent="0.3">
      <c r="A1591" s="16" t="s">
        <v>7512</v>
      </c>
      <c r="B1591" s="16" t="s">
        <v>7513</v>
      </c>
      <c r="C1591" s="16" t="s">
        <v>8769</v>
      </c>
      <c r="D1591" s="16" t="s">
        <v>7894</v>
      </c>
      <c r="E1591" s="16"/>
      <c r="F1591" s="16"/>
      <c r="G1591" s="16"/>
      <c r="H1591" s="16" t="s">
        <v>7514</v>
      </c>
      <c r="I1591" s="19" t="s">
        <v>7515</v>
      </c>
      <c r="J1591" s="16"/>
      <c r="K1591" s="16" t="s">
        <v>7516</v>
      </c>
      <c r="L1591" s="16"/>
      <c r="M1591" s="16" t="str">
        <f>HYPERLINK("https://ceds.ed.gov/cedselementdetails.aspx?termid=27952")</f>
        <v>https://ceds.ed.gov/cedselementdetails.aspx?termid=27952</v>
      </c>
    </row>
    <row r="1592" spans="1:13" ht="115.2" x14ac:dyDescent="0.3">
      <c r="A1592" s="16" t="s">
        <v>7517</v>
      </c>
      <c r="B1592" s="16" t="s">
        <v>7518</v>
      </c>
      <c r="C1592" s="16" t="s">
        <v>8770</v>
      </c>
      <c r="D1592" s="16" t="s">
        <v>7894</v>
      </c>
      <c r="E1592" s="16"/>
      <c r="F1592" s="16"/>
      <c r="G1592" s="16"/>
      <c r="H1592" s="16" t="s">
        <v>7519</v>
      </c>
      <c r="I1592" s="19" t="s">
        <v>7520</v>
      </c>
      <c r="J1592" s="16"/>
      <c r="K1592" s="16" t="s">
        <v>7521</v>
      </c>
      <c r="L1592" s="16"/>
      <c r="M1592" s="16" t="str">
        <f>HYPERLINK("https://ceds.ed.gov/cedselementdetails.aspx?termid=27953")</f>
        <v>https://ceds.ed.gov/cedselementdetails.aspx?termid=27953</v>
      </c>
    </row>
    <row r="1593" spans="1:13" ht="72" x14ac:dyDescent="0.3">
      <c r="A1593" s="16" t="s">
        <v>7522</v>
      </c>
      <c r="B1593" s="16" t="s">
        <v>7523</v>
      </c>
      <c r="C1593" s="16" t="s">
        <v>8771</v>
      </c>
      <c r="D1593" s="16" t="s">
        <v>7894</v>
      </c>
      <c r="E1593" s="16"/>
      <c r="F1593" s="16"/>
      <c r="G1593" s="16"/>
      <c r="H1593" s="16" t="s">
        <v>7524</v>
      </c>
      <c r="I1593" s="19" t="s">
        <v>7525</v>
      </c>
      <c r="J1593" s="16"/>
      <c r="K1593" s="16" t="s">
        <v>7526</v>
      </c>
      <c r="L1593" s="16"/>
      <c r="M1593" s="16" t="str">
        <f>HYPERLINK("https://ceds.ed.gov/cedselementdetails.aspx?termid=27954")</f>
        <v>https://ceds.ed.gov/cedselementdetails.aspx?termid=27954</v>
      </c>
    </row>
    <row r="1594" spans="1:13" ht="43.2" x14ac:dyDescent="0.3">
      <c r="A1594" s="16" t="s">
        <v>8108</v>
      </c>
      <c r="B1594" s="16" t="s">
        <v>8109</v>
      </c>
      <c r="C1594" s="16" t="s">
        <v>22</v>
      </c>
      <c r="D1594" s="16" t="s">
        <v>9393</v>
      </c>
      <c r="E1594" s="16"/>
      <c r="F1594" s="16" t="s">
        <v>2</v>
      </c>
      <c r="G1594" s="16"/>
      <c r="H1594" s="16" t="s">
        <v>8110</v>
      </c>
      <c r="I1594" s="19" t="s">
        <v>8192</v>
      </c>
      <c r="J1594" s="16"/>
      <c r="K1594" s="16" t="s">
        <v>8111</v>
      </c>
      <c r="L1594" s="16"/>
      <c r="M1594" s="16" t="str">
        <f>HYPERLINK("https://ceds.ed.gov/cedselementdetails.aspx?termid=27990")</f>
        <v>https://ceds.ed.gov/cedselementdetails.aspx?termid=27990</v>
      </c>
    </row>
    <row r="1595" spans="1:13" ht="409.6" x14ac:dyDescent="0.3">
      <c r="A1595" s="16" t="s">
        <v>5865</v>
      </c>
      <c r="B1595" s="16" t="s">
        <v>5866</v>
      </c>
      <c r="C1595" s="16" t="s">
        <v>22</v>
      </c>
      <c r="D1595" s="16" t="s">
        <v>8772</v>
      </c>
      <c r="E1595" s="16"/>
      <c r="F1595" s="16"/>
      <c r="G1595" s="16"/>
      <c r="H1595" s="16"/>
      <c r="I1595" s="19" t="s">
        <v>5867</v>
      </c>
      <c r="J1595" s="16"/>
      <c r="K1595" s="16" t="s">
        <v>5868</v>
      </c>
      <c r="L1595" s="16" t="s">
        <v>64</v>
      </c>
      <c r="M1595" s="16" t="str">
        <f>HYPERLINK("https://ceds.ed.gov/cedselementdetails.aspx?termid=26219")</f>
        <v>https://ceds.ed.gov/cedselementdetails.aspx?termid=26219</v>
      </c>
    </row>
    <row r="1596" spans="1:13" ht="43.2" x14ac:dyDescent="0.3">
      <c r="A1596" s="16" t="s">
        <v>12831</v>
      </c>
      <c r="B1596" s="16" t="s">
        <v>12832</v>
      </c>
      <c r="C1596" s="16" t="s">
        <v>12891</v>
      </c>
      <c r="D1596" s="16" t="s">
        <v>4442</v>
      </c>
      <c r="E1596" s="16" t="s">
        <v>155</v>
      </c>
      <c r="F1596" s="16" t="s">
        <v>2</v>
      </c>
      <c r="G1596" s="16" t="s">
        <v>12636</v>
      </c>
      <c r="H1596" s="16" t="s">
        <v>12833</v>
      </c>
      <c r="I1596" s="19" t="s">
        <v>12834</v>
      </c>
      <c r="J1596" s="16"/>
      <c r="K1596" s="16" t="s">
        <v>12835</v>
      </c>
      <c r="L1596" s="16"/>
      <c r="M1596" s="16" t="str">
        <f>HYPERLINK("https://ceds.ed.gov/cedselementdetails.aspx?termid=28102")</f>
        <v>https://ceds.ed.gov/cedselementdetails.aspx?termid=28102</v>
      </c>
    </row>
    <row r="1597" spans="1:13" ht="43.2" x14ac:dyDescent="0.3">
      <c r="A1597" s="16" t="s">
        <v>5869</v>
      </c>
      <c r="B1597" s="16" t="s">
        <v>5870</v>
      </c>
      <c r="C1597" s="16" t="s">
        <v>22</v>
      </c>
      <c r="D1597" s="16" t="s">
        <v>8773</v>
      </c>
      <c r="E1597" s="16"/>
      <c r="F1597" s="16"/>
      <c r="G1597" s="16"/>
      <c r="H1597" s="16"/>
      <c r="I1597" s="19" t="s">
        <v>5871</v>
      </c>
      <c r="J1597" s="16"/>
      <c r="K1597" s="16" t="s">
        <v>5872</v>
      </c>
      <c r="L1597" s="16" t="s">
        <v>195</v>
      </c>
      <c r="M1597" s="16" t="str">
        <f>HYPERLINK("https://ceds.ed.gov/cedselementdetails.aspx?termid=26806")</f>
        <v>https://ceds.ed.gov/cedselementdetails.aspx?termid=26806</v>
      </c>
    </row>
    <row r="1598" spans="1:13" ht="28.8" x14ac:dyDescent="0.3">
      <c r="A1598" s="16" t="s">
        <v>5873</v>
      </c>
      <c r="B1598" s="16" t="s">
        <v>5874</v>
      </c>
      <c r="C1598" s="16" t="s">
        <v>32</v>
      </c>
      <c r="D1598" s="16" t="s">
        <v>7895</v>
      </c>
      <c r="E1598" s="16"/>
      <c r="F1598" s="16" t="s">
        <v>145</v>
      </c>
      <c r="G1598" s="16"/>
      <c r="H1598" s="16"/>
      <c r="I1598" s="19" t="s">
        <v>5875</v>
      </c>
      <c r="J1598" s="16"/>
      <c r="K1598" s="16" t="s">
        <v>5876</v>
      </c>
      <c r="L1598" s="16" t="s">
        <v>195</v>
      </c>
      <c r="M1598" s="16" t="str">
        <f>HYPERLINK("https://ceds.ed.gov/cedselementdetails.aspx?termid=26807")</f>
        <v>https://ceds.ed.gov/cedselementdetails.aspx?termid=26807</v>
      </c>
    </row>
    <row r="1599" spans="1:13" ht="43.2" x14ac:dyDescent="0.3">
      <c r="A1599" s="16" t="s">
        <v>5877</v>
      </c>
      <c r="B1599" s="16" t="s">
        <v>5878</v>
      </c>
      <c r="C1599" s="16" t="s">
        <v>32</v>
      </c>
      <c r="D1599" s="16" t="s">
        <v>8774</v>
      </c>
      <c r="E1599" s="16"/>
      <c r="F1599" s="16" t="s">
        <v>81</v>
      </c>
      <c r="G1599" s="16"/>
      <c r="H1599" s="16"/>
      <c r="I1599" s="19" t="s">
        <v>5879</v>
      </c>
      <c r="J1599" s="16"/>
      <c r="K1599" s="16" t="s">
        <v>5880</v>
      </c>
      <c r="L1599" s="16"/>
      <c r="M1599" s="16" t="str">
        <f>HYPERLINK("https://ceds.ed.gov/cedselementdetails.aspx?termid=27398")</f>
        <v>https://ceds.ed.gov/cedselementdetails.aspx?termid=27398</v>
      </c>
    </row>
    <row r="1600" spans="1:13" ht="43.2" x14ac:dyDescent="0.3">
      <c r="A1600" s="16" t="s">
        <v>5881</v>
      </c>
      <c r="B1600" s="16" t="s">
        <v>5882</v>
      </c>
      <c r="C1600" s="16" t="s">
        <v>32</v>
      </c>
      <c r="D1600" s="16" t="s">
        <v>8775</v>
      </c>
      <c r="E1600" s="16"/>
      <c r="F1600" s="16" t="s">
        <v>81</v>
      </c>
      <c r="G1600" s="16"/>
      <c r="H1600" s="16"/>
      <c r="I1600" s="19" t="s">
        <v>5883</v>
      </c>
      <c r="J1600" s="16"/>
      <c r="K1600" s="16" t="s">
        <v>5884</v>
      </c>
      <c r="L1600" s="16"/>
      <c r="M1600" s="16" t="str">
        <f>HYPERLINK("https://ceds.ed.gov/cedselementdetails.aspx?termid=27402")</f>
        <v>https://ceds.ed.gov/cedselementdetails.aspx?termid=27402</v>
      </c>
    </row>
    <row r="1601" spans="1:13" ht="100.8" x14ac:dyDescent="0.3">
      <c r="A1601" s="16" t="s">
        <v>5885</v>
      </c>
      <c r="B1601" s="16" t="s">
        <v>5886</v>
      </c>
      <c r="C1601" s="16" t="s">
        <v>8776</v>
      </c>
      <c r="D1601" s="16" t="s">
        <v>8777</v>
      </c>
      <c r="E1601" s="16"/>
      <c r="F1601" s="16"/>
      <c r="G1601" s="16"/>
      <c r="H1601" s="16"/>
      <c r="I1601" s="19" t="s">
        <v>5887</v>
      </c>
      <c r="J1601" s="16"/>
      <c r="K1601" s="16" t="s">
        <v>5888</v>
      </c>
      <c r="L1601" s="16"/>
      <c r="M1601" s="16" t="str">
        <f>HYPERLINK("https://ceds.ed.gov/cedselementdetails.aspx?termid=27403")</f>
        <v>https://ceds.ed.gov/cedselementdetails.aspx?termid=27403</v>
      </c>
    </row>
    <row r="1602" spans="1:13" ht="57.6" x14ac:dyDescent="0.3">
      <c r="A1602" s="16" t="s">
        <v>5889</v>
      </c>
      <c r="B1602" s="16" t="s">
        <v>5890</v>
      </c>
      <c r="C1602" s="16" t="s">
        <v>32</v>
      </c>
      <c r="D1602" s="16" t="s">
        <v>8775</v>
      </c>
      <c r="E1602" s="16"/>
      <c r="F1602" s="16" t="s">
        <v>81</v>
      </c>
      <c r="G1602" s="16"/>
      <c r="H1602" s="16"/>
      <c r="I1602" s="19" t="s">
        <v>5891</v>
      </c>
      <c r="J1602" s="16"/>
      <c r="K1602" s="16" t="s">
        <v>5892</v>
      </c>
      <c r="L1602" s="16"/>
      <c r="M1602" s="16" t="str">
        <f>HYPERLINK("https://ceds.ed.gov/cedselementdetails.aspx?termid=27404")</f>
        <v>https://ceds.ed.gov/cedselementdetails.aspx?termid=27404</v>
      </c>
    </row>
    <row r="1603" spans="1:13" ht="43.2" x14ac:dyDescent="0.3">
      <c r="A1603" s="16" t="s">
        <v>5893</v>
      </c>
      <c r="B1603" s="16" t="s">
        <v>5894</v>
      </c>
      <c r="C1603" s="16" t="s">
        <v>32</v>
      </c>
      <c r="D1603" s="16" t="s">
        <v>8775</v>
      </c>
      <c r="E1603" s="16"/>
      <c r="F1603" s="16" t="s">
        <v>1481</v>
      </c>
      <c r="G1603" s="16"/>
      <c r="H1603" s="16"/>
      <c r="I1603" s="19" t="s">
        <v>5895</v>
      </c>
      <c r="J1603" s="16"/>
      <c r="K1603" s="16" t="s">
        <v>5896</v>
      </c>
      <c r="L1603" s="16"/>
      <c r="M1603" s="16" t="str">
        <f>HYPERLINK("https://ceds.ed.gov/cedselementdetails.aspx?termid=27405")</f>
        <v>https://ceds.ed.gov/cedselementdetails.aspx?termid=27405</v>
      </c>
    </row>
    <row r="1604" spans="1:13" ht="72" x14ac:dyDescent="0.3">
      <c r="A1604" s="16" t="s">
        <v>5897</v>
      </c>
      <c r="B1604" s="16" t="s">
        <v>5898</v>
      </c>
      <c r="C1604" s="16" t="s">
        <v>8778</v>
      </c>
      <c r="D1604" s="16" t="s">
        <v>8779</v>
      </c>
      <c r="E1604" s="16"/>
      <c r="F1604" s="16"/>
      <c r="G1604" s="16"/>
      <c r="H1604" s="16"/>
      <c r="I1604" s="19" t="s">
        <v>5899</v>
      </c>
      <c r="J1604" s="16"/>
      <c r="K1604" s="16" t="s">
        <v>5900</v>
      </c>
      <c r="L1604" s="16"/>
      <c r="M1604" s="16" t="str">
        <f>HYPERLINK("https://ceds.ed.gov/cedselementdetails.aspx?termid=27406")</f>
        <v>https://ceds.ed.gov/cedselementdetails.aspx?termid=27406</v>
      </c>
    </row>
    <row r="1605" spans="1:13" ht="43.2" x14ac:dyDescent="0.3">
      <c r="A1605" s="16" t="s">
        <v>5901</v>
      </c>
      <c r="B1605" s="16" t="s">
        <v>5902</v>
      </c>
      <c r="C1605" s="16" t="s">
        <v>32</v>
      </c>
      <c r="D1605" s="16" t="s">
        <v>8775</v>
      </c>
      <c r="E1605" s="16"/>
      <c r="F1605" s="16" t="s">
        <v>1481</v>
      </c>
      <c r="G1605" s="16"/>
      <c r="H1605" s="16"/>
      <c r="I1605" s="19" t="s">
        <v>5903</v>
      </c>
      <c r="J1605" s="16"/>
      <c r="K1605" s="16" t="s">
        <v>5904</v>
      </c>
      <c r="L1605" s="16"/>
      <c r="M1605" s="16" t="str">
        <f>HYPERLINK("https://ceds.ed.gov/cedselementdetails.aspx?termid=27407")</f>
        <v>https://ceds.ed.gov/cedselementdetails.aspx?termid=27407</v>
      </c>
    </row>
    <row r="1606" spans="1:13" ht="43.2" x14ac:dyDescent="0.3">
      <c r="A1606" s="16" t="s">
        <v>5905</v>
      </c>
      <c r="B1606" s="16" t="s">
        <v>5906</v>
      </c>
      <c r="C1606" s="16" t="s">
        <v>32</v>
      </c>
      <c r="D1606" s="16" t="s">
        <v>8775</v>
      </c>
      <c r="E1606" s="16"/>
      <c r="F1606" s="16" t="s">
        <v>316</v>
      </c>
      <c r="G1606" s="16"/>
      <c r="H1606" s="16"/>
      <c r="I1606" s="19" t="s">
        <v>5907</v>
      </c>
      <c r="J1606" s="16"/>
      <c r="K1606" s="16" t="s">
        <v>5908</v>
      </c>
      <c r="L1606" s="16"/>
      <c r="M1606" s="16" t="str">
        <f>HYPERLINK("https://ceds.ed.gov/cedselementdetails.aspx?termid=27408")</f>
        <v>https://ceds.ed.gov/cedselementdetails.aspx?termid=27408</v>
      </c>
    </row>
    <row r="1607" spans="1:13" ht="409.6" x14ac:dyDescent="0.3">
      <c r="A1607" s="16" t="s">
        <v>5909</v>
      </c>
      <c r="B1607" s="16" t="s">
        <v>5910</v>
      </c>
      <c r="C1607" s="16" t="s">
        <v>8780</v>
      </c>
      <c r="D1607" s="16" t="s">
        <v>8779</v>
      </c>
      <c r="E1607" s="16"/>
      <c r="F1607" s="16"/>
      <c r="G1607" s="16"/>
      <c r="H1607" s="16" t="s">
        <v>5911</v>
      </c>
      <c r="I1607" s="19" t="s">
        <v>5912</v>
      </c>
      <c r="J1607" s="16"/>
      <c r="K1607" s="16" t="s">
        <v>5913</v>
      </c>
      <c r="L1607" s="16"/>
      <c r="M1607" s="16" t="str">
        <f>HYPERLINK("https://ceds.ed.gov/cedselementdetails.aspx?termid=27245")</f>
        <v>https://ceds.ed.gov/cedselementdetails.aspx?termid=27245</v>
      </c>
    </row>
    <row r="1608" spans="1:13" ht="43.2" x14ac:dyDescent="0.3">
      <c r="A1608" s="16" t="s">
        <v>5914</v>
      </c>
      <c r="B1608" s="16" t="s">
        <v>5915</v>
      </c>
      <c r="C1608" s="16" t="s">
        <v>32</v>
      </c>
      <c r="D1608" s="16" t="s">
        <v>8775</v>
      </c>
      <c r="E1608" s="16"/>
      <c r="F1608" s="16" t="s">
        <v>106</v>
      </c>
      <c r="G1608" s="16"/>
      <c r="H1608" s="16"/>
      <c r="I1608" s="19" t="s">
        <v>5916</v>
      </c>
      <c r="J1608" s="16"/>
      <c r="K1608" s="16" t="s">
        <v>5917</v>
      </c>
      <c r="L1608" s="16"/>
      <c r="M1608" s="16" t="str">
        <f>HYPERLINK("https://ceds.ed.gov/cedselementdetails.aspx?termid=27421")</f>
        <v>https://ceds.ed.gov/cedselementdetails.aspx?termid=27421</v>
      </c>
    </row>
    <row r="1609" spans="1:13" ht="100.8" x14ac:dyDescent="0.3">
      <c r="A1609" s="16" t="s">
        <v>5918</v>
      </c>
      <c r="B1609" s="16" t="s">
        <v>5919</v>
      </c>
      <c r="C1609" s="16" t="s">
        <v>32</v>
      </c>
      <c r="D1609" s="16" t="s">
        <v>8775</v>
      </c>
      <c r="E1609" s="16"/>
      <c r="F1609" s="16" t="s">
        <v>120</v>
      </c>
      <c r="G1609" s="16"/>
      <c r="H1609" s="16" t="s">
        <v>121</v>
      </c>
      <c r="I1609" s="19" t="s">
        <v>5920</v>
      </c>
      <c r="J1609" s="16"/>
      <c r="K1609" s="16" t="s">
        <v>5921</v>
      </c>
      <c r="L1609" s="16" t="s">
        <v>195</v>
      </c>
      <c r="M1609" s="16" t="str">
        <f>HYPERLINK("https://ceds.ed.gov/cedselementdetails.aspx?termid=26808")</f>
        <v>https://ceds.ed.gov/cedselementdetails.aspx?termid=26808</v>
      </c>
    </row>
    <row r="1610" spans="1:13" ht="72" x14ac:dyDescent="0.3">
      <c r="A1610" s="16" t="s">
        <v>5922</v>
      </c>
      <c r="B1610" s="16" t="s">
        <v>5923</v>
      </c>
      <c r="C1610" s="16" t="s">
        <v>8781</v>
      </c>
      <c r="D1610" s="16" t="s">
        <v>8779</v>
      </c>
      <c r="E1610" s="16"/>
      <c r="F1610" s="16"/>
      <c r="G1610" s="16"/>
      <c r="H1610" s="16"/>
      <c r="I1610" s="19" t="s">
        <v>5924</v>
      </c>
      <c r="J1610" s="16"/>
      <c r="K1610" s="16" t="s">
        <v>5925</v>
      </c>
      <c r="L1610" s="16"/>
      <c r="M1610" s="16" t="str">
        <f>HYPERLINK("https://ceds.ed.gov/cedselementdetails.aspx?termid=27409")</f>
        <v>https://ceds.ed.gov/cedselementdetails.aspx?termid=27409</v>
      </c>
    </row>
    <row r="1611" spans="1:13" ht="43.2" x14ac:dyDescent="0.3">
      <c r="A1611" s="16" t="s">
        <v>5926</v>
      </c>
      <c r="B1611" s="16" t="s">
        <v>5927</v>
      </c>
      <c r="C1611" s="16" t="s">
        <v>32</v>
      </c>
      <c r="D1611" s="16" t="s">
        <v>8775</v>
      </c>
      <c r="E1611" s="16"/>
      <c r="F1611" s="16" t="s">
        <v>316</v>
      </c>
      <c r="G1611" s="16"/>
      <c r="H1611" s="16"/>
      <c r="I1611" s="19" t="s">
        <v>5928</v>
      </c>
      <c r="J1611" s="16"/>
      <c r="K1611" s="16" t="s">
        <v>5929</v>
      </c>
      <c r="L1611" s="16"/>
      <c r="M1611" s="16" t="str">
        <f>HYPERLINK("https://ceds.ed.gov/cedselementdetails.aspx?termid=27410")</f>
        <v>https://ceds.ed.gov/cedselementdetails.aspx?termid=27410</v>
      </c>
    </row>
    <row r="1612" spans="1:13" ht="43.2" x14ac:dyDescent="0.3">
      <c r="A1612" s="16" t="s">
        <v>5930</v>
      </c>
      <c r="B1612" s="16" t="s">
        <v>5931</v>
      </c>
      <c r="C1612" s="16" t="s">
        <v>22</v>
      </c>
      <c r="D1612" s="16" t="s">
        <v>8782</v>
      </c>
      <c r="E1612" s="16"/>
      <c r="F1612" s="16"/>
      <c r="G1612" s="16"/>
      <c r="H1612" s="16"/>
      <c r="I1612" s="19" t="s">
        <v>5932</v>
      </c>
      <c r="J1612" s="16"/>
      <c r="K1612" s="16" t="s">
        <v>5933</v>
      </c>
      <c r="L1612" s="16"/>
      <c r="M1612" s="16" t="str">
        <f>HYPERLINK("https://ceds.ed.gov/cedselementdetails.aspx?termid=27598")</f>
        <v>https://ceds.ed.gov/cedselementdetails.aspx?termid=27598</v>
      </c>
    </row>
    <row r="1613" spans="1:13" ht="409.6" x14ac:dyDescent="0.3">
      <c r="A1613" s="16" t="s">
        <v>5934</v>
      </c>
      <c r="B1613" s="16" t="s">
        <v>5935</v>
      </c>
      <c r="C1613" s="16" t="s">
        <v>8783</v>
      </c>
      <c r="D1613" s="16" t="s">
        <v>8779</v>
      </c>
      <c r="E1613" s="16"/>
      <c r="F1613" s="16"/>
      <c r="G1613" s="16"/>
      <c r="H1613" s="16"/>
      <c r="I1613" s="19" t="s">
        <v>5936</v>
      </c>
      <c r="J1613" s="16"/>
      <c r="K1613" s="16" t="s">
        <v>5937</v>
      </c>
      <c r="L1613" s="16"/>
      <c r="M1613" s="16" t="str">
        <f>HYPERLINK("https://ceds.ed.gov/cedselementdetails.aspx?termid=27464")</f>
        <v>https://ceds.ed.gov/cedselementdetails.aspx?termid=27464</v>
      </c>
    </row>
    <row r="1614" spans="1:13" ht="43.2" x14ac:dyDescent="0.3">
      <c r="A1614" s="16" t="s">
        <v>5938</v>
      </c>
      <c r="B1614" s="16" t="s">
        <v>5939</v>
      </c>
      <c r="C1614" s="16" t="s">
        <v>32</v>
      </c>
      <c r="D1614" s="16" t="s">
        <v>8775</v>
      </c>
      <c r="E1614" s="16"/>
      <c r="F1614" s="16" t="s">
        <v>145</v>
      </c>
      <c r="G1614" s="16"/>
      <c r="H1614" s="16"/>
      <c r="I1614" s="19" t="s">
        <v>5940</v>
      </c>
      <c r="J1614" s="16"/>
      <c r="K1614" s="16" t="s">
        <v>5941</v>
      </c>
      <c r="L1614" s="16" t="s">
        <v>195</v>
      </c>
      <c r="M1614" s="16" t="str">
        <f>HYPERLINK("https://ceds.ed.gov/cedselementdetails.aspx?termid=26809")</f>
        <v>https://ceds.ed.gov/cedselementdetails.aspx?termid=26809</v>
      </c>
    </row>
    <row r="1615" spans="1:13" ht="187.2" x14ac:dyDescent="0.3">
      <c r="A1615" s="16" t="s">
        <v>5942</v>
      </c>
      <c r="B1615" s="16" t="s">
        <v>5943</v>
      </c>
      <c r="C1615" s="16" t="s">
        <v>8784</v>
      </c>
      <c r="D1615" s="16" t="s">
        <v>8779</v>
      </c>
      <c r="E1615" s="16"/>
      <c r="F1615" s="16"/>
      <c r="G1615" s="16"/>
      <c r="H1615" s="16" t="s">
        <v>5944</v>
      </c>
      <c r="I1615" s="19" t="s">
        <v>5945</v>
      </c>
      <c r="J1615" s="16"/>
      <c r="K1615" s="16" t="s">
        <v>5946</v>
      </c>
      <c r="L1615" s="16"/>
      <c r="M1615" s="16" t="str">
        <f>HYPERLINK("https://ceds.ed.gov/cedselementdetails.aspx?termid=27412")</f>
        <v>https://ceds.ed.gov/cedselementdetails.aspx?termid=27412</v>
      </c>
    </row>
    <row r="1616" spans="1:13" ht="43.2" x14ac:dyDescent="0.3">
      <c r="A1616" s="16" t="s">
        <v>5947</v>
      </c>
      <c r="B1616" s="16" t="s">
        <v>5948</v>
      </c>
      <c r="C1616" s="16" t="s">
        <v>8719</v>
      </c>
      <c r="D1616" s="16" t="s">
        <v>8785</v>
      </c>
      <c r="E1616" s="16"/>
      <c r="F1616" s="16"/>
      <c r="G1616" s="16"/>
      <c r="H1616" s="16"/>
      <c r="I1616" s="19" t="s">
        <v>5949</v>
      </c>
      <c r="J1616" s="16"/>
      <c r="K1616" s="16" t="s">
        <v>5950</v>
      </c>
      <c r="L1616" s="16"/>
      <c r="M1616" s="16" t="str">
        <f>HYPERLINK("https://ceds.ed.gov/cedselementdetails.aspx?termid=27399")</f>
        <v>https://ceds.ed.gov/cedselementdetails.aspx?termid=27399</v>
      </c>
    </row>
    <row r="1617" spans="1:13" ht="100.8" x14ac:dyDescent="0.3">
      <c r="A1617" s="16" t="s">
        <v>5951</v>
      </c>
      <c r="B1617" s="16" t="s">
        <v>5952</v>
      </c>
      <c r="C1617" s="16" t="s">
        <v>8274</v>
      </c>
      <c r="D1617" s="16" t="s">
        <v>8786</v>
      </c>
      <c r="E1617" s="16"/>
      <c r="F1617" s="16"/>
      <c r="G1617" s="16"/>
      <c r="H1617" s="16"/>
      <c r="I1617" s="19" t="s">
        <v>5953</v>
      </c>
      <c r="J1617" s="16"/>
      <c r="K1617" s="16" t="s">
        <v>5954</v>
      </c>
      <c r="L1617" s="16"/>
      <c r="M1617" s="16" t="str">
        <f>HYPERLINK("https://ceds.ed.gov/cedselementdetails.aspx?termid=27401")</f>
        <v>https://ceds.ed.gov/cedselementdetails.aspx?termid=27401</v>
      </c>
    </row>
    <row r="1618" spans="1:13" ht="172.8" x14ac:dyDescent="0.3">
      <c r="A1618" s="16" t="s">
        <v>5955</v>
      </c>
      <c r="B1618" s="16" t="s">
        <v>5956</v>
      </c>
      <c r="C1618" s="16" t="s">
        <v>8787</v>
      </c>
      <c r="D1618" s="16" t="s">
        <v>8788</v>
      </c>
      <c r="E1618" s="16"/>
      <c r="F1618" s="16"/>
      <c r="G1618" s="16"/>
      <c r="H1618" s="16"/>
      <c r="I1618" s="19" t="s">
        <v>5957</v>
      </c>
      <c r="J1618" s="16"/>
      <c r="K1618" s="16" t="s">
        <v>5958</v>
      </c>
      <c r="L1618" s="16" t="s">
        <v>195</v>
      </c>
      <c r="M1618" s="16" t="str">
        <f>HYPERLINK("https://ceds.ed.gov/cedselementdetails.aspx?termid=26811")</f>
        <v>https://ceds.ed.gov/cedselementdetails.aspx?termid=26811</v>
      </c>
    </row>
    <row r="1619" spans="1:13" ht="43.2" x14ac:dyDescent="0.3">
      <c r="A1619" s="16" t="s">
        <v>5959</v>
      </c>
      <c r="B1619" s="16" t="s">
        <v>5960</v>
      </c>
      <c r="C1619" s="16" t="s">
        <v>32</v>
      </c>
      <c r="D1619" s="16" t="s">
        <v>8789</v>
      </c>
      <c r="E1619" s="16"/>
      <c r="F1619" s="16" t="s">
        <v>81</v>
      </c>
      <c r="G1619" s="16"/>
      <c r="H1619" s="16"/>
      <c r="I1619" s="19" t="s">
        <v>5961</v>
      </c>
      <c r="J1619" s="16"/>
      <c r="K1619" s="16" t="s">
        <v>5962</v>
      </c>
      <c r="L1619" s="16"/>
      <c r="M1619" s="16" t="str">
        <f>HYPERLINK("https://ceds.ed.gov/cedselementdetails.aspx?termid=27413")</f>
        <v>https://ceds.ed.gov/cedselementdetails.aspx?termid=27413</v>
      </c>
    </row>
    <row r="1620" spans="1:13" ht="158.4" x14ac:dyDescent="0.3">
      <c r="A1620" s="16" t="s">
        <v>5963</v>
      </c>
      <c r="B1620" s="16" t="s">
        <v>5964</v>
      </c>
      <c r="C1620" s="16" t="s">
        <v>8790</v>
      </c>
      <c r="D1620" s="16" t="s">
        <v>8791</v>
      </c>
      <c r="E1620" s="16"/>
      <c r="F1620" s="16"/>
      <c r="G1620" s="16"/>
      <c r="H1620" s="16"/>
      <c r="I1620" s="19" t="s">
        <v>5965</v>
      </c>
      <c r="J1620" s="16"/>
      <c r="K1620" s="16" t="s">
        <v>5966</v>
      </c>
      <c r="L1620" s="16"/>
      <c r="M1620" s="16" t="str">
        <f>HYPERLINK("https://ceds.ed.gov/cedselementdetails.aspx?termid=27429")</f>
        <v>https://ceds.ed.gov/cedselementdetails.aspx?termid=27429</v>
      </c>
    </row>
    <row r="1621" spans="1:13" ht="172.8" x14ac:dyDescent="0.3">
      <c r="A1621" s="16" t="s">
        <v>5967</v>
      </c>
      <c r="B1621" s="16" t="s">
        <v>5968</v>
      </c>
      <c r="C1621" s="16" t="s">
        <v>32</v>
      </c>
      <c r="D1621" s="16" t="s">
        <v>8789</v>
      </c>
      <c r="E1621" s="16"/>
      <c r="F1621" s="16" t="s">
        <v>120</v>
      </c>
      <c r="G1621" s="16"/>
      <c r="H1621" s="16" t="s">
        <v>7817</v>
      </c>
      <c r="I1621" s="19" t="s">
        <v>5969</v>
      </c>
      <c r="J1621" s="16"/>
      <c r="K1621" s="16" t="s">
        <v>5970</v>
      </c>
      <c r="L1621" s="16"/>
      <c r="M1621" s="16" t="str">
        <f>HYPERLINK("https://ceds.ed.gov/cedselementdetails.aspx?termid=27414")</f>
        <v>https://ceds.ed.gov/cedselementdetails.aspx?termid=27414</v>
      </c>
    </row>
    <row r="1622" spans="1:13" ht="43.2" x14ac:dyDescent="0.3">
      <c r="A1622" s="16" t="s">
        <v>5971</v>
      </c>
      <c r="B1622" s="16" t="s">
        <v>5972</v>
      </c>
      <c r="C1622" s="16" t="s">
        <v>22</v>
      </c>
      <c r="D1622" s="16" t="s">
        <v>7895</v>
      </c>
      <c r="E1622" s="16"/>
      <c r="F1622" s="16"/>
      <c r="G1622" s="16"/>
      <c r="H1622" s="16"/>
      <c r="I1622" s="19" t="s">
        <v>5973</v>
      </c>
      <c r="J1622" s="16"/>
      <c r="K1622" s="16" t="s">
        <v>5974</v>
      </c>
      <c r="L1622" s="16"/>
      <c r="M1622" s="16" t="str">
        <f>HYPERLINK("https://ceds.ed.gov/cedselementdetails.aspx?termid=27599")</f>
        <v>https://ceds.ed.gov/cedselementdetails.aspx?termid=27599</v>
      </c>
    </row>
    <row r="1623" spans="1:13" ht="28.8" x14ac:dyDescent="0.3">
      <c r="A1623" s="16" t="s">
        <v>5975</v>
      </c>
      <c r="B1623" s="16" t="s">
        <v>5976</v>
      </c>
      <c r="C1623" s="16" t="s">
        <v>32</v>
      </c>
      <c r="D1623" s="16" t="s">
        <v>7895</v>
      </c>
      <c r="E1623" s="16"/>
      <c r="F1623" s="16" t="s">
        <v>106</v>
      </c>
      <c r="G1623" s="16"/>
      <c r="H1623" s="16"/>
      <c r="I1623" s="19" t="s">
        <v>5977</v>
      </c>
      <c r="J1623" s="16"/>
      <c r="K1623" s="16" t="s">
        <v>5978</v>
      </c>
      <c r="L1623" s="16"/>
      <c r="M1623" s="16" t="str">
        <f>HYPERLINK("https://ceds.ed.gov/cedselementdetails.aspx?termid=27600")</f>
        <v>https://ceds.ed.gov/cedselementdetails.aspx?termid=27600</v>
      </c>
    </row>
    <row r="1624" spans="1:13" ht="43.2" x14ac:dyDescent="0.3">
      <c r="A1624" s="16" t="s">
        <v>5979</v>
      </c>
      <c r="B1624" s="16" t="s">
        <v>5980</v>
      </c>
      <c r="C1624" s="16" t="s">
        <v>22</v>
      </c>
      <c r="D1624" s="16" t="s">
        <v>7895</v>
      </c>
      <c r="E1624" s="16"/>
      <c r="F1624" s="16"/>
      <c r="G1624" s="16"/>
      <c r="H1624" s="16"/>
      <c r="I1624" s="19" t="s">
        <v>5981</v>
      </c>
      <c r="J1624" s="16"/>
      <c r="K1624" s="16" t="s">
        <v>5982</v>
      </c>
      <c r="L1624" s="16"/>
      <c r="M1624" s="16" t="str">
        <f>HYPERLINK("https://ceds.ed.gov/cedselementdetails.aspx?termid=27415")</f>
        <v>https://ceds.ed.gov/cedselementdetails.aspx?termid=27415</v>
      </c>
    </row>
    <row r="1625" spans="1:13" ht="43.2" x14ac:dyDescent="0.3">
      <c r="A1625" s="16" t="s">
        <v>5983</v>
      </c>
      <c r="B1625" s="16" t="s">
        <v>5984</v>
      </c>
      <c r="C1625" s="16" t="s">
        <v>22</v>
      </c>
      <c r="D1625" s="16" t="s">
        <v>7895</v>
      </c>
      <c r="E1625" s="16"/>
      <c r="F1625" s="16"/>
      <c r="G1625" s="16"/>
      <c r="H1625" s="16"/>
      <c r="I1625" s="19" t="s">
        <v>5985</v>
      </c>
      <c r="J1625" s="16"/>
      <c r="K1625" s="16" t="s">
        <v>5986</v>
      </c>
      <c r="L1625" s="16" t="s">
        <v>195</v>
      </c>
      <c r="M1625" s="16" t="str">
        <f>HYPERLINK("https://ceds.ed.gov/cedselementdetails.aspx?termid=26810")</f>
        <v>https://ceds.ed.gov/cedselementdetails.aspx?termid=26810</v>
      </c>
    </row>
    <row r="1626" spans="1:13" ht="43.2" x14ac:dyDescent="0.3">
      <c r="A1626" s="16" t="s">
        <v>5987</v>
      </c>
      <c r="B1626" s="16" t="s">
        <v>5988</v>
      </c>
      <c r="C1626" s="16" t="s">
        <v>32</v>
      </c>
      <c r="D1626" s="16" t="s">
        <v>8789</v>
      </c>
      <c r="E1626" s="16"/>
      <c r="F1626" s="16" t="s">
        <v>305</v>
      </c>
      <c r="G1626" s="16"/>
      <c r="H1626" s="16"/>
      <c r="I1626" s="19" t="s">
        <v>5989</v>
      </c>
      <c r="J1626" s="16"/>
      <c r="K1626" s="16" t="s">
        <v>5990</v>
      </c>
      <c r="L1626" s="16"/>
      <c r="M1626" s="16" t="str">
        <f>HYPERLINK("https://ceds.ed.gov/cedselementdetails.aspx?termid=27416")</f>
        <v>https://ceds.ed.gov/cedselementdetails.aspx?termid=27416</v>
      </c>
    </row>
    <row r="1627" spans="1:13" ht="57.6" x14ac:dyDescent="0.3">
      <c r="A1627" s="16" t="s">
        <v>5991</v>
      </c>
      <c r="B1627" s="16" t="s">
        <v>5992</v>
      </c>
      <c r="C1627" s="16" t="s">
        <v>32</v>
      </c>
      <c r="D1627" s="16" t="s">
        <v>8789</v>
      </c>
      <c r="E1627" s="16"/>
      <c r="F1627" s="16" t="s">
        <v>106</v>
      </c>
      <c r="G1627" s="16"/>
      <c r="H1627" s="16" t="s">
        <v>131</v>
      </c>
      <c r="I1627" s="19" t="s">
        <v>5993</v>
      </c>
      <c r="J1627" s="16"/>
      <c r="K1627" s="16" t="s">
        <v>5994</v>
      </c>
      <c r="L1627" s="16"/>
      <c r="M1627" s="16" t="str">
        <f>HYPERLINK("https://ceds.ed.gov/cedselementdetails.aspx?termid=27417")</f>
        <v>https://ceds.ed.gov/cedselementdetails.aspx?termid=27417</v>
      </c>
    </row>
    <row r="1628" spans="1:13" ht="43.2" x14ac:dyDescent="0.3">
      <c r="A1628" s="16" t="s">
        <v>5995</v>
      </c>
      <c r="B1628" s="16" t="s">
        <v>5996</v>
      </c>
      <c r="C1628" s="16" t="s">
        <v>32</v>
      </c>
      <c r="D1628" s="16" t="s">
        <v>8789</v>
      </c>
      <c r="E1628" s="16"/>
      <c r="F1628" s="16" t="s">
        <v>2788</v>
      </c>
      <c r="G1628" s="16"/>
      <c r="H1628" s="16"/>
      <c r="I1628" s="19" t="s">
        <v>5997</v>
      </c>
      <c r="J1628" s="16"/>
      <c r="K1628" s="16" t="s">
        <v>5998</v>
      </c>
      <c r="L1628" s="16"/>
      <c r="M1628" s="16" t="str">
        <f>HYPERLINK("https://ceds.ed.gov/cedselementdetails.aspx?termid=27418")</f>
        <v>https://ceds.ed.gov/cedselementdetails.aspx?termid=27418</v>
      </c>
    </row>
    <row r="1629" spans="1:13" ht="43.2" x14ac:dyDescent="0.3">
      <c r="A1629" s="16" t="s">
        <v>5999</v>
      </c>
      <c r="B1629" s="16" t="s">
        <v>6000</v>
      </c>
      <c r="C1629" s="16" t="s">
        <v>32</v>
      </c>
      <c r="D1629" s="16" t="s">
        <v>8789</v>
      </c>
      <c r="E1629" s="16"/>
      <c r="F1629" s="16" t="s">
        <v>81</v>
      </c>
      <c r="G1629" s="16"/>
      <c r="H1629" s="16"/>
      <c r="I1629" s="19" t="s">
        <v>6001</v>
      </c>
      <c r="J1629" s="16"/>
      <c r="K1629" s="16" t="s">
        <v>6002</v>
      </c>
      <c r="L1629" s="16"/>
      <c r="M1629" s="16" t="str">
        <f>HYPERLINK("https://ceds.ed.gov/cedselementdetails.aspx?termid=27419")</f>
        <v>https://ceds.ed.gov/cedselementdetails.aspx?termid=27419</v>
      </c>
    </row>
    <row r="1630" spans="1:13" ht="43.2" x14ac:dyDescent="0.3">
      <c r="A1630" s="16" t="s">
        <v>6003</v>
      </c>
      <c r="B1630" s="16" t="s">
        <v>6004</v>
      </c>
      <c r="C1630" s="16" t="s">
        <v>32</v>
      </c>
      <c r="D1630" s="16" t="s">
        <v>8789</v>
      </c>
      <c r="E1630" s="16"/>
      <c r="F1630" s="16" t="s">
        <v>81</v>
      </c>
      <c r="G1630" s="16"/>
      <c r="H1630" s="16"/>
      <c r="I1630" s="19" t="s">
        <v>6005</v>
      </c>
      <c r="J1630" s="16"/>
      <c r="K1630" s="16" t="s">
        <v>6006</v>
      </c>
      <c r="L1630" s="16"/>
      <c r="M1630" s="16" t="str">
        <f>HYPERLINK("https://ceds.ed.gov/cedselementdetails.aspx?termid=27420")</f>
        <v>https://ceds.ed.gov/cedselementdetails.aspx?termid=27420</v>
      </c>
    </row>
    <row r="1631" spans="1:13" ht="172.8" x14ac:dyDescent="0.3">
      <c r="A1631" s="16" t="s">
        <v>6007</v>
      </c>
      <c r="B1631" s="16" t="s">
        <v>8112</v>
      </c>
      <c r="C1631" s="16" t="s">
        <v>32</v>
      </c>
      <c r="D1631" s="16" t="s">
        <v>8789</v>
      </c>
      <c r="E1631" s="16"/>
      <c r="F1631" s="16" t="s">
        <v>120</v>
      </c>
      <c r="G1631" s="16"/>
      <c r="H1631" s="16" t="s">
        <v>7817</v>
      </c>
      <c r="I1631" s="19" t="s">
        <v>6008</v>
      </c>
      <c r="J1631" s="16"/>
      <c r="K1631" s="16" t="s">
        <v>6009</v>
      </c>
      <c r="L1631" s="16"/>
      <c r="M1631" s="16" t="str">
        <f>HYPERLINK("https://ceds.ed.gov/cedselementdetails.aspx?termid=27422")</f>
        <v>https://ceds.ed.gov/cedselementdetails.aspx?termid=27422</v>
      </c>
    </row>
    <row r="1632" spans="1:13" ht="115.2" x14ac:dyDescent="0.3">
      <c r="A1632" s="16" t="s">
        <v>6010</v>
      </c>
      <c r="B1632" s="16" t="s">
        <v>6011</v>
      </c>
      <c r="C1632" s="16" t="s">
        <v>7313</v>
      </c>
      <c r="D1632" s="16" t="s">
        <v>8775</v>
      </c>
      <c r="E1632" s="16"/>
      <c r="F1632" s="16"/>
      <c r="G1632" s="16"/>
      <c r="H1632" s="16" t="s">
        <v>7859</v>
      </c>
      <c r="I1632" s="19" t="s">
        <v>6012</v>
      </c>
      <c r="J1632" s="16"/>
      <c r="K1632" s="16" t="s">
        <v>6013</v>
      </c>
      <c r="L1632" s="16"/>
      <c r="M1632" s="16" t="str">
        <f>HYPERLINK("https://ceds.ed.gov/cedselementdetails.aspx?termid=27357")</f>
        <v>https://ceds.ed.gov/cedselementdetails.aspx?termid=27357</v>
      </c>
    </row>
    <row r="1633" spans="1:13" ht="57.6" x14ac:dyDescent="0.3">
      <c r="A1633" s="16" t="s">
        <v>6014</v>
      </c>
      <c r="B1633" s="16" t="s">
        <v>6015</v>
      </c>
      <c r="C1633" s="16" t="s">
        <v>32</v>
      </c>
      <c r="D1633" s="16" t="s">
        <v>8792</v>
      </c>
      <c r="E1633" s="16"/>
      <c r="F1633" s="16" t="s">
        <v>145</v>
      </c>
      <c r="G1633" s="16"/>
      <c r="H1633" s="16"/>
      <c r="I1633" s="19" t="s">
        <v>6016</v>
      </c>
      <c r="J1633" s="16"/>
      <c r="K1633" s="16" t="s">
        <v>6017</v>
      </c>
      <c r="L1633" s="16"/>
      <c r="M1633" s="16" t="str">
        <f>HYPERLINK("https://ceds.ed.gov/cedselementdetails.aspx?termid=27424")</f>
        <v>https://ceds.ed.gov/cedselementdetails.aspx?termid=27424</v>
      </c>
    </row>
    <row r="1634" spans="1:13" ht="43.2" x14ac:dyDescent="0.3">
      <c r="A1634" s="16" t="s">
        <v>6018</v>
      </c>
      <c r="B1634" s="16" t="s">
        <v>6019</v>
      </c>
      <c r="C1634" s="16" t="s">
        <v>32</v>
      </c>
      <c r="D1634" s="16" t="s">
        <v>8789</v>
      </c>
      <c r="E1634" s="16"/>
      <c r="F1634" s="16" t="s">
        <v>106</v>
      </c>
      <c r="G1634" s="16"/>
      <c r="H1634" s="16"/>
      <c r="I1634" s="19" t="s">
        <v>6020</v>
      </c>
      <c r="J1634" s="16"/>
      <c r="K1634" s="16" t="s">
        <v>6021</v>
      </c>
      <c r="L1634" s="16"/>
      <c r="M1634" s="16" t="str">
        <f>HYPERLINK("https://ceds.ed.gov/cedselementdetails.aspx?termid=27426")</f>
        <v>https://ceds.ed.gov/cedselementdetails.aspx?termid=27426</v>
      </c>
    </row>
    <row r="1635" spans="1:13" ht="43.2" x14ac:dyDescent="0.3">
      <c r="A1635" s="16" t="s">
        <v>6022</v>
      </c>
      <c r="B1635" s="16" t="s">
        <v>6023</v>
      </c>
      <c r="C1635" s="16" t="s">
        <v>32</v>
      </c>
      <c r="D1635" s="16" t="s">
        <v>8789</v>
      </c>
      <c r="E1635" s="16"/>
      <c r="F1635" s="16" t="s">
        <v>2788</v>
      </c>
      <c r="G1635" s="16"/>
      <c r="H1635" s="16"/>
      <c r="I1635" s="19" t="s">
        <v>6024</v>
      </c>
      <c r="J1635" s="16"/>
      <c r="K1635" s="16" t="s">
        <v>6025</v>
      </c>
      <c r="L1635" s="16"/>
      <c r="M1635" s="16" t="str">
        <f>HYPERLINK("https://ceds.ed.gov/cedselementdetails.aspx?termid=27427")</f>
        <v>https://ceds.ed.gov/cedselementdetails.aspx?termid=27427</v>
      </c>
    </row>
    <row r="1636" spans="1:13" ht="57.6" x14ac:dyDescent="0.3">
      <c r="A1636" s="16" t="s">
        <v>6026</v>
      </c>
      <c r="B1636" s="16" t="s">
        <v>6027</v>
      </c>
      <c r="C1636" s="16" t="s">
        <v>8793</v>
      </c>
      <c r="D1636" s="16" t="s">
        <v>8789</v>
      </c>
      <c r="E1636" s="16"/>
      <c r="F1636" s="16"/>
      <c r="G1636" s="16"/>
      <c r="H1636" s="16"/>
      <c r="I1636" s="19" t="s">
        <v>6028</v>
      </c>
      <c r="J1636" s="16"/>
      <c r="K1636" s="16" t="s">
        <v>6029</v>
      </c>
      <c r="L1636" s="16"/>
      <c r="M1636" s="16" t="str">
        <f>HYPERLINK("https://ceds.ed.gov/cedselementdetails.aspx?termid=27428")</f>
        <v>https://ceds.ed.gov/cedselementdetails.aspx?termid=27428</v>
      </c>
    </row>
    <row r="1637" spans="1:13" ht="230.4" x14ac:dyDescent="0.3">
      <c r="A1637" s="16" t="s">
        <v>6030</v>
      </c>
      <c r="B1637" s="16" t="s">
        <v>6031</v>
      </c>
      <c r="C1637" s="16" t="s">
        <v>8254</v>
      </c>
      <c r="D1637" s="16" t="s">
        <v>9381</v>
      </c>
      <c r="E1637" s="16"/>
      <c r="F1637" s="16"/>
      <c r="G1637" s="16"/>
      <c r="H1637" s="16"/>
      <c r="I1637" s="19" t="s">
        <v>6032</v>
      </c>
      <c r="J1637" s="16"/>
      <c r="K1637" s="16" t="s">
        <v>6033</v>
      </c>
      <c r="L1637" s="16"/>
      <c r="M1637" s="16" t="str">
        <f>HYPERLINK("https://ceds.ed.gov/cedselementdetails.aspx?termid=26220")</f>
        <v>https://ceds.ed.gov/cedselementdetails.aspx?termid=26220</v>
      </c>
    </row>
    <row r="1638" spans="1:13" ht="187.2" x14ac:dyDescent="0.3">
      <c r="A1638" s="16" t="s">
        <v>6034</v>
      </c>
      <c r="B1638" s="16" t="s">
        <v>6035</v>
      </c>
      <c r="C1638" s="16" t="s">
        <v>8794</v>
      </c>
      <c r="D1638" s="16" t="s">
        <v>6036</v>
      </c>
      <c r="E1638" s="16"/>
      <c r="F1638" s="16"/>
      <c r="G1638" s="16"/>
      <c r="H1638" s="16"/>
      <c r="I1638" s="19" t="s">
        <v>6037</v>
      </c>
      <c r="J1638" s="16"/>
      <c r="K1638" s="16" t="s">
        <v>6038</v>
      </c>
      <c r="L1638" s="16"/>
      <c r="M1638" s="16" t="str">
        <f>HYPERLINK("https://ceds.ed.gov/cedselementdetails.aspx?termid=26780")</f>
        <v>https://ceds.ed.gov/cedselementdetails.aspx?termid=26780</v>
      </c>
    </row>
    <row r="1639" spans="1:13" ht="43.2" x14ac:dyDescent="0.3">
      <c r="A1639" s="16" t="s">
        <v>6039</v>
      </c>
      <c r="B1639" s="16" t="s">
        <v>6040</v>
      </c>
      <c r="C1639" s="16" t="s">
        <v>8795</v>
      </c>
      <c r="D1639" s="16" t="s">
        <v>6041</v>
      </c>
      <c r="E1639" s="16"/>
      <c r="F1639" s="16"/>
      <c r="G1639" s="16"/>
      <c r="H1639" s="16"/>
      <c r="I1639" s="19" t="s">
        <v>6042</v>
      </c>
      <c r="J1639" s="16"/>
      <c r="K1639" s="16" t="s">
        <v>6043</v>
      </c>
      <c r="L1639" s="16" t="s">
        <v>214</v>
      </c>
      <c r="M1639" s="16" t="str">
        <f>HYPERLINK("https://ceds.ed.gov/cedselementdetails.aspx?termid=26565")</f>
        <v>https://ceds.ed.gov/cedselementdetails.aspx?termid=26565</v>
      </c>
    </row>
    <row r="1640" spans="1:13" ht="144" x14ac:dyDescent="0.3">
      <c r="A1640" s="16" t="s">
        <v>6044</v>
      </c>
      <c r="B1640" s="16" t="s">
        <v>6045</v>
      </c>
      <c r="C1640" s="16" t="s">
        <v>8796</v>
      </c>
      <c r="D1640" s="16" t="s">
        <v>198</v>
      </c>
      <c r="E1640" s="16"/>
      <c r="F1640" s="16"/>
      <c r="G1640" s="16"/>
      <c r="H1640" s="16"/>
      <c r="I1640" s="19" t="s">
        <v>6046</v>
      </c>
      <c r="J1640" s="16"/>
      <c r="K1640" s="16" t="s">
        <v>6047</v>
      </c>
      <c r="L1640" s="16" t="s">
        <v>214</v>
      </c>
      <c r="M1640" s="16" t="str">
        <f>HYPERLINK("https://ceds.ed.gov/cedselementdetails.aspx?termid=26221")</f>
        <v>https://ceds.ed.gov/cedselementdetails.aspx?termid=26221</v>
      </c>
    </row>
    <row r="1641" spans="1:13" ht="144" x14ac:dyDescent="0.3">
      <c r="A1641" s="16" t="s">
        <v>6048</v>
      </c>
      <c r="B1641" s="16" t="s">
        <v>6049</v>
      </c>
      <c r="C1641" s="16" t="s">
        <v>8796</v>
      </c>
      <c r="D1641" s="16" t="s">
        <v>198</v>
      </c>
      <c r="E1641" s="16"/>
      <c r="F1641" s="16"/>
      <c r="G1641" s="16"/>
      <c r="H1641" s="16"/>
      <c r="I1641" s="19" t="s">
        <v>6050</v>
      </c>
      <c r="J1641" s="16"/>
      <c r="K1641" s="16" t="s">
        <v>6051</v>
      </c>
      <c r="L1641" s="16" t="s">
        <v>214</v>
      </c>
      <c r="M1641" s="16" t="str">
        <f>HYPERLINK("https://ceds.ed.gov/cedselementdetails.aspx?termid=26544")</f>
        <v>https://ceds.ed.gov/cedselementdetails.aspx?termid=26544</v>
      </c>
    </row>
    <row r="1642" spans="1:13" ht="57.6" x14ac:dyDescent="0.3">
      <c r="A1642" s="16" t="s">
        <v>6052</v>
      </c>
      <c r="B1642" s="16" t="s">
        <v>6053</v>
      </c>
      <c r="C1642" s="16" t="s">
        <v>22</v>
      </c>
      <c r="D1642" s="16" t="s">
        <v>7881</v>
      </c>
      <c r="E1642" s="16"/>
      <c r="F1642" s="16"/>
      <c r="G1642" s="16"/>
      <c r="H1642" s="16"/>
      <c r="I1642" s="19" t="s">
        <v>6054</v>
      </c>
      <c r="J1642" s="16"/>
      <c r="K1642" s="16" t="s">
        <v>6055</v>
      </c>
      <c r="L1642" s="16" t="s">
        <v>6056</v>
      </c>
      <c r="M1642" s="16" t="str">
        <f>HYPERLINK("https://ceds.ed.gov/cedselementdetails.aspx?termid=26854")</f>
        <v>https://ceds.ed.gov/cedselementdetails.aspx?termid=26854</v>
      </c>
    </row>
    <row r="1643" spans="1:13" ht="158.4" x14ac:dyDescent="0.3">
      <c r="A1643" s="16" t="s">
        <v>6057</v>
      </c>
      <c r="B1643" s="16" t="s">
        <v>6058</v>
      </c>
      <c r="C1643" s="16" t="s">
        <v>32</v>
      </c>
      <c r="D1643" s="16" t="s">
        <v>12968</v>
      </c>
      <c r="E1643" s="16" t="s">
        <v>160</v>
      </c>
      <c r="F1643" s="16" t="s">
        <v>101</v>
      </c>
      <c r="G1643" s="16" t="s">
        <v>12935</v>
      </c>
      <c r="H1643" s="16"/>
      <c r="I1643" s="19" t="s">
        <v>6059</v>
      </c>
      <c r="J1643" s="16"/>
      <c r="K1643" s="16" t="s">
        <v>6060</v>
      </c>
      <c r="L1643" s="16"/>
      <c r="M1643" s="16" t="str">
        <f>HYPERLINK("https://ceds.ed.gov/cedselementdetails.aspx?termid=27909")</f>
        <v>https://ceds.ed.gov/cedselementdetails.aspx?termid=27909</v>
      </c>
    </row>
    <row r="1644" spans="1:13" ht="43.2" x14ac:dyDescent="0.3">
      <c r="A1644" s="16" t="s">
        <v>6061</v>
      </c>
      <c r="B1644" s="16" t="s">
        <v>6062</v>
      </c>
      <c r="C1644" s="16" t="s">
        <v>22</v>
      </c>
      <c r="D1644" s="16" t="s">
        <v>8113</v>
      </c>
      <c r="E1644" s="16"/>
      <c r="F1644" s="16"/>
      <c r="G1644" s="16"/>
      <c r="H1644" s="16"/>
      <c r="I1644" s="19" t="s">
        <v>6063</v>
      </c>
      <c r="J1644" s="16"/>
      <c r="K1644" s="16" t="s">
        <v>6064</v>
      </c>
      <c r="L1644" s="16" t="s">
        <v>3397</v>
      </c>
      <c r="M1644" s="16" t="str">
        <f>HYPERLINK("https://ceds.ed.gov/cedselementdetails.aspx?termid=26863")</f>
        <v>https://ceds.ed.gov/cedselementdetails.aspx?termid=26863</v>
      </c>
    </row>
    <row r="1645" spans="1:13" ht="409.6" x14ac:dyDescent="0.3">
      <c r="A1645" s="16" t="s">
        <v>6065</v>
      </c>
      <c r="B1645" s="16" t="s">
        <v>6066</v>
      </c>
      <c r="C1645" s="16" t="s">
        <v>8797</v>
      </c>
      <c r="D1645" s="16" t="s">
        <v>6067</v>
      </c>
      <c r="E1645" s="16"/>
      <c r="F1645" s="16"/>
      <c r="G1645" s="16"/>
      <c r="H1645" s="16"/>
      <c r="I1645" s="19" t="s">
        <v>6068</v>
      </c>
      <c r="J1645" s="16"/>
      <c r="K1645" s="16" t="s">
        <v>6069</v>
      </c>
      <c r="L1645" s="16"/>
      <c r="M1645" s="16" t="str">
        <f>HYPERLINK("https://ceds.ed.gov/cedselementdetails.aspx?termid=27210")</f>
        <v>https://ceds.ed.gov/cedselementdetails.aspx?termid=27210</v>
      </c>
    </row>
    <row r="1646" spans="1:13" ht="43.2" x14ac:dyDescent="0.3">
      <c r="A1646" s="16" t="s">
        <v>6070</v>
      </c>
      <c r="B1646" s="16" t="s">
        <v>6071</v>
      </c>
      <c r="C1646" s="16" t="s">
        <v>22</v>
      </c>
      <c r="D1646" s="16" t="s">
        <v>8114</v>
      </c>
      <c r="E1646" s="16"/>
      <c r="F1646" s="16"/>
      <c r="G1646" s="16"/>
      <c r="H1646" s="16"/>
      <c r="I1646" s="19" t="s">
        <v>6072</v>
      </c>
      <c r="J1646" s="16"/>
      <c r="K1646" s="16" t="s">
        <v>6073</v>
      </c>
      <c r="L1646" s="16" t="s">
        <v>98</v>
      </c>
      <c r="M1646" s="16" t="str">
        <f>HYPERLINK("https://ceds.ed.gov/cedselementdetails.aspx?termid=26851")</f>
        <v>https://ceds.ed.gov/cedselementdetails.aspx?termid=26851</v>
      </c>
    </row>
    <row r="1647" spans="1:13" ht="360" x14ac:dyDescent="0.3">
      <c r="A1647" s="16" t="s">
        <v>6074</v>
      </c>
      <c r="B1647" s="16" t="s">
        <v>6075</v>
      </c>
      <c r="C1647" s="16" t="s">
        <v>32</v>
      </c>
      <c r="D1647" s="16" t="s">
        <v>9394</v>
      </c>
      <c r="E1647" s="16"/>
      <c r="F1647" s="16" t="s">
        <v>120</v>
      </c>
      <c r="G1647" s="16"/>
      <c r="H1647" s="16" t="s">
        <v>7817</v>
      </c>
      <c r="I1647" s="19" t="s">
        <v>6076</v>
      </c>
      <c r="J1647" s="16"/>
      <c r="K1647" s="16" t="s">
        <v>6077</v>
      </c>
      <c r="L1647" s="16" t="s">
        <v>2564</v>
      </c>
      <c r="M1647" s="16" t="str">
        <f>HYPERLINK("https://ceds.ed.gov/cedselementdetails.aspx?termid=26618")</f>
        <v>https://ceds.ed.gov/cedselementdetails.aspx?termid=26618</v>
      </c>
    </row>
    <row r="1648" spans="1:13" ht="72" x14ac:dyDescent="0.3">
      <c r="A1648" s="16" t="s">
        <v>6078</v>
      </c>
      <c r="B1648" s="16" t="s">
        <v>8115</v>
      </c>
      <c r="C1648" s="16" t="s">
        <v>22</v>
      </c>
      <c r="D1648" s="16" t="s">
        <v>4877</v>
      </c>
      <c r="E1648" s="16"/>
      <c r="F1648" s="16"/>
      <c r="G1648" s="16"/>
      <c r="H1648" s="16"/>
      <c r="I1648" s="19" t="s">
        <v>6079</v>
      </c>
      <c r="J1648" s="16"/>
      <c r="K1648" s="16" t="s">
        <v>6080</v>
      </c>
      <c r="L1648" s="16" t="s">
        <v>202</v>
      </c>
      <c r="M1648" s="16" t="str">
        <f>HYPERLINK("https://ceds.ed.gov/cedselementdetails.aspx?termid=26476")</f>
        <v>https://ceds.ed.gov/cedselementdetails.aspx?termid=26476</v>
      </c>
    </row>
    <row r="1649" spans="1:13" ht="57.6" x14ac:dyDescent="0.3">
      <c r="A1649" s="16" t="s">
        <v>6081</v>
      </c>
      <c r="B1649" s="16" t="s">
        <v>6082</v>
      </c>
      <c r="C1649" s="16" t="s">
        <v>32</v>
      </c>
      <c r="D1649" s="16" t="s">
        <v>3172</v>
      </c>
      <c r="E1649" s="16"/>
      <c r="F1649" s="16" t="s">
        <v>1481</v>
      </c>
      <c r="G1649" s="16"/>
      <c r="H1649" s="16"/>
      <c r="I1649" s="19" t="s">
        <v>6083</v>
      </c>
      <c r="J1649" s="16"/>
      <c r="K1649" s="16" t="s">
        <v>6084</v>
      </c>
      <c r="L1649" s="16" t="s">
        <v>230</v>
      </c>
      <c r="M1649" s="16" t="str">
        <f>HYPERLINK("https://ceds.ed.gov/cedselementdetails.aspx?termid=26223")</f>
        <v>https://ceds.ed.gov/cedselementdetails.aspx?termid=26223</v>
      </c>
    </row>
    <row r="1650" spans="1:13" ht="43.2" x14ac:dyDescent="0.3">
      <c r="A1650" s="16" t="s">
        <v>6085</v>
      </c>
      <c r="B1650" s="16" t="s">
        <v>6086</v>
      </c>
      <c r="C1650" s="16" t="s">
        <v>8665</v>
      </c>
      <c r="D1650" s="16" t="s">
        <v>3172</v>
      </c>
      <c r="E1650" s="16"/>
      <c r="F1650" s="16"/>
      <c r="G1650" s="16"/>
      <c r="H1650" s="16"/>
      <c r="I1650" s="19" t="s">
        <v>6087</v>
      </c>
      <c r="J1650" s="16"/>
      <c r="K1650" s="16" t="s">
        <v>6088</v>
      </c>
      <c r="L1650" s="16" t="s">
        <v>230</v>
      </c>
      <c r="M1650" s="16" t="str">
        <f>HYPERLINK("https://ceds.ed.gov/cedselementdetails.aspx?termid=26224")</f>
        <v>https://ceds.ed.gov/cedselementdetails.aspx?termid=26224</v>
      </c>
    </row>
    <row r="1651" spans="1:13" ht="216" x14ac:dyDescent="0.3">
      <c r="A1651" s="16" t="s">
        <v>6089</v>
      </c>
      <c r="B1651" s="16" t="s">
        <v>6090</v>
      </c>
      <c r="C1651" s="16" t="s">
        <v>32</v>
      </c>
      <c r="D1651" s="16" t="s">
        <v>9395</v>
      </c>
      <c r="E1651" s="16"/>
      <c r="F1651" s="16" t="s">
        <v>145</v>
      </c>
      <c r="G1651" s="16"/>
      <c r="H1651" s="16"/>
      <c r="I1651" s="19" t="s">
        <v>6091</v>
      </c>
      <c r="J1651" s="16"/>
      <c r="K1651" s="16" t="s">
        <v>6092</v>
      </c>
      <c r="L1651" s="16" t="s">
        <v>2564</v>
      </c>
      <c r="M1651" s="16" t="str">
        <f>HYPERLINK("https://ceds.ed.gov/cedselementdetails.aspx?termid=26619")</f>
        <v>https://ceds.ed.gov/cedselementdetails.aspx?termid=26619</v>
      </c>
    </row>
    <row r="1652" spans="1:13" ht="244.8" x14ac:dyDescent="0.3">
      <c r="A1652" s="16" t="s">
        <v>6093</v>
      </c>
      <c r="B1652" s="16" t="s">
        <v>1900</v>
      </c>
      <c r="C1652" s="16" t="s">
        <v>32</v>
      </c>
      <c r="D1652" s="16" t="s">
        <v>8798</v>
      </c>
      <c r="E1652" s="16"/>
      <c r="F1652" s="16" t="s">
        <v>106</v>
      </c>
      <c r="G1652" s="16"/>
      <c r="H1652" s="16" t="s">
        <v>131</v>
      </c>
      <c r="I1652" s="19" t="s">
        <v>6094</v>
      </c>
      <c r="J1652" s="16"/>
      <c r="K1652" s="16" t="s">
        <v>6095</v>
      </c>
      <c r="L1652" s="16" t="s">
        <v>6096</v>
      </c>
      <c r="M1652" s="16" t="str">
        <f>HYPERLINK("https://ceds.ed.gov/cedselementdetails.aspx?termid=26584")</f>
        <v>https://ceds.ed.gov/cedselementdetails.aspx?termid=26584</v>
      </c>
    </row>
    <row r="1653" spans="1:13" ht="244.8" x14ac:dyDescent="0.3">
      <c r="A1653" s="16" t="s">
        <v>6097</v>
      </c>
      <c r="B1653" s="16" t="s">
        <v>6098</v>
      </c>
      <c r="C1653" s="16" t="s">
        <v>32</v>
      </c>
      <c r="D1653" s="16" t="s">
        <v>8798</v>
      </c>
      <c r="E1653" s="16"/>
      <c r="F1653" s="16" t="s">
        <v>106</v>
      </c>
      <c r="G1653" s="16"/>
      <c r="H1653" s="16"/>
      <c r="I1653" s="19" t="s">
        <v>6099</v>
      </c>
      <c r="J1653" s="16"/>
      <c r="K1653" s="16" t="s">
        <v>6100</v>
      </c>
      <c r="L1653" s="16" t="s">
        <v>6101</v>
      </c>
      <c r="M1653" s="16" t="str">
        <f>HYPERLINK("https://ceds.ed.gov/cedselementdetails.aspx?termid=26583")</f>
        <v>https://ceds.ed.gov/cedselementdetails.aspx?termid=26583</v>
      </c>
    </row>
    <row r="1654" spans="1:13" ht="115.2" x14ac:dyDescent="0.3">
      <c r="A1654" s="16" t="s">
        <v>6102</v>
      </c>
      <c r="B1654" s="16" t="s">
        <v>6103</v>
      </c>
      <c r="C1654" s="16" t="s">
        <v>8799</v>
      </c>
      <c r="D1654" s="16" t="s">
        <v>8800</v>
      </c>
      <c r="E1654" s="16"/>
      <c r="F1654" s="16"/>
      <c r="G1654" s="16"/>
      <c r="H1654" s="16"/>
      <c r="I1654" s="19" t="s">
        <v>6104</v>
      </c>
      <c r="J1654" s="16"/>
      <c r="K1654" s="16" t="s">
        <v>6105</v>
      </c>
      <c r="L1654" s="16" t="s">
        <v>2564</v>
      </c>
      <c r="M1654" s="16" t="str">
        <f>HYPERLINK("https://ceds.ed.gov/cedselementdetails.aspx?termid=27209")</f>
        <v>https://ceds.ed.gov/cedselementdetails.aspx?termid=27209</v>
      </c>
    </row>
    <row r="1655" spans="1:13" ht="43.2" x14ac:dyDescent="0.3">
      <c r="A1655" s="16" t="s">
        <v>6106</v>
      </c>
      <c r="B1655" s="16" t="s">
        <v>6107</v>
      </c>
      <c r="C1655" s="16" t="s">
        <v>22</v>
      </c>
      <c r="D1655" s="16" t="s">
        <v>8801</v>
      </c>
      <c r="E1655" s="16"/>
      <c r="F1655" s="16"/>
      <c r="G1655" s="16"/>
      <c r="H1655" s="16"/>
      <c r="I1655" s="19" t="s">
        <v>6108</v>
      </c>
      <c r="J1655" s="16"/>
      <c r="K1655" s="16" t="s">
        <v>6109</v>
      </c>
      <c r="L1655" s="16" t="s">
        <v>98</v>
      </c>
      <c r="M1655" s="16" t="str">
        <f>HYPERLINK("https://ceds.ed.gov/cedselementdetails.aspx?termid=26856")</f>
        <v>https://ceds.ed.gov/cedselementdetails.aspx?termid=26856</v>
      </c>
    </row>
    <row r="1656" spans="1:13" ht="43.2" x14ac:dyDescent="0.3">
      <c r="A1656" s="16" t="s">
        <v>6110</v>
      </c>
      <c r="B1656" s="16" t="s">
        <v>6111</v>
      </c>
      <c r="C1656" s="16" t="s">
        <v>22</v>
      </c>
      <c r="D1656" s="16" t="s">
        <v>7881</v>
      </c>
      <c r="E1656" s="16"/>
      <c r="F1656" s="16"/>
      <c r="G1656" s="16"/>
      <c r="H1656" s="16"/>
      <c r="I1656" s="19" t="s">
        <v>6112</v>
      </c>
      <c r="J1656" s="16"/>
      <c r="K1656" s="16" t="s">
        <v>6113</v>
      </c>
      <c r="L1656" s="16" t="s">
        <v>98</v>
      </c>
      <c r="M1656" s="16" t="str">
        <f>HYPERLINK("https://ceds.ed.gov/cedselementdetails.aspx?termid=26855")</f>
        <v>https://ceds.ed.gov/cedselementdetails.aspx?termid=26855</v>
      </c>
    </row>
    <row r="1657" spans="1:13" ht="43.2" x14ac:dyDescent="0.3">
      <c r="A1657" s="16" t="s">
        <v>6114</v>
      </c>
      <c r="B1657" s="16" t="s">
        <v>6115</v>
      </c>
      <c r="C1657" s="16" t="s">
        <v>22</v>
      </c>
      <c r="D1657" s="16" t="s">
        <v>8116</v>
      </c>
      <c r="E1657" s="16"/>
      <c r="F1657" s="16"/>
      <c r="G1657" s="16"/>
      <c r="H1657" s="16"/>
      <c r="I1657" s="19" t="s">
        <v>6116</v>
      </c>
      <c r="J1657" s="16"/>
      <c r="K1657" s="16" t="s">
        <v>6117</v>
      </c>
      <c r="L1657" s="16" t="s">
        <v>98</v>
      </c>
      <c r="M1657" s="16" t="str">
        <f>HYPERLINK("https://ceds.ed.gov/cedselementdetails.aspx?termid=26845")</f>
        <v>https://ceds.ed.gov/cedselementdetails.aspx?termid=26845</v>
      </c>
    </row>
    <row r="1658" spans="1:13" ht="43.2" x14ac:dyDescent="0.3">
      <c r="A1658" s="16" t="s">
        <v>6118</v>
      </c>
      <c r="B1658" s="16" t="s">
        <v>6119</v>
      </c>
      <c r="C1658" s="16" t="s">
        <v>22</v>
      </c>
      <c r="D1658" s="16" t="s">
        <v>8801</v>
      </c>
      <c r="E1658" s="16"/>
      <c r="F1658" s="16"/>
      <c r="G1658" s="16"/>
      <c r="H1658" s="16"/>
      <c r="I1658" s="19" t="s">
        <v>6120</v>
      </c>
      <c r="J1658" s="16"/>
      <c r="K1658" s="16" t="s">
        <v>6121</v>
      </c>
      <c r="L1658" s="16" t="s">
        <v>98</v>
      </c>
      <c r="M1658" s="16" t="str">
        <f>HYPERLINK("https://ceds.ed.gov/cedselementdetails.aspx?termid=26853")</f>
        <v>https://ceds.ed.gov/cedselementdetails.aspx?termid=26853</v>
      </c>
    </row>
    <row r="1659" spans="1:13" ht="244.8" x14ac:dyDescent="0.3">
      <c r="A1659" s="16" t="s">
        <v>6122</v>
      </c>
      <c r="B1659" s="16" t="s">
        <v>6123</v>
      </c>
      <c r="C1659" s="16" t="s">
        <v>8255</v>
      </c>
      <c r="D1659" s="16" t="s">
        <v>9396</v>
      </c>
      <c r="E1659" s="16"/>
      <c r="F1659" s="16"/>
      <c r="G1659" s="16"/>
      <c r="H1659" s="16"/>
      <c r="I1659" s="19" t="s">
        <v>6124</v>
      </c>
      <c r="J1659" s="16"/>
      <c r="K1659" s="16" t="s">
        <v>6125</v>
      </c>
      <c r="L1659" s="16"/>
      <c r="M1659" s="16" t="str">
        <f>HYPERLINK("https://ceds.ed.gov/cedselementdetails.aspx?termid=26692")</f>
        <v>https://ceds.ed.gov/cedselementdetails.aspx?termid=26692</v>
      </c>
    </row>
    <row r="1660" spans="1:13" ht="43.2" x14ac:dyDescent="0.3">
      <c r="A1660" s="16" t="s">
        <v>6126</v>
      </c>
      <c r="B1660" s="16" t="s">
        <v>6127</v>
      </c>
      <c r="C1660" s="16" t="s">
        <v>22</v>
      </c>
      <c r="D1660" s="16" t="s">
        <v>7824</v>
      </c>
      <c r="E1660" s="16"/>
      <c r="F1660" s="16"/>
      <c r="G1660" s="16"/>
      <c r="H1660" s="16"/>
      <c r="I1660" s="19" t="s">
        <v>6128</v>
      </c>
      <c r="J1660" s="16"/>
      <c r="K1660" s="16" t="s">
        <v>6129</v>
      </c>
      <c r="L1660" s="16" t="s">
        <v>98</v>
      </c>
      <c r="M1660" s="16" t="str">
        <f>HYPERLINK("https://ceds.ed.gov/cedselementdetails.aspx?termid=26859")</f>
        <v>https://ceds.ed.gov/cedselementdetails.aspx?termid=26859</v>
      </c>
    </row>
    <row r="1661" spans="1:13" ht="409.6" x14ac:dyDescent="0.3">
      <c r="A1661" s="16" t="s">
        <v>6130</v>
      </c>
      <c r="B1661" s="16" t="s">
        <v>6131</v>
      </c>
      <c r="C1661" s="16" t="s">
        <v>9420</v>
      </c>
      <c r="D1661" s="16" t="s">
        <v>9338</v>
      </c>
      <c r="E1661" s="16"/>
      <c r="F1661" s="16"/>
      <c r="G1661" s="16"/>
      <c r="H1661" s="16"/>
      <c r="I1661" s="19" t="s">
        <v>6132</v>
      </c>
      <c r="J1661" s="16"/>
      <c r="K1661" s="16" t="s">
        <v>6133</v>
      </c>
      <c r="L1661" s="16" t="s">
        <v>64</v>
      </c>
      <c r="M1661" s="16" t="str">
        <f>HYPERLINK("https://ceds.ed.gov/cedselementdetails.aspx?termid=26225")</f>
        <v>https://ceds.ed.gov/cedselementdetails.aspx?termid=26225</v>
      </c>
    </row>
    <row r="1662" spans="1:13" ht="72" x14ac:dyDescent="0.3">
      <c r="A1662" s="16" t="s">
        <v>6134</v>
      </c>
      <c r="B1662" s="16" t="s">
        <v>6135</v>
      </c>
      <c r="C1662" s="16" t="s">
        <v>8802</v>
      </c>
      <c r="D1662" s="16" t="s">
        <v>217</v>
      </c>
      <c r="E1662" s="16"/>
      <c r="F1662" s="16"/>
      <c r="G1662" s="16"/>
      <c r="H1662" s="16"/>
      <c r="I1662" s="19" t="s">
        <v>6136</v>
      </c>
      <c r="J1662" s="16"/>
      <c r="K1662" s="16" t="s">
        <v>6137</v>
      </c>
      <c r="L1662" s="16"/>
      <c r="M1662" s="16" t="str">
        <f>HYPERLINK("https://ceds.ed.gov/cedselementdetails.aspx?termid=27896")</f>
        <v>https://ceds.ed.gov/cedselementdetails.aspx?termid=27896</v>
      </c>
    </row>
    <row r="1663" spans="1:13" ht="57.6" x14ac:dyDescent="0.3">
      <c r="A1663" s="16" t="s">
        <v>6138</v>
      </c>
      <c r="B1663" s="16" t="s">
        <v>6139</v>
      </c>
      <c r="C1663" s="16" t="s">
        <v>32</v>
      </c>
      <c r="D1663" s="16" t="s">
        <v>217</v>
      </c>
      <c r="E1663" s="16"/>
      <c r="F1663" s="16"/>
      <c r="G1663" s="16"/>
      <c r="H1663" s="16"/>
      <c r="I1663" s="19" t="s">
        <v>6140</v>
      </c>
      <c r="J1663" s="16"/>
      <c r="K1663" s="16" t="s">
        <v>6141</v>
      </c>
      <c r="L1663" s="16"/>
      <c r="M1663" s="16" t="str">
        <f>HYPERLINK("https://ceds.ed.gov/cedselementdetails.aspx?termid=27897")</f>
        <v>https://ceds.ed.gov/cedselementdetails.aspx?termid=27897</v>
      </c>
    </row>
    <row r="1664" spans="1:13" ht="129.6" x14ac:dyDescent="0.3">
      <c r="A1664" s="16" t="s">
        <v>6142</v>
      </c>
      <c r="B1664" s="16" t="s">
        <v>6143</v>
      </c>
      <c r="C1664" s="16" t="s">
        <v>8803</v>
      </c>
      <c r="D1664" s="16" t="s">
        <v>61</v>
      </c>
      <c r="E1664" s="16"/>
      <c r="F1664" s="16"/>
      <c r="G1664" s="16"/>
      <c r="H1664" s="16"/>
      <c r="I1664" s="19" t="s">
        <v>6144</v>
      </c>
      <c r="J1664" s="16"/>
      <c r="K1664" s="16" t="s">
        <v>6145</v>
      </c>
      <c r="L1664" s="16" t="s">
        <v>214</v>
      </c>
      <c r="M1664" s="16" t="str">
        <f>HYPERLINK("https://ceds.ed.gov/cedselementdetails.aspx?termid=26553")</f>
        <v>https://ceds.ed.gov/cedselementdetails.aspx?termid=26553</v>
      </c>
    </row>
    <row r="1665" spans="1:13" ht="100.8" x14ac:dyDescent="0.3">
      <c r="A1665" s="16" t="s">
        <v>8117</v>
      </c>
      <c r="B1665" s="16" t="s">
        <v>8118</v>
      </c>
      <c r="C1665" s="16" t="s">
        <v>22</v>
      </c>
      <c r="D1665" s="16" t="s">
        <v>9379</v>
      </c>
      <c r="E1665" s="16"/>
      <c r="F1665" s="16" t="s">
        <v>2</v>
      </c>
      <c r="G1665" s="16"/>
      <c r="H1665" s="16"/>
      <c r="I1665" s="19" t="s">
        <v>8193</v>
      </c>
      <c r="J1665" s="16"/>
      <c r="K1665" s="16" t="s">
        <v>8119</v>
      </c>
      <c r="L1665" s="16"/>
      <c r="M1665" s="16" t="str">
        <f>HYPERLINK("https://ceds.ed.gov/cedselementdetails.aspx?termid=27991")</f>
        <v>https://ceds.ed.gov/cedselementdetails.aspx?termid=27991</v>
      </c>
    </row>
    <row r="1666" spans="1:13" ht="72" x14ac:dyDescent="0.3">
      <c r="A1666" s="16" t="s">
        <v>8120</v>
      </c>
      <c r="B1666" s="16" t="s">
        <v>8121</v>
      </c>
      <c r="C1666" s="16" t="s">
        <v>8202</v>
      </c>
      <c r="D1666" s="16" t="s">
        <v>9379</v>
      </c>
      <c r="E1666" s="16"/>
      <c r="F1666" s="16" t="s">
        <v>2</v>
      </c>
      <c r="G1666" s="16"/>
      <c r="H1666" s="16" t="s">
        <v>8122</v>
      </c>
      <c r="I1666" s="19" t="s">
        <v>8194</v>
      </c>
      <c r="J1666" s="16"/>
      <c r="K1666" s="16" t="s">
        <v>8123</v>
      </c>
      <c r="L1666" s="16"/>
      <c r="M1666" s="16" t="str">
        <f>HYPERLINK("https://ceds.ed.gov/cedselementdetails.aspx?termid=27992")</f>
        <v>https://ceds.ed.gov/cedselementdetails.aspx?termid=27992</v>
      </c>
    </row>
    <row r="1667" spans="1:13" ht="72" x14ac:dyDescent="0.3">
      <c r="A1667" s="16" t="s">
        <v>6146</v>
      </c>
      <c r="B1667" s="16" t="s">
        <v>6147</v>
      </c>
      <c r="C1667" s="16" t="s">
        <v>32</v>
      </c>
      <c r="D1667" s="16" t="s">
        <v>61</v>
      </c>
      <c r="E1667" s="16"/>
      <c r="F1667" s="16" t="s">
        <v>3093</v>
      </c>
      <c r="G1667" s="16"/>
      <c r="H1667" s="16"/>
      <c r="I1667" s="19" t="s">
        <v>6148</v>
      </c>
      <c r="J1667" s="16"/>
      <c r="K1667" s="16" t="s">
        <v>6149</v>
      </c>
      <c r="L1667" s="16" t="s">
        <v>64</v>
      </c>
      <c r="M1667" s="16" t="str">
        <f>HYPERLINK("https://ceds.ed.gov/cedselementdetails.aspx?termid=26226")</f>
        <v>https://ceds.ed.gov/cedselementdetails.aspx?termid=26226</v>
      </c>
    </row>
    <row r="1668" spans="1:13" ht="273.60000000000002" x14ac:dyDescent="0.3">
      <c r="A1668" s="16" t="s">
        <v>9213</v>
      </c>
      <c r="B1668" s="16" t="s">
        <v>9214</v>
      </c>
      <c r="C1668" s="16" t="s">
        <v>9306</v>
      </c>
      <c r="D1668" s="16" t="s">
        <v>4245</v>
      </c>
      <c r="E1668" s="16"/>
      <c r="F1668" s="16" t="s">
        <v>2</v>
      </c>
      <c r="G1668" s="16"/>
      <c r="H1668" s="16"/>
      <c r="I1668" s="19" t="s">
        <v>9215</v>
      </c>
      <c r="J1668" s="16"/>
      <c r="K1668" s="16" t="s">
        <v>9216</v>
      </c>
      <c r="L1668" s="16"/>
      <c r="M1668" s="16" t="str">
        <f>HYPERLINK("https://ceds.ed.gov/cedselementdetails.aspx?termid=28077")</f>
        <v>https://ceds.ed.gov/cedselementdetails.aspx?termid=28077</v>
      </c>
    </row>
    <row r="1669" spans="1:13" ht="144" x14ac:dyDescent="0.3">
      <c r="A1669" s="16" t="s">
        <v>6150</v>
      </c>
      <c r="B1669" s="16" t="s">
        <v>6151</v>
      </c>
      <c r="C1669" s="16" t="s">
        <v>8804</v>
      </c>
      <c r="D1669" s="16" t="s">
        <v>61</v>
      </c>
      <c r="E1669" s="16"/>
      <c r="F1669" s="16"/>
      <c r="G1669" s="16"/>
      <c r="H1669" s="16"/>
      <c r="I1669" s="19" t="s">
        <v>6152</v>
      </c>
      <c r="J1669" s="16"/>
      <c r="K1669" s="16" t="s">
        <v>6153</v>
      </c>
      <c r="L1669" s="16"/>
      <c r="M1669" s="16" t="str">
        <f>HYPERLINK("https://ceds.ed.gov/cedselementdetails.aspx?termid=26521")</f>
        <v>https://ceds.ed.gov/cedselementdetails.aspx?termid=26521</v>
      </c>
    </row>
    <row r="1670" spans="1:13" ht="72" x14ac:dyDescent="0.3">
      <c r="A1670" s="16" t="s">
        <v>6154</v>
      </c>
      <c r="B1670" s="16" t="s">
        <v>6155</v>
      </c>
      <c r="C1670" s="16" t="s">
        <v>8805</v>
      </c>
      <c r="D1670" s="16" t="s">
        <v>7975</v>
      </c>
      <c r="E1670" s="16"/>
      <c r="F1670" s="16"/>
      <c r="G1670" s="16"/>
      <c r="H1670" s="16"/>
      <c r="I1670" s="19" t="s">
        <v>6156</v>
      </c>
      <c r="J1670" s="16"/>
      <c r="K1670" s="16" t="s">
        <v>6157</v>
      </c>
      <c r="L1670" s="16" t="s">
        <v>3047</v>
      </c>
      <c r="M1670" s="16" t="str">
        <f>HYPERLINK("https://ceds.ed.gov/cedselementdetails.aspx?termid=26305")</f>
        <v>https://ceds.ed.gov/cedselementdetails.aspx?termid=26305</v>
      </c>
    </row>
    <row r="1671" spans="1:13" ht="43.2" x14ac:dyDescent="0.3">
      <c r="A1671" s="16" t="s">
        <v>6158</v>
      </c>
      <c r="B1671" s="16" t="s">
        <v>6159</v>
      </c>
      <c r="C1671" s="16" t="s">
        <v>32</v>
      </c>
      <c r="D1671" s="16" t="s">
        <v>246</v>
      </c>
      <c r="E1671" s="16"/>
      <c r="F1671" s="16" t="s">
        <v>3782</v>
      </c>
      <c r="G1671" s="16"/>
      <c r="H1671" s="16"/>
      <c r="I1671" s="19" t="s">
        <v>6160</v>
      </c>
      <c r="J1671" s="16"/>
      <c r="K1671" s="16" t="s">
        <v>6161</v>
      </c>
      <c r="L1671" s="16"/>
      <c r="M1671" s="16" t="str">
        <f>HYPERLINK("https://ceds.ed.gov/cedselementdetails.aspx?termid=26776")</f>
        <v>https://ceds.ed.gov/cedselementdetails.aspx?termid=26776</v>
      </c>
    </row>
    <row r="1672" spans="1:13" ht="360" x14ac:dyDescent="0.3">
      <c r="A1672" s="16" t="s">
        <v>6162</v>
      </c>
      <c r="B1672" s="16" t="s">
        <v>6163</v>
      </c>
      <c r="C1672" s="16" t="s">
        <v>22</v>
      </c>
      <c r="D1672" s="16" t="s">
        <v>8806</v>
      </c>
      <c r="E1672" s="16"/>
      <c r="F1672" s="16"/>
      <c r="G1672" s="16"/>
      <c r="H1672" s="16"/>
      <c r="I1672" s="19" t="s">
        <v>6164</v>
      </c>
      <c r="J1672" s="16"/>
      <c r="K1672" s="16" t="s">
        <v>6165</v>
      </c>
      <c r="L1672" s="16"/>
      <c r="M1672" s="16" t="str">
        <f>HYPERLINK("https://ceds.ed.gov/cedselementdetails.aspx?termid=26760")</f>
        <v>https://ceds.ed.gov/cedselementdetails.aspx?termid=26760</v>
      </c>
    </row>
    <row r="1673" spans="1:13" ht="28.8" x14ac:dyDescent="0.3">
      <c r="A1673" s="16" t="s">
        <v>6166</v>
      </c>
      <c r="B1673" s="16" t="s">
        <v>6167</v>
      </c>
      <c r="C1673" s="16" t="s">
        <v>32</v>
      </c>
      <c r="D1673" s="16" t="s">
        <v>4564</v>
      </c>
      <c r="E1673" s="16"/>
      <c r="F1673" s="16" t="s">
        <v>6168</v>
      </c>
      <c r="G1673" s="16"/>
      <c r="H1673" s="16"/>
      <c r="I1673" s="19" t="s">
        <v>6169</v>
      </c>
      <c r="J1673" s="16"/>
      <c r="K1673" s="16" t="s">
        <v>6170</v>
      </c>
      <c r="L1673" s="16"/>
      <c r="M1673" s="16" t="str">
        <f>HYPERLINK("https://ceds.ed.gov/cedselementdetails.aspx?termid=27876")</f>
        <v>https://ceds.ed.gov/cedselementdetails.aspx?termid=27876</v>
      </c>
    </row>
    <row r="1674" spans="1:13" ht="57.6" x14ac:dyDescent="0.3">
      <c r="A1674" s="16" t="s">
        <v>6171</v>
      </c>
      <c r="B1674" s="16" t="s">
        <v>6172</v>
      </c>
      <c r="C1674" s="16" t="s">
        <v>32</v>
      </c>
      <c r="D1674" s="16" t="s">
        <v>4047</v>
      </c>
      <c r="E1674" s="16"/>
      <c r="F1674" s="16" t="s">
        <v>1481</v>
      </c>
      <c r="G1674" s="16"/>
      <c r="H1674" s="16"/>
      <c r="I1674" s="19" t="s">
        <v>6173</v>
      </c>
      <c r="J1674" s="16"/>
      <c r="K1674" s="16" t="s">
        <v>6174</v>
      </c>
      <c r="L1674" s="16" t="s">
        <v>214</v>
      </c>
      <c r="M1674" s="16" t="str">
        <f>HYPERLINK("https://ceds.ed.gov/cedselementdetails.aspx?termid=26560")</f>
        <v>https://ceds.ed.gov/cedselementdetails.aspx?termid=26560</v>
      </c>
    </row>
    <row r="1675" spans="1:13" ht="129.6" x14ac:dyDescent="0.3">
      <c r="A1675" s="16" t="s">
        <v>6175</v>
      </c>
      <c r="B1675" s="16" t="s">
        <v>6176</v>
      </c>
      <c r="C1675" s="16" t="s">
        <v>8807</v>
      </c>
      <c r="D1675" s="16" t="s">
        <v>90</v>
      </c>
      <c r="E1675" s="16"/>
      <c r="F1675" s="16"/>
      <c r="G1675" s="16"/>
      <c r="H1675" s="16"/>
      <c r="I1675" s="19" t="s">
        <v>6177</v>
      </c>
      <c r="J1675" s="16"/>
      <c r="K1675" s="16" t="s">
        <v>6178</v>
      </c>
      <c r="L1675" s="16" t="s">
        <v>214</v>
      </c>
      <c r="M1675" s="16" t="str">
        <f>HYPERLINK("https://ceds.ed.gov/cedselementdetails.aspx?termid=26227")</f>
        <v>https://ceds.ed.gov/cedselementdetails.aspx?termid=26227</v>
      </c>
    </row>
    <row r="1676" spans="1:13" ht="144" x14ac:dyDescent="0.3">
      <c r="A1676" s="16" t="s">
        <v>6179</v>
      </c>
      <c r="B1676" s="16" t="s">
        <v>6180</v>
      </c>
      <c r="C1676" s="16" t="s">
        <v>8256</v>
      </c>
      <c r="D1676" s="16" t="s">
        <v>9397</v>
      </c>
      <c r="E1676" s="16"/>
      <c r="F1676" s="16"/>
      <c r="G1676" s="16"/>
      <c r="H1676" s="16"/>
      <c r="I1676" s="19" t="s">
        <v>6181</v>
      </c>
      <c r="J1676" s="16"/>
      <c r="K1676" s="16" t="s">
        <v>6182</v>
      </c>
      <c r="L1676" s="16"/>
      <c r="M1676" s="16" t="str">
        <f>HYPERLINK("https://ceds.ed.gov/cedselementdetails.aspx?termid=26523")</f>
        <v>https://ceds.ed.gov/cedselementdetails.aspx?termid=26523</v>
      </c>
    </row>
    <row r="1677" spans="1:13" ht="86.4" x14ac:dyDescent="0.3">
      <c r="A1677" s="16" t="s">
        <v>6183</v>
      </c>
      <c r="B1677" s="16" t="s">
        <v>6184</v>
      </c>
      <c r="C1677" s="16" t="s">
        <v>8808</v>
      </c>
      <c r="D1677" s="16" t="s">
        <v>8094</v>
      </c>
      <c r="E1677" s="16"/>
      <c r="F1677" s="16"/>
      <c r="G1677" s="16"/>
      <c r="H1677" s="16"/>
      <c r="I1677" s="19" t="s">
        <v>6185</v>
      </c>
      <c r="J1677" s="16"/>
      <c r="K1677" s="16" t="s">
        <v>6186</v>
      </c>
      <c r="L1677" s="16"/>
      <c r="M1677" s="16" t="str">
        <f>HYPERLINK("https://ceds.ed.gov/cedselementdetails.aspx?termid=27299")</f>
        <v>https://ceds.ed.gov/cedselementdetails.aspx?termid=27299</v>
      </c>
    </row>
    <row r="1678" spans="1:13" ht="28.8" x14ac:dyDescent="0.3">
      <c r="A1678" s="16" t="s">
        <v>6187</v>
      </c>
      <c r="B1678" s="16" t="s">
        <v>6188</v>
      </c>
      <c r="C1678" s="16" t="s">
        <v>32</v>
      </c>
      <c r="D1678" s="16" t="s">
        <v>2437</v>
      </c>
      <c r="E1678" s="16"/>
      <c r="F1678" s="16" t="s">
        <v>81</v>
      </c>
      <c r="G1678" s="16"/>
      <c r="H1678" s="16"/>
      <c r="I1678" s="19" t="s">
        <v>6189</v>
      </c>
      <c r="J1678" s="16"/>
      <c r="K1678" s="16" t="s">
        <v>6190</v>
      </c>
      <c r="L1678" s="16" t="s">
        <v>1516</v>
      </c>
      <c r="M1678" s="16" t="str">
        <f>HYPERLINK("https://ceds.ed.gov/cedselementdetails.aspx?termid=26423")</f>
        <v>https://ceds.ed.gov/cedselementdetails.aspx?termid=26423</v>
      </c>
    </row>
    <row r="1679" spans="1:13" ht="409.6" x14ac:dyDescent="0.3">
      <c r="A1679" s="16" t="s">
        <v>6191</v>
      </c>
      <c r="B1679" s="16" t="s">
        <v>6192</v>
      </c>
      <c r="C1679" s="16" t="s">
        <v>8454</v>
      </c>
      <c r="D1679" s="16" t="s">
        <v>2437</v>
      </c>
      <c r="E1679" s="16"/>
      <c r="F1679" s="16"/>
      <c r="G1679" s="16"/>
      <c r="H1679" s="16" t="s">
        <v>7915</v>
      </c>
      <c r="I1679" s="19" t="s">
        <v>6193</v>
      </c>
      <c r="J1679" s="16"/>
      <c r="K1679" s="16" t="s">
        <v>6194</v>
      </c>
      <c r="L1679" s="16" t="s">
        <v>1516</v>
      </c>
      <c r="M1679" s="16" t="str">
        <f>HYPERLINK("https://ceds.ed.gov/cedselementdetails.aspx?termid=26424")</f>
        <v>https://ceds.ed.gov/cedselementdetails.aspx?termid=26424</v>
      </c>
    </row>
    <row r="1680" spans="1:13" ht="409.6" x14ac:dyDescent="0.3">
      <c r="A1680" s="16" t="s">
        <v>6195</v>
      </c>
      <c r="B1680" s="16" t="s">
        <v>6196</v>
      </c>
      <c r="C1680" s="16" t="s">
        <v>8809</v>
      </c>
      <c r="D1680" s="16" t="s">
        <v>2437</v>
      </c>
      <c r="E1680" s="16"/>
      <c r="F1680" s="16"/>
      <c r="G1680" s="16"/>
      <c r="H1680" s="16"/>
      <c r="I1680" s="19" t="s">
        <v>6197</v>
      </c>
      <c r="J1680" s="16"/>
      <c r="K1680" s="16" t="s">
        <v>6198</v>
      </c>
      <c r="L1680" s="16" t="s">
        <v>1516</v>
      </c>
      <c r="M1680" s="16" t="str">
        <f>HYPERLINK("https://ceds.ed.gov/cedselementdetails.aspx?termid=26425")</f>
        <v>https://ceds.ed.gov/cedselementdetails.aspx?termid=26425</v>
      </c>
    </row>
    <row r="1681" spans="1:13" ht="28.8" x14ac:dyDescent="0.3">
      <c r="A1681" s="16" t="s">
        <v>6199</v>
      </c>
      <c r="B1681" s="16" t="s">
        <v>6200</v>
      </c>
      <c r="C1681" s="16" t="s">
        <v>32</v>
      </c>
      <c r="D1681" s="16" t="s">
        <v>8114</v>
      </c>
      <c r="E1681" s="16"/>
      <c r="F1681" s="16" t="s">
        <v>81</v>
      </c>
      <c r="G1681" s="16"/>
      <c r="H1681" s="16"/>
      <c r="I1681" s="19" t="s">
        <v>6201</v>
      </c>
      <c r="J1681" s="16"/>
      <c r="K1681" s="16" t="s">
        <v>6202</v>
      </c>
      <c r="L1681" s="16"/>
      <c r="M1681" s="16" t="str">
        <f>HYPERLINK("https://ceds.ed.gov/cedselementdetails.aspx?termid=27432")</f>
        <v>https://ceds.ed.gov/cedselementdetails.aspx?termid=27432</v>
      </c>
    </row>
    <row r="1682" spans="1:13" ht="28.8" x14ac:dyDescent="0.3">
      <c r="A1682" s="16" t="s">
        <v>6203</v>
      </c>
      <c r="B1682" s="16" t="s">
        <v>6204</v>
      </c>
      <c r="C1682" s="16" t="s">
        <v>32</v>
      </c>
      <c r="D1682" s="16" t="s">
        <v>8114</v>
      </c>
      <c r="E1682" s="16"/>
      <c r="F1682" s="16" t="s">
        <v>81</v>
      </c>
      <c r="G1682" s="16"/>
      <c r="H1682" s="16"/>
      <c r="I1682" s="19" t="s">
        <v>6205</v>
      </c>
      <c r="J1682" s="16"/>
      <c r="K1682" s="16" t="s">
        <v>6206</v>
      </c>
      <c r="L1682" s="16"/>
      <c r="M1682" s="16" t="str">
        <f>HYPERLINK("https://ceds.ed.gov/cedselementdetails.aspx?termid=27433")</f>
        <v>https://ceds.ed.gov/cedselementdetails.aspx?termid=27433</v>
      </c>
    </row>
    <row r="1683" spans="1:13" ht="57.6" x14ac:dyDescent="0.3">
      <c r="A1683" s="16" t="s">
        <v>6207</v>
      </c>
      <c r="B1683" s="16" t="s">
        <v>6208</v>
      </c>
      <c r="C1683" s="16" t="s">
        <v>32</v>
      </c>
      <c r="D1683" s="16" t="s">
        <v>8114</v>
      </c>
      <c r="E1683" s="16"/>
      <c r="F1683" s="16" t="s">
        <v>106</v>
      </c>
      <c r="G1683" s="16"/>
      <c r="H1683" s="16" t="s">
        <v>131</v>
      </c>
      <c r="I1683" s="19" t="s">
        <v>6209</v>
      </c>
      <c r="J1683" s="16"/>
      <c r="K1683" s="16" t="s">
        <v>6210</v>
      </c>
      <c r="L1683" s="16"/>
      <c r="M1683" s="16" t="str">
        <f>HYPERLINK("https://ceds.ed.gov/cedselementdetails.aspx?termid=27436")</f>
        <v>https://ceds.ed.gov/cedselementdetails.aspx?termid=27436</v>
      </c>
    </row>
    <row r="1684" spans="1:13" ht="43.2" x14ac:dyDescent="0.3">
      <c r="A1684" s="16" t="s">
        <v>6211</v>
      </c>
      <c r="B1684" s="16" t="s">
        <v>6212</v>
      </c>
      <c r="C1684" s="16" t="s">
        <v>22</v>
      </c>
      <c r="D1684" s="16" t="s">
        <v>8114</v>
      </c>
      <c r="E1684" s="16"/>
      <c r="F1684" s="16"/>
      <c r="G1684" s="16"/>
      <c r="H1684" s="16"/>
      <c r="I1684" s="19" t="s">
        <v>6213</v>
      </c>
      <c r="J1684" s="16"/>
      <c r="K1684" s="16" t="s">
        <v>6214</v>
      </c>
      <c r="L1684" s="16"/>
      <c r="M1684" s="16" t="str">
        <f>HYPERLINK("https://ceds.ed.gov/cedselementdetails.aspx?termid=27435")</f>
        <v>https://ceds.ed.gov/cedselementdetails.aspx?termid=27435</v>
      </c>
    </row>
    <row r="1685" spans="1:13" x14ac:dyDescent="0.3">
      <c r="A1685" s="16" t="s">
        <v>6215</v>
      </c>
      <c r="B1685" s="16" t="s">
        <v>6216</v>
      </c>
      <c r="C1685" s="16" t="s">
        <v>32</v>
      </c>
      <c r="D1685" s="16" t="s">
        <v>8114</v>
      </c>
      <c r="E1685" s="16"/>
      <c r="F1685" s="16" t="s">
        <v>106</v>
      </c>
      <c r="G1685" s="16"/>
      <c r="H1685" s="16"/>
      <c r="I1685" s="19" t="s">
        <v>6217</v>
      </c>
      <c r="J1685" s="16"/>
      <c r="K1685" s="16" t="s">
        <v>6218</v>
      </c>
      <c r="L1685" s="16"/>
      <c r="M1685" s="16" t="str">
        <f>HYPERLINK("https://ceds.ed.gov/cedselementdetails.aspx?termid=27437")</f>
        <v>https://ceds.ed.gov/cedselementdetails.aspx?termid=27437</v>
      </c>
    </row>
    <row r="1686" spans="1:13" ht="57.6" x14ac:dyDescent="0.3">
      <c r="A1686" s="16" t="s">
        <v>6219</v>
      </c>
      <c r="B1686" s="16" t="s">
        <v>6220</v>
      </c>
      <c r="C1686" s="16" t="s">
        <v>32</v>
      </c>
      <c r="D1686" s="16" t="s">
        <v>8114</v>
      </c>
      <c r="E1686" s="16"/>
      <c r="F1686" s="16" t="s">
        <v>81</v>
      </c>
      <c r="G1686" s="16"/>
      <c r="H1686" s="16"/>
      <c r="I1686" s="19" t="s">
        <v>6221</v>
      </c>
      <c r="J1686" s="16"/>
      <c r="K1686" s="16" t="s">
        <v>6222</v>
      </c>
      <c r="L1686" s="16"/>
      <c r="M1686" s="16" t="str">
        <f>HYPERLINK("https://ceds.ed.gov/cedselementdetails.aspx?termid=27434")</f>
        <v>https://ceds.ed.gov/cedselementdetails.aspx?termid=27434</v>
      </c>
    </row>
    <row r="1687" spans="1:13" ht="28.8" x14ac:dyDescent="0.3">
      <c r="A1687" s="16" t="s">
        <v>6223</v>
      </c>
      <c r="B1687" s="16" t="s">
        <v>6224</v>
      </c>
      <c r="C1687" s="16" t="s">
        <v>32</v>
      </c>
      <c r="D1687" s="16" t="s">
        <v>8097</v>
      </c>
      <c r="E1687" s="16"/>
      <c r="F1687" s="16" t="s">
        <v>106</v>
      </c>
      <c r="G1687" s="16"/>
      <c r="H1687" s="16"/>
      <c r="I1687" s="19" t="s">
        <v>6225</v>
      </c>
      <c r="J1687" s="16" t="s">
        <v>6226</v>
      </c>
      <c r="K1687" s="16" t="s">
        <v>6227</v>
      </c>
      <c r="L1687" s="16" t="s">
        <v>98</v>
      </c>
      <c r="M1687" s="16" t="str">
        <f>HYPERLINK("https://ceds.ed.gov/cedselementdetails.aspx?termid=26830")</f>
        <v>https://ceds.ed.gov/cedselementdetails.aspx?termid=26830</v>
      </c>
    </row>
    <row r="1688" spans="1:13" ht="28.8" x14ac:dyDescent="0.3">
      <c r="A1688" s="16" t="s">
        <v>6228</v>
      </c>
      <c r="B1688" s="16" t="s">
        <v>6229</v>
      </c>
      <c r="C1688" s="16" t="s">
        <v>32</v>
      </c>
      <c r="D1688" s="16" t="s">
        <v>8097</v>
      </c>
      <c r="E1688" s="16"/>
      <c r="F1688" s="16" t="s">
        <v>106</v>
      </c>
      <c r="G1688" s="16"/>
      <c r="H1688" s="16"/>
      <c r="I1688" s="19" t="s">
        <v>6230</v>
      </c>
      <c r="J1688" s="16" t="s">
        <v>6231</v>
      </c>
      <c r="K1688" s="16" t="s">
        <v>6232</v>
      </c>
      <c r="L1688" s="16" t="s">
        <v>98</v>
      </c>
      <c r="M1688" s="16" t="str">
        <f>HYPERLINK("https://ceds.ed.gov/cedselementdetails.aspx?termid=26831")</f>
        <v>https://ceds.ed.gov/cedselementdetails.aspx?termid=26831</v>
      </c>
    </row>
    <row r="1689" spans="1:13" ht="100.8" x14ac:dyDescent="0.3">
      <c r="A1689" s="16" t="s">
        <v>6233</v>
      </c>
      <c r="B1689" s="16" t="s">
        <v>6234</v>
      </c>
      <c r="C1689" s="16" t="s">
        <v>8810</v>
      </c>
      <c r="D1689" s="16" t="s">
        <v>8097</v>
      </c>
      <c r="E1689" s="16"/>
      <c r="F1689" s="16"/>
      <c r="G1689" s="16"/>
      <c r="H1689" s="16"/>
      <c r="I1689" s="19" t="s">
        <v>6235</v>
      </c>
      <c r="J1689" s="16" t="s">
        <v>6236</v>
      </c>
      <c r="K1689" s="16" t="s">
        <v>6237</v>
      </c>
      <c r="L1689" s="16" t="s">
        <v>6238</v>
      </c>
      <c r="M1689" s="16" t="str">
        <f>HYPERLINK("https://ceds.ed.gov/cedselementdetails.aspx?termid=26356")</f>
        <v>https://ceds.ed.gov/cedselementdetails.aspx?termid=26356</v>
      </c>
    </row>
    <row r="1690" spans="1:13" ht="43.2" x14ac:dyDescent="0.3">
      <c r="A1690" s="16" t="s">
        <v>6239</v>
      </c>
      <c r="B1690" s="16" t="s">
        <v>6240</v>
      </c>
      <c r="C1690" s="16" t="s">
        <v>32</v>
      </c>
      <c r="D1690" s="16" t="s">
        <v>8097</v>
      </c>
      <c r="E1690" s="16"/>
      <c r="F1690" s="16" t="s">
        <v>1304</v>
      </c>
      <c r="G1690" s="16"/>
      <c r="H1690" s="16"/>
      <c r="I1690" s="19" t="s">
        <v>6241</v>
      </c>
      <c r="J1690" s="16" t="s">
        <v>6242</v>
      </c>
      <c r="K1690" s="16" t="s">
        <v>6243</v>
      </c>
      <c r="L1690" s="16" t="s">
        <v>6238</v>
      </c>
      <c r="M1690" s="16" t="str">
        <f>HYPERLINK("https://ceds.ed.gov/cedselementdetails.aspx?termid=26357")</f>
        <v>https://ceds.ed.gov/cedselementdetails.aspx?termid=26357</v>
      </c>
    </row>
    <row r="1691" spans="1:13" ht="187.2" x14ac:dyDescent="0.3">
      <c r="A1691" s="16" t="s">
        <v>6244</v>
      </c>
      <c r="B1691" s="16" t="s">
        <v>6245</v>
      </c>
      <c r="C1691" s="16" t="s">
        <v>32</v>
      </c>
      <c r="D1691" s="16" t="s">
        <v>3453</v>
      </c>
      <c r="E1691" s="16"/>
      <c r="F1691" s="16" t="s">
        <v>1481</v>
      </c>
      <c r="G1691" s="16"/>
      <c r="H1691" s="16" t="s">
        <v>6246</v>
      </c>
      <c r="I1691" s="19" t="s">
        <v>6247</v>
      </c>
      <c r="J1691" s="16"/>
      <c r="K1691" s="16" t="s">
        <v>6248</v>
      </c>
      <c r="L1691" s="16"/>
      <c r="M1691" s="16" t="str">
        <f>HYPERLINK("https://ceds.ed.gov/cedselementdetails.aspx?termid=26991")</f>
        <v>https://ceds.ed.gov/cedselementdetails.aspx?termid=26991</v>
      </c>
    </row>
    <row r="1692" spans="1:13" ht="388.8" x14ac:dyDescent="0.3">
      <c r="A1692" s="16" t="s">
        <v>7527</v>
      </c>
      <c r="B1692" s="16" t="s">
        <v>7528</v>
      </c>
      <c r="C1692" s="16" t="s">
        <v>8811</v>
      </c>
      <c r="D1692" s="16" t="s">
        <v>8371</v>
      </c>
      <c r="E1692" s="16"/>
      <c r="F1692" s="16"/>
      <c r="G1692" s="16"/>
      <c r="H1692" s="16" t="s">
        <v>7529</v>
      </c>
      <c r="I1692" s="19" t="s">
        <v>7530</v>
      </c>
      <c r="J1692" s="16"/>
      <c r="K1692" s="16" t="s">
        <v>7527</v>
      </c>
      <c r="L1692" s="16"/>
      <c r="M1692" s="16" t="str">
        <f>HYPERLINK("https://ceds.ed.gov/cedselementdetails.aspx?termid=27955")</f>
        <v>https://ceds.ed.gov/cedselementdetails.aspx?termid=27955</v>
      </c>
    </row>
    <row r="1693" spans="1:13" ht="57.6" x14ac:dyDescent="0.3">
      <c r="A1693" s="16" t="s">
        <v>12836</v>
      </c>
      <c r="B1693" s="16" t="s">
        <v>12837</v>
      </c>
      <c r="C1693" s="16" t="s">
        <v>12919</v>
      </c>
      <c r="D1693" s="16" t="s">
        <v>12887</v>
      </c>
      <c r="E1693" s="16" t="s">
        <v>155</v>
      </c>
      <c r="F1693" s="16" t="s">
        <v>2</v>
      </c>
      <c r="G1693" s="16" t="s">
        <v>12636</v>
      </c>
      <c r="H1693" s="16"/>
      <c r="I1693" s="19" t="s">
        <v>12838</v>
      </c>
      <c r="J1693" s="16"/>
      <c r="K1693" s="16" t="s">
        <v>12839</v>
      </c>
      <c r="L1693" s="16"/>
      <c r="M1693" s="16" t="str">
        <f>HYPERLINK("https://ceds.ed.gov/cedselementdetails.aspx?termid=28142")</f>
        <v>https://ceds.ed.gov/cedselementdetails.aspx?termid=28142</v>
      </c>
    </row>
    <row r="1694" spans="1:13" ht="43.2" x14ac:dyDescent="0.3">
      <c r="A1694" s="16" t="s">
        <v>6249</v>
      </c>
      <c r="B1694" s="16" t="s">
        <v>6250</v>
      </c>
      <c r="C1694" s="16" t="s">
        <v>32</v>
      </c>
      <c r="D1694" s="16" t="s">
        <v>8812</v>
      </c>
      <c r="E1694" s="16"/>
      <c r="F1694" s="16" t="s">
        <v>316</v>
      </c>
      <c r="G1694" s="16"/>
      <c r="H1694" s="16"/>
      <c r="I1694" s="19" t="s">
        <v>6251</v>
      </c>
      <c r="J1694" s="16"/>
      <c r="K1694" s="16" t="s">
        <v>6252</v>
      </c>
      <c r="L1694" s="16"/>
      <c r="M1694" s="16" t="str">
        <f>HYPERLINK("https://ceds.ed.gov/cedselementdetails.aspx?termid=27460")</f>
        <v>https://ceds.ed.gov/cedselementdetails.aspx?termid=27460</v>
      </c>
    </row>
    <row r="1695" spans="1:13" ht="86.4" x14ac:dyDescent="0.3">
      <c r="A1695" s="16" t="s">
        <v>6253</v>
      </c>
      <c r="B1695" s="16" t="s">
        <v>6254</v>
      </c>
      <c r="C1695" s="16" t="s">
        <v>8813</v>
      </c>
      <c r="D1695" s="16" t="s">
        <v>7934</v>
      </c>
      <c r="E1695" s="16"/>
      <c r="F1695" s="16"/>
      <c r="G1695" s="16"/>
      <c r="H1695" s="16"/>
      <c r="I1695" s="19" t="s">
        <v>6255</v>
      </c>
      <c r="J1695" s="16"/>
      <c r="K1695" s="16" t="s">
        <v>6256</v>
      </c>
      <c r="L1695" s="16"/>
      <c r="M1695" s="16" t="str">
        <f>HYPERLINK("https://ceds.ed.gov/cedselementdetails.aspx?termid=27494")</f>
        <v>https://ceds.ed.gov/cedselementdetails.aspx?termid=27494</v>
      </c>
    </row>
    <row r="1696" spans="1:13" ht="115.2" x14ac:dyDescent="0.3">
      <c r="A1696" s="16" t="s">
        <v>6257</v>
      </c>
      <c r="B1696" s="16" t="s">
        <v>6258</v>
      </c>
      <c r="C1696" s="16" t="s">
        <v>8814</v>
      </c>
      <c r="D1696" s="16" t="s">
        <v>1167</v>
      </c>
      <c r="E1696" s="16"/>
      <c r="F1696" s="16"/>
      <c r="G1696" s="16"/>
      <c r="H1696" s="16"/>
      <c r="I1696" s="19" t="s">
        <v>6259</v>
      </c>
      <c r="J1696" s="16"/>
      <c r="K1696" s="16" t="s">
        <v>6260</v>
      </c>
      <c r="L1696" s="16"/>
      <c r="M1696" s="16" t="str">
        <f>HYPERLINK("https://ceds.ed.gov/cedselementdetails.aspx?termid=26228")</f>
        <v>https://ceds.ed.gov/cedselementdetails.aspx?termid=26228</v>
      </c>
    </row>
    <row r="1697" spans="1:13" ht="158.4" x14ac:dyDescent="0.3">
      <c r="A1697" s="16" t="s">
        <v>6261</v>
      </c>
      <c r="B1697" s="16" t="s">
        <v>6262</v>
      </c>
      <c r="C1697" s="16" t="s">
        <v>8257</v>
      </c>
      <c r="D1697" s="16" t="s">
        <v>9398</v>
      </c>
      <c r="E1697" s="16"/>
      <c r="F1697" s="16"/>
      <c r="G1697" s="16"/>
      <c r="H1697" s="16"/>
      <c r="I1697" s="19" t="s">
        <v>6263</v>
      </c>
      <c r="J1697" s="16"/>
      <c r="K1697" s="16" t="s">
        <v>6264</v>
      </c>
      <c r="L1697" s="16"/>
      <c r="M1697" s="16" t="str">
        <f>HYPERLINK("https://ceds.ed.gov/cedselementdetails.aspx?termid=26515")</f>
        <v>https://ceds.ed.gov/cedselementdetails.aspx?termid=26515</v>
      </c>
    </row>
    <row r="1698" spans="1:13" ht="28.8" x14ac:dyDescent="0.3">
      <c r="A1698" s="16" t="s">
        <v>9217</v>
      </c>
      <c r="B1698" s="16" t="s">
        <v>9218</v>
      </c>
      <c r="C1698" s="16" t="s">
        <v>32</v>
      </c>
      <c r="D1698" s="16" t="s">
        <v>3010</v>
      </c>
      <c r="E1698" s="16"/>
      <c r="F1698" s="16" t="s">
        <v>8997</v>
      </c>
      <c r="G1698" s="16"/>
      <c r="H1698" s="16"/>
      <c r="I1698" s="19" t="s">
        <v>9219</v>
      </c>
      <c r="J1698" s="16"/>
      <c r="K1698" s="16" t="s">
        <v>9220</v>
      </c>
      <c r="L1698" s="16"/>
      <c r="M1698" s="16" t="str">
        <f>HYPERLINK("https://ceds.ed.gov/cedselementdetails.aspx?termid=28078")</f>
        <v>https://ceds.ed.gov/cedselementdetails.aspx?termid=28078</v>
      </c>
    </row>
    <row r="1699" spans="1:13" ht="201.6" x14ac:dyDescent="0.3">
      <c r="A1699" s="16" t="s">
        <v>6265</v>
      </c>
      <c r="B1699" s="16" t="s">
        <v>6266</v>
      </c>
      <c r="C1699" s="16" t="s">
        <v>8815</v>
      </c>
      <c r="D1699" s="16" t="s">
        <v>61</v>
      </c>
      <c r="E1699" s="16"/>
      <c r="F1699" s="16"/>
      <c r="G1699" s="16"/>
      <c r="H1699" s="16"/>
      <c r="I1699" s="19" t="s">
        <v>6267</v>
      </c>
      <c r="J1699" s="16"/>
      <c r="K1699" s="16" t="s">
        <v>6268</v>
      </c>
      <c r="L1699" s="16" t="s">
        <v>64</v>
      </c>
      <c r="M1699" s="16" t="str">
        <f>HYPERLINK("https://ceds.ed.gov/cedselementdetails.aspx?termid=26229")</f>
        <v>https://ceds.ed.gov/cedselementdetails.aspx?termid=26229</v>
      </c>
    </row>
    <row r="1700" spans="1:13" ht="72" x14ac:dyDescent="0.3">
      <c r="A1700" s="16" t="s">
        <v>6269</v>
      </c>
      <c r="B1700" s="16" t="s">
        <v>6270</v>
      </c>
      <c r="C1700" s="16" t="s">
        <v>8816</v>
      </c>
      <c r="D1700" s="16" t="s">
        <v>2474</v>
      </c>
      <c r="E1700" s="16"/>
      <c r="F1700" s="16"/>
      <c r="G1700" s="16"/>
      <c r="H1700" s="16"/>
      <c r="I1700" s="19" t="s">
        <v>6271</v>
      </c>
      <c r="J1700" s="16"/>
      <c r="K1700" s="16" t="s">
        <v>6272</v>
      </c>
      <c r="L1700" s="16" t="s">
        <v>214</v>
      </c>
      <c r="M1700" s="16" t="str">
        <f>HYPERLINK("https://ceds.ed.gov/cedselementdetails.aspx?termid=26230")</f>
        <v>https://ceds.ed.gov/cedselementdetails.aspx?termid=26230</v>
      </c>
    </row>
    <row r="1701" spans="1:13" ht="57.6" x14ac:dyDescent="0.3">
      <c r="A1701" s="16" t="s">
        <v>6273</v>
      </c>
      <c r="B1701" s="16" t="s">
        <v>6274</v>
      </c>
      <c r="C1701" s="16" t="s">
        <v>32</v>
      </c>
      <c r="D1701" s="16" t="s">
        <v>8817</v>
      </c>
      <c r="E1701" s="16"/>
      <c r="F1701" s="16" t="s">
        <v>812</v>
      </c>
      <c r="G1701" s="16"/>
      <c r="H1701" s="16" t="s">
        <v>6275</v>
      </c>
      <c r="I1701" s="19" t="s">
        <v>6276</v>
      </c>
      <c r="J1701" s="16"/>
      <c r="K1701" s="16" t="s">
        <v>6277</v>
      </c>
      <c r="L1701" s="16"/>
      <c r="M1701" s="16" t="str">
        <f>HYPERLINK("https://ceds.ed.gov/cedselementdetails.aspx?termid=27899")</f>
        <v>https://ceds.ed.gov/cedselementdetails.aspx?termid=27899</v>
      </c>
    </row>
    <row r="1702" spans="1:13" ht="43.2" x14ac:dyDescent="0.3">
      <c r="A1702" s="16" t="s">
        <v>9221</v>
      </c>
      <c r="B1702" s="16" t="s">
        <v>9222</v>
      </c>
      <c r="C1702" s="16" t="s">
        <v>9307</v>
      </c>
      <c r="D1702" s="16" t="s">
        <v>8124</v>
      </c>
      <c r="E1702" s="16"/>
      <c r="F1702" s="16" t="s">
        <v>2</v>
      </c>
      <c r="G1702" s="16"/>
      <c r="H1702" s="16"/>
      <c r="I1702" s="19" t="s">
        <v>9223</v>
      </c>
      <c r="J1702" s="16"/>
      <c r="K1702" s="16" t="s">
        <v>9224</v>
      </c>
      <c r="L1702" s="16"/>
      <c r="M1702" s="16" t="str">
        <f>HYPERLINK("https://ceds.ed.gov/cedselementdetails.aspx?termid=28079")</f>
        <v>https://ceds.ed.gov/cedselementdetails.aspx?termid=28079</v>
      </c>
    </row>
    <row r="1703" spans="1:13" ht="28.8" x14ac:dyDescent="0.3">
      <c r="A1703" s="16" t="s">
        <v>9225</v>
      </c>
      <c r="B1703" s="16" t="s">
        <v>9226</v>
      </c>
      <c r="C1703" s="16" t="s">
        <v>32</v>
      </c>
      <c r="D1703" s="16" t="s">
        <v>8124</v>
      </c>
      <c r="E1703" s="16"/>
      <c r="F1703" s="16" t="s">
        <v>120</v>
      </c>
      <c r="G1703" s="16"/>
      <c r="H1703" s="16"/>
      <c r="I1703" s="19" t="s">
        <v>9227</v>
      </c>
      <c r="J1703" s="16"/>
      <c r="K1703" s="16" t="s">
        <v>9228</v>
      </c>
      <c r="L1703" s="16"/>
      <c r="M1703" s="16" t="str">
        <f>HYPERLINK("https://ceds.ed.gov/cedselementdetails.aspx?termid=28080")</f>
        <v>https://ceds.ed.gov/cedselementdetails.aspx?termid=28080</v>
      </c>
    </row>
    <row r="1704" spans="1:13" ht="43.2" x14ac:dyDescent="0.3">
      <c r="A1704" s="16" t="s">
        <v>6278</v>
      </c>
      <c r="B1704" s="16" t="s">
        <v>6279</v>
      </c>
      <c r="C1704" s="16" t="s">
        <v>32</v>
      </c>
      <c r="D1704" s="16" t="s">
        <v>8817</v>
      </c>
      <c r="E1704" s="16"/>
      <c r="F1704" s="16" t="s">
        <v>812</v>
      </c>
      <c r="G1704" s="16"/>
      <c r="H1704" s="16" t="s">
        <v>6280</v>
      </c>
      <c r="I1704" s="19" t="s">
        <v>6281</v>
      </c>
      <c r="J1704" s="16"/>
      <c r="K1704" s="16" t="s">
        <v>6282</v>
      </c>
      <c r="L1704" s="16"/>
      <c r="M1704" s="16" t="str">
        <f>HYPERLINK("https://ceds.ed.gov/cedselementdetails.aspx?termid=27898")</f>
        <v>https://ceds.ed.gov/cedselementdetails.aspx?termid=27898</v>
      </c>
    </row>
    <row r="1705" spans="1:13" ht="43.2" x14ac:dyDescent="0.3">
      <c r="A1705" s="16" t="s">
        <v>7531</v>
      </c>
      <c r="B1705" s="16" t="s">
        <v>7532</v>
      </c>
      <c r="C1705" s="16" t="s">
        <v>8697</v>
      </c>
      <c r="D1705" s="16" t="s">
        <v>8124</v>
      </c>
      <c r="E1705" s="16"/>
      <c r="F1705" s="16"/>
      <c r="G1705" s="16"/>
      <c r="H1705" s="16"/>
      <c r="I1705" s="19" t="s">
        <v>7533</v>
      </c>
      <c r="J1705" s="16"/>
      <c r="K1705" s="16" t="s">
        <v>7534</v>
      </c>
      <c r="L1705" s="16"/>
      <c r="M1705" s="16" t="str">
        <f>HYPERLINK("https://ceds.ed.gov/cedselementdetails.aspx?termid=27956")</f>
        <v>https://ceds.ed.gov/cedselementdetails.aspx?termid=27956</v>
      </c>
    </row>
    <row r="1706" spans="1:13" ht="28.8" x14ac:dyDescent="0.3">
      <c r="A1706" s="16" t="s">
        <v>7535</v>
      </c>
      <c r="B1706" s="16" t="s">
        <v>7536</v>
      </c>
      <c r="C1706" s="16" t="s">
        <v>32</v>
      </c>
      <c r="D1706" s="16" t="s">
        <v>8124</v>
      </c>
      <c r="E1706" s="16"/>
      <c r="F1706" s="16" t="s">
        <v>106</v>
      </c>
      <c r="G1706" s="16"/>
      <c r="H1706" s="16"/>
      <c r="I1706" s="19" t="s">
        <v>7537</v>
      </c>
      <c r="J1706" s="16"/>
      <c r="K1706" s="16" t="s">
        <v>7538</v>
      </c>
      <c r="L1706" s="16"/>
      <c r="M1706" s="16" t="str">
        <f>HYPERLINK("https://ceds.ed.gov/cedselementdetails.aspx?termid=27957")</f>
        <v>https://ceds.ed.gov/cedselementdetails.aspx?termid=27957</v>
      </c>
    </row>
    <row r="1707" spans="1:13" ht="115.2" x14ac:dyDescent="0.3">
      <c r="A1707" s="16" t="s">
        <v>7539</v>
      </c>
      <c r="B1707" s="16" t="s">
        <v>7540</v>
      </c>
      <c r="C1707" s="16" t="s">
        <v>8491</v>
      </c>
      <c r="D1707" s="16" t="s">
        <v>8124</v>
      </c>
      <c r="E1707" s="16"/>
      <c r="F1707" s="16"/>
      <c r="G1707" s="16"/>
      <c r="H1707" s="16"/>
      <c r="I1707" s="19" t="s">
        <v>7541</v>
      </c>
      <c r="J1707" s="16"/>
      <c r="K1707" s="16" t="s">
        <v>7542</v>
      </c>
      <c r="L1707" s="16"/>
      <c r="M1707" s="16" t="str">
        <f>HYPERLINK("https://ceds.ed.gov/cedselementdetails.aspx?termid=27958")</f>
        <v>https://ceds.ed.gov/cedselementdetails.aspx?termid=27958</v>
      </c>
    </row>
    <row r="1708" spans="1:13" ht="86.4" x14ac:dyDescent="0.3">
      <c r="A1708" s="16" t="s">
        <v>12840</v>
      </c>
      <c r="B1708" s="16" t="s">
        <v>12841</v>
      </c>
      <c r="C1708" s="16" t="s">
        <v>12920</v>
      </c>
      <c r="D1708" s="16" t="s">
        <v>12887</v>
      </c>
      <c r="E1708" s="16" t="s">
        <v>155</v>
      </c>
      <c r="F1708" s="16" t="s">
        <v>2</v>
      </c>
      <c r="G1708" s="16" t="s">
        <v>12636</v>
      </c>
      <c r="H1708" s="16"/>
      <c r="I1708" s="19" t="s">
        <v>12842</v>
      </c>
      <c r="J1708" s="16"/>
      <c r="K1708" s="16" t="s">
        <v>12843</v>
      </c>
      <c r="L1708" s="16"/>
      <c r="M1708" s="16" t="str">
        <f>HYPERLINK("https://ceds.ed.gov/cedselementdetails.aspx?termid=28143")</f>
        <v>https://ceds.ed.gov/cedselementdetails.aspx?termid=28143</v>
      </c>
    </row>
    <row r="1709" spans="1:13" ht="72" x14ac:dyDescent="0.3">
      <c r="A1709" s="16" t="s">
        <v>6283</v>
      </c>
      <c r="B1709" s="16" t="s">
        <v>6284</v>
      </c>
      <c r="C1709" s="16" t="s">
        <v>32</v>
      </c>
      <c r="D1709" s="16" t="s">
        <v>8818</v>
      </c>
      <c r="E1709" s="16"/>
      <c r="F1709" s="16" t="s">
        <v>106</v>
      </c>
      <c r="G1709" s="16"/>
      <c r="H1709" s="16"/>
      <c r="I1709" s="19" t="s">
        <v>6285</v>
      </c>
      <c r="J1709" s="16"/>
      <c r="K1709" s="16" t="s">
        <v>6286</v>
      </c>
      <c r="L1709" s="16"/>
      <c r="M1709" s="16" t="str">
        <f>HYPERLINK("https://ceds.ed.gov/cedselementdetails.aspx?termid=27453")</f>
        <v>https://ceds.ed.gov/cedselementdetails.aspx?termid=27453</v>
      </c>
    </row>
    <row r="1710" spans="1:13" ht="115.2" x14ac:dyDescent="0.3">
      <c r="A1710" s="16" t="s">
        <v>6287</v>
      </c>
      <c r="B1710" s="16" t="s">
        <v>6288</v>
      </c>
      <c r="C1710" s="16" t="s">
        <v>8819</v>
      </c>
      <c r="D1710" s="16" t="s">
        <v>8125</v>
      </c>
      <c r="E1710" s="16"/>
      <c r="F1710" s="16"/>
      <c r="G1710" s="16"/>
      <c r="H1710" s="16"/>
      <c r="I1710" s="19" t="s">
        <v>6289</v>
      </c>
      <c r="J1710" s="16"/>
      <c r="K1710" s="16" t="s">
        <v>6290</v>
      </c>
      <c r="L1710" s="16"/>
      <c r="M1710" s="16" t="str">
        <f>HYPERLINK("https://ceds.ed.gov/cedselementdetails.aspx?termid=27454")</f>
        <v>https://ceds.ed.gov/cedselementdetails.aspx?termid=27454</v>
      </c>
    </row>
    <row r="1711" spans="1:13" ht="43.2" x14ac:dyDescent="0.3">
      <c r="A1711" s="16" t="s">
        <v>6291</v>
      </c>
      <c r="B1711" s="16" t="s">
        <v>6292</v>
      </c>
      <c r="C1711" s="16" t="s">
        <v>22</v>
      </c>
      <c r="D1711" s="16" t="s">
        <v>7955</v>
      </c>
      <c r="E1711" s="16"/>
      <c r="F1711" s="16"/>
      <c r="G1711" s="16"/>
      <c r="H1711" s="16"/>
      <c r="I1711" s="19" t="s">
        <v>6293</v>
      </c>
      <c r="J1711" s="16"/>
      <c r="K1711" s="16" t="s">
        <v>6294</v>
      </c>
      <c r="L1711" s="16" t="s">
        <v>98</v>
      </c>
      <c r="M1711" s="16" t="str">
        <f>HYPERLINK("https://ceds.ed.gov/cedselementdetails.aspx?termid=26850")</f>
        <v>https://ceds.ed.gov/cedselementdetails.aspx?termid=26850</v>
      </c>
    </row>
    <row r="1712" spans="1:13" ht="72" x14ac:dyDescent="0.3">
      <c r="A1712" s="16" t="s">
        <v>6295</v>
      </c>
      <c r="B1712" s="16" t="s">
        <v>6296</v>
      </c>
      <c r="C1712" s="16" t="s">
        <v>32</v>
      </c>
      <c r="D1712" s="16" t="s">
        <v>8818</v>
      </c>
      <c r="E1712" s="16"/>
      <c r="F1712" s="16" t="s">
        <v>316</v>
      </c>
      <c r="G1712" s="16"/>
      <c r="H1712" s="16"/>
      <c r="I1712" s="19" t="s">
        <v>6297</v>
      </c>
      <c r="J1712" s="16"/>
      <c r="K1712" s="16" t="s">
        <v>6298</v>
      </c>
      <c r="L1712" s="16"/>
      <c r="M1712" s="16" t="str">
        <f>HYPERLINK("https://ceds.ed.gov/cedselementdetails.aspx?termid=27455")</f>
        <v>https://ceds.ed.gov/cedselementdetails.aspx?termid=27455</v>
      </c>
    </row>
    <row r="1713" spans="1:13" ht="72" x14ac:dyDescent="0.3">
      <c r="A1713" s="16" t="s">
        <v>6299</v>
      </c>
      <c r="B1713" s="16" t="s">
        <v>6300</v>
      </c>
      <c r="C1713" s="16" t="s">
        <v>32</v>
      </c>
      <c r="D1713" s="16" t="s">
        <v>8818</v>
      </c>
      <c r="E1713" s="16"/>
      <c r="F1713" s="16" t="s">
        <v>145</v>
      </c>
      <c r="G1713" s="16"/>
      <c r="H1713" s="16"/>
      <c r="I1713" s="19" t="s">
        <v>6301</v>
      </c>
      <c r="J1713" s="16"/>
      <c r="K1713" s="16" t="s">
        <v>6302</v>
      </c>
      <c r="L1713" s="16"/>
      <c r="M1713" s="16" t="str">
        <f>HYPERLINK("https://ceds.ed.gov/cedselementdetails.aspx?termid=27456")</f>
        <v>https://ceds.ed.gov/cedselementdetails.aspx?termid=27456</v>
      </c>
    </row>
    <row r="1714" spans="1:13" ht="28.8" x14ac:dyDescent="0.3">
      <c r="A1714" s="16" t="s">
        <v>6303</v>
      </c>
      <c r="B1714" s="16" t="s">
        <v>6304</v>
      </c>
      <c r="C1714" s="16" t="s">
        <v>32</v>
      </c>
      <c r="D1714" s="16" t="s">
        <v>8125</v>
      </c>
      <c r="E1714" s="16"/>
      <c r="F1714" s="16" t="s">
        <v>145</v>
      </c>
      <c r="G1714" s="16"/>
      <c r="H1714" s="16"/>
      <c r="I1714" s="19" t="s">
        <v>6305</v>
      </c>
      <c r="J1714" s="16"/>
      <c r="K1714" s="16" t="s">
        <v>6306</v>
      </c>
      <c r="L1714" s="16"/>
      <c r="M1714" s="16" t="str">
        <f>HYPERLINK("https://ceds.ed.gov/cedselementdetails.aspx?termid=27457")</f>
        <v>https://ceds.ed.gov/cedselementdetails.aspx?termid=27457</v>
      </c>
    </row>
    <row r="1715" spans="1:13" ht="28.8" x14ac:dyDescent="0.3">
      <c r="A1715" s="16" t="s">
        <v>6307</v>
      </c>
      <c r="B1715" s="16" t="s">
        <v>6308</v>
      </c>
      <c r="C1715" s="16" t="s">
        <v>32</v>
      </c>
      <c r="D1715" s="16" t="s">
        <v>8125</v>
      </c>
      <c r="E1715" s="16"/>
      <c r="F1715" s="16" t="s">
        <v>145</v>
      </c>
      <c r="G1715" s="16"/>
      <c r="H1715" s="16"/>
      <c r="I1715" s="19" t="s">
        <v>6309</v>
      </c>
      <c r="J1715" s="16"/>
      <c r="K1715" s="16" t="s">
        <v>6310</v>
      </c>
      <c r="L1715" s="16"/>
      <c r="M1715" s="16" t="str">
        <f>HYPERLINK("https://ceds.ed.gov/cedselementdetails.aspx?termid=27458")</f>
        <v>https://ceds.ed.gov/cedselementdetails.aspx?termid=27458</v>
      </c>
    </row>
    <row r="1716" spans="1:13" ht="86.4" x14ac:dyDescent="0.3">
      <c r="A1716" s="16" t="s">
        <v>6311</v>
      </c>
      <c r="B1716" s="16" t="s">
        <v>6312</v>
      </c>
      <c r="C1716" s="16" t="s">
        <v>8820</v>
      </c>
      <c r="D1716" s="16" t="s">
        <v>1504</v>
      </c>
      <c r="E1716" s="16"/>
      <c r="F1716" s="16"/>
      <c r="G1716" s="16"/>
      <c r="H1716" s="16"/>
      <c r="I1716" s="19" t="s">
        <v>6313</v>
      </c>
      <c r="J1716" s="16"/>
      <c r="K1716" s="16" t="s">
        <v>6314</v>
      </c>
      <c r="L1716" s="16"/>
      <c r="M1716" s="16" t="str">
        <f>HYPERLINK("https://ceds.ed.gov/cedselementdetails.aspx?termid=27601")</f>
        <v>https://ceds.ed.gov/cedselementdetails.aspx?termid=27601</v>
      </c>
    </row>
    <row r="1717" spans="1:13" ht="72" x14ac:dyDescent="0.3">
      <c r="A1717" s="16" t="s">
        <v>6315</v>
      </c>
      <c r="B1717" s="16" t="s">
        <v>6316</v>
      </c>
      <c r="C1717" s="16" t="s">
        <v>32</v>
      </c>
      <c r="D1717" s="16" t="s">
        <v>2638</v>
      </c>
      <c r="E1717" s="16"/>
      <c r="F1717" s="16" t="s">
        <v>145</v>
      </c>
      <c r="G1717" s="16"/>
      <c r="H1717" s="16"/>
      <c r="I1717" s="19" t="s">
        <v>6317</v>
      </c>
      <c r="J1717" s="16" t="s">
        <v>6318</v>
      </c>
      <c r="K1717" s="16" t="s">
        <v>6319</v>
      </c>
      <c r="L1717" s="16"/>
      <c r="M1717" s="16" t="str">
        <f>HYPERLINK("https://ceds.ed.gov/cedselementdetails.aspx?termid=26231")</f>
        <v>https://ceds.ed.gov/cedselementdetails.aspx?termid=26231</v>
      </c>
    </row>
    <row r="1718" spans="1:13" ht="57.6" x14ac:dyDescent="0.3">
      <c r="A1718" s="16" t="s">
        <v>6320</v>
      </c>
      <c r="B1718" s="16" t="s">
        <v>6321</v>
      </c>
      <c r="C1718" s="16" t="s">
        <v>22</v>
      </c>
      <c r="D1718" s="16" t="s">
        <v>3123</v>
      </c>
      <c r="E1718" s="16"/>
      <c r="F1718" s="16"/>
      <c r="G1718" s="16"/>
      <c r="H1718" s="16"/>
      <c r="I1718" s="19" t="s">
        <v>6322</v>
      </c>
      <c r="J1718" s="16"/>
      <c r="K1718" s="16" t="s">
        <v>6323</v>
      </c>
      <c r="L1718" s="16"/>
      <c r="M1718" s="16" t="str">
        <f>HYPERLINK("https://ceds.ed.gov/cedselementdetails.aspx?termid=26503")</f>
        <v>https://ceds.ed.gov/cedselementdetails.aspx?termid=26503</v>
      </c>
    </row>
    <row r="1719" spans="1:13" ht="100.8" x14ac:dyDescent="0.3">
      <c r="A1719" s="16" t="s">
        <v>6324</v>
      </c>
      <c r="B1719" s="16" t="s">
        <v>6325</v>
      </c>
      <c r="C1719" s="16" t="s">
        <v>32</v>
      </c>
      <c r="D1719" s="16" t="s">
        <v>2479</v>
      </c>
      <c r="E1719" s="16"/>
      <c r="F1719" s="16" t="s">
        <v>106</v>
      </c>
      <c r="G1719" s="16"/>
      <c r="H1719" s="16" t="s">
        <v>2480</v>
      </c>
      <c r="I1719" s="19" t="s">
        <v>6326</v>
      </c>
      <c r="J1719" s="16"/>
      <c r="K1719" s="16" t="s">
        <v>6327</v>
      </c>
      <c r="L1719" s="16"/>
      <c r="M1719" s="16" t="str">
        <f>HYPERLINK("https://ceds.ed.gov/cedselementdetails.aspx?termid=27740")</f>
        <v>https://ceds.ed.gov/cedselementdetails.aspx?termid=27740</v>
      </c>
    </row>
    <row r="1720" spans="1:13" ht="172.8" x14ac:dyDescent="0.3">
      <c r="A1720" s="16" t="s">
        <v>6328</v>
      </c>
      <c r="B1720" s="16" t="s">
        <v>8126</v>
      </c>
      <c r="C1720" s="16" t="s">
        <v>32</v>
      </c>
      <c r="D1720" s="16" t="s">
        <v>3974</v>
      </c>
      <c r="E1720" s="16"/>
      <c r="F1720" s="16" t="s">
        <v>120</v>
      </c>
      <c r="G1720" s="16"/>
      <c r="H1720" s="16" t="s">
        <v>7817</v>
      </c>
      <c r="I1720" s="19" t="s">
        <v>6329</v>
      </c>
      <c r="J1720" s="16"/>
      <c r="K1720" s="16" t="s">
        <v>6330</v>
      </c>
      <c r="L1720" s="16"/>
      <c r="M1720" s="16" t="str">
        <f>HYPERLINK("https://ceds.ed.gov/cedselementdetails.aspx?termid=26498")</f>
        <v>https://ceds.ed.gov/cedselementdetails.aspx?termid=26498</v>
      </c>
    </row>
    <row r="1721" spans="1:13" ht="316.8" x14ac:dyDescent="0.3">
      <c r="A1721" s="16" t="s">
        <v>6331</v>
      </c>
      <c r="B1721" s="16" t="s">
        <v>6332</v>
      </c>
      <c r="C1721" s="16" t="s">
        <v>8641</v>
      </c>
      <c r="D1721" s="16" t="s">
        <v>7955</v>
      </c>
      <c r="E1721" s="16"/>
      <c r="F1721" s="16"/>
      <c r="G1721" s="16"/>
      <c r="H1721" s="16"/>
      <c r="I1721" s="19" t="s">
        <v>6333</v>
      </c>
      <c r="J1721" s="16"/>
      <c r="K1721" s="16" t="s">
        <v>6334</v>
      </c>
      <c r="L1721" s="16" t="s">
        <v>1977</v>
      </c>
      <c r="M1721" s="16" t="str">
        <f>HYPERLINK("https://ceds.ed.gov/cedselementdetails.aspx?termid=26307")</f>
        <v>https://ceds.ed.gov/cedselementdetails.aspx?termid=26307</v>
      </c>
    </row>
    <row r="1722" spans="1:13" ht="72" x14ac:dyDescent="0.3">
      <c r="A1722" s="16" t="s">
        <v>6335</v>
      </c>
      <c r="B1722" s="16" t="s">
        <v>6336</v>
      </c>
      <c r="C1722" s="16" t="s">
        <v>32</v>
      </c>
      <c r="D1722" s="16" t="s">
        <v>227</v>
      </c>
      <c r="E1722" s="16"/>
      <c r="F1722" s="16" t="s">
        <v>1481</v>
      </c>
      <c r="G1722" s="16"/>
      <c r="H1722" s="16" t="s">
        <v>356</v>
      </c>
      <c r="I1722" s="19" t="s">
        <v>6337</v>
      </c>
      <c r="J1722" s="16"/>
      <c r="K1722" s="16" t="s">
        <v>6338</v>
      </c>
      <c r="L1722" s="16" t="s">
        <v>1531</v>
      </c>
      <c r="M1722" s="16" t="str">
        <f>HYPERLINK("https://ceds.ed.gov/cedselementdetails.aspx?termid=26726")</f>
        <v>https://ceds.ed.gov/cedselementdetails.aspx?termid=26726</v>
      </c>
    </row>
    <row r="1723" spans="1:13" ht="43.2" x14ac:dyDescent="0.3">
      <c r="A1723" s="16" t="s">
        <v>6339</v>
      </c>
      <c r="B1723" s="16" t="s">
        <v>6340</v>
      </c>
      <c r="C1723" s="16" t="s">
        <v>32</v>
      </c>
      <c r="D1723" s="16" t="s">
        <v>7895</v>
      </c>
      <c r="E1723" s="16"/>
      <c r="F1723" s="16" t="s">
        <v>1481</v>
      </c>
      <c r="G1723" s="16"/>
      <c r="H1723" s="16"/>
      <c r="I1723" s="19" t="s">
        <v>6341</v>
      </c>
      <c r="J1723" s="16"/>
      <c r="K1723" s="16" t="s">
        <v>6342</v>
      </c>
      <c r="L1723" s="16" t="s">
        <v>195</v>
      </c>
      <c r="M1723" s="16" t="str">
        <f>HYPERLINK("https://ceds.ed.gov/cedselementdetails.aspx?termid=26803")</f>
        <v>https://ceds.ed.gov/cedselementdetails.aspx?termid=26803</v>
      </c>
    </row>
    <row r="1724" spans="1:13" ht="172.8" x14ac:dyDescent="0.3">
      <c r="A1724" s="16" t="s">
        <v>6343</v>
      </c>
      <c r="B1724" s="16" t="s">
        <v>6344</v>
      </c>
      <c r="C1724" s="16" t="s">
        <v>32</v>
      </c>
      <c r="D1724" s="16" t="s">
        <v>3161</v>
      </c>
      <c r="E1724" s="16"/>
      <c r="F1724" s="16" t="s">
        <v>120</v>
      </c>
      <c r="G1724" s="16"/>
      <c r="H1724" s="16" t="s">
        <v>7817</v>
      </c>
      <c r="I1724" s="19" t="s">
        <v>6345</v>
      </c>
      <c r="J1724" s="16"/>
      <c r="K1724" s="16" t="s">
        <v>6346</v>
      </c>
      <c r="L1724" s="16" t="s">
        <v>214</v>
      </c>
      <c r="M1724" s="16" t="str">
        <f>HYPERLINK("https://ceds.ed.gov/cedselementdetails.aspx?termid=26639")</f>
        <v>https://ceds.ed.gov/cedselementdetails.aspx?termid=26639</v>
      </c>
    </row>
    <row r="1725" spans="1:13" ht="187.2" x14ac:dyDescent="0.3">
      <c r="A1725" s="16" t="s">
        <v>6347</v>
      </c>
      <c r="B1725" s="16" t="s">
        <v>6348</v>
      </c>
      <c r="C1725" s="16" t="s">
        <v>9339</v>
      </c>
      <c r="D1725" s="16" t="s">
        <v>3563</v>
      </c>
      <c r="E1725" s="16"/>
      <c r="F1725" s="16"/>
      <c r="G1725" s="16"/>
      <c r="H1725" s="16"/>
      <c r="I1725" s="19" t="s">
        <v>6349</v>
      </c>
      <c r="J1725" s="16"/>
      <c r="K1725" s="16" t="s">
        <v>6350</v>
      </c>
      <c r="L1725" s="16" t="s">
        <v>214</v>
      </c>
      <c r="M1725" s="16" t="str">
        <f>HYPERLINK("https://ceds.ed.gov/cedselementdetails.aspx?termid=26587")</f>
        <v>https://ceds.ed.gov/cedselementdetails.aspx?termid=26587</v>
      </c>
    </row>
    <row r="1726" spans="1:13" ht="230.4" x14ac:dyDescent="0.3">
      <c r="A1726" s="16" t="s">
        <v>6351</v>
      </c>
      <c r="B1726" s="16" t="s">
        <v>8127</v>
      </c>
      <c r="C1726" s="16" t="s">
        <v>32</v>
      </c>
      <c r="D1726" s="16" t="s">
        <v>8821</v>
      </c>
      <c r="E1726" s="16"/>
      <c r="F1726" s="16" t="s">
        <v>120</v>
      </c>
      <c r="G1726" s="16"/>
      <c r="H1726" s="16" t="s">
        <v>8128</v>
      </c>
      <c r="I1726" s="19" t="s">
        <v>6353</v>
      </c>
      <c r="J1726" s="16"/>
      <c r="K1726" s="16" t="s">
        <v>6354</v>
      </c>
      <c r="L1726" s="16"/>
      <c r="M1726" s="16" t="str">
        <f>HYPERLINK("https://ceds.ed.gov/cedselementdetails.aspx?termid=27438")</f>
        <v>https://ceds.ed.gov/cedselementdetails.aspx?termid=27438</v>
      </c>
    </row>
    <row r="1727" spans="1:13" ht="187.2" x14ac:dyDescent="0.3">
      <c r="A1727" s="16" t="s">
        <v>6355</v>
      </c>
      <c r="B1727" s="16" t="s">
        <v>6356</v>
      </c>
      <c r="C1727" s="16" t="s">
        <v>9339</v>
      </c>
      <c r="D1727" s="16" t="s">
        <v>13060</v>
      </c>
      <c r="E1727" s="16"/>
      <c r="F1727" s="16"/>
      <c r="G1727" s="16"/>
      <c r="H1727" s="16" t="s">
        <v>6352</v>
      </c>
      <c r="I1727" s="19" t="s">
        <v>6357</v>
      </c>
      <c r="J1727" s="16"/>
      <c r="K1727" s="16" t="s">
        <v>6358</v>
      </c>
      <c r="L1727" s="16"/>
      <c r="M1727" s="16" t="str">
        <f>HYPERLINK("https://ceds.ed.gov/cedselementdetails.aspx?termid=27439")</f>
        <v>https://ceds.ed.gov/cedselementdetails.aspx?termid=27439</v>
      </c>
    </row>
    <row r="1728" spans="1:13" ht="172.8" x14ac:dyDescent="0.3">
      <c r="A1728" s="16" t="s">
        <v>6359</v>
      </c>
      <c r="B1728" s="16" t="s">
        <v>6360</v>
      </c>
      <c r="C1728" s="16" t="s">
        <v>32</v>
      </c>
      <c r="D1728" s="16" t="s">
        <v>3161</v>
      </c>
      <c r="E1728" s="16"/>
      <c r="F1728" s="16" t="s">
        <v>120</v>
      </c>
      <c r="G1728" s="16"/>
      <c r="H1728" s="16" t="s">
        <v>7817</v>
      </c>
      <c r="I1728" s="19" t="s">
        <v>6361</v>
      </c>
      <c r="J1728" s="16"/>
      <c r="K1728" s="16" t="s">
        <v>6362</v>
      </c>
      <c r="L1728" s="16" t="s">
        <v>214</v>
      </c>
      <c r="M1728" s="16" t="str">
        <f>HYPERLINK("https://ceds.ed.gov/cedselementdetails.aspx?termid=26640")</f>
        <v>https://ceds.ed.gov/cedselementdetails.aspx?termid=26640</v>
      </c>
    </row>
    <row r="1729" spans="1:13" ht="187.2" x14ac:dyDescent="0.3">
      <c r="A1729" s="16" t="s">
        <v>6363</v>
      </c>
      <c r="B1729" s="16" t="s">
        <v>6364</v>
      </c>
      <c r="C1729" s="16" t="s">
        <v>9339</v>
      </c>
      <c r="D1729" s="16" t="s">
        <v>9340</v>
      </c>
      <c r="E1729" s="16"/>
      <c r="F1729" s="16"/>
      <c r="G1729" s="16"/>
      <c r="H1729" s="16"/>
      <c r="I1729" s="19" t="s">
        <v>6365</v>
      </c>
      <c r="J1729" s="16"/>
      <c r="K1729" s="16" t="s">
        <v>6366</v>
      </c>
      <c r="L1729" s="16" t="s">
        <v>214</v>
      </c>
      <c r="M1729" s="16" t="str">
        <f>HYPERLINK("https://ceds.ed.gov/cedselementdetails.aspx?termid=26588")</f>
        <v>https://ceds.ed.gov/cedselementdetails.aspx?termid=26588</v>
      </c>
    </row>
    <row r="1730" spans="1:13" ht="158.4" x14ac:dyDescent="0.3">
      <c r="A1730" s="16" t="s">
        <v>6367</v>
      </c>
      <c r="B1730" s="16" t="s">
        <v>13016</v>
      </c>
      <c r="C1730" s="16" t="s">
        <v>8822</v>
      </c>
      <c r="D1730" s="16" t="s">
        <v>2474</v>
      </c>
      <c r="E1730" s="16"/>
      <c r="F1730" s="16"/>
      <c r="G1730" s="16"/>
      <c r="H1730" s="16"/>
      <c r="I1730" s="19" t="s">
        <v>6368</v>
      </c>
      <c r="J1730" s="16"/>
      <c r="K1730" s="16" t="s">
        <v>6369</v>
      </c>
      <c r="L1730" s="16" t="s">
        <v>214</v>
      </c>
      <c r="M1730" s="16" t="str">
        <f>HYPERLINK("https://ceds.ed.gov/cedselementdetails.aspx?termid=26232")</f>
        <v>https://ceds.ed.gov/cedselementdetails.aspx?termid=26232</v>
      </c>
    </row>
    <row r="1731" spans="1:13" ht="158.4" x14ac:dyDescent="0.3">
      <c r="A1731" s="16" t="s">
        <v>12844</v>
      </c>
      <c r="B1731" s="16" t="s">
        <v>12845</v>
      </c>
      <c r="C1731" s="16" t="s">
        <v>12921</v>
      </c>
      <c r="D1731" s="16" t="s">
        <v>61</v>
      </c>
      <c r="E1731" s="16" t="s">
        <v>155</v>
      </c>
      <c r="F1731" s="16" t="s">
        <v>2</v>
      </c>
      <c r="G1731" s="16" t="s">
        <v>12636</v>
      </c>
      <c r="H1731" s="16" t="s">
        <v>12846</v>
      </c>
      <c r="I1731" s="19" t="s">
        <v>12847</v>
      </c>
      <c r="J1731" s="16"/>
      <c r="K1731" s="16" t="s">
        <v>12848</v>
      </c>
      <c r="L1731" s="16"/>
      <c r="M1731" s="16" t="str">
        <f>HYPERLINK("https://ceds.ed.gov/cedselementdetails.aspx?termid=28100")</f>
        <v>https://ceds.ed.gov/cedselementdetails.aspx?termid=28100</v>
      </c>
    </row>
    <row r="1732" spans="1:13" ht="409.6" x14ac:dyDescent="0.3">
      <c r="A1732" s="16" t="s">
        <v>7543</v>
      </c>
      <c r="B1732" s="16" t="s">
        <v>7544</v>
      </c>
      <c r="C1732" s="16" t="s">
        <v>13093</v>
      </c>
      <c r="D1732" s="16" t="s">
        <v>8258</v>
      </c>
      <c r="E1732" s="16" t="s">
        <v>160</v>
      </c>
      <c r="F1732" s="16"/>
      <c r="G1732" s="16" t="s">
        <v>12951</v>
      </c>
      <c r="H1732" s="16"/>
      <c r="I1732" s="19" t="s">
        <v>7545</v>
      </c>
      <c r="J1732" s="16"/>
      <c r="K1732" s="16" t="s">
        <v>7543</v>
      </c>
      <c r="L1732" s="16"/>
      <c r="M1732" s="16" t="str">
        <f>HYPERLINK("https://ceds.ed.gov/cedselementdetails.aspx?termid=27959")</f>
        <v>https://ceds.ed.gov/cedselementdetails.aspx?termid=27959</v>
      </c>
    </row>
    <row r="1733" spans="1:13" ht="57.6" x14ac:dyDescent="0.3">
      <c r="A1733" s="16" t="s">
        <v>6370</v>
      </c>
      <c r="B1733" s="16" t="s">
        <v>6371</v>
      </c>
      <c r="C1733" s="16" t="s">
        <v>32</v>
      </c>
      <c r="D1733" s="16" t="s">
        <v>227</v>
      </c>
      <c r="E1733" s="16"/>
      <c r="F1733" s="16" t="s">
        <v>1481</v>
      </c>
      <c r="G1733" s="16"/>
      <c r="H1733" s="16" t="s">
        <v>356</v>
      </c>
      <c r="I1733" s="19" t="s">
        <v>6372</v>
      </c>
      <c r="J1733" s="16"/>
      <c r="K1733" s="16" t="s">
        <v>6373</v>
      </c>
      <c r="L1733" s="16" t="s">
        <v>1531</v>
      </c>
      <c r="M1733" s="16" t="str">
        <f>HYPERLINK("https://ceds.ed.gov/cedselementdetails.aspx?termid=26728")</f>
        <v>https://ceds.ed.gov/cedselementdetails.aspx?termid=26728</v>
      </c>
    </row>
    <row r="1734" spans="1:13" ht="43.2" x14ac:dyDescent="0.3">
      <c r="A1734" s="16" t="s">
        <v>6374</v>
      </c>
      <c r="B1734" s="16" t="s">
        <v>6375</v>
      </c>
      <c r="C1734" s="16" t="s">
        <v>32</v>
      </c>
      <c r="D1734" s="16" t="s">
        <v>6376</v>
      </c>
      <c r="E1734" s="16"/>
      <c r="F1734" s="16" t="s">
        <v>81</v>
      </c>
      <c r="G1734" s="16"/>
      <c r="H1734" s="16"/>
      <c r="I1734" s="19" t="s">
        <v>6377</v>
      </c>
      <c r="J1734" s="16"/>
      <c r="K1734" s="16" t="s">
        <v>6378</v>
      </c>
      <c r="L1734" s="16"/>
      <c r="M1734" s="16" t="str">
        <f>HYPERLINK("https://ceds.ed.gov/cedselementdetails.aspx?termid=27441")</f>
        <v>https://ceds.ed.gov/cedselementdetails.aspx?termid=27441</v>
      </c>
    </row>
    <row r="1735" spans="1:13" ht="43.2" x14ac:dyDescent="0.3">
      <c r="A1735" s="16" t="s">
        <v>6379</v>
      </c>
      <c r="B1735" s="16" t="s">
        <v>6380</v>
      </c>
      <c r="C1735" s="16" t="s">
        <v>32</v>
      </c>
      <c r="D1735" s="16" t="s">
        <v>6376</v>
      </c>
      <c r="E1735" s="16"/>
      <c r="F1735" s="16" t="s">
        <v>316</v>
      </c>
      <c r="G1735" s="16"/>
      <c r="H1735" s="16"/>
      <c r="I1735" s="19" t="s">
        <v>6381</v>
      </c>
      <c r="J1735" s="16"/>
      <c r="K1735" s="16" t="s">
        <v>6382</v>
      </c>
      <c r="L1735" s="16"/>
      <c r="M1735" s="16" t="str">
        <f>HYPERLINK("https://ceds.ed.gov/cedselementdetails.aspx?termid=27442")</f>
        <v>https://ceds.ed.gov/cedselementdetails.aspx?termid=27442</v>
      </c>
    </row>
    <row r="1736" spans="1:13" ht="57.6" x14ac:dyDescent="0.3">
      <c r="A1736" s="16" t="s">
        <v>6383</v>
      </c>
      <c r="B1736" s="16" t="s">
        <v>8129</v>
      </c>
      <c r="C1736" s="16" t="s">
        <v>32</v>
      </c>
      <c r="D1736" s="16" t="s">
        <v>6376</v>
      </c>
      <c r="E1736" s="16"/>
      <c r="F1736" s="16" t="s">
        <v>316</v>
      </c>
      <c r="G1736" s="16"/>
      <c r="H1736" s="16"/>
      <c r="I1736" s="19" t="s">
        <v>6384</v>
      </c>
      <c r="J1736" s="16"/>
      <c r="K1736" s="16" t="s">
        <v>6385</v>
      </c>
      <c r="L1736" s="16"/>
      <c r="M1736" s="16" t="str">
        <f>HYPERLINK("https://ceds.ed.gov/cedselementdetails.aspx?termid=27443")</f>
        <v>https://ceds.ed.gov/cedselementdetails.aspx?termid=27443</v>
      </c>
    </row>
    <row r="1737" spans="1:13" ht="72" x14ac:dyDescent="0.3">
      <c r="A1737" s="16" t="s">
        <v>6386</v>
      </c>
      <c r="B1737" s="16" t="s">
        <v>8130</v>
      </c>
      <c r="C1737" s="16" t="s">
        <v>32</v>
      </c>
      <c r="D1737" s="16" t="s">
        <v>6376</v>
      </c>
      <c r="E1737" s="16"/>
      <c r="F1737" s="16" t="s">
        <v>316</v>
      </c>
      <c r="G1737" s="16"/>
      <c r="H1737" s="16"/>
      <c r="I1737" s="19" t="s">
        <v>6387</v>
      </c>
      <c r="J1737" s="16"/>
      <c r="K1737" s="16" t="s">
        <v>6388</v>
      </c>
      <c r="L1737" s="16"/>
      <c r="M1737" s="16" t="str">
        <f>HYPERLINK("https://ceds.ed.gov/cedselementdetails.aspx?termid=27444")</f>
        <v>https://ceds.ed.gov/cedselementdetails.aspx?termid=27444</v>
      </c>
    </row>
    <row r="1738" spans="1:13" ht="43.2" x14ac:dyDescent="0.3">
      <c r="A1738" s="16" t="s">
        <v>6389</v>
      </c>
      <c r="B1738" s="16" t="s">
        <v>6390</v>
      </c>
      <c r="C1738" s="16" t="s">
        <v>32</v>
      </c>
      <c r="D1738" s="16" t="s">
        <v>6376</v>
      </c>
      <c r="E1738" s="16"/>
      <c r="F1738" s="16" t="s">
        <v>136</v>
      </c>
      <c r="G1738" s="16"/>
      <c r="H1738" s="16"/>
      <c r="I1738" s="19" t="s">
        <v>6391</v>
      </c>
      <c r="J1738" s="16"/>
      <c r="K1738" s="16" t="s">
        <v>6392</v>
      </c>
      <c r="L1738" s="16"/>
      <c r="M1738" s="16" t="str">
        <f>HYPERLINK("https://ceds.ed.gov/cedselementdetails.aspx?termid=27445")</f>
        <v>https://ceds.ed.gov/cedselementdetails.aspx?termid=27445</v>
      </c>
    </row>
    <row r="1739" spans="1:13" ht="43.2" x14ac:dyDescent="0.3">
      <c r="A1739" s="16" t="s">
        <v>6393</v>
      </c>
      <c r="B1739" s="16" t="s">
        <v>6394</v>
      </c>
      <c r="C1739" s="16" t="s">
        <v>32</v>
      </c>
      <c r="D1739" s="16" t="s">
        <v>6376</v>
      </c>
      <c r="E1739" s="16"/>
      <c r="F1739" s="16" t="s">
        <v>145</v>
      </c>
      <c r="G1739" s="16"/>
      <c r="H1739" s="16"/>
      <c r="I1739" s="19" t="s">
        <v>6395</v>
      </c>
      <c r="J1739" s="16"/>
      <c r="K1739" s="16" t="s">
        <v>6396</v>
      </c>
      <c r="L1739" s="16"/>
      <c r="M1739" s="16" t="str">
        <f>HYPERLINK("https://ceds.ed.gov/cedselementdetails.aspx?termid=27446")</f>
        <v>https://ceds.ed.gov/cedselementdetails.aspx?termid=27446</v>
      </c>
    </row>
    <row r="1740" spans="1:13" ht="43.2" x14ac:dyDescent="0.3">
      <c r="A1740" s="16" t="s">
        <v>6397</v>
      </c>
      <c r="B1740" s="16" t="s">
        <v>6398</v>
      </c>
      <c r="C1740" s="16" t="s">
        <v>32</v>
      </c>
      <c r="D1740" s="16" t="s">
        <v>6376</v>
      </c>
      <c r="E1740" s="16"/>
      <c r="F1740" s="16" t="s">
        <v>136</v>
      </c>
      <c r="G1740" s="16"/>
      <c r="H1740" s="16"/>
      <c r="I1740" s="19" t="s">
        <v>6399</v>
      </c>
      <c r="J1740" s="16"/>
      <c r="K1740" s="16" t="s">
        <v>6400</v>
      </c>
      <c r="L1740" s="16"/>
      <c r="M1740" s="16" t="str">
        <f>HYPERLINK("https://ceds.ed.gov/cedselementdetails.aspx?termid=27447")</f>
        <v>https://ceds.ed.gov/cedselementdetails.aspx?termid=27447</v>
      </c>
    </row>
    <row r="1741" spans="1:13" ht="43.2" x14ac:dyDescent="0.3">
      <c r="A1741" s="16" t="s">
        <v>6401</v>
      </c>
      <c r="B1741" s="16" t="s">
        <v>6402</v>
      </c>
      <c r="C1741" s="16" t="s">
        <v>32</v>
      </c>
      <c r="D1741" s="16" t="s">
        <v>6376</v>
      </c>
      <c r="E1741" s="16"/>
      <c r="F1741" s="16" t="s">
        <v>136</v>
      </c>
      <c r="G1741" s="16"/>
      <c r="H1741" s="16"/>
      <c r="I1741" s="19" t="s">
        <v>6403</v>
      </c>
      <c r="J1741" s="16"/>
      <c r="K1741" s="16" t="s">
        <v>6404</v>
      </c>
      <c r="L1741" s="16"/>
      <c r="M1741" s="16" t="str">
        <f>HYPERLINK("https://ceds.ed.gov/cedselementdetails.aspx?termid=27448")</f>
        <v>https://ceds.ed.gov/cedselementdetails.aspx?termid=27448</v>
      </c>
    </row>
    <row r="1742" spans="1:13" ht="43.2" x14ac:dyDescent="0.3">
      <c r="A1742" s="16" t="s">
        <v>6405</v>
      </c>
      <c r="B1742" s="16" t="s">
        <v>6406</v>
      </c>
      <c r="C1742" s="16" t="s">
        <v>32</v>
      </c>
      <c r="D1742" s="16" t="s">
        <v>6376</v>
      </c>
      <c r="E1742" s="16"/>
      <c r="F1742" s="16" t="s">
        <v>145</v>
      </c>
      <c r="G1742" s="16"/>
      <c r="H1742" s="16"/>
      <c r="I1742" s="19" t="s">
        <v>6407</v>
      </c>
      <c r="J1742" s="16"/>
      <c r="K1742" s="16" t="s">
        <v>6408</v>
      </c>
      <c r="L1742" s="16"/>
      <c r="M1742" s="16" t="str">
        <f>HYPERLINK("https://ceds.ed.gov/cedselementdetails.aspx?termid=27449")</f>
        <v>https://ceds.ed.gov/cedselementdetails.aspx?termid=27449</v>
      </c>
    </row>
    <row r="1743" spans="1:13" ht="43.2" x14ac:dyDescent="0.3">
      <c r="A1743" s="16" t="s">
        <v>6409</v>
      </c>
      <c r="B1743" s="16" t="s">
        <v>6410</v>
      </c>
      <c r="C1743" s="16" t="s">
        <v>32</v>
      </c>
      <c r="D1743" s="16" t="s">
        <v>6376</v>
      </c>
      <c r="E1743" s="16"/>
      <c r="F1743" s="16" t="s">
        <v>136</v>
      </c>
      <c r="G1743" s="16"/>
      <c r="H1743" s="16"/>
      <c r="I1743" s="19" t="s">
        <v>6411</v>
      </c>
      <c r="J1743" s="16"/>
      <c r="K1743" s="16" t="s">
        <v>6412</v>
      </c>
      <c r="L1743" s="16"/>
      <c r="M1743" s="16" t="str">
        <f>HYPERLINK("https://ceds.ed.gov/cedselementdetails.aspx?termid=27450")</f>
        <v>https://ceds.ed.gov/cedselementdetails.aspx?termid=27450</v>
      </c>
    </row>
    <row r="1744" spans="1:13" ht="43.2" x14ac:dyDescent="0.3">
      <c r="A1744" s="16" t="s">
        <v>6413</v>
      </c>
      <c r="B1744" s="16" t="s">
        <v>6414</v>
      </c>
      <c r="C1744" s="16" t="s">
        <v>32</v>
      </c>
      <c r="D1744" s="16" t="s">
        <v>6376</v>
      </c>
      <c r="E1744" s="16"/>
      <c r="F1744" s="16" t="s">
        <v>316</v>
      </c>
      <c r="G1744" s="16"/>
      <c r="H1744" s="16"/>
      <c r="I1744" s="19" t="s">
        <v>6415</v>
      </c>
      <c r="J1744" s="16"/>
      <c r="K1744" s="16" t="s">
        <v>6416</v>
      </c>
      <c r="L1744" s="16"/>
      <c r="M1744" s="16" t="str">
        <f>HYPERLINK("https://ceds.ed.gov/cedselementdetails.aspx?termid=27451")</f>
        <v>https://ceds.ed.gov/cedselementdetails.aspx?termid=27451</v>
      </c>
    </row>
    <row r="1745" spans="1:13" ht="172.8" x14ac:dyDescent="0.3">
      <c r="A1745" s="16" t="s">
        <v>6417</v>
      </c>
      <c r="B1745" s="16" t="s">
        <v>6418</v>
      </c>
      <c r="C1745" s="16" t="s">
        <v>32</v>
      </c>
      <c r="D1745" s="16" t="s">
        <v>6376</v>
      </c>
      <c r="E1745" s="16"/>
      <c r="F1745" s="16" t="s">
        <v>120</v>
      </c>
      <c r="G1745" s="16"/>
      <c r="H1745" s="16" t="s">
        <v>7817</v>
      </c>
      <c r="I1745" s="19" t="s">
        <v>6419</v>
      </c>
      <c r="J1745" s="16"/>
      <c r="K1745" s="16" t="s">
        <v>6420</v>
      </c>
      <c r="L1745" s="16" t="s">
        <v>605</v>
      </c>
      <c r="M1745" s="16" t="str">
        <f>HYPERLINK("https://ceds.ed.gov/cedselementdetails.aspx?termid=26412")</f>
        <v>https://ceds.ed.gov/cedselementdetails.aspx?termid=26412</v>
      </c>
    </row>
    <row r="1746" spans="1:13" ht="43.2" x14ac:dyDescent="0.3">
      <c r="A1746" s="16" t="s">
        <v>6421</v>
      </c>
      <c r="B1746" s="16" t="s">
        <v>6422</v>
      </c>
      <c r="C1746" s="16" t="s">
        <v>32</v>
      </c>
      <c r="D1746" s="16" t="s">
        <v>6376</v>
      </c>
      <c r="E1746" s="16"/>
      <c r="F1746" s="16" t="s">
        <v>81</v>
      </c>
      <c r="G1746" s="16"/>
      <c r="H1746" s="16"/>
      <c r="I1746" s="19" t="s">
        <v>6423</v>
      </c>
      <c r="J1746" s="16"/>
      <c r="K1746" s="16" t="s">
        <v>6424</v>
      </c>
      <c r="L1746" s="16" t="s">
        <v>605</v>
      </c>
      <c r="M1746" s="16" t="str">
        <f>HYPERLINK("https://ceds.ed.gov/cedselementdetails.aspx?termid=26411")</f>
        <v>https://ceds.ed.gov/cedselementdetails.aspx?termid=26411</v>
      </c>
    </row>
    <row r="1747" spans="1:13" ht="43.2" x14ac:dyDescent="0.3">
      <c r="A1747" s="16" t="s">
        <v>6425</v>
      </c>
      <c r="B1747" s="16" t="s">
        <v>6426</v>
      </c>
      <c r="C1747" s="16" t="s">
        <v>32</v>
      </c>
      <c r="D1747" s="16" t="s">
        <v>6376</v>
      </c>
      <c r="E1747" s="16"/>
      <c r="F1747" s="16" t="s">
        <v>50</v>
      </c>
      <c r="G1747" s="16"/>
      <c r="H1747" s="16"/>
      <c r="I1747" s="19" t="s">
        <v>6427</v>
      </c>
      <c r="J1747" s="16"/>
      <c r="K1747" s="16" t="s">
        <v>6428</v>
      </c>
      <c r="L1747" s="16" t="s">
        <v>605</v>
      </c>
      <c r="M1747" s="16" t="str">
        <f>HYPERLINK("https://ceds.ed.gov/cedselementdetails.aspx?termid=26413")</f>
        <v>https://ceds.ed.gov/cedselementdetails.aspx?termid=26413</v>
      </c>
    </row>
    <row r="1748" spans="1:13" ht="86.4" x14ac:dyDescent="0.3">
      <c r="A1748" s="16" t="s">
        <v>6429</v>
      </c>
      <c r="B1748" s="16" t="s">
        <v>6430</v>
      </c>
      <c r="C1748" s="16" t="s">
        <v>8317</v>
      </c>
      <c r="D1748" s="16" t="s">
        <v>1499</v>
      </c>
      <c r="E1748" s="16"/>
      <c r="F1748" s="16"/>
      <c r="G1748" s="16"/>
      <c r="H1748" s="16"/>
      <c r="I1748" s="19" t="s">
        <v>6431</v>
      </c>
      <c r="J1748" s="16" t="s">
        <v>6432</v>
      </c>
      <c r="K1748" s="16" t="s">
        <v>6433</v>
      </c>
      <c r="L1748" s="16" t="s">
        <v>214</v>
      </c>
      <c r="M1748" s="16" t="str">
        <f>HYPERLINK("https://ceds.ed.gov/cedselementdetails.aspx?termid=26552")</f>
        <v>https://ceds.ed.gov/cedselementdetails.aspx?termid=26552</v>
      </c>
    </row>
    <row r="1749" spans="1:13" ht="72" x14ac:dyDescent="0.3">
      <c r="A1749" s="16" t="s">
        <v>6434</v>
      </c>
      <c r="B1749" s="16" t="s">
        <v>6435</v>
      </c>
      <c r="C1749" s="16" t="s">
        <v>22</v>
      </c>
      <c r="D1749" s="16" t="s">
        <v>13061</v>
      </c>
      <c r="E1749" s="16"/>
      <c r="F1749" s="16"/>
      <c r="G1749" s="16"/>
      <c r="H1749" s="16"/>
      <c r="I1749" s="19" t="s">
        <v>6436</v>
      </c>
      <c r="J1749" s="16"/>
      <c r="K1749" s="16" t="s">
        <v>6437</v>
      </c>
      <c r="L1749" s="16"/>
      <c r="M1749" s="16" t="str">
        <f>HYPERLINK("https://ceds.ed.gov/cedselementdetails.aspx?termid=26761")</f>
        <v>https://ceds.ed.gov/cedselementdetails.aspx?termid=26761</v>
      </c>
    </row>
    <row r="1750" spans="1:13" ht="43.2" x14ac:dyDescent="0.3">
      <c r="A1750" s="16" t="s">
        <v>6438</v>
      </c>
      <c r="B1750" s="16" t="s">
        <v>6439</v>
      </c>
      <c r="C1750" s="16" t="s">
        <v>32</v>
      </c>
      <c r="D1750" s="16" t="s">
        <v>6440</v>
      </c>
      <c r="E1750" s="16"/>
      <c r="F1750" s="16" t="s">
        <v>145</v>
      </c>
      <c r="G1750" s="16"/>
      <c r="H1750" s="16"/>
      <c r="I1750" s="19" t="s">
        <v>6441</v>
      </c>
      <c r="J1750" s="16"/>
      <c r="K1750" s="16" t="s">
        <v>6442</v>
      </c>
      <c r="L1750" s="16" t="s">
        <v>202</v>
      </c>
      <c r="M1750" s="16" t="str">
        <f>HYPERLINK("https://ceds.ed.gov/cedselementdetails.aspx?termid=26468")</f>
        <v>https://ceds.ed.gov/cedselementdetails.aspx?termid=26468</v>
      </c>
    </row>
    <row r="1751" spans="1:13" ht="28.8" x14ac:dyDescent="0.3">
      <c r="A1751" s="16" t="s">
        <v>6443</v>
      </c>
      <c r="B1751" s="16" t="s">
        <v>6444</v>
      </c>
      <c r="C1751" s="16" t="s">
        <v>32</v>
      </c>
      <c r="D1751" s="16" t="s">
        <v>6440</v>
      </c>
      <c r="E1751" s="16"/>
      <c r="F1751" s="16" t="s">
        <v>1130</v>
      </c>
      <c r="G1751" s="16"/>
      <c r="H1751" s="16"/>
      <c r="I1751" s="19" t="s">
        <v>6445</v>
      </c>
      <c r="J1751" s="16"/>
      <c r="K1751" s="16" t="s">
        <v>6446</v>
      </c>
      <c r="L1751" s="16" t="s">
        <v>202</v>
      </c>
      <c r="M1751" s="16" t="str">
        <f>HYPERLINK("https://ceds.ed.gov/cedselementdetails.aspx?termid=26469")</f>
        <v>https://ceds.ed.gov/cedselementdetails.aspx?termid=26469</v>
      </c>
    </row>
    <row r="1752" spans="1:13" ht="43.2" x14ac:dyDescent="0.3">
      <c r="A1752" s="16" t="s">
        <v>6447</v>
      </c>
      <c r="B1752" s="16" t="s">
        <v>8131</v>
      </c>
      <c r="C1752" s="16" t="s">
        <v>32</v>
      </c>
      <c r="D1752" s="16" t="s">
        <v>6440</v>
      </c>
      <c r="E1752" s="16"/>
      <c r="F1752" s="16" t="s">
        <v>145</v>
      </c>
      <c r="G1752" s="16"/>
      <c r="H1752" s="16"/>
      <c r="I1752" s="19" t="s">
        <v>6448</v>
      </c>
      <c r="J1752" s="16"/>
      <c r="K1752" s="16" t="s">
        <v>6449</v>
      </c>
      <c r="L1752" s="16" t="s">
        <v>202</v>
      </c>
      <c r="M1752" s="16" t="str">
        <f>HYPERLINK("https://ceds.ed.gov/cedselementdetails.aspx?termid=26463")</f>
        <v>https://ceds.ed.gov/cedselementdetails.aspx?termid=26463</v>
      </c>
    </row>
    <row r="1753" spans="1:13" ht="43.2" x14ac:dyDescent="0.3">
      <c r="A1753" s="16" t="s">
        <v>6450</v>
      </c>
      <c r="B1753" s="16" t="s">
        <v>6451</v>
      </c>
      <c r="C1753" s="16" t="s">
        <v>32</v>
      </c>
      <c r="D1753" s="16" t="s">
        <v>6440</v>
      </c>
      <c r="E1753" s="16"/>
      <c r="F1753" s="16" t="s">
        <v>145</v>
      </c>
      <c r="G1753" s="16"/>
      <c r="H1753" s="16"/>
      <c r="I1753" s="19" t="s">
        <v>6452</v>
      </c>
      <c r="J1753" s="16"/>
      <c r="K1753" s="16" t="s">
        <v>6453</v>
      </c>
      <c r="L1753" s="16" t="s">
        <v>202</v>
      </c>
      <c r="M1753" s="16" t="str">
        <f>HYPERLINK("https://ceds.ed.gov/cedselementdetails.aspx?termid=26461")</f>
        <v>https://ceds.ed.gov/cedselementdetails.aspx?termid=26461</v>
      </c>
    </row>
    <row r="1754" spans="1:13" ht="57.6" x14ac:dyDescent="0.3">
      <c r="A1754" s="16" t="s">
        <v>6454</v>
      </c>
      <c r="B1754" s="16" t="s">
        <v>6455</v>
      </c>
      <c r="C1754" s="16" t="s">
        <v>32</v>
      </c>
      <c r="D1754" s="16" t="s">
        <v>6440</v>
      </c>
      <c r="E1754" s="16"/>
      <c r="F1754" s="16" t="s">
        <v>747</v>
      </c>
      <c r="G1754" s="16"/>
      <c r="H1754" s="16"/>
      <c r="I1754" s="19" t="s">
        <v>6456</v>
      </c>
      <c r="J1754" s="16"/>
      <c r="K1754" s="16" t="s">
        <v>6457</v>
      </c>
      <c r="L1754" s="16" t="s">
        <v>202</v>
      </c>
      <c r="M1754" s="16" t="str">
        <f>HYPERLINK("https://ceds.ed.gov/cedselementdetails.aspx?termid=26462")</f>
        <v>https://ceds.ed.gov/cedselementdetails.aspx?termid=26462</v>
      </c>
    </row>
    <row r="1755" spans="1:13" ht="43.2" x14ac:dyDescent="0.3">
      <c r="A1755" s="16" t="s">
        <v>6458</v>
      </c>
      <c r="B1755" s="16" t="s">
        <v>8132</v>
      </c>
      <c r="C1755" s="16" t="s">
        <v>32</v>
      </c>
      <c r="D1755" s="16" t="s">
        <v>6440</v>
      </c>
      <c r="E1755" s="16"/>
      <c r="F1755" s="16" t="s">
        <v>1130</v>
      </c>
      <c r="G1755" s="16"/>
      <c r="H1755" s="16"/>
      <c r="I1755" s="19" t="s">
        <v>6459</v>
      </c>
      <c r="J1755" s="16"/>
      <c r="K1755" s="16" t="s">
        <v>6460</v>
      </c>
      <c r="L1755" s="16" t="s">
        <v>202</v>
      </c>
      <c r="M1755" s="16" t="str">
        <f>HYPERLINK("https://ceds.ed.gov/cedselementdetails.aspx?termid=26466")</f>
        <v>https://ceds.ed.gov/cedselementdetails.aspx?termid=26466</v>
      </c>
    </row>
    <row r="1756" spans="1:13" ht="57.6" x14ac:dyDescent="0.3">
      <c r="A1756" s="16" t="s">
        <v>6461</v>
      </c>
      <c r="B1756" s="16" t="s">
        <v>8133</v>
      </c>
      <c r="C1756" s="16" t="s">
        <v>32</v>
      </c>
      <c r="D1756" s="16" t="s">
        <v>6440</v>
      </c>
      <c r="E1756" s="16"/>
      <c r="F1756" s="16" t="s">
        <v>1130</v>
      </c>
      <c r="G1756" s="16"/>
      <c r="H1756" s="16"/>
      <c r="I1756" s="19" t="s">
        <v>6462</v>
      </c>
      <c r="J1756" s="16"/>
      <c r="K1756" s="16" t="s">
        <v>6463</v>
      </c>
      <c r="L1756" s="16" t="s">
        <v>202</v>
      </c>
      <c r="M1756" s="16" t="str">
        <f>HYPERLINK("https://ceds.ed.gov/cedselementdetails.aspx?termid=26465")</f>
        <v>https://ceds.ed.gov/cedselementdetails.aspx?termid=26465</v>
      </c>
    </row>
    <row r="1757" spans="1:13" ht="57.6" x14ac:dyDescent="0.3">
      <c r="A1757" s="16" t="s">
        <v>6464</v>
      </c>
      <c r="B1757" s="16" t="s">
        <v>6465</v>
      </c>
      <c r="C1757" s="16" t="s">
        <v>32</v>
      </c>
      <c r="D1757" s="16" t="s">
        <v>6440</v>
      </c>
      <c r="E1757" s="16"/>
      <c r="F1757" s="16" t="s">
        <v>1130</v>
      </c>
      <c r="G1757" s="16"/>
      <c r="H1757" s="16"/>
      <c r="I1757" s="19" t="s">
        <v>6466</v>
      </c>
      <c r="J1757" s="16"/>
      <c r="K1757" s="16" t="s">
        <v>6467</v>
      </c>
      <c r="L1757" s="16" t="s">
        <v>202</v>
      </c>
      <c r="M1757" s="16" t="str">
        <f>HYPERLINK("https://ceds.ed.gov/cedselementdetails.aspx?termid=26464")</f>
        <v>https://ceds.ed.gov/cedselementdetails.aspx?termid=26464</v>
      </c>
    </row>
    <row r="1758" spans="1:13" ht="43.2" x14ac:dyDescent="0.3">
      <c r="A1758" s="16" t="s">
        <v>6468</v>
      </c>
      <c r="B1758" s="16" t="s">
        <v>6469</v>
      </c>
      <c r="C1758" s="16" t="s">
        <v>22</v>
      </c>
      <c r="D1758" s="16" t="s">
        <v>2447</v>
      </c>
      <c r="E1758" s="16"/>
      <c r="F1758" s="16"/>
      <c r="G1758" s="16"/>
      <c r="H1758" s="16"/>
      <c r="I1758" s="19" t="s">
        <v>6470</v>
      </c>
      <c r="J1758" s="16"/>
      <c r="K1758" s="16" t="s">
        <v>6471</v>
      </c>
      <c r="L1758" s="16" t="s">
        <v>2450</v>
      </c>
      <c r="M1758" s="16" t="str">
        <f>HYPERLINK("https://ceds.ed.gov/cedselementdetails.aspx?termid=26234")</f>
        <v>https://ceds.ed.gov/cedselementdetails.aspx?termid=26234</v>
      </c>
    </row>
    <row r="1759" spans="1:13" ht="72" x14ac:dyDescent="0.3">
      <c r="A1759" s="16" t="s">
        <v>9229</v>
      </c>
      <c r="B1759" s="16" t="s">
        <v>9230</v>
      </c>
      <c r="C1759" s="16" t="s">
        <v>32</v>
      </c>
      <c r="D1759" s="16" t="s">
        <v>13062</v>
      </c>
      <c r="E1759" s="16"/>
      <c r="F1759" s="16" t="s">
        <v>316</v>
      </c>
      <c r="G1759" s="16"/>
      <c r="H1759" s="16"/>
      <c r="I1759" s="19" t="s">
        <v>9231</v>
      </c>
      <c r="J1759" s="16"/>
      <c r="K1759" s="16" t="s">
        <v>9232</v>
      </c>
      <c r="L1759" s="16"/>
      <c r="M1759" s="16" t="str">
        <f>HYPERLINK("https://ceds.ed.gov/cedselementdetails.aspx?termid=28081")</f>
        <v>https://ceds.ed.gov/cedselementdetails.aspx?termid=28081</v>
      </c>
    </row>
    <row r="1760" spans="1:13" ht="72" x14ac:dyDescent="0.3">
      <c r="A1760" s="16" t="s">
        <v>9233</v>
      </c>
      <c r="B1760" s="16" t="s">
        <v>9234</v>
      </c>
      <c r="C1760" s="16" t="s">
        <v>32</v>
      </c>
      <c r="D1760" s="16" t="s">
        <v>13062</v>
      </c>
      <c r="E1760" s="16"/>
      <c r="F1760" s="16" t="s">
        <v>145</v>
      </c>
      <c r="G1760" s="16"/>
      <c r="H1760" s="16"/>
      <c r="I1760" s="19" t="s">
        <v>9235</v>
      </c>
      <c r="J1760" s="16"/>
      <c r="K1760" s="16" t="s">
        <v>9236</v>
      </c>
      <c r="L1760" s="16"/>
      <c r="M1760" s="16" t="str">
        <f>HYPERLINK("https://ceds.ed.gov/cedselementdetails.aspx?termid=28082")</f>
        <v>https://ceds.ed.gov/cedselementdetails.aspx?termid=28082</v>
      </c>
    </row>
    <row r="1761" spans="1:13" ht="72" x14ac:dyDescent="0.3">
      <c r="A1761" s="16" t="s">
        <v>9237</v>
      </c>
      <c r="B1761" s="16" t="s">
        <v>9238</v>
      </c>
      <c r="C1761" s="16" t="s">
        <v>32</v>
      </c>
      <c r="D1761" s="16" t="s">
        <v>13062</v>
      </c>
      <c r="E1761" s="16"/>
      <c r="F1761" s="16" t="s">
        <v>145</v>
      </c>
      <c r="G1761" s="16"/>
      <c r="H1761" s="16"/>
      <c r="I1761" s="19" t="s">
        <v>9239</v>
      </c>
      <c r="J1761" s="16"/>
      <c r="K1761" s="16" t="s">
        <v>9240</v>
      </c>
      <c r="L1761" s="16"/>
      <c r="M1761" s="16" t="str">
        <f>HYPERLINK("https://ceds.ed.gov/cedselementdetails.aspx?termid=28083")</f>
        <v>https://ceds.ed.gov/cedselementdetails.aspx?termid=28083</v>
      </c>
    </row>
    <row r="1762" spans="1:13" ht="72" x14ac:dyDescent="0.3">
      <c r="A1762" s="16" t="s">
        <v>9241</v>
      </c>
      <c r="B1762" s="16" t="s">
        <v>9242</v>
      </c>
      <c r="C1762" s="16" t="s">
        <v>32</v>
      </c>
      <c r="D1762" s="16" t="s">
        <v>13062</v>
      </c>
      <c r="E1762" s="16"/>
      <c r="F1762" s="16" t="s">
        <v>1481</v>
      </c>
      <c r="G1762" s="16"/>
      <c r="H1762" s="16"/>
      <c r="I1762" s="19" t="s">
        <v>9243</v>
      </c>
      <c r="J1762" s="16"/>
      <c r="K1762" s="16" t="s">
        <v>9244</v>
      </c>
      <c r="L1762" s="16"/>
      <c r="M1762" s="16" t="str">
        <f>HYPERLINK("https://ceds.ed.gov/cedselementdetails.aspx?termid=28084")</f>
        <v>https://ceds.ed.gov/cedselementdetails.aspx?termid=28084</v>
      </c>
    </row>
    <row r="1763" spans="1:13" ht="230.4" x14ac:dyDescent="0.3">
      <c r="A1763" s="16" t="s">
        <v>6472</v>
      </c>
      <c r="B1763" s="16" t="s">
        <v>6473</v>
      </c>
      <c r="C1763" s="16" t="s">
        <v>8823</v>
      </c>
      <c r="D1763" s="16" t="s">
        <v>8134</v>
      </c>
      <c r="E1763" s="16"/>
      <c r="F1763" s="16"/>
      <c r="G1763" s="16"/>
      <c r="H1763" s="16"/>
      <c r="I1763" s="19" t="s">
        <v>6474</v>
      </c>
      <c r="J1763" s="16"/>
      <c r="K1763" s="16" t="s">
        <v>6475</v>
      </c>
      <c r="L1763" s="16"/>
      <c r="M1763" s="16" t="str">
        <f>HYPERLINK("https://ceds.ed.gov/cedselementdetails.aspx?termid=27602")</f>
        <v>https://ceds.ed.gov/cedselementdetails.aspx?termid=27602</v>
      </c>
    </row>
    <row r="1764" spans="1:13" ht="100.8" x14ac:dyDescent="0.3">
      <c r="A1764" s="16" t="s">
        <v>6476</v>
      </c>
      <c r="B1764" s="16" t="s">
        <v>6477</v>
      </c>
      <c r="C1764" s="16" t="s">
        <v>22</v>
      </c>
      <c r="D1764" s="16" t="s">
        <v>6478</v>
      </c>
      <c r="E1764" s="16"/>
      <c r="F1764" s="16"/>
      <c r="G1764" s="16"/>
      <c r="H1764" s="16"/>
      <c r="I1764" s="19" t="s">
        <v>6479</v>
      </c>
      <c r="J1764" s="16"/>
      <c r="K1764" s="16" t="s">
        <v>6480</v>
      </c>
      <c r="L1764" s="16" t="s">
        <v>214</v>
      </c>
      <c r="M1764" s="16" t="str">
        <f>HYPERLINK("https://ceds.ed.gov/cedselementdetails.aspx?termid=26235")</f>
        <v>https://ceds.ed.gov/cedselementdetails.aspx?termid=26235</v>
      </c>
    </row>
    <row r="1765" spans="1:13" ht="129.6" x14ac:dyDescent="0.3">
      <c r="A1765" s="16" t="s">
        <v>6481</v>
      </c>
      <c r="B1765" s="16" t="s">
        <v>6482</v>
      </c>
      <c r="C1765" s="16" t="s">
        <v>22</v>
      </c>
      <c r="D1765" s="16" t="s">
        <v>6478</v>
      </c>
      <c r="E1765" s="16"/>
      <c r="F1765" s="16"/>
      <c r="G1765" s="16"/>
      <c r="H1765" s="16" t="s">
        <v>6483</v>
      </c>
      <c r="I1765" s="19" t="s">
        <v>6484</v>
      </c>
      <c r="J1765" s="16"/>
      <c r="K1765" s="16" t="s">
        <v>6485</v>
      </c>
      <c r="L1765" s="16" t="s">
        <v>214</v>
      </c>
      <c r="M1765" s="16" t="str">
        <f>HYPERLINK("https://ceds.ed.gov/cedselementdetails.aspx?termid=26236")</f>
        <v>https://ceds.ed.gov/cedselementdetails.aspx?termid=26236</v>
      </c>
    </row>
    <row r="1766" spans="1:13" ht="72" x14ac:dyDescent="0.3">
      <c r="A1766" s="16" t="s">
        <v>6486</v>
      </c>
      <c r="B1766" s="16" t="s">
        <v>8135</v>
      </c>
      <c r="C1766" s="16" t="s">
        <v>22</v>
      </c>
      <c r="D1766" s="16" t="s">
        <v>6478</v>
      </c>
      <c r="E1766" s="16"/>
      <c r="F1766" s="16"/>
      <c r="G1766" s="16"/>
      <c r="H1766" s="16"/>
      <c r="I1766" s="19" t="s">
        <v>6487</v>
      </c>
      <c r="J1766" s="16"/>
      <c r="K1766" s="16" t="s">
        <v>6488</v>
      </c>
      <c r="L1766" s="16" t="s">
        <v>64</v>
      </c>
      <c r="M1766" s="16" t="str">
        <f>HYPERLINK("https://ceds.ed.gov/cedselementdetails.aspx?termid=26237")</f>
        <v>https://ceds.ed.gov/cedselementdetails.aspx?termid=26237</v>
      </c>
    </row>
    <row r="1767" spans="1:13" ht="129.6" x14ac:dyDescent="0.3">
      <c r="A1767" s="16" t="s">
        <v>6489</v>
      </c>
      <c r="B1767" s="16" t="s">
        <v>6490</v>
      </c>
      <c r="C1767" s="16" t="s">
        <v>7313</v>
      </c>
      <c r="D1767" s="16" t="s">
        <v>13063</v>
      </c>
      <c r="E1767" s="16"/>
      <c r="F1767" s="16"/>
      <c r="G1767" s="16"/>
      <c r="H1767" s="16" t="s">
        <v>8136</v>
      </c>
      <c r="I1767" s="19" t="s">
        <v>6491</v>
      </c>
      <c r="J1767" s="16" t="s">
        <v>6492</v>
      </c>
      <c r="K1767" s="16" t="s">
        <v>6493</v>
      </c>
      <c r="L1767" s="16"/>
      <c r="M1767" s="16" t="str">
        <f>HYPERLINK("https://ceds.ed.gov/cedselementdetails.aspx?termid=27490")</f>
        <v>https://ceds.ed.gov/cedselementdetails.aspx?termid=27490</v>
      </c>
    </row>
    <row r="1768" spans="1:13" ht="100.8" x14ac:dyDescent="0.3">
      <c r="A1768" s="16" t="s">
        <v>6494</v>
      </c>
      <c r="B1768" s="16" t="s">
        <v>8137</v>
      </c>
      <c r="C1768" s="16" t="s">
        <v>8259</v>
      </c>
      <c r="D1768" s="16" t="s">
        <v>9399</v>
      </c>
      <c r="E1768" s="16"/>
      <c r="F1768" s="16"/>
      <c r="G1768" s="16"/>
      <c r="H1768" s="16"/>
      <c r="I1768" s="19" t="s">
        <v>6495</v>
      </c>
      <c r="J1768" s="16" t="s">
        <v>6496</v>
      </c>
      <c r="K1768" s="16" t="s">
        <v>6497</v>
      </c>
      <c r="L1768" s="16"/>
      <c r="M1768" s="16" t="str">
        <f>HYPERLINK("https://ceds.ed.gov/cedselementdetails.aspx?termid=27488")</f>
        <v>https://ceds.ed.gov/cedselementdetails.aspx?termid=27488</v>
      </c>
    </row>
    <row r="1769" spans="1:13" ht="403.2" x14ac:dyDescent="0.3">
      <c r="A1769" s="16" t="s">
        <v>6498</v>
      </c>
      <c r="B1769" s="16" t="s">
        <v>6499</v>
      </c>
      <c r="C1769" s="16" t="s">
        <v>8260</v>
      </c>
      <c r="D1769" s="16" t="s">
        <v>13064</v>
      </c>
      <c r="E1769" s="16"/>
      <c r="F1769" s="16"/>
      <c r="G1769" s="16"/>
      <c r="H1769" s="16" t="s">
        <v>8138</v>
      </c>
      <c r="I1769" s="19" t="s">
        <v>6500</v>
      </c>
      <c r="J1769" s="16" t="s">
        <v>6501</v>
      </c>
      <c r="K1769" s="16" t="s">
        <v>6502</v>
      </c>
      <c r="L1769" s="16"/>
      <c r="M1769" s="16" t="str">
        <f>HYPERLINK("https://ceds.ed.gov/cedselementdetails.aspx?termid=27491")</f>
        <v>https://ceds.ed.gov/cedselementdetails.aspx?termid=27491</v>
      </c>
    </row>
    <row r="1770" spans="1:13" ht="100.8" x14ac:dyDescent="0.3">
      <c r="A1770" s="16" t="s">
        <v>6503</v>
      </c>
      <c r="B1770" s="16" t="s">
        <v>6504</v>
      </c>
      <c r="C1770" s="16" t="s">
        <v>32</v>
      </c>
      <c r="D1770" s="16" t="s">
        <v>6505</v>
      </c>
      <c r="E1770" s="16"/>
      <c r="F1770" s="16" t="s">
        <v>6506</v>
      </c>
      <c r="G1770" s="16"/>
      <c r="H1770" s="16" t="s">
        <v>8139</v>
      </c>
      <c r="I1770" s="19" t="s">
        <v>6507</v>
      </c>
      <c r="J1770" s="16" t="s">
        <v>6508</v>
      </c>
      <c r="K1770" s="16" t="s">
        <v>6509</v>
      </c>
      <c r="L1770" s="16"/>
      <c r="M1770" s="16" t="str">
        <f>HYPERLINK("https://ceds.ed.gov/cedselementdetails.aspx?termid=27452")</f>
        <v>https://ceds.ed.gov/cedselementdetails.aspx?termid=27452</v>
      </c>
    </row>
    <row r="1771" spans="1:13" ht="187.2" x14ac:dyDescent="0.3">
      <c r="A1771" s="16" t="s">
        <v>6510</v>
      </c>
      <c r="B1771" s="16" t="s">
        <v>6511</v>
      </c>
      <c r="C1771" s="16" t="s">
        <v>32</v>
      </c>
      <c r="D1771" s="16" t="s">
        <v>9400</v>
      </c>
      <c r="E1771" s="16"/>
      <c r="F1771" s="16" t="s">
        <v>2697</v>
      </c>
      <c r="G1771" s="16"/>
      <c r="H1771" s="16" t="s">
        <v>6512</v>
      </c>
      <c r="I1771" s="19" t="s">
        <v>6513</v>
      </c>
      <c r="J1771" s="16" t="s">
        <v>6514</v>
      </c>
      <c r="K1771" s="16" t="s">
        <v>6515</v>
      </c>
      <c r="L1771" s="16" t="s">
        <v>1484</v>
      </c>
      <c r="M1771" s="16" t="str">
        <f>HYPERLINK("https://ceds.ed.gov/cedselementdetails.aspx?termid=26250")</f>
        <v>https://ceds.ed.gov/cedselementdetails.aspx?termid=26250</v>
      </c>
    </row>
    <row r="1772" spans="1:13" ht="57.6" x14ac:dyDescent="0.3">
      <c r="A1772" s="16" t="s">
        <v>6516</v>
      </c>
      <c r="B1772" s="16" t="s">
        <v>6517</v>
      </c>
      <c r="C1772" s="16" t="s">
        <v>22</v>
      </c>
      <c r="D1772" s="16" t="s">
        <v>1167</v>
      </c>
      <c r="E1772" s="16"/>
      <c r="F1772" s="16"/>
      <c r="G1772" s="16"/>
      <c r="H1772" s="16"/>
      <c r="I1772" s="19" t="s">
        <v>6518</v>
      </c>
      <c r="J1772" s="16"/>
      <c r="K1772" s="16" t="s">
        <v>6519</v>
      </c>
      <c r="L1772" s="16"/>
      <c r="M1772" s="16" t="str">
        <f>HYPERLINK("https://ceds.ed.gov/cedselementdetails.aspx?termid=27744")</f>
        <v>https://ceds.ed.gov/cedselementdetails.aspx?termid=27744</v>
      </c>
    </row>
    <row r="1773" spans="1:13" ht="273.60000000000002" x14ac:dyDescent="0.3">
      <c r="A1773" s="16" t="s">
        <v>6520</v>
      </c>
      <c r="B1773" s="16" t="s">
        <v>263</v>
      </c>
      <c r="C1773" s="16" t="s">
        <v>8261</v>
      </c>
      <c r="D1773" s="16" t="s">
        <v>9401</v>
      </c>
      <c r="E1773" s="16"/>
      <c r="F1773" s="16"/>
      <c r="G1773" s="16"/>
      <c r="H1773" s="16"/>
      <c r="I1773" s="19" t="s">
        <v>6521</v>
      </c>
      <c r="J1773" s="16"/>
      <c r="K1773" s="16" t="s">
        <v>6522</v>
      </c>
      <c r="L1773" s="16" t="s">
        <v>6523</v>
      </c>
      <c r="M1773" s="16" t="str">
        <f>HYPERLINK("https://ceds.ed.gov/cedselementdetails.aspx?termid=26161")</f>
        <v>https://ceds.ed.gov/cedselementdetails.aspx?termid=26161</v>
      </c>
    </row>
    <row r="1774" spans="1:13" ht="273.60000000000002" x14ac:dyDescent="0.3">
      <c r="A1774" s="16" t="s">
        <v>6524</v>
      </c>
      <c r="B1774" s="16" t="s">
        <v>268</v>
      </c>
      <c r="C1774" s="16" t="s">
        <v>32</v>
      </c>
      <c r="D1774" s="16" t="s">
        <v>9401</v>
      </c>
      <c r="E1774" s="16"/>
      <c r="F1774" s="16" t="s">
        <v>120</v>
      </c>
      <c r="G1774" s="16"/>
      <c r="H1774" s="16" t="s">
        <v>7817</v>
      </c>
      <c r="I1774" s="19" t="s">
        <v>6525</v>
      </c>
      <c r="J1774" s="16"/>
      <c r="K1774" s="16" t="s">
        <v>6526</v>
      </c>
      <c r="L1774" s="16" t="s">
        <v>6523</v>
      </c>
      <c r="M1774" s="16" t="str">
        <f>HYPERLINK("https://ceds.ed.gov/cedselementdetails.aspx?termid=26155")</f>
        <v>https://ceds.ed.gov/cedselementdetails.aspx?termid=26155</v>
      </c>
    </row>
    <row r="1775" spans="1:13" ht="43.2" x14ac:dyDescent="0.3">
      <c r="A1775" s="16" t="s">
        <v>6527</v>
      </c>
      <c r="B1775" s="16" t="s">
        <v>6528</v>
      </c>
      <c r="C1775" s="16" t="s">
        <v>32</v>
      </c>
      <c r="D1775" s="16" t="s">
        <v>4047</v>
      </c>
      <c r="E1775" s="16"/>
      <c r="F1775" s="16" t="s">
        <v>1481</v>
      </c>
      <c r="G1775" s="16"/>
      <c r="H1775" s="16"/>
      <c r="I1775" s="19" t="s">
        <v>6529</v>
      </c>
      <c r="J1775" s="16"/>
      <c r="K1775" s="16" t="s">
        <v>6530</v>
      </c>
      <c r="L1775" s="16" t="s">
        <v>202</v>
      </c>
      <c r="M1775" s="16" t="str">
        <f>HYPERLINK("https://ceds.ed.gov/cedselementdetails.aspx?termid=26471")</f>
        <v>https://ceds.ed.gov/cedselementdetails.aspx?termid=26471</v>
      </c>
    </row>
    <row r="1776" spans="1:13" ht="57.6" x14ac:dyDescent="0.3">
      <c r="A1776" s="16" t="s">
        <v>6531</v>
      </c>
      <c r="B1776" s="16" t="s">
        <v>6532</v>
      </c>
      <c r="C1776" s="16" t="s">
        <v>32</v>
      </c>
      <c r="D1776" s="16" t="s">
        <v>2474</v>
      </c>
      <c r="E1776" s="16"/>
      <c r="F1776" s="16" t="s">
        <v>106</v>
      </c>
      <c r="G1776" s="16"/>
      <c r="H1776" s="16" t="s">
        <v>131</v>
      </c>
      <c r="I1776" s="19" t="s">
        <v>6533</v>
      </c>
      <c r="J1776" s="16"/>
      <c r="K1776" s="16" t="s">
        <v>6534</v>
      </c>
      <c r="L1776" s="16" t="s">
        <v>202</v>
      </c>
      <c r="M1776" s="16" t="str">
        <f>HYPERLINK("https://ceds.ed.gov/cedselementdetails.aspx?termid=26472")</f>
        <v>https://ceds.ed.gov/cedselementdetails.aspx?termid=26472</v>
      </c>
    </row>
    <row r="1777" spans="1:13" ht="43.2" x14ac:dyDescent="0.3">
      <c r="A1777" s="16" t="s">
        <v>6535</v>
      </c>
      <c r="B1777" s="16" t="s">
        <v>6536</v>
      </c>
      <c r="C1777" s="16" t="s">
        <v>22</v>
      </c>
      <c r="D1777" s="16" t="s">
        <v>2474</v>
      </c>
      <c r="E1777" s="16"/>
      <c r="F1777" s="16"/>
      <c r="G1777" s="16"/>
      <c r="H1777" s="16"/>
      <c r="I1777" s="19" t="s">
        <v>6537</v>
      </c>
      <c r="J1777" s="16"/>
      <c r="K1777" s="16" t="s">
        <v>6538</v>
      </c>
      <c r="L1777" s="16" t="s">
        <v>214</v>
      </c>
      <c r="M1777" s="16" t="str">
        <f>HYPERLINK("https://ceds.ed.gov/cedselementdetails.aspx?termid=26238")</f>
        <v>https://ceds.ed.gov/cedselementdetails.aspx?termid=26238</v>
      </c>
    </row>
    <row r="1778" spans="1:13" ht="72" x14ac:dyDescent="0.3">
      <c r="A1778" s="16" t="s">
        <v>6539</v>
      </c>
      <c r="B1778" s="16" t="s">
        <v>6540</v>
      </c>
      <c r="C1778" s="16" t="s">
        <v>8824</v>
      </c>
      <c r="D1778" s="16" t="s">
        <v>2431</v>
      </c>
      <c r="E1778" s="16"/>
      <c r="F1778" s="16"/>
      <c r="G1778" s="16"/>
      <c r="H1778" s="16"/>
      <c r="I1778" s="19" t="s">
        <v>6541</v>
      </c>
      <c r="J1778" s="16"/>
      <c r="K1778" s="16" t="s">
        <v>6542</v>
      </c>
      <c r="L1778" s="16" t="s">
        <v>214</v>
      </c>
      <c r="M1778" s="16" t="str">
        <f>HYPERLINK("https://ceds.ed.gov/cedselementdetails.aspx?termid=26239")</f>
        <v>https://ceds.ed.gov/cedselementdetails.aspx?termid=26239</v>
      </c>
    </row>
    <row r="1779" spans="1:13" ht="100.8" x14ac:dyDescent="0.3">
      <c r="A1779" s="16" t="s">
        <v>6543</v>
      </c>
      <c r="B1779" s="16" t="s">
        <v>6544</v>
      </c>
      <c r="C1779" s="16" t="s">
        <v>32</v>
      </c>
      <c r="D1779" s="16" t="s">
        <v>4047</v>
      </c>
      <c r="E1779" s="16"/>
      <c r="F1779" s="16" t="s">
        <v>742</v>
      </c>
      <c r="G1779" s="16"/>
      <c r="H1779" s="16"/>
      <c r="I1779" s="19" t="s">
        <v>6545</v>
      </c>
      <c r="J1779" s="16"/>
      <c r="K1779" s="16" t="s">
        <v>6546</v>
      </c>
      <c r="L1779" s="16" t="s">
        <v>202</v>
      </c>
      <c r="M1779" s="16" t="str">
        <f>HYPERLINK("https://ceds.ed.gov/cedselementdetails.aspx?termid=26470")</f>
        <v>https://ceds.ed.gov/cedselementdetails.aspx?termid=26470</v>
      </c>
    </row>
    <row r="1780" spans="1:13" ht="100.8" x14ac:dyDescent="0.3">
      <c r="A1780" s="16" t="s">
        <v>6547</v>
      </c>
      <c r="B1780" s="16" t="s">
        <v>6548</v>
      </c>
      <c r="C1780" s="16" t="s">
        <v>8825</v>
      </c>
      <c r="D1780" s="16" t="s">
        <v>217</v>
      </c>
      <c r="E1780" s="16"/>
      <c r="F1780" s="16"/>
      <c r="G1780" s="16"/>
      <c r="H1780" s="16"/>
      <c r="I1780" s="19" t="s">
        <v>6549</v>
      </c>
      <c r="J1780" s="16"/>
      <c r="K1780" s="16" t="s">
        <v>6550</v>
      </c>
      <c r="L1780" s="16" t="s">
        <v>214</v>
      </c>
      <c r="M1780" s="16" t="str">
        <f>HYPERLINK("https://ceds.ed.gov/cedselementdetails.aspx?termid=26240")</f>
        <v>https://ceds.ed.gov/cedselementdetails.aspx?termid=26240</v>
      </c>
    </row>
    <row r="1781" spans="1:13" ht="201.6" x14ac:dyDescent="0.3">
      <c r="A1781" s="16" t="s">
        <v>6551</v>
      </c>
      <c r="B1781" s="16" t="s">
        <v>6552</v>
      </c>
      <c r="C1781" s="16" t="s">
        <v>8262</v>
      </c>
      <c r="D1781" s="16" t="s">
        <v>9380</v>
      </c>
      <c r="E1781" s="16"/>
      <c r="F1781" s="16"/>
      <c r="G1781" s="16"/>
      <c r="H1781" s="16"/>
      <c r="I1781" s="19" t="s">
        <v>6553</v>
      </c>
      <c r="J1781" s="16"/>
      <c r="K1781" s="16" t="s">
        <v>6554</v>
      </c>
      <c r="L1781" s="16"/>
      <c r="M1781" s="16" t="str">
        <f>HYPERLINK("https://ceds.ed.gov/cedselementdetails.aspx?termid=26241")</f>
        <v>https://ceds.ed.gov/cedselementdetails.aspx?termid=26241</v>
      </c>
    </row>
    <row r="1782" spans="1:13" ht="129.6" x14ac:dyDescent="0.3">
      <c r="A1782" s="16" t="s">
        <v>6555</v>
      </c>
      <c r="B1782" s="16" t="s">
        <v>6556</v>
      </c>
      <c r="C1782" s="16" t="s">
        <v>8263</v>
      </c>
      <c r="D1782" s="16" t="s">
        <v>9380</v>
      </c>
      <c r="E1782" s="16"/>
      <c r="F1782" s="16"/>
      <c r="G1782" s="16"/>
      <c r="H1782" s="16"/>
      <c r="I1782" s="19" t="s">
        <v>6557</v>
      </c>
      <c r="J1782" s="16"/>
      <c r="K1782" s="16" t="s">
        <v>6558</v>
      </c>
      <c r="L1782" s="16" t="s">
        <v>214</v>
      </c>
      <c r="M1782" s="16" t="str">
        <f>HYPERLINK("https://ceds.ed.gov/cedselementdetails.aspx?termid=26524")</f>
        <v>https://ceds.ed.gov/cedselementdetails.aspx?termid=26524</v>
      </c>
    </row>
    <row r="1783" spans="1:13" ht="72" x14ac:dyDescent="0.3">
      <c r="A1783" s="16" t="s">
        <v>12849</v>
      </c>
      <c r="B1783" s="16" t="s">
        <v>12850</v>
      </c>
      <c r="C1783" s="16" t="s">
        <v>8802</v>
      </c>
      <c r="D1783" s="16" t="s">
        <v>2474</v>
      </c>
      <c r="E1783" s="16" t="s">
        <v>155</v>
      </c>
      <c r="F1783" s="16" t="s">
        <v>2</v>
      </c>
      <c r="G1783" s="16" t="s">
        <v>12636</v>
      </c>
      <c r="H1783" s="16"/>
      <c r="I1783" s="19" t="s">
        <v>12851</v>
      </c>
      <c r="J1783" s="16"/>
      <c r="K1783" s="16" t="s">
        <v>12852</v>
      </c>
      <c r="L1783" s="16"/>
      <c r="M1783" s="16" t="str">
        <f>HYPERLINK("https://ceds.ed.gov/cedselementdetails.aspx?termid=28121")</f>
        <v>https://ceds.ed.gov/cedselementdetails.aspx?termid=28121</v>
      </c>
    </row>
    <row r="1784" spans="1:13" ht="100.8" x14ac:dyDescent="0.3">
      <c r="A1784" s="16" t="s">
        <v>6559</v>
      </c>
      <c r="B1784" s="16" t="s">
        <v>8140</v>
      </c>
      <c r="C1784" s="16" t="s">
        <v>8826</v>
      </c>
      <c r="D1784" s="16" t="s">
        <v>217</v>
      </c>
      <c r="E1784" s="16"/>
      <c r="F1784" s="16"/>
      <c r="G1784" s="16"/>
      <c r="H1784" s="16"/>
      <c r="I1784" s="19" t="s">
        <v>6560</v>
      </c>
      <c r="J1784" s="16"/>
      <c r="K1784" s="16" t="s">
        <v>6561</v>
      </c>
      <c r="L1784" s="16" t="s">
        <v>64</v>
      </c>
      <c r="M1784" s="16" t="str">
        <f>HYPERLINK("https://ceds.ed.gov/cedselementdetails.aspx?termid=26242")</f>
        <v>https://ceds.ed.gov/cedselementdetails.aspx?termid=26242</v>
      </c>
    </row>
    <row r="1785" spans="1:13" ht="129.6" x14ac:dyDescent="0.3">
      <c r="A1785" s="16" t="s">
        <v>6562</v>
      </c>
      <c r="B1785" s="16" t="s">
        <v>6563</v>
      </c>
      <c r="C1785" s="16" t="s">
        <v>32</v>
      </c>
      <c r="D1785" s="16" t="s">
        <v>6564</v>
      </c>
      <c r="E1785" s="16"/>
      <c r="F1785" s="16" t="s">
        <v>1807</v>
      </c>
      <c r="G1785" s="16"/>
      <c r="H1785" s="16" t="s">
        <v>8141</v>
      </c>
      <c r="I1785" s="19" t="s">
        <v>6565</v>
      </c>
      <c r="J1785" s="16"/>
      <c r="K1785" s="16" t="s">
        <v>6566</v>
      </c>
      <c r="L1785" s="16" t="s">
        <v>2450</v>
      </c>
      <c r="M1785" s="16" t="str">
        <f>HYPERLINK("https://ceds.ed.gov/cedselementdetails.aspx?termid=26243")</f>
        <v>https://ceds.ed.gov/cedselementdetails.aspx?termid=26243</v>
      </c>
    </row>
    <row r="1786" spans="1:13" ht="86.4" x14ac:dyDescent="0.3">
      <c r="A1786" s="16" t="s">
        <v>6567</v>
      </c>
      <c r="B1786" s="16" t="s">
        <v>6568</v>
      </c>
      <c r="C1786" s="16" t="s">
        <v>32</v>
      </c>
      <c r="D1786" s="16" t="s">
        <v>3010</v>
      </c>
      <c r="E1786" s="16"/>
      <c r="F1786" s="16" t="s">
        <v>305</v>
      </c>
      <c r="G1786" s="16"/>
      <c r="H1786" s="16"/>
      <c r="I1786" s="19" t="s">
        <v>6569</v>
      </c>
      <c r="J1786" s="16"/>
      <c r="K1786" s="16" t="s">
        <v>6570</v>
      </c>
      <c r="L1786" s="16" t="s">
        <v>214</v>
      </c>
      <c r="M1786" s="16" t="str">
        <f>HYPERLINK("https://ceds.ed.gov/cedselementdetails.aspx?termid=26244")</f>
        <v>https://ceds.ed.gov/cedselementdetails.aspx?termid=26244</v>
      </c>
    </row>
    <row r="1787" spans="1:13" ht="144" x14ac:dyDescent="0.3">
      <c r="A1787" s="16" t="s">
        <v>6571</v>
      </c>
      <c r="B1787" s="16" t="s">
        <v>6572</v>
      </c>
      <c r="C1787" s="16" t="s">
        <v>8827</v>
      </c>
      <c r="D1787" s="16" t="s">
        <v>3974</v>
      </c>
      <c r="E1787" s="16"/>
      <c r="F1787" s="16"/>
      <c r="G1787" s="16"/>
      <c r="H1787" s="16"/>
      <c r="I1787" s="19" t="s">
        <v>6573</v>
      </c>
      <c r="J1787" s="16"/>
      <c r="K1787" s="16" t="s">
        <v>6574</v>
      </c>
      <c r="L1787" s="16"/>
      <c r="M1787" s="16" t="str">
        <f>HYPERLINK("https://ceds.ed.gov/cedselementdetails.aspx?termid=26620")</f>
        <v>https://ceds.ed.gov/cedselementdetails.aspx?termid=26620</v>
      </c>
    </row>
    <row r="1788" spans="1:13" ht="129.6" x14ac:dyDescent="0.3">
      <c r="A1788" s="16" t="s">
        <v>6575</v>
      </c>
      <c r="B1788" s="16" t="s">
        <v>6576</v>
      </c>
      <c r="C1788" s="16" t="s">
        <v>22</v>
      </c>
      <c r="D1788" s="16" t="s">
        <v>8768</v>
      </c>
      <c r="E1788" s="16"/>
      <c r="F1788" s="16"/>
      <c r="G1788" s="16"/>
      <c r="H1788" s="16"/>
      <c r="I1788" s="19" t="s">
        <v>6577</v>
      </c>
      <c r="J1788" s="16"/>
      <c r="K1788" s="16" t="s">
        <v>6578</v>
      </c>
      <c r="L1788" s="16" t="s">
        <v>4350</v>
      </c>
      <c r="M1788" s="16" t="str">
        <f>HYPERLINK("https://ceds.ed.gov/cedselementdetails.aspx?termid=26249")</f>
        <v>https://ceds.ed.gov/cedselementdetails.aspx?termid=26249</v>
      </c>
    </row>
    <row r="1789" spans="1:13" ht="72" x14ac:dyDescent="0.3">
      <c r="A1789" s="16" t="s">
        <v>9245</v>
      </c>
      <c r="B1789" s="16" t="s">
        <v>9246</v>
      </c>
      <c r="C1789" s="16" t="s">
        <v>32</v>
      </c>
      <c r="D1789" s="16" t="s">
        <v>13065</v>
      </c>
      <c r="E1789" s="16"/>
      <c r="F1789" s="16" t="s">
        <v>9247</v>
      </c>
      <c r="G1789" s="16"/>
      <c r="H1789" s="16" t="s">
        <v>6512</v>
      </c>
      <c r="I1789" s="19" t="s">
        <v>9248</v>
      </c>
      <c r="J1789" s="16"/>
      <c r="K1789" s="16" t="s">
        <v>9249</v>
      </c>
      <c r="L1789" s="16"/>
      <c r="M1789" s="16" t="str">
        <f>HYPERLINK("https://ceds.ed.gov/cedselementdetails.aspx?termid=28085")</f>
        <v>https://ceds.ed.gov/cedselementdetails.aspx?termid=28085</v>
      </c>
    </row>
    <row r="1790" spans="1:13" ht="43.2" x14ac:dyDescent="0.3">
      <c r="A1790" s="16" t="s">
        <v>6579</v>
      </c>
      <c r="B1790" s="16" t="s">
        <v>6580</v>
      </c>
      <c r="C1790" s="16" t="s">
        <v>22</v>
      </c>
      <c r="D1790" s="16" t="s">
        <v>7952</v>
      </c>
      <c r="E1790" s="16"/>
      <c r="F1790" s="16"/>
      <c r="G1790" s="16"/>
      <c r="H1790" s="16"/>
      <c r="I1790" s="19" t="s">
        <v>6581</v>
      </c>
      <c r="J1790" s="16"/>
      <c r="K1790" s="16" t="s">
        <v>6582</v>
      </c>
      <c r="L1790" s="16" t="s">
        <v>2025</v>
      </c>
      <c r="M1790" s="16" t="str">
        <f>HYPERLINK("https://ceds.ed.gov/cedselementdetails.aspx?termid=26821")</f>
        <v>https://ceds.ed.gov/cedselementdetails.aspx?termid=26821</v>
      </c>
    </row>
    <row r="1791" spans="1:13" ht="28.8" x14ac:dyDescent="0.3">
      <c r="A1791" s="16" t="s">
        <v>6583</v>
      </c>
      <c r="B1791" s="16" t="s">
        <v>6584</v>
      </c>
      <c r="C1791" s="16" t="s">
        <v>32</v>
      </c>
      <c r="D1791" s="16" t="s">
        <v>7943</v>
      </c>
      <c r="E1791" s="16"/>
      <c r="F1791" s="16" t="s">
        <v>106</v>
      </c>
      <c r="G1791" s="16"/>
      <c r="H1791" s="16"/>
      <c r="I1791" s="19" t="s">
        <v>6585</v>
      </c>
      <c r="J1791" s="16"/>
      <c r="K1791" s="16" t="s">
        <v>6586</v>
      </c>
      <c r="L1791" s="16"/>
      <c r="M1791" s="16" t="str">
        <f>HYPERLINK("https://ceds.ed.gov/cedselementdetails.aspx?termid=27616")</f>
        <v>https://ceds.ed.gov/cedselementdetails.aspx?termid=27616</v>
      </c>
    </row>
    <row r="1792" spans="1:13" ht="43.2" x14ac:dyDescent="0.3">
      <c r="A1792" s="16" t="s">
        <v>6587</v>
      </c>
      <c r="B1792" s="16" t="s">
        <v>6588</v>
      </c>
      <c r="C1792" s="16" t="s">
        <v>32</v>
      </c>
      <c r="D1792" s="16" t="s">
        <v>8812</v>
      </c>
      <c r="E1792" s="16"/>
      <c r="F1792" s="16" t="s">
        <v>106</v>
      </c>
      <c r="G1792" s="16"/>
      <c r="H1792" s="16"/>
      <c r="I1792" s="19" t="s">
        <v>6589</v>
      </c>
      <c r="J1792" s="16"/>
      <c r="K1792" s="16" t="s">
        <v>6590</v>
      </c>
      <c r="L1792" s="16"/>
      <c r="M1792" s="16" t="str">
        <f>HYPERLINK("https://ceds.ed.gov/cedselementdetails.aspx?termid=26326")</f>
        <v>https://ceds.ed.gov/cedselementdetails.aspx?termid=26326</v>
      </c>
    </row>
    <row r="1793" spans="1:13" ht="57.6" x14ac:dyDescent="0.3">
      <c r="A1793" s="16" t="s">
        <v>6591</v>
      </c>
      <c r="B1793" s="16" t="s">
        <v>6592</v>
      </c>
      <c r="C1793" s="16" t="s">
        <v>32</v>
      </c>
      <c r="D1793" s="16" t="s">
        <v>8812</v>
      </c>
      <c r="E1793" s="16"/>
      <c r="F1793" s="16" t="s">
        <v>106</v>
      </c>
      <c r="G1793" s="16"/>
      <c r="H1793" s="16" t="s">
        <v>131</v>
      </c>
      <c r="I1793" s="19" t="s">
        <v>6593</v>
      </c>
      <c r="J1793" s="16"/>
      <c r="K1793" s="16" t="s">
        <v>6594</v>
      </c>
      <c r="L1793" s="16"/>
      <c r="M1793" s="16" t="str">
        <f>HYPERLINK("https://ceds.ed.gov/cedselementdetails.aspx?termid=26327")</f>
        <v>https://ceds.ed.gov/cedselementdetails.aspx?termid=26327</v>
      </c>
    </row>
    <row r="1794" spans="1:13" ht="43.2" x14ac:dyDescent="0.3">
      <c r="A1794" s="16" t="s">
        <v>6595</v>
      </c>
      <c r="B1794" s="16" t="s">
        <v>6596</v>
      </c>
      <c r="C1794" s="16" t="s">
        <v>22</v>
      </c>
      <c r="D1794" s="16" t="s">
        <v>3015</v>
      </c>
      <c r="E1794" s="16"/>
      <c r="F1794" s="16"/>
      <c r="G1794" s="16"/>
      <c r="H1794" s="16"/>
      <c r="I1794" s="19" t="s">
        <v>6597</v>
      </c>
      <c r="J1794" s="16"/>
      <c r="K1794" s="16" t="s">
        <v>6598</v>
      </c>
      <c r="L1794" s="16"/>
      <c r="M1794" s="16" t="str">
        <f>HYPERLINK("https://ceds.ed.gov/cedselementdetails.aspx?termid=27698")</f>
        <v>https://ceds.ed.gov/cedselementdetails.aspx?termid=27698</v>
      </c>
    </row>
    <row r="1795" spans="1:13" ht="100.8" x14ac:dyDescent="0.3">
      <c r="A1795" s="16" t="s">
        <v>6599</v>
      </c>
      <c r="B1795" s="16" t="s">
        <v>6600</v>
      </c>
      <c r="C1795" s="16" t="s">
        <v>8828</v>
      </c>
      <c r="D1795" s="16" t="s">
        <v>8492</v>
      </c>
      <c r="E1795" s="16"/>
      <c r="F1795" s="16"/>
      <c r="G1795" s="16"/>
      <c r="H1795" s="16"/>
      <c r="I1795" s="19" t="s">
        <v>6601</v>
      </c>
      <c r="J1795" s="16"/>
      <c r="K1795" s="16" t="s">
        <v>6602</v>
      </c>
      <c r="L1795" s="16" t="s">
        <v>3007</v>
      </c>
      <c r="M1795" s="16" t="str">
        <f>HYPERLINK("https://ceds.ed.gov/cedselementdetails.aspx?termid=26352")</f>
        <v>https://ceds.ed.gov/cedselementdetails.aspx?termid=26352</v>
      </c>
    </row>
    <row r="1796" spans="1:13" ht="43.2" x14ac:dyDescent="0.3">
      <c r="A1796" s="16" t="s">
        <v>6603</v>
      </c>
      <c r="B1796" s="16" t="s">
        <v>6604</v>
      </c>
      <c r="C1796" s="16" t="s">
        <v>32</v>
      </c>
      <c r="D1796" s="16" t="s">
        <v>8829</v>
      </c>
      <c r="E1796" s="16"/>
      <c r="F1796" s="16" t="s">
        <v>101</v>
      </c>
      <c r="G1796" s="16"/>
      <c r="H1796" s="16"/>
      <c r="I1796" s="19" t="s">
        <v>6605</v>
      </c>
      <c r="J1796" s="16"/>
      <c r="K1796" s="16" t="s">
        <v>6606</v>
      </c>
      <c r="L1796" s="16"/>
      <c r="M1796" s="16" t="str">
        <f>HYPERLINK("https://ceds.ed.gov/cedselementdetails.aspx?termid=27603")</f>
        <v>https://ceds.ed.gov/cedselementdetails.aspx?termid=27603</v>
      </c>
    </row>
    <row r="1797" spans="1:13" ht="72" x14ac:dyDescent="0.3">
      <c r="A1797" s="16" t="s">
        <v>6607</v>
      </c>
      <c r="B1797" s="16" t="s">
        <v>6608</v>
      </c>
      <c r="C1797" s="16" t="s">
        <v>32</v>
      </c>
      <c r="D1797" s="16" t="s">
        <v>8829</v>
      </c>
      <c r="E1797" s="16"/>
      <c r="F1797" s="16" t="s">
        <v>747</v>
      </c>
      <c r="G1797" s="16"/>
      <c r="H1797" s="16"/>
      <c r="I1797" s="19" t="s">
        <v>6609</v>
      </c>
      <c r="J1797" s="16"/>
      <c r="K1797" s="16" t="s">
        <v>6610</v>
      </c>
      <c r="L1797" s="16"/>
      <c r="M1797" s="16" t="str">
        <f>HYPERLINK("https://ceds.ed.gov/cedselementdetails.aspx?termid=27606")</f>
        <v>https://ceds.ed.gov/cedselementdetails.aspx?termid=27606</v>
      </c>
    </row>
    <row r="1798" spans="1:13" ht="28.8" x14ac:dyDescent="0.3">
      <c r="A1798" s="16" t="s">
        <v>6611</v>
      </c>
      <c r="B1798" s="16" t="s">
        <v>6612</v>
      </c>
      <c r="C1798" s="16" t="s">
        <v>32</v>
      </c>
      <c r="D1798" s="16" t="s">
        <v>3015</v>
      </c>
      <c r="E1798" s="16"/>
      <c r="F1798" s="16" t="s">
        <v>316</v>
      </c>
      <c r="G1798" s="16"/>
      <c r="H1798" s="16"/>
      <c r="I1798" s="19" t="s">
        <v>6613</v>
      </c>
      <c r="J1798" s="16"/>
      <c r="K1798" s="16" t="s">
        <v>6614</v>
      </c>
      <c r="L1798" s="16"/>
      <c r="M1798" s="16" t="str">
        <f>HYPERLINK("https://ceds.ed.gov/cedselementdetails.aspx?termid=27699")</f>
        <v>https://ceds.ed.gov/cedselementdetails.aspx?termid=27699</v>
      </c>
    </row>
    <row r="1799" spans="1:13" ht="129.6" x14ac:dyDescent="0.3">
      <c r="A1799" s="16" t="s">
        <v>6615</v>
      </c>
      <c r="B1799" s="16" t="s">
        <v>6616</v>
      </c>
      <c r="C1799" s="16" t="s">
        <v>22</v>
      </c>
      <c r="D1799" s="16" t="s">
        <v>6617</v>
      </c>
      <c r="E1799" s="16"/>
      <c r="F1799" s="16"/>
      <c r="G1799" s="16"/>
      <c r="H1799" s="16"/>
      <c r="I1799" s="19" t="s">
        <v>6618</v>
      </c>
      <c r="J1799" s="16"/>
      <c r="K1799" s="16" t="s">
        <v>6619</v>
      </c>
      <c r="L1799" s="16"/>
      <c r="M1799" s="16" t="str">
        <f>HYPERLINK("https://ceds.ed.gov/cedselementdetails.aspx?termid=27240")</f>
        <v>https://ceds.ed.gov/cedselementdetails.aspx?termid=27240</v>
      </c>
    </row>
    <row r="1800" spans="1:13" ht="129.6" x14ac:dyDescent="0.3">
      <c r="A1800" s="16" t="s">
        <v>6620</v>
      </c>
      <c r="B1800" s="16" t="s">
        <v>6621</v>
      </c>
      <c r="C1800" s="16" t="s">
        <v>32</v>
      </c>
      <c r="D1800" s="16" t="s">
        <v>6617</v>
      </c>
      <c r="E1800" s="16"/>
      <c r="F1800" s="16" t="s">
        <v>106</v>
      </c>
      <c r="G1800" s="16"/>
      <c r="H1800" s="16"/>
      <c r="I1800" s="19" t="s">
        <v>6622</v>
      </c>
      <c r="J1800" s="16"/>
      <c r="K1800" s="16" t="s">
        <v>6623</v>
      </c>
      <c r="L1800" s="16" t="s">
        <v>1484</v>
      </c>
      <c r="M1800" s="16" t="str">
        <f>HYPERLINK("https://ceds.ed.gov/cedselementdetails.aspx?termid=26251")</f>
        <v>https://ceds.ed.gov/cedselementdetails.aspx?termid=26251</v>
      </c>
    </row>
    <row r="1801" spans="1:13" ht="129.6" x14ac:dyDescent="0.3">
      <c r="A1801" s="16" t="s">
        <v>6624</v>
      </c>
      <c r="B1801" s="16" t="s">
        <v>6625</v>
      </c>
      <c r="C1801" s="16" t="s">
        <v>32</v>
      </c>
      <c r="D1801" s="16" t="s">
        <v>6617</v>
      </c>
      <c r="E1801" s="16"/>
      <c r="F1801" s="16" t="s">
        <v>81</v>
      </c>
      <c r="G1801" s="16"/>
      <c r="H1801" s="16"/>
      <c r="I1801" s="19" t="s">
        <v>6626</v>
      </c>
      <c r="J1801" s="16"/>
      <c r="K1801" s="16" t="s">
        <v>6627</v>
      </c>
      <c r="L1801" s="16"/>
      <c r="M1801" s="16" t="str">
        <f>HYPERLINK("https://ceds.ed.gov/cedselementdetails.aspx?termid=27236")</f>
        <v>https://ceds.ed.gov/cedselementdetails.aspx?termid=27236</v>
      </c>
    </row>
    <row r="1802" spans="1:13" ht="129.6" x14ac:dyDescent="0.3">
      <c r="A1802" s="16" t="s">
        <v>6628</v>
      </c>
      <c r="B1802" s="16" t="s">
        <v>6629</v>
      </c>
      <c r="C1802" s="16" t="s">
        <v>32</v>
      </c>
      <c r="D1802" s="16" t="s">
        <v>6617</v>
      </c>
      <c r="E1802" s="16"/>
      <c r="F1802" s="16" t="s">
        <v>316</v>
      </c>
      <c r="G1802" s="16"/>
      <c r="H1802" s="16"/>
      <c r="I1802" s="19" t="s">
        <v>6630</v>
      </c>
      <c r="J1802" s="16"/>
      <c r="K1802" s="16" t="s">
        <v>6631</v>
      </c>
      <c r="L1802" s="16"/>
      <c r="M1802" s="16" t="str">
        <f>HYPERLINK("https://ceds.ed.gov/cedselementdetails.aspx?termid=27237")</f>
        <v>https://ceds.ed.gov/cedselementdetails.aspx?termid=27237</v>
      </c>
    </row>
    <row r="1803" spans="1:13" ht="129.6" x14ac:dyDescent="0.3">
      <c r="A1803" s="16" t="s">
        <v>6632</v>
      </c>
      <c r="B1803" s="16" t="s">
        <v>6633</v>
      </c>
      <c r="C1803" s="16" t="s">
        <v>32</v>
      </c>
      <c r="D1803" s="16" t="s">
        <v>6634</v>
      </c>
      <c r="E1803" s="16"/>
      <c r="F1803" s="16" t="s">
        <v>3093</v>
      </c>
      <c r="G1803" s="16"/>
      <c r="H1803" s="16"/>
      <c r="I1803" s="19" t="s">
        <v>6635</v>
      </c>
      <c r="J1803" s="16"/>
      <c r="K1803" s="16" t="s">
        <v>6636</v>
      </c>
      <c r="L1803" s="16" t="s">
        <v>1927</v>
      </c>
      <c r="M1803" s="16" t="str">
        <f>HYPERLINK("https://ceds.ed.gov/cedselementdetails.aspx?termid=26252")</f>
        <v>https://ceds.ed.gov/cedselementdetails.aspx?termid=26252</v>
      </c>
    </row>
    <row r="1804" spans="1:13" ht="129.6" x14ac:dyDescent="0.3">
      <c r="A1804" s="16" t="s">
        <v>6637</v>
      </c>
      <c r="B1804" s="16" t="s">
        <v>6638</v>
      </c>
      <c r="C1804" s="16" t="s">
        <v>32</v>
      </c>
      <c r="D1804" s="16" t="s">
        <v>6617</v>
      </c>
      <c r="E1804" s="16"/>
      <c r="F1804" s="16" t="s">
        <v>106</v>
      </c>
      <c r="G1804" s="16"/>
      <c r="H1804" s="16" t="s">
        <v>131</v>
      </c>
      <c r="I1804" s="19" t="s">
        <v>6639</v>
      </c>
      <c r="J1804" s="16"/>
      <c r="K1804" s="16" t="s">
        <v>6640</v>
      </c>
      <c r="L1804" s="16" t="s">
        <v>1484</v>
      </c>
      <c r="M1804" s="16" t="str">
        <f>HYPERLINK("https://ceds.ed.gov/cedselementdetails.aspx?termid=26253")</f>
        <v>https://ceds.ed.gov/cedselementdetails.aspx?termid=26253</v>
      </c>
    </row>
    <row r="1805" spans="1:13" ht="72" x14ac:dyDescent="0.3">
      <c r="A1805" s="16" t="s">
        <v>6641</v>
      </c>
      <c r="B1805" s="16" t="s">
        <v>6642</v>
      </c>
      <c r="C1805" s="16" t="s">
        <v>32</v>
      </c>
      <c r="D1805" s="16" t="s">
        <v>9402</v>
      </c>
      <c r="E1805" s="16"/>
      <c r="F1805" s="16" t="s">
        <v>403</v>
      </c>
      <c r="G1805" s="16"/>
      <c r="H1805" s="16"/>
      <c r="I1805" s="19" t="s">
        <v>6643</v>
      </c>
      <c r="J1805" s="16"/>
      <c r="K1805" s="16" t="s">
        <v>6644</v>
      </c>
      <c r="L1805" s="16" t="s">
        <v>2025</v>
      </c>
      <c r="M1805" s="16" t="str">
        <f>HYPERLINK("https://ceds.ed.gov/cedselementdetails.aspx?termid=26988")</f>
        <v>https://ceds.ed.gov/cedselementdetails.aspx?termid=26988</v>
      </c>
    </row>
    <row r="1806" spans="1:13" ht="129.6" x14ac:dyDescent="0.3">
      <c r="A1806" s="16" t="s">
        <v>6645</v>
      </c>
      <c r="B1806" s="16" t="s">
        <v>6646</v>
      </c>
      <c r="C1806" s="16" t="s">
        <v>22</v>
      </c>
      <c r="D1806" s="16" t="s">
        <v>6617</v>
      </c>
      <c r="E1806" s="16"/>
      <c r="F1806" s="16"/>
      <c r="G1806" s="16"/>
      <c r="H1806" s="16"/>
      <c r="I1806" s="19" t="s">
        <v>6647</v>
      </c>
      <c r="J1806" s="16"/>
      <c r="K1806" s="16" t="s">
        <v>6648</v>
      </c>
      <c r="L1806" s="16"/>
      <c r="M1806" s="16" t="str">
        <f>HYPERLINK("https://ceds.ed.gov/cedselementdetails.aspx?termid=27238")</f>
        <v>https://ceds.ed.gov/cedselementdetails.aspx?termid=27238</v>
      </c>
    </row>
    <row r="1807" spans="1:13" ht="129.6" x14ac:dyDescent="0.3">
      <c r="A1807" s="16" t="s">
        <v>6649</v>
      </c>
      <c r="B1807" s="16" t="s">
        <v>6650</v>
      </c>
      <c r="C1807" s="16" t="s">
        <v>22</v>
      </c>
      <c r="D1807" s="16" t="s">
        <v>6617</v>
      </c>
      <c r="E1807" s="16"/>
      <c r="F1807" s="16"/>
      <c r="G1807" s="16"/>
      <c r="H1807" s="16"/>
      <c r="I1807" s="19" t="s">
        <v>6651</v>
      </c>
      <c r="J1807" s="16"/>
      <c r="K1807" s="16" t="s">
        <v>6652</v>
      </c>
      <c r="L1807" s="16"/>
      <c r="M1807" s="16" t="str">
        <f>HYPERLINK("https://ceds.ed.gov/cedselementdetails.aspx?termid=27239")</f>
        <v>https://ceds.ed.gov/cedselementdetails.aspx?termid=27239</v>
      </c>
    </row>
    <row r="1808" spans="1:13" ht="100.8" x14ac:dyDescent="0.3">
      <c r="A1808" s="16" t="s">
        <v>9250</v>
      </c>
      <c r="B1808" s="16" t="s">
        <v>9251</v>
      </c>
      <c r="C1808" s="16" t="s">
        <v>32</v>
      </c>
      <c r="D1808" s="16" t="s">
        <v>6659</v>
      </c>
      <c r="E1808" s="16"/>
      <c r="F1808" s="16" t="s">
        <v>136</v>
      </c>
      <c r="G1808" s="16"/>
      <c r="H1808" s="16"/>
      <c r="I1808" s="19" t="s">
        <v>9252</v>
      </c>
      <c r="J1808" s="16"/>
      <c r="K1808" s="16" t="s">
        <v>9253</v>
      </c>
      <c r="L1808" s="16"/>
      <c r="M1808" s="16" t="str">
        <f>HYPERLINK("https://ceds.ed.gov/cedselementdetails.aspx?termid=28086")</f>
        <v>https://ceds.ed.gov/cedselementdetails.aspx?termid=28086</v>
      </c>
    </row>
    <row r="1809" spans="1:13" ht="72" x14ac:dyDescent="0.3">
      <c r="A1809" s="16" t="s">
        <v>6653</v>
      </c>
      <c r="B1809" s="16" t="s">
        <v>6654</v>
      </c>
      <c r="C1809" s="16" t="s">
        <v>32</v>
      </c>
      <c r="D1809" s="16" t="s">
        <v>9402</v>
      </c>
      <c r="E1809" s="16"/>
      <c r="F1809" s="16" t="s">
        <v>403</v>
      </c>
      <c r="G1809" s="16"/>
      <c r="H1809" s="16"/>
      <c r="I1809" s="19" t="s">
        <v>6655</v>
      </c>
      <c r="J1809" s="16"/>
      <c r="K1809" s="16" t="s">
        <v>6656</v>
      </c>
      <c r="L1809" s="16" t="s">
        <v>2025</v>
      </c>
      <c r="M1809" s="16" t="str">
        <f>HYPERLINK("https://ceds.ed.gov/cedselementdetails.aspx?termid=26986")</f>
        <v>https://ceds.ed.gov/cedselementdetails.aspx?termid=26986</v>
      </c>
    </row>
    <row r="1810" spans="1:13" ht="172.8" x14ac:dyDescent="0.3">
      <c r="A1810" s="16" t="s">
        <v>6657</v>
      </c>
      <c r="B1810" s="16" t="s">
        <v>6658</v>
      </c>
      <c r="C1810" s="16" t="s">
        <v>8830</v>
      </c>
      <c r="D1810" s="16" t="s">
        <v>6659</v>
      </c>
      <c r="E1810" s="16"/>
      <c r="F1810" s="16"/>
      <c r="G1810" s="16"/>
      <c r="H1810" s="16"/>
      <c r="I1810" s="19" t="s">
        <v>6660</v>
      </c>
      <c r="J1810" s="16"/>
      <c r="K1810" s="16" t="s">
        <v>6661</v>
      </c>
      <c r="L1810" s="16" t="s">
        <v>1484</v>
      </c>
      <c r="M1810" s="16" t="str">
        <f>HYPERLINK("https://ceds.ed.gov/cedselementdetails.aspx?termid=26254")</f>
        <v>https://ceds.ed.gov/cedselementdetails.aspx?termid=26254</v>
      </c>
    </row>
    <row r="1811" spans="1:13" ht="100.8" x14ac:dyDescent="0.3">
      <c r="A1811" s="16" t="s">
        <v>12853</v>
      </c>
      <c r="B1811" s="16" t="s">
        <v>12854</v>
      </c>
      <c r="C1811" s="16" t="s">
        <v>12922</v>
      </c>
      <c r="D1811" s="16" t="s">
        <v>12887</v>
      </c>
      <c r="E1811" s="16" t="s">
        <v>155</v>
      </c>
      <c r="F1811" s="16" t="s">
        <v>2</v>
      </c>
      <c r="G1811" s="16" t="s">
        <v>12636</v>
      </c>
      <c r="H1811" s="16"/>
      <c r="I1811" s="19" t="s">
        <v>12855</v>
      </c>
      <c r="J1811" s="16"/>
      <c r="K1811" s="16" t="s">
        <v>12856</v>
      </c>
      <c r="L1811" s="16"/>
      <c r="M1811" s="16" t="str">
        <f>HYPERLINK("https://ceds.ed.gov/cedselementdetails.aspx?termid=28144")</f>
        <v>https://ceds.ed.gov/cedselementdetails.aspx?termid=28144</v>
      </c>
    </row>
    <row r="1812" spans="1:13" ht="302.39999999999998" x14ac:dyDescent="0.3">
      <c r="A1812" s="16" t="s">
        <v>6662</v>
      </c>
      <c r="B1812" s="16" t="s">
        <v>6663</v>
      </c>
      <c r="C1812" s="16" t="s">
        <v>8831</v>
      </c>
      <c r="D1812" s="16" t="s">
        <v>8832</v>
      </c>
      <c r="E1812" s="16"/>
      <c r="F1812" s="16"/>
      <c r="G1812" s="16"/>
      <c r="H1812" s="16" t="s">
        <v>6664</v>
      </c>
      <c r="I1812" s="19" t="s">
        <v>6665</v>
      </c>
      <c r="J1812" s="16"/>
      <c r="K1812" s="16" t="s">
        <v>6662</v>
      </c>
      <c r="L1812" s="16" t="s">
        <v>6666</v>
      </c>
      <c r="M1812" s="16" t="str">
        <f>HYPERLINK("https://ceds.ed.gov/cedselementdetails.aspx?termid=26255")</f>
        <v>https://ceds.ed.gov/cedselementdetails.aspx?termid=26255</v>
      </c>
    </row>
    <row r="1813" spans="1:13" ht="86.4" x14ac:dyDescent="0.3">
      <c r="A1813" s="16" t="s">
        <v>6667</v>
      </c>
      <c r="B1813" s="16" t="s">
        <v>6668</v>
      </c>
      <c r="C1813" s="16" t="s">
        <v>22</v>
      </c>
      <c r="D1813" s="16" t="s">
        <v>217</v>
      </c>
      <c r="E1813" s="16"/>
      <c r="F1813" s="16"/>
      <c r="G1813" s="16"/>
      <c r="H1813" s="16"/>
      <c r="I1813" s="19" t="s">
        <v>6669</v>
      </c>
      <c r="J1813" s="16"/>
      <c r="K1813" s="16" t="s">
        <v>6670</v>
      </c>
      <c r="L1813" s="16" t="s">
        <v>214</v>
      </c>
      <c r="M1813" s="16" t="str">
        <f>HYPERLINK("https://ceds.ed.gov/cedselementdetails.aspx?termid=26257")</f>
        <v>https://ceds.ed.gov/cedselementdetails.aspx?termid=26257</v>
      </c>
    </row>
    <row r="1814" spans="1:13" ht="331.2" x14ac:dyDescent="0.3">
      <c r="A1814" s="16" t="s">
        <v>8142</v>
      </c>
      <c r="B1814" s="16" t="s">
        <v>8143</v>
      </c>
      <c r="C1814" s="16" t="s">
        <v>32</v>
      </c>
      <c r="D1814" s="16" t="s">
        <v>9403</v>
      </c>
      <c r="E1814" s="16"/>
      <c r="F1814" s="16" t="s">
        <v>81</v>
      </c>
      <c r="G1814" s="16"/>
      <c r="H1814" s="16" t="s">
        <v>6671</v>
      </c>
      <c r="I1814" s="19" t="s">
        <v>6672</v>
      </c>
      <c r="J1814" s="16"/>
      <c r="K1814" s="16" t="s">
        <v>8144</v>
      </c>
      <c r="L1814" s="16"/>
      <c r="M1814" s="16" t="str">
        <f>HYPERLINK("https://ceds.ed.gov/cedselementdetails.aspx?termid=27459")</f>
        <v>https://ceds.ed.gov/cedselementdetails.aspx?termid=27459</v>
      </c>
    </row>
    <row r="1815" spans="1:13" ht="57.6" x14ac:dyDescent="0.3">
      <c r="A1815" s="16" t="s">
        <v>6673</v>
      </c>
      <c r="B1815" s="16" t="s">
        <v>6674</v>
      </c>
      <c r="C1815" s="16" t="s">
        <v>22</v>
      </c>
      <c r="D1815" s="16" t="s">
        <v>3123</v>
      </c>
      <c r="E1815" s="16"/>
      <c r="F1815" s="16"/>
      <c r="G1815" s="16"/>
      <c r="H1815" s="16"/>
      <c r="I1815" s="19" t="s">
        <v>6675</v>
      </c>
      <c r="J1815" s="16"/>
      <c r="K1815" s="16" t="s">
        <v>6676</v>
      </c>
      <c r="L1815" s="16"/>
      <c r="M1815" s="16" t="str">
        <f>HYPERLINK("https://ceds.ed.gov/cedselementdetails.aspx?termid=26505")</f>
        <v>https://ceds.ed.gov/cedselementdetails.aspx?termid=26505</v>
      </c>
    </row>
    <row r="1816" spans="1:13" ht="100.8" x14ac:dyDescent="0.3">
      <c r="A1816" s="16" t="s">
        <v>12857</v>
      </c>
      <c r="B1816" s="16" t="s">
        <v>12858</v>
      </c>
      <c r="C1816" s="16" t="s">
        <v>12923</v>
      </c>
      <c r="D1816" s="16" t="s">
        <v>12887</v>
      </c>
      <c r="E1816" s="16" t="s">
        <v>155</v>
      </c>
      <c r="F1816" s="16" t="s">
        <v>2</v>
      </c>
      <c r="G1816" s="16" t="s">
        <v>12636</v>
      </c>
      <c r="H1816" s="16"/>
      <c r="I1816" s="19" t="s">
        <v>12859</v>
      </c>
      <c r="J1816" s="16"/>
      <c r="K1816" s="16" t="s">
        <v>12860</v>
      </c>
      <c r="L1816" s="16"/>
      <c r="M1816" s="16" t="str">
        <f>HYPERLINK("https://ceds.ed.gov/cedselementdetails.aspx?termid=28145")</f>
        <v>https://ceds.ed.gov/cedselementdetails.aspx?termid=28145</v>
      </c>
    </row>
    <row r="1817" spans="1:13" ht="72" x14ac:dyDescent="0.3">
      <c r="A1817" s="16" t="s">
        <v>12861</v>
      </c>
      <c r="B1817" s="16" t="s">
        <v>12862</v>
      </c>
      <c r="C1817" s="16" t="s">
        <v>12924</v>
      </c>
      <c r="D1817" s="16" t="s">
        <v>12887</v>
      </c>
      <c r="E1817" s="16" t="s">
        <v>155</v>
      </c>
      <c r="F1817" s="16" t="s">
        <v>2</v>
      </c>
      <c r="G1817" s="16" t="s">
        <v>12636</v>
      </c>
      <c r="H1817" s="16"/>
      <c r="I1817" s="19" t="s">
        <v>12863</v>
      </c>
      <c r="J1817" s="16"/>
      <c r="K1817" s="16" t="s">
        <v>12864</v>
      </c>
      <c r="L1817" s="16"/>
      <c r="M1817" s="16" t="str">
        <f>HYPERLINK("https://ceds.ed.gov/cedselementdetails.aspx?termid=28126")</f>
        <v>https://ceds.ed.gov/cedselementdetails.aspx?termid=28126</v>
      </c>
    </row>
    <row r="1818" spans="1:13" ht="57.6" x14ac:dyDescent="0.3">
      <c r="A1818" s="16" t="s">
        <v>6677</v>
      </c>
      <c r="B1818" s="16" t="s">
        <v>6678</v>
      </c>
      <c r="C1818" s="16" t="s">
        <v>22</v>
      </c>
      <c r="D1818" s="16" t="s">
        <v>4321</v>
      </c>
      <c r="E1818" s="16"/>
      <c r="F1818" s="16"/>
      <c r="G1818" s="16"/>
      <c r="H1818" s="16"/>
      <c r="I1818" s="19" t="s">
        <v>6679</v>
      </c>
      <c r="J1818" s="16"/>
      <c r="K1818" s="16" t="s">
        <v>6680</v>
      </c>
      <c r="L1818" s="16"/>
      <c r="M1818" s="16" t="str">
        <f>HYPERLINK("https://ceds.ed.gov/cedselementdetails.aspx?termid=27746")</f>
        <v>https://ceds.ed.gov/cedselementdetails.aspx?termid=27746</v>
      </c>
    </row>
    <row r="1819" spans="1:13" ht="86.4" x14ac:dyDescent="0.3">
      <c r="A1819" s="16" t="s">
        <v>6681</v>
      </c>
      <c r="B1819" s="16" t="s">
        <v>6682</v>
      </c>
      <c r="C1819" s="16" t="s">
        <v>22</v>
      </c>
      <c r="D1819" s="16" t="s">
        <v>6683</v>
      </c>
      <c r="E1819" s="16"/>
      <c r="F1819" s="16"/>
      <c r="G1819" s="16"/>
      <c r="H1819" s="16"/>
      <c r="I1819" s="19" t="s">
        <v>6684</v>
      </c>
      <c r="J1819" s="16"/>
      <c r="K1819" s="16" t="s">
        <v>6685</v>
      </c>
      <c r="L1819" s="16" t="s">
        <v>2080</v>
      </c>
      <c r="M1819" s="16" t="str">
        <f>HYPERLINK("https://ceds.ed.gov/cedselementdetails.aspx?termid=26573")</f>
        <v>https://ceds.ed.gov/cedselementdetails.aspx?termid=26573</v>
      </c>
    </row>
    <row r="1820" spans="1:13" ht="28.8" x14ac:dyDescent="0.3">
      <c r="A1820" s="16" t="s">
        <v>6686</v>
      </c>
      <c r="B1820" s="16" t="s">
        <v>8145</v>
      </c>
      <c r="C1820" s="16" t="s">
        <v>32</v>
      </c>
      <c r="D1820" s="16" t="s">
        <v>8146</v>
      </c>
      <c r="E1820" s="16"/>
      <c r="F1820" s="16" t="s">
        <v>145</v>
      </c>
      <c r="G1820" s="16"/>
      <c r="H1820" s="16"/>
      <c r="I1820" s="19" t="s">
        <v>6687</v>
      </c>
      <c r="J1820" s="16"/>
      <c r="K1820" s="16" t="s">
        <v>6688</v>
      </c>
      <c r="L1820" s="16" t="s">
        <v>2444</v>
      </c>
      <c r="M1820" s="16" t="str">
        <f>HYPERLINK("https://ceds.ed.gov/cedselementdetails.aspx?termid=26625")</f>
        <v>https://ceds.ed.gov/cedselementdetails.aspx?termid=26625</v>
      </c>
    </row>
    <row r="1821" spans="1:13" ht="28.8" x14ac:dyDescent="0.3">
      <c r="A1821" s="16" t="s">
        <v>6689</v>
      </c>
      <c r="B1821" s="16" t="s">
        <v>6690</v>
      </c>
      <c r="C1821" s="16" t="s">
        <v>32</v>
      </c>
      <c r="D1821" s="16" t="s">
        <v>7951</v>
      </c>
      <c r="E1821" s="16"/>
      <c r="F1821" s="16" t="s">
        <v>101</v>
      </c>
      <c r="G1821" s="16"/>
      <c r="H1821" s="16"/>
      <c r="I1821" s="19" t="s">
        <v>6691</v>
      </c>
      <c r="J1821" s="16"/>
      <c r="K1821" s="16" t="s">
        <v>6692</v>
      </c>
      <c r="L1821" s="16"/>
      <c r="M1821" s="16" t="str">
        <f>HYPERLINK("https://ceds.ed.gov/cedselementdetails.aspx?termid=27608")</f>
        <v>https://ceds.ed.gov/cedselementdetails.aspx?termid=27608</v>
      </c>
    </row>
    <row r="1822" spans="1:13" ht="100.8" x14ac:dyDescent="0.3">
      <c r="A1822" s="16" t="s">
        <v>6693</v>
      </c>
      <c r="B1822" s="16" t="s">
        <v>6694</v>
      </c>
      <c r="C1822" s="16" t="s">
        <v>32</v>
      </c>
      <c r="D1822" s="16" t="s">
        <v>4260</v>
      </c>
      <c r="E1822" s="16"/>
      <c r="F1822" s="16" t="s">
        <v>305</v>
      </c>
      <c r="G1822" s="16"/>
      <c r="H1822" s="16"/>
      <c r="I1822" s="19" t="s">
        <v>6695</v>
      </c>
      <c r="J1822" s="16"/>
      <c r="K1822" s="16" t="s">
        <v>6696</v>
      </c>
      <c r="L1822" s="16" t="s">
        <v>4263</v>
      </c>
      <c r="M1822" s="16" t="str">
        <f>HYPERLINK("https://ceds.ed.gov/cedselementdetails.aspx?termid=26294")</f>
        <v>https://ceds.ed.gov/cedselementdetails.aspx?termid=26294</v>
      </c>
    </row>
    <row r="1823" spans="1:13" ht="57.6" x14ac:dyDescent="0.3">
      <c r="A1823" s="16" t="s">
        <v>6697</v>
      </c>
      <c r="B1823" s="16" t="s">
        <v>6698</v>
      </c>
      <c r="C1823" s="16" t="s">
        <v>22</v>
      </c>
      <c r="D1823" s="16" t="s">
        <v>3165</v>
      </c>
      <c r="E1823" s="16"/>
      <c r="F1823" s="16"/>
      <c r="G1823" s="16"/>
      <c r="H1823" s="16"/>
      <c r="I1823" s="19" t="s">
        <v>6699</v>
      </c>
      <c r="J1823" s="16"/>
      <c r="K1823" s="16" t="s">
        <v>6700</v>
      </c>
      <c r="L1823" s="16" t="s">
        <v>240</v>
      </c>
      <c r="M1823" s="16" t="str">
        <f>HYPERLINK("https://ceds.ed.gov/cedselementdetails.aspx?termid=26744")</f>
        <v>https://ceds.ed.gov/cedselementdetails.aspx?termid=26744</v>
      </c>
    </row>
    <row r="1824" spans="1:13" ht="158.4" x14ac:dyDescent="0.3">
      <c r="A1824" s="16" t="s">
        <v>6701</v>
      </c>
      <c r="B1824" s="16" t="s">
        <v>6702</v>
      </c>
      <c r="C1824" s="16" t="s">
        <v>8833</v>
      </c>
      <c r="D1824" s="16" t="s">
        <v>7975</v>
      </c>
      <c r="E1824" s="16"/>
      <c r="F1824" s="16"/>
      <c r="G1824" s="16"/>
      <c r="H1824" s="16"/>
      <c r="I1824" s="19" t="s">
        <v>6703</v>
      </c>
      <c r="J1824" s="16"/>
      <c r="K1824" s="16" t="s">
        <v>6704</v>
      </c>
      <c r="L1824" s="16" t="s">
        <v>372</v>
      </c>
      <c r="M1824" s="16" t="str">
        <f>HYPERLINK("https://ceds.ed.gov/cedselementdetails.aspx?termid=26332")</f>
        <v>https://ceds.ed.gov/cedselementdetails.aspx?termid=26332</v>
      </c>
    </row>
    <row r="1825" spans="1:13" ht="43.2" x14ac:dyDescent="0.3">
      <c r="A1825" s="16" t="s">
        <v>7546</v>
      </c>
      <c r="B1825" s="16" t="s">
        <v>7547</v>
      </c>
      <c r="C1825" s="16" t="s">
        <v>32</v>
      </c>
      <c r="D1825" s="16" t="s">
        <v>7933</v>
      </c>
      <c r="E1825" s="16"/>
      <c r="F1825" s="16" t="s">
        <v>316</v>
      </c>
      <c r="G1825" s="16"/>
      <c r="H1825" s="16"/>
      <c r="I1825" s="19" t="s">
        <v>7548</v>
      </c>
      <c r="J1825" s="16"/>
      <c r="K1825" s="16" t="s">
        <v>7549</v>
      </c>
      <c r="L1825" s="16"/>
      <c r="M1825" s="16" t="str">
        <f>HYPERLINK("https://ceds.ed.gov/cedselementdetails.aspx?termid=27960")</f>
        <v>https://ceds.ed.gov/cedselementdetails.aspx?termid=27960</v>
      </c>
    </row>
    <row r="1826" spans="1:13" ht="28.8" x14ac:dyDescent="0.3">
      <c r="A1826" s="16" t="s">
        <v>7550</v>
      </c>
      <c r="B1826" s="16" t="s">
        <v>7551</v>
      </c>
      <c r="C1826" s="16" t="s">
        <v>32</v>
      </c>
      <c r="D1826" s="16" t="s">
        <v>7933</v>
      </c>
      <c r="E1826" s="16"/>
      <c r="F1826" s="16" t="s">
        <v>316</v>
      </c>
      <c r="G1826" s="16"/>
      <c r="H1826" s="16"/>
      <c r="I1826" s="19" t="s">
        <v>7552</v>
      </c>
      <c r="J1826" s="16"/>
      <c r="K1826" s="16" t="s">
        <v>7553</v>
      </c>
      <c r="L1826" s="16"/>
      <c r="M1826" s="16" t="str">
        <f>HYPERLINK("https://ceds.ed.gov/cedselementdetails.aspx?termid=27961")</f>
        <v>https://ceds.ed.gov/cedselementdetails.aspx?termid=27961</v>
      </c>
    </row>
    <row r="1827" spans="1:13" ht="115.2" x14ac:dyDescent="0.3">
      <c r="A1827" s="16" t="s">
        <v>6705</v>
      </c>
      <c r="B1827" s="16" t="s">
        <v>6706</v>
      </c>
      <c r="C1827" s="16" t="s">
        <v>8834</v>
      </c>
      <c r="D1827" s="16" t="s">
        <v>8835</v>
      </c>
      <c r="E1827" s="16"/>
      <c r="F1827" s="16"/>
      <c r="G1827" s="16"/>
      <c r="H1827" s="16"/>
      <c r="I1827" s="19" t="s">
        <v>6707</v>
      </c>
      <c r="J1827" s="16"/>
      <c r="K1827" s="16" t="s">
        <v>6708</v>
      </c>
      <c r="L1827" s="16" t="s">
        <v>98</v>
      </c>
      <c r="M1827" s="16" t="str">
        <f>HYPERLINK("https://ceds.ed.gov/cedselementdetails.aspx?termid=26852")</f>
        <v>https://ceds.ed.gov/cedselementdetails.aspx?termid=26852</v>
      </c>
    </row>
    <row r="1828" spans="1:13" ht="43.2" x14ac:dyDescent="0.3">
      <c r="A1828" s="16" t="s">
        <v>6709</v>
      </c>
      <c r="B1828" s="16" t="s">
        <v>6710</v>
      </c>
      <c r="C1828" s="16" t="s">
        <v>8264</v>
      </c>
      <c r="D1828" s="16" t="s">
        <v>9381</v>
      </c>
      <c r="E1828" s="16"/>
      <c r="F1828" s="16"/>
      <c r="G1828" s="16"/>
      <c r="H1828" s="16"/>
      <c r="I1828" s="19" t="s">
        <v>6711</v>
      </c>
      <c r="J1828" s="16"/>
      <c r="K1828" s="16" t="s">
        <v>6712</v>
      </c>
      <c r="L1828" s="16" t="s">
        <v>214</v>
      </c>
      <c r="M1828" s="16" t="str">
        <f>HYPERLINK("https://ceds.ed.gov/cedselementdetails.aspx?termid=26556")</f>
        <v>https://ceds.ed.gov/cedselementdetails.aspx?termid=26556</v>
      </c>
    </row>
    <row r="1829" spans="1:13" ht="409.6" x14ac:dyDescent="0.3">
      <c r="A1829" s="16" t="s">
        <v>6713</v>
      </c>
      <c r="B1829" s="16" t="s">
        <v>6714</v>
      </c>
      <c r="C1829" s="16" t="s">
        <v>9341</v>
      </c>
      <c r="D1829" s="16" t="s">
        <v>8836</v>
      </c>
      <c r="E1829" s="16"/>
      <c r="F1829" s="16"/>
      <c r="G1829" s="16"/>
      <c r="H1829" s="16"/>
      <c r="I1829" s="19" t="s">
        <v>6715</v>
      </c>
      <c r="J1829" s="16"/>
      <c r="K1829" s="16" t="s">
        <v>6716</v>
      </c>
      <c r="L1829" s="16" t="s">
        <v>214</v>
      </c>
      <c r="M1829" s="16" t="str">
        <f>HYPERLINK("https://ceds.ed.gov/cedselementdetails.aspx?termid=26260")</f>
        <v>https://ceds.ed.gov/cedselementdetails.aspx?termid=26260</v>
      </c>
    </row>
    <row r="1830" spans="1:13" ht="86.4" x14ac:dyDescent="0.3">
      <c r="A1830" s="16" t="s">
        <v>6717</v>
      </c>
      <c r="B1830" s="16" t="s">
        <v>6718</v>
      </c>
      <c r="C1830" s="16" t="s">
        <v>32</v>
      </c>
      <c r="D1830" s="16" t="s">
        <v>8836</v>
      </c>
      <c r="E1830" s="16"/>
      <c r="F1830" s="16" t="s">
        <v>4081</v>
      </c>
      <c r="G1830" s="16"/>
      <c r="H1830" s="16"/>
      <c r="I1830" s="19" t="s">
        <v>6719</v>
      </c>
      <c r="J1830" s="16" t="s">
        <v>6720</v>
      </c>
      <c r="K1830" s="16" t="s">
        <v>6721</v>
      </c>
      <c r="L1830" s="16"/>
      <c r="M1830" s="16" t="str">
        <f>HYPERLINK("https://ceds.ed.gov/cedselementdetails.aspx?termid=27208")</f>
        <v>https://ceds.ed.gov/cedselementdetails.aspx?termid=27208</v>
      </c>
    </row>
    <row r="1831" spans="1:13" ht="57.6" x14ac:dyDescent="0.3">
      <c r="A1831" s="16" t="s">
        <v>6722</v>
      </c>
      <c r="B1831" s="16" t="s">
        <v>6723</v>
      </c>
      <c r="C1831" s="16" t="s">
        <v>22</v>
      </c>
      <c r="D1831" s="16" t="s">
        <v>9381</v>
      </c>
      <c r="E1831" s="16"/>
      <c r="F1831" s="16"/>
      <c r="G1831" s="16"/>
      <c r="H1831" s="16"/>
      <c r="I1831" s="19" t="s">
        <v>6724</v>
      </c>
      <c r="J1831" s="16"/>
      <c r="K1831" s="16" t="s">
        <v>6725</v>
      </c>
      <c r="L1831" s="16" t="s">
        <v>214</v>
      </c>
      <c r="M1831" s="16" t="str">
        <f>HYPERLINK("https://ceds.ed.gov/cedselementdetails.aspx?termid=26261")</f>
        <v>https://ceds.ed.gov/cedselementdetails.aspx?termid=26261</v>
      </c>
    </row>
    <row r="1832" spans="1:13" ht="57.6" x14ac:dyDescent="0.3">
      <c r="A1832" s="16" t="s">
        <v>6726</v>
      </c>
      <c r="B1832" s="16" t="s">
        <v>6727</v>
      </c>
      <c r="C1832" s="16" t="s">
        <v>22</v>
      </c>
      <c r="D1832" s="16" t="s">
        <v>9381</v>
      </c>
      <c r="E1832" s="16"/>
      <c r="F1832" s="16"/>
      <c r="G1832" s="16"/>
      <c r="H1832" s="16"/>
      <c r="I1832" s="19" t="s">
        <v>6728</v>
      </c>
      <c r="J1832" s="16"/>
      <c r="K1832" s="16" t="s">
        <v>6729</v>
      </c>
      <c r="L1832" s="16" t="s">
        <v>214</v>
      </c>
      <c r="M1832" s="16" t="str">
        <f>HYPERLINK("https://ceds.ed.gov/cedselementdetails.aspx?termid=26262")</f>
        <v>https://ceds.ed.gov/cedselementdetails.aspx?termid=26262</v>
      </c>
    </row>
    <row r="1833" spans="1:13" ht="57.6" x14ac:dyDescent="0.3">
      <c r="A1833" s="16" t="s">
        <v>6730</v>
      </c>
      <c r="B1833" s="16" t="s">
        <v>6731</v>
      </c>
      <c r="C1833" s="16" t="s">
        <v>32</v>
      </c>
      <c r="D1833" s="16" t="s">
        <v>6732</v>
      </c>
      <c r="E1833" s="16"/>
      <c r="F1833" s="16" t="s">
        <v>106</v>
      </c>
      <c r="G1833" s="16"/>
      <c r="H1833" s="16" t="s">
        <v>131</v>
      </c>
      <c r="I1833" s="19" t="s">
        <v>6733</v>
      </c>
      <c r="J1833" s="16"/>
      <c r="K1833" s="16" t="s">
        <v>6734</v>
      </c>
      <c r="L1833" s="16" t="s">
        <v>214</v>
      </c>
      <c r="M1833" s="16" t="str">
        <f>HYPERLINK("https://ceds.ed.gov/cedselementdetails.aspx?termid=26263")</f>
        <v>https://ceds.ed.gov/cedselementdetails.aspx?termid=26263</v>
      </c>
    </row>
    <row r="1834" spans="1:13" ht="259.2" x14ac:dyDescent="0.3">
      <c r="A1834" s="16" t="s">
        <v>6735</v>
      </c>
      <c r="B1834" s="16" t="s">
        <v>6736</v>
      </c>
      <c r="C1834" s="16" t="s">
        <v>8265</v>
      </c>
      <c r="D1834" s="16" t="s">
        <v>9404</v>
      </c>
      <c r="E1834" s="16"/>
      <c r="F1834" s="16"/>
      <c r="G1834" s="16"/>
      <c r="H1834" s="16"/>
      <c r="I1834" s="19" t="s">
        <v>6737</v>
      </c>
      <c r="J1834" s="16"/>
      <c r="K1834" s="16" t="s">
        <v>6738</v>
      </c>
      <c r="L1834" s="16" t="s">
        <v>214</v>
      </c>
      <c r="M1834" s="16" t="str">
        <f>HYPERLINK("https://ceds.ed.gov/cedselementdetails.aspx?termid=26549")</f>
        <v>https://ceds.ed.gov/cedselementdetails.aspx?termid=26549</v>
      </c>
    </row>
    <row r="1835" spans="1:13" ht="57.6" x14ac:dyDescent="0.3">
      <c r="A1835" s="16" t="s">
        <v>6739</v>
      </c>
      <c r="B1835" s="16" t="s">
        <v>6740</v>
      </c>
      <c r="C1835" s="16" t="s">
        <v>22</v>
      </c>
      <c r="D1835" s="16" t="s">
        <v>9381</v>
      </c>
      <c r="E1835" s="16"/>
      <c r="F1835" s="16"/>
      <c r="G1835" s="16"/>
      <c r="H1835" s="16"/>
      <c r="I1835" s="19" t="s">
        <v>6741</v>
      </c>
      <c r="J1835" s="16"/>
      <c r="K1835" s="16" t="s">
        <v>6742</v>
      </c>
      <c r="L1835" s="16" t="s">
        <v>214</v>
      </c>
      <c r="M1835" s="16" t="str">
        <f>HYPERLINK("https://ceds.ed.gov/cedselementdetails.aspx?termid=26264")</f>
        <v>https://ceds.ed.gov/cedselementdetails.aspx?termid=26264</v>
      </c>
    </row>
    <row r="1836" spans="1:13" ht="43.2" x14ac:dyDescent="0.3">
      <c r="A1836" s="16" t="s">
        <v>8147</v>
      </c>
      <c r="B1836" s="16" t="s">
        <v>8148</v>
      </c>
      <c r="C1836" s="16" t="s">
        <v>8203</v>
      </c>
      <c r="D1836" s="16" t="s">
        <v>4275</v>
      </c>
      <c r="E1836" s="16"/>
      <c r="F1836" s="16" t="s">
        <v>2</v>
      </c>
      <c r="G1836" s="16"/>
      <c r="H1836" s="16"/>
      <c r="I1836" s="19" t="s">
        <v>8195</v>
      </c>
      <c r="J1836" s="16"/>
      <c r="K1836" s="16" t="s">
        <v>8149</v>
      </c>
      <c r="L1836" s="16"/>
      <c r="M1836" s="16" t="str">
        <f>HYPERLINK("https://ceds.ed.gov/cedselementdetails.aspx?termid=27993")</f>
        <v>https://ceds.ed.gov/cedselementdetails.aspx?termid=27993</v>
      </c>
    </row>
    <row r="1837" spans="1:13" ht="57.6" x14ac:dyDescent="0.3">
      <c r="A1837" s="16" t="s">
        <v>6743</v>
      </c>
      <c r="B1837" s="16" t="s">
        <v>8150</v>
      </c>
      <c r="C1837" s="16" t="s">
        <v>22</v>
      </c>
      <c r="D1837" s="16" t="s">
        <v>8151</v>
      </c>
      <c r="E1837" s="16"/>
      <c r="F1837" s="16"/>
      <c r="G1837" s="16"/>
      <c r="H1837" s="16"/>
      <c r="I1837" s="19" t="s">
        <v>6744</v>
      </c>
      <c r="J1837" s="16"/>
      <c r="K1837" s="16" t="s">
        <v>6745</v>
      </c>
      <c r="L1837" s="16" t="s">
        <v>98</v>
      </c>
      <c r="M1837" s="16" t="str">
        <f>HYPERLINK("https://ceds.ed.gov/cedselementdetails.aspx?termid=27004")</f>
        <v>https://ceds.ed.gov/cedselementdetails.aspx?termid=27004</v>
      </c>
    </row>
    <row r="1838" spans="1:13" ht="43.2" x14ac:dyDescent="0.3">
      <c r="A1838" s="16" t="s">
        <v>6746</v>
      </c>
      <c r="B1838" s="16" t="s">
        <v>6747</v>
      </c>
      <c r="C1838" s="16" t="s">
        <v>32</v>
      </c>
      <c r="D1838" s="16" t="s">
        <v>8789</v>
      </c>
      <c r="E1838" s="16"/>
      <c r="F1838" s="16" t="s">
        <v>145</v>
      </c>
      <c r="G1838" s="16"/>
      <c r="H1838" s="16"/>
      <c r="I1838" s="19" t="s">
        <v>6748</v>
      </c>
      <c r="J1838" s="16"/>
      <c r="K1838" s="16" t="s">
        <v>6749</v>
      </c>
      <c r="L1838" s="16"/>
      <c r="M1838" s="16" t="str">
        <f>HYPERLINK("https://ceds.ed.gov/cedselementdetails.aspx?termid=27461")</f>
        <v>https://ceds.ed.gov/cedselementdetails.aspx?termid=27461</v>
      </c>
    </row>
    <row r="1839" spans="1:13" ht="43.2" x14ac:dyDescent="0.3">
      <c r="A1839" s="16" t="s">
        <v>6750</v>
      </c>
      <c r="B1839" s="16" t="s">
        <v>6751</v>
      </c>
      <c r="C1839" s="16" t="s">
        <v>22</v>
      </c>
      <c r="D1839" s="16" t="s">
        <v>7953</v>
      </c>
      <c r="E1839" s="16"/>
      <c r="F1839" s="16"/>
      <c r="G1839" s="16"/>
      <c r="H1839" s="16"/>
      <c r="I1839" s="19" t="s">
        <v>6752</v>
      </c>
      <c r="J1839" s="16"/>
      <c r="K1839" s="16" t="s">
        <v>6753</v>
      </c>
      <c r="L1839" s="16"/>
      <c r="M1839" s="16" t="str">
        <f>HYPERLINK("https://ceds.ed.gov/cedselementdetails.aspx?termid=27560")</f>
        <v>https://ceds.ed.gov/cedselementdetails.aspx?termid=27560</v>
      </c>
    </row>
    <row r="1840" spans="1:13" ht="43.2" x14ac:dyDescent="0.3">
      <c r="A1840" s="16" t="s">
        <v>7554</v>
      </c>
      <c r="B1840" s="16" t="s">
        <v>7555</v>
      </c>
      <c r="C1840" s="16" t="s">
        <v>32</v>
      </c>
      <c r="D1840" s="16" t="s">
        <v>8554</v>
      </c>
      <c r="E1840" s="16"/>
      <c r="F1840" s="16" t="s">
        <v>1481</v>
      </c>
      <c r="G1840" s="16"/>
      <c r="H1840" s="16"/>
      <c r="I1840" s="19" t="s">
        <v>7556</v>
      </c>
      <c r="J1840" s="16"/>
      <c r="K1840" s="16" t="s">
        <v>7557</v>
      </c>
      <c r="L1840" s="16"/>
      <c r="M1840" s="16" t="str">
        <f>HYPERLINK("https://ceds.ed.gov/cedselementdetails.aspx?termid=27962")</f>
        <v>https://ceds.ed.gov/cedselementdetails.aspx?termid=27962</v>
      </c>
    </row>
    <row r="1841" spans="1:13" ht="43.2" x14ac:dyDescent="0.3">
      <c r="A1841" s="16" t="s">
        <v>9254</v>
      </c>
      <c r="B1841" s="16" t="s">
        <v>9255</v>
      </c>
      <c r="C1841" s="16" t="s">
        <v>32</v>
      </c>
      <c r="D1841" s="16" t="s">
        <v>8554</v>
      </c>
      <c r="E1841" s="16"/>
      <c r="F1841" s="16" t="s">
        <v>101</v>
      </c>
      <c r="G1841" s="16"/>
      <c r="H1841" s="16" t="s">
        <v>9256</v>
      </c>
      <c r="I1841" s="19" t="s">
        <v>9257</v>
      </c>
      <c r="J1841" s="16"/>
      <c r="K1841" s="16" t="s">
        <v>9258</v>
      </c>
      <c r="L1841" s="16"/>
      <c r="M1841" s="16" t="str">
        <f>HYPERLINK("https://ceds.ed.gov/cedselementdetails.aspx?termid=28087")</f>
        <v>https://ceds.ed.gov/cedselementdetails.aspx?termid=28087</v>
      </c>
    </row>
    <row r="1842" spans="1:13" ht="201.6" x14ac:dyDescent="0.3">
      <c r="A1842" s="16" t="s">
        <v>6754</v>
      </c>
      <c r="B1842" s="16" t="s">
        <v>6755</v>
      </c>
      <c r="C1842" s="16" t="s">
        <v>32</v>
      </c>
      <c r="D1842" s="16" t="s">
        <v>8554</v>
      </c>
      <c r="E1842" s="16"/>
      <c r="F1842" s="16" t="s">
        <v>1481</v>
      </c>
      <c r="G1842" s="16"/>
      <c r="H1842" s="16" t="s">
        <v>8152</v>
      </c>
      <c r="I1842" s="19" t="s">
        <v>6756</v>
      </c>
      <c r="J1842" s="16"/>
      <c r="K1842" s="16" t="s">
        <v>6757</v>
      </c>
      <c r="L1842" s="16" t="s">
        <v>2450</v>
      </c>
      <c r="M1842" s="16" t="str">
        <f>HYPERLINK("https://ceds.ed.gov/cedselementdetails.aspx?termid=26032")</f>
        <v>https://ceds.ed.gov/cedselementdetails.aspx?termid=26032</v>
      </c>
    </row>
    <row r="1843" spans="1:13" ht="115.2" x14ac:dyDescent="0.3">
      <c r="A1843" s="16" t="s">
        <v>6758</v>
      </c>
      <c r="B1843" s="16" t="s">
        <v>6759</v>
      </c>
      <c r="C1843" s="16" t="s">
        <v>32</v>
      </c>
      <c r="D1843" s="16" t="s">
        <v>8554</v>
      </c>
      <c r="E1843" s="16"/>
      <c r="F1843" s="16" t="s">
        <v>1481</v>
      </c>
      <c r="G1843" s="16"/>
      <c r="H1843" s="16"/>
      <c r="I1843" s="19" t="s">
        <v>6760</v>
      </c>
      <c r="J1843" s="16"/>
      <c r="K1843" s="16" t="s">
        <v>6761</v>
      </c>
      <c r="L1843" s="16" t="s">
        <v>2450</v>
      </c>
      <c r="M1843" s="16" t="str">
        <f>HYPERLINK("https://ceds.ed.gov/cedselementdetails.aspx?termid=26136")</f>
        <v>https://ceds.ed.gov/cedselementdetails.aspx?termid=26136</v>
      </c>
    </row>
    <row r="1844" spans="1:13" ht="43.2" x14ac:dyDescent="0.3">
      <c r="A1844" s="16" t="s">
        <v>7558</v>
      </c>
      <c r="B1844" s="16" t="s">
        <v>7559</v>
      </c>
      <c r="C1844" s="16" t="s">
        <v>32</v>
      </c>
      <c r="D1844" s="16" t="s">
        <v>8554</v>
      </c>
      <c r="E1844" s="16"/>
      <c r="F1844" s="16" t="s">
        <v>1481</v>
      </c>
      <c r="G1844" s="16"/>
      <c r="H1844" s="16"/>
      <c r="I1844" s="19" t="s">
        <v>7560</v>
      </c>
      <c r="J1844" s="16"/>
      <c r="K1844" s="16" t="s">
        <v>7561</v>
      </c>
      <c r="L1844" s="16"/>
      <c r="M1844" s="16" t="str">
        <f>HYPERLINK("https://ceds.ed.gov/cedselementdetails.aspx?termid=27963")</f>
        <v>https://ceds.ed.gov/cedselementdetails.aspx?termid=27963</v>
      </c>
    </row>
    <row r="1845" spans="1:13" ht="129.6" x14ac:dyDescent="0.3">
      <c r="A1845" s="16" t="s">
        <v>6762</v>
      </c>
      <c r="B1845" s="16" t="s">
        <v>6763</v>
      </c>
      <c r="C1845" s="16" t="s">
        <v>32</v>
      </c>
      <c r="D1845" s="16" t="s">
        <v>8554</v>
      </c>
      <c r="E1845" s="16"/>
      <c r="F1845" s="16" t="s">
        <v>1481</v>
      </c>
      <c r="G1845" s="16"/>
      <c r="H1845" s="16"/>
      <c r="I1845" s="19" t="s">
        <v>6764</v>
      </c>
      <c r="J1845" s="16"/>
      <c r="K1845" s="16" t="s">
        <v>6765</v>
      </c>
      <c r="L1845" s="16" t="s">
        <v>2450</v>
      </c>
      <c r="M1845" s="16" t="str">
        <f>HYPERLINK("https://ceds.ed.gov/cedselementdetails.aspx?termid=26205")</f>
        <v>https://ceds.ed.gov/cedselementdetails.aspx?termid=26205</v>
      </c>
    </row>
    <row r="1846" spans="1:13" ht="115.2" x14ac:dyDescent="0.3">
      <c r="A1846" s="16" t="s">
        <v>6766</v>
      </c>
      <c r="B1846" s="16" t="s">
        <v>6767</v>
      </c>
      <c r="C1846" s="16" t="s">
        <v>32</v>
      </c>
      <c r="D1846" s="16" t="s">
        <v>8554</v>
      </c>
      <c r="E1846" s="16"/>
      <c r="F1846" s="16" t="s">
        <v>1481</v>
      </c>
      <c r="G1846" s="16"/>
      <c r="H1846" s="16"/>
      <c r="I1846" s="19" t="s">
        <v>6768</v>
      </c>
      <c r="J1846" s="16"/>
      <c r="K1846" s="16" t="s">
        <v>6769</v>
      </c>
      <c r="L1846" s="16" t="s">
        <v>2450</v>
      </c>
      <c r="M1846" s="16" t="str">
        <f>HYPERLINK("https://ceds.ed.gov/cedselementdetails.aspx?termid=26233")</f>
        <v>https://ceds.ed.gov/cedselementdetails.aspx?termid=26233</v>
      </c>
    </row>
    <row r="1847" spans="1:13" ht="57.6" x14ac:dyDescent="0.3">
      <c r="A1847" s="16" t="s">
        <v>7562</v>
      </c>
      <c r="B1847" s="16" t="s">
        <v>7563</v>
      </c>
      <c r="C1847" s="16" t="s">
        <v>8837</v>
      </c>
      <c r="D1847" s="16" t="s">
        <v>8554</v>
      </c>
      <c r="E1847" s="16"/>
      <c r="F1847" s="16"/>
      <c r="G1847" s="16"/>
      <c r="H1847" s="16"/>
      <c r="I1847" s="19" t="s">
        <v>7564</v>
      </c>
      <c r="J1847" s="16"/>
      <c r="K1847" s="16" t="s">
        <v>7565</v>
      </c>
      <c r="L1847" s="16"/>
      <c r="M1847" s="16" t="str">
        <f>HYPERLINK("https://ceds.ed.gov/cedselementdetails.aspx?termid=27964")</f>
        <v>https://ceds.ed.gov/cedselementdetails.aspx?termid=27964</v>
      </c>
    </row>
    <row r="1848" spans="1:13" ht="144" x14ac:dyDescent="0.3">
      <c r="A1848" s="16" t="s">
        <v>6770</v>
      </c>
      <c r="B1848" s="16" t="s">
        <v>6771</v>
      </c>
      <c r="C1848" s="16" t="s">
        <v>32</v>
      </c>
      <c r="D1848" s="16" t="s">
        <v>8554</v>
      </c>
      <c r="E1848" s="16"/>
      <c r="F1848" s="16" t="s">
        <v>1481</v>
      </c>
      <c r="G1848" s="16"/>
      <c r="H1848" s="16"/>
      <c r="I1848" s="19" t="s">
        <v>6772</v>
      </c>
      <c r="J1848" s="16"/>
      <c r="K1848" s="16" t="s">
        <v>6773</v>
      </c>
      <c r="L1848" s="16" t="s">
        <v>2450</v>
      </c>
      <c r="M1848" s="16" t="str">
        <f>HYPERLINK("https://ceds.ed.gov/cedselementdetails.aspx?termid=26293")</f>
        <v>https://ceds.ed.gov/cedselementdetails.aspx?termid=26293</v>
      </c>
    </row>
    <row r="1849" spans="1:13" ht="57.6" x14ac:dyDescent="0.3">
      <c r="A1849" s="16" t="s">
        <v>6774</v>
      </c>
      <c r="B1849" s="16" t="s">
        <v>8153</v>
      </c>
      <c r="C1849" s="16" t="s">
        <v>32</v>
      </c>
      <c r="D1849" s="16" t="s">
        <v>8554</v>
      </c>
      <c r="E1849" s="16"/>
      <c r="F1849" s="16" t="s">
        <v>1481</v>
      </c>
      <c r="G1849" s="16"/>
      <c r="H1849" s="16"/>
      <c r="I1849" s="19" t="s">
        <v>6775</v>
      </c>
      <c r="J1849" s="16"/>
      <c r="K1849" s="16" t="s">
        <v>6776</v>
      </c>
      <c r="L1849" s="16" t="s">
        <v>2450</v>
      </c>
      <c r="M1849" s="16" t="str">
        <f>HYPERLINK("https://ceds.ed.gov/cedselementdetails.aspx?termid=26295")</f>
        <v>https://ceds.ed.gov/cedselementdetails.aspx?termid=26295</v>
      </c>
    </row>
    <row r="1850" spans="1:13" ht="72" x14ac:dyDescent="0.3">
      <c r="A1850" s="16" t="s">
        <v>6777</v>
      </c>
      <c r="B1850" s="16" t="s">
        <v>6778</v>
      </c>
      <c r="C1850" s="16" t="s">
        <v>32</v>
      </c>
      <c r="D1850" s="16" t="s">
        <v>8546</v>
      </c>
      <c r="E1850" s="16"/>
      <c r="F1850" s="16" t="s">
        <v>106</v>
      </c>
      <c r="G1850" s="16"/>
      <c r="H1850" s="16"/>
      <c r="I1850" s="19" t="s">
        <v>6779</v>
      </c>
      <c r="J1850" s="16"/>
      <c r="K1850" s="16" t="s">
        <v>6780</v>
      </c>
      <c r="L1850" s="16" t="s">
        <v>195</v>
      </c>
      <c r="M1850" s="16" t="str">
        <f>HYPERLINK("https://ceds.ed.gov/cedselementdetails.aspx?termid=26792")</f>
        <v>https://ceds.ed.gov/cedselementdetails.aspx?termid=26792</v>
      </c>
    </row>
    <row r="1851" spans="1:13" ht="72" x14ac:dyDescent="0.3">
      <c r="A1851" s="16" t="s">
        <v>6781</v>
      </c>
      <c r="B1851" s="16" t="s">
        <v>6782</v>
      </c>
      <c r="C1851" s="16" t="s">
        <v>32</v>
      </c>
      <c r="D1851" s="16" t="s">
        <v>8546</v>
      </c>
      <c r="E1851" s="16"/>
      <c r="F1851" s="16" t="s">
        <v>106</v>
      </c>
      <c r="G1851" s="16"/>
      <c r="H1851" s="16"/>
      <c r="I1851" s="19" t="s">
        <v>6783</v>
      </c>
      <c r="J1851" s="16"/>
      <c r="K1851" s="16" t="s">
        <v>6784</v>
      </c>
      <c r="L1851" s="16" t="s">
        <v>195</v>
      </c>
      <c r="M1851" s="16" t="str">
        <f>HYPERLINK("https://ceds.ed.gov/cedselementdetails.aspx?termid=26793")</f>
        <v>https://ceds.ed.gov/cedselementdetails.aspx?termid=26793</v>
      </c>
    </row>
    <row r="1852" spans="1:13" ht="28.8" x14ac:dyDescent="0.3">
      <c r="A1852" s="16" t="s">
        <v>6785</v>
      </c>
      <c r="B1852" s="16" t="s">
        <v>6786</v>
      </c>
      <c r="C1852" s="16" t="s">
        <v>32</v>
      </c>
      <c r="D1852" s="16" t="s">
        <v>3835</v>
      </c>
      <c r="E1852" s="16"/>
      <c r="F1852" s="16" t="s">
        <v>55</v>
      </c>
      <c r="G1852" s="16"/>
      <c r="H1852" s="16"/>
      <c r="I1852" s="19" t="s">
        <v>6787</v>
      </c>
      <c r="J1852" s="16"/>
      <c r="K1852" s="16" t="s">
        <v>6788</v>
      </c>
      <c r="L1852" s="16"/>
      <c r="M1852" s="16" t="str">
        <f>HYPERLINK("https://ceds.ed.gov/cedselementdetails.aspx?termid=26102")</f>
        <v>https://ceds.ed.gov/cedselementdetails.aspx?termid=26102</v>
      </c>
    </row>
    <row r="1853" spans="1:13" ht="28.8" x14ac:dyDescent="0.3">
      <c r="A1853" s="16" t="s">
        <v>7566</v>
      </c>
      <c r="B1853" s="16" t="s">
        <v>7567</v>
      </c>
      <c r="C1853" s="16" t="s">
        <v>32</v>
      </c>
      <c r="D1853" s="16" t="s">
        <v>3835</v>
      </c>
      <c r="E1853" s="16"/>
      <c r="F1853" s="16" t="s">
        <v>145</v>
      </c>
      <c r="G1853" s="16"/>
      <c r="H1853" s="16"/>
      <c r="I1853" s="19" t="s">
        <v>7568</v>
      </c>
      <c r="J1853" s="16"/>
      <c r="K1853" s="16" t="s">
        <v>7569</v>
      </c>
      <c r="L1853" s="16"/>
      <c r="M1853" s="16" t="str">
        <f>HYPERLINK("https://ceds.ed.gov/cedselementdetails.aspx?termid=27965")</f>
        <v>https://ceds.ed.gov/cedselementdetails.aspx?termid=27965</v>
      </c>
    </row>
    <row r="1854" spans="1:13" ht="57.6" x14ac:dyDescent="0.3">
      <c r="A1854" s="16" t="s">
        <v>7570</v>
      </c>
      <c r="B1854" s="16" t="s">
        <v>7571</v>
      </c>
      <c r="C1854" s="16" t="s">
        <v>32</v>
      </c>
      <c r="D1854" s="16" t="s">
        <v>3835</v>
      </c>
      <c r="E1854" s="16"/>
      <c r="F1854" s="16" t="s">
        <v>55</v>
      </c>
      <c r="G1854" s="16"/>
      <c r="H1854" s="16"/>
      <c r="I1854" s="19" t="s">
        <v>7572</v>
      </c>
      <c r="J1854" s="16"/>
      <c r="K1854" s="16" t="s">
        <v>7573</v>
      </c>
      <c r="L1854" s="16"/>
      <c r="M1854" s="16" t="str">
        <f>HYPERLINK("https://ceds.ed.gov/cedselementdetails.aspx?termid=27966")</f>
        <v>https://ceds.ed.gov/cedselementdetails.aspx?termid=27966</v>
      </c>
    </row>
    <row r="1855" spans="1:13" ht="43.2" x14ac:dyDescent="0.3">
      <c r="A1855" s="16" t="s">
        <v>7574</v>
      </c>
      <c r="B1855" s="16" t="s">
        <v>8154</v>
      </c>
      <c r="C1855" s="16" t="s">
        <v>32</v>
      </c>
      <c r="D1855" s="16" t="s">
        <v>3835</v>
      </c>
      <c r="E1855" s="16"/>
      <c r="F1855" s="16" t="s">
        <v>145</v>
      </c>
      <c r="G1855" s="16"/>
      <c r="H1855" s="16"/>
      <c r="I1855" s="19" t="s">
        <v>7575</v>
      </c>
      <c r="J1855" s="16"/>
      <c r="K1855" s="16" t="s">
        <v>7576</v>
      </c>
      <c r="L1855" s="16"/>
      <c r="M1855" s="16" t="str">
        <f>HYPERLINK("https://ceds.ed.gov/cedselementdetails.aspx?termid=27967")</f>
        <v>https://ceds.ed.gov/cedselementdetails.aspx?termid=27967</v>
      </c>
    </row>
    <row r="1856" spans="1:13" ht="57.6" x14ac:dyDescent="0.3">
      <c r="A1856" s="16" t="s">
        <v>6789</v>
      </c>
      <c r="B1856" s="16" t="s">
        <v>7577</v>
      </c>
      <c r="C1856" s="16" t="s">
        <v>32</v>
      </c>
      <c r="D1856" s="16" t="s">
        <v>3835</v>
      </c>
      <c r="E1856" s="16"/>
      <c r="F1856" s="16" t="s">
        <v>55</v>
      </c>
      <c r="G1856" s="16"/>
      <c r="H1856" s="16"/>
      <c r="I1856" s="19" t="s">
        <v>6790</v>
      </c>
      <c r="J1856" s="16"/>
      <c r="K1856" s="16" t="s">
        <v>6791</v>
      </c>
      <c r="L1856" s="16"/>
      <c r="M1856" s="16" t="str">
        <f>HYPERLINK("https://ceds.ed.gov/cedselementdetails.aspx?termid=26103")</f>
        <v>https://ceds.ed.gov/cedselementdetails.aspx?termid=26103</v>
      </c>
    </row>
    <row r="1857" spans="1:13" ht="43.2" x14ac:dyDescent="0.3">
      <c r="A1857" s="16" t="s">
        <v>6792</v>
      </c>
      <c r="B1857" s="16" t="s">
        <v>7578</v>
      </c>
      <c r="C1857" s="16" t="s">
        <v>32</v>
      </c>
      <c r="D1857" s="16" t="s">
        <v>3835</v>
      </c>
      <c r="E1857" s="16"/>
      <c r="F1857" s="16" t="s">
        <v>145</v>
      </c>
      <c r="G1857" s="16"/>
      <c r="H1857" s="16"/>
      <c r="I1857" s="19" t="s">
        <v>6793</v>
      </c>
      <c r="J1857" s="16"/>
      <c r="K1857" s="16" t="s">
        <v>6794</v>
      </c>
      <c r="L1857" s="16"/>
      <c r="M1857" s="16" t="str">
        <f>HYPERLINK("https://ceds.ed.gov/cedselementdetails.aspx?termid=26104")</f>
        <v>https://ceds.ed.gov/cedselementdetails.aspx?termid=26104</v>
      </c>
    </row>
    <row r="1858" spans="1:13" ht="43.2" x14ac:dyDescent="0.3">
      <c r="A1858" s="16" t="s">
        <v>6795</v>
      </c>
      <c r="B1858" s="16" t="s">
        <v>6796</v>
      </c>
      <c r="C1858" s="16" t="s">
        <v>32</v>
      </c>
      <c r="D1858" s="16" t="s">
        <v>3835</v>
      </c>
      <c r="E1858" s="16"/>
      <c r="F1858" s="16" t="s">
        <v>145</v>
      </c>
      <c r="G1858" s="16"/>
      <c r="H1858" s="16"/>
      <c r="I1858" s="19" t="s">
        <v>6797</v>
      </c>
      <c r="J1858" s="16"/>
      <c r="K1858" s="16" t="s">
        <v>6798</v>
      </c>
      <c r="L1858" s="16"/>
      <c r="M1858" s="16" t="str">
        <f>HYPERLINK("https://ceds.ed.gov/cedselementdetails.aspx?termid=26105")</f>
        <v>https://ceds.ed.gov/cedselementdetails.aspx?termid=26105</v>
      </c>
    </row>
    <row r="1859" spans="1:13" ht="100.8" x14ac:dyDescent="0.3">
      <c r="A1859" s="16" t="s">
        <v>6799</v>
      </c>
      <c r="B1859" s="16" t="s">
        <v>6800</v>
      </c>
      <c r="C1859" s="16" t="s">
        <v>32</v>
      </c>
      <c r="D1859" s="16" t="s">
        <v>9405</v>
      </c>
      <c r="E1859" s="16"/>
      <c r="F1859" s="16" t="s">
        <v>4081</v>
      </c>
      <c r="G1859" s="16"/>
      <c r="H1859" s="16"/>
      <c r="I1859" s="19" t="s">
        <v>6801</v>
      </c>
      <c r="J1859" s="16" t="s">
        <v>6802</v>
      </c>
      <c r="K1859" s="16" t="s">
        <v>6803</v>
      </c>
      <c r="L1859" s="16" t="s">
        <v>6804</v>
      </c>
      <c r="M1859" s="16" t="str">
        <f>HYPERLINK("https://ceds.ed.gov/cedselementdetails.aspx?termid=26118")</f>
        <v>https://ceds.ed.gov/cedselementdetails.aspx?termid=26118</v>
      </c>
    </row>
    <row r="1860" spans="1:13" ht="331.2" x14ac:dyDescent="0.3">
      <c r="A1860" s="16" t="s">
        <v>6805</v>
      </c>
      <c r="B1860" s="16" t="s">
        <v>6806</v>
      </c>
      <c r="C1860" s="16" t="s">
        <v>9342</v>
      </c>
      <c r="D1860" s="16" t="s">
        <v>9343</v>
      </c>
      <c r="E1860" s="16"/>
      <c r="F1860" s="16"/>
      <c r="G1860" s="16"/>
      <c r="H1860" s="16"/>
      <c r="I1860" s="19" t="s">
        <v>6807</v>
      </c>
      <c r="J1860" s="16"/>
      <c r="K1860" s="16" t="s">
        <v>6808</v>
      </c>
      <c r="L1860" s="16" t="s">
        <v>6809</v>
      </c>
      <c r="M1860" s="16" t="str">
        <f>HYPERLINK("https://ceds.ed.gov/cedselementdetails.aspx?termid=26162")</f>
        <v>https://ceds.ed.gov/cedselementdetails.aspx?termid=26162</v>
      </c>
    </row>
    <row r="1861" spans="1:13" ht="331.2" x14ac:dyDescent="0.3">
      <c r="A1861" s="16" t="s">
        <v>6810</v>
      </c>
      <c r="B1861" s="16" t="s">
        <v>6811</v>
      </c>
      <c r="C1861" s="16" t="s">
        <v>32</v>
      </c>
      <c r="D1861" s="16" t="s">
        <v>9343</v>
      </c>
      <c r="E1861" s="16"/>
      <c r="F1861" s="16" t="s">
        <v>120</v>
      </c>
      <c r="G1861" s="16"/>
      <c r="H1861" s="16" t="s">
        <v>7817</v>
      </c>
      <c r="I1861" s="19" t="s">
        <v>6812</v>
      </c>
      <c r="J1861" s="16"/>
      <c r="K1861" s="16" t="s">
        <v>6813</v>
      </c>
      <c r="L1861" s="16" t="s">
        <v>6814</v>
      </c>
      <c r="M1861" s="16" t="str">
        <f>HYPERLINK("https://ceds.ed.gov/cedselementdetails.aspx?termid=26156")</f>
        <v>https://ceds.ed.gov/cedselementdetails.aspx?termid=26156</v>
      </c>
    </row>
    <row r="1862" spans="1:13" ht="57.6" x14ac:dyDescent="0.3">
      <c r="A1862" s="16" t="s">
        <v>6815</v>
      </c>
      <c r="B1862" s="16" t="s">
        <v>6816</v>
      </c>
      <c r="C1862" s="16" t="s">
        <v>32</v>
      </c>
      <c r="D1862" s="16" t="s">
        <v>7895</v>
      </c>
      <c r="E1862" s="16"/>
      <c r="F1862" s="16" t="s">
        <v>106</v>
      </c>
      <c r="G1862" s="16"/>
      <c r="H1862" s="16"/>
      <c r="I1862" s="19" t="s">
        <v>6817</v>
      </c>
      <c r="J1862" s="16"/>
      <c r="K1862" s="16" t="s">
        <v>6818</v>
      </c>
      <c r="L1862" s="16" t="s">
        <v>195</v>
      </c>
      <c r="M1862" s="16" t="str">
        <f>HYPERLINK("https://ceds.ed.gov/cedselementdetails.aspx?termid=27068")</f>
        <v>https://ceds.ed.gov/cedselementdetails.aspx?termid=27068</v>
      </c>
    </row>
    <row r="1863" spans="1:13" ht="43.2" x14ac:dyDescent="0.3">
      <c r="A1863" s="16" t="s">
        <v>6819</v>
      </c>
      <c r="B1863" s="16" t="s">
        <v>6820</v>
      </c>
      <c r="C1863" s="16" t="s">
        <v>32</v>
      </c>
      <c r="D1863" s="16" t="s">
        <v>7895</v>
      </c>
      <c r="E1863" s="16"/>
      <c r="F1863" s="16" t="s">
        <v>106</v>
      </c>
      <c r="G1863" s="16"/>
      <c r="H1863" s="16"/>
      <c r="I1863" s="19" t="s">
        <v>6821</v>
      </c>
      <c r="J1863" s="16"/>
      <c r="K1863" s="16" t="s">
        <v>6822</v>
      </c>
      <c r="L1863" s="16" t="s">
        <v>195</v>
      </c>
      <c r="M1863" s="16" t="str">
        <f>HYPERLINK("https://ceds.ed.gov/cedselementdetails.aspx?termid=27067")</f>
        <v>https://ceds.ed.gov/cedselementdetails.aspx?termid=27067</v>
      </c>
    </row>
    <row r="1864" spans="1:13" ht="331.2" x14ac:dyDescent="0.3">
      <c r="A1864" s="16" t="s">
        <v>6823</v>
      </c>
      <c r="B1864" s="16" t="s">
        <v>8155</v>
      </c>
      <c r="C1864" s="16" t="s">
        <v>32</v>
      </c>
      <c r="D1864" s="16" t="s">
        <v>13066</v>
      </c>
      <c r="E1864" s="16"/>
      <c r="F1864" s="16" t="s">
        <v>6824</v>
      </c>
      <c r="G1864" s="16"/>
      <c r="H1864" s="16"/>
      <c r="I1864" s="19" t="s">
        <v>6825</v>
      </c>
      <c r="J1864" s="16"/>
      <c r="K1864" s="16" t="s">
        <v>6826</v>
      </c>
      <c r="L1864" s="16" t="s">
        <v>69</v>
      </c>
      <c r="M1864" s="16" t="str">
        <f>HYPERLINK("https://ceds.ed.gov/cedselementdetails.aspx?termid=26707")</f>
        <v>https://ceds.ed.gov/cedselementdetails.aspx?termid=26707</v>
      </c>
    </row>
    <row r="1865" spans="1:13" ht="43.2" x14ac:dyDescent="0.3">
      <c r="A1865" s="16" t="s">
        <v>6827</v>
      </c>
      <c r="B1865" s="16" t="s">
        <v>6828</v>
      </c>
      <c r="C1865" s="16" t="s">
        <v>32</v>
      </c>
      <c r="D1865" s="16" t="s">
        <v>6829</v>
      </c>
      <c r="E1865" s="16"/>
      <c r="F1865" s="16" t="s">
        <v>136</v>
      </c>
      <c r="G1865" s="16"/>
      <c r="H1865" s="16"/>
      <c r="I1865" s="19" t="s">
        <v>6830</v>
      </c>
      <c r="J1865" s="16"/>
      <c r="K1865" s="16" t="s">
        <v>6831</v>
      </c>
      <c r="L1865" s="16" t="s">
        <v>230</v>
      </c>
      <c r="M1865" s="16" t="str">
        <f>HYPERLINK("https://ceds.ed.gov/cedselementdetails.aspx?termid=26265")</f>
        <v>https://ceds.ed.gov/cedselementdetails.aspx?termid=26265</v>
      </c>
    </row>
    <row r="1866" spans="1:13" ht="244.8" x14ac:dyDescent="0.3">
      <c r="A1866" s="16" t="s">
        <v>6832</v>
      </c>
      <c r="B1866" s="16" t="s">
        <v>6833</v>
      </c>
      <c r="C1866" s="16" t="s">
        <v>8838</v>
      </c>
      <c r="D1866" s="16" t="s">
        <v>6829</v>
      </c>
      <c r="E1866" s="16"/>
      <c r="F1866" s="16"/>
      <c r="G1866" s="16"/>
      <c r="H1866" s="16"/>
      <c r="I1866" s="19" t="s">
        <v>6834</v>
      </c>
      <c r="J1866" s="16"/>
      <c r="K1866" s="16" t="s">
        <v>6835</v>
      </c>
      <c r="L1866" s="16" t="s">
        <v>230</v>
      </c>
      <c r="M1866" s="16" t="str">
        <f>HYPERLINK("https://ceds.ed.gov/cedselementdetails.aspx?termid=26266")</f>
        <v>https://ceds.ed.gov/cedselementdetails.aspx?termid=26266</v>
      </c>
    </row>
    <row r="1867" spans="1:13" ht="43.2" x14ac:dyDescent="0.3">
      <c r="A1867" s="16" t="s">
        <v>6836</v>
      </c>
      <c r="B1867" s="16" t="s">
        <v>6837</v>
      </c>
      <c r="C1867" s="16" t="s">
        <v>32</v>
      </c>
      <c r="D1867" s="16" t="s">
        <v>3516</v>
      </c>
      <c r="E1867" s="16"/>
      <c r="F1867" s="16"/>
      <c r="G1867" s="16"/>
      <c r="H1867" s="16"/>
      <c r="I1867" s="19" t="s">
        <v>6838</v>
      </c>
      <c r="J1867" s="16"/>
      <c r="K1867" s="16" t="s">
        <v>6839</v>
      </c>
      <c r="L1867" s="16"/>
      <c r="M1867" s="16" t="str">
        <f>HYPERLINK("https://ceds.ed.gov/cedselementdetails.aspx?termid=27900")</f>
        <v>https://ceds.ed.gov/cedselementdetails.aspx?termid=27900</v>
      </c>
    </row>
    <row r="1868" spans="1:13" ht="409.6" x14ac:dyDescent="0.3">
      <c r="A1868" s="16" t="s">
        <v>6840</v>
      </c>
      <c r="B1868" s="16" t="s">
        <v>6841</v>
      </c>
      <c r="C1868" s="16" t="s">
        <v>8266</v>
      </c>
      <c r="D1868" s="16" t="s">
        <v>13020</v>
      </c>
      <c r="E1868" s="16"/>
      <c r="F1868" s="16"/>
      <c r="G1868" s="16"/>
      <c r="H1868" s="16"/>
      <c r="I1868" s="19" t="s">
        <v>6842</v>
      </c>
      <c r="J1868" s="16"/>
      <c r="K1868" s="16" t="s">
        <v>6843</v>
      </c>
      <c r="L1868" s="16" t="s">
        <v>6844</v>
      </c>
      <c r="M1868" s="16" t="str">
        <f>HYPERLINK("https://ceds.ed.gov/cedselementdetails.aspx?termid=26267")</f>
        <v>https://ceds.ed.gov/cedselementdetails.aspx?termid=26267</v>
      </c>
    </row>
    <row r="1869" spans="1:13" ht="144" x14ac:dyDescent="0.3">
      <c r="A1869" s="16" t="s">
        <v>6845</v>
      </c>
      <c r="B1869" s="16" t="s">
        <v>8156</v>
      </c>
      <c r="C1869" s="16" t="s">
        <v>8267</v>
      </c>
      <c r="D1869" s="16" t="s">
        <v>9406</v>
      </c>
      <c r="E1869" s="16"/>
      <c r="F1869" s="16"/>
      <c r="G1869" s="16"/>
      <c r="H1869" s="16"/>
      <c r="I1869" s="19" t="s">
        <v>6846</v>
      </c>
      <c r="J1869" s="16"/>
      <c r="K1869" s="16" t="s">
        <v>6847</v>
      </c>
      <c r="L1869" s="16"/>
      <c r="M1869" s="16" t="str">
        <f>HYPERLINK("https://ceds.ed.gov/cedselementdetails.aspx?termid=27463")</f>
        <v>https://ceds.ed.gov/cedselementdetails.aspx?termid=27463</v>
      </c>
    </row>
    <row r="1870" spans="1:13" ht="172.8" x14ac:dyDescent="0.3">
      <c r="A1870" s="16" t="s">
        <v>6848</v>
      </c>
      <c r="B1870" s="16" t="s">
        <v>6849</v>
      </c>
      <c r="C1870" s="16" t="s">
        <v>32</v>
      </c>
      <c r="D1870" s="16" t="s">
        <v>9406</v>
      </c>
      <c r="E1870" s="16"/>
      <c r="F1870" s="16" t="s">
        <v>120</v>
      </c>
      <c r="G1870" s="16"/>
      <c r="H1870" s="16" t="s">
        <v>7905</v>
      </c>
      <c r="I1870" s="19" t="s">
        <v>6850</v>
      </c>
      <c r="J1870" s="16"/>
      <c r="K1870" s="16" t="s">
        <v>6851</v>
      </c>
      <c r="L1870" s="16"/>
      <c r="M1870" s="16" t="str">
        <f>HYPERLINK("https://ceds.ed.gov/cedselementdetails.aspx?termid=27462")</f>
        <v>https://ceds.ed.gov/cedselementdetails.aspx?termid=27462</v>
      </c>
    </row>
    <row r="1871" spans="1:13" ht="409.6" x14ac:dyDescent="0.3">
      <c r="A1871" s="16" t="s">
        <v>6852</v>
      </c>
      <c r="B1871" s="16" t="s">
        <v>6853</v>
      </c>
      <c r="C1871" s="16" t="s">
        <v>8268</v>
      </c>
      <c r="D1871" s="16" t="s">
        <v>8269</v>
      </c>
      <c r="E1871" s="16"/>
      <c r="F1871" s="16"/>
      <c r="G1871" s="16"/>
      <c r="H1871" s="16"/>
      <c r="I1871" s="19" t="s">
        <v>6854</v>
      </c>
      <c r="J1871" s="16"/>
      <c r="K1871" s="16" t="s">
        <v>6855</v>
      </c>
      <c r="L1871" s="16" t="s">
        <v>6856</v>
      </c>
      <c r="M1871" s="16" t="str">
        <f>HYPERLINK("https://ceds.ed.gov/cedselementdetails.aspx?termid=26414")</f>
        <v>https://ceds.ed.gov/cedselementdetails.aspx?termid=26414</v>
      </c>
    </row>
    <row r="1872" spans="1:13" ht="115.2" x14ac:dyDescent="0.3">
      <c r="A1872" s="16" t="s">
        <v>6857</v>
      </c>
      <c r="B1872" s="16" t="s">
        <v>6858</v>
      </c>
      <c r="C1872" s="16" t="s">
        <v>22</v>
      </c>
      <c r="D1872" s="16" t="s">
        <v>7895</v>
      </c>
      <c r="E1872" s="16"/>
      <c r="F1872" s="16"/>
      <c r="G1872" s="16"/>
      <c r="H1872" s="16" t="s">
        <v>8157</v>
      </c>
      <c r="I1872" s="19" t="s">
        <v>6859</v>
      </c>
      <c r="J1872" s="16"/>
      <c r="K1872" s="16" t="s">
        <v>6860</v>
      </c>
      <c r="L1872" s="16" t="s">
        <v>195</v>
      </c>
      <c r="M1872" s="16" t="str">
        <f>HYPERLINK("https://ceds.ed.gov/cedselementdetails.aspx?termid=26814")</f>
        <v>https://ceds.ed.gov/cedselementdetails.aspx?termid=26814</v>
      </c>
    </row>
    <row r="1873" spans="1:13" ht="43.2" x14ac:dyDescent="0.3">
      <c r="A1873" s="16" t="s">
        <v>6861</v>
      </c>
      <c r="B1873" s="16" t="s">
        <v>6862</v>
      </c>
      <c r="C1873" s="16" t="s">
        <v>22</v>
      </c>
      <c r="D1873" s="16" t="s">
        <v>7895</v>
      </c>
      <c r="E1873" s="16"/>
      <c r="F1873" s="16"/>
      <c r="G1873" s="16"/>
      <c r="H1873" s="16"/>
      <c r="I1873" s="19" t="s">
        <v>6863</v>
      </c>
      <c r="J1873" s="16"/>
      <c r="K1873" s="16" t="s">
        <v>6864</v>
      </c>
      <c r="L1873" s="16" t="s">
        <v>195</v>
      </c>
      <c r="M1873" s="16" t="str">
        <f>HYPERLINK("https://ceds.ed.gov/cedselementdetails.aspx?termid=26813")</f>
        <v>https://ceds.ed.gov/cedselementdetails.aspx?termid=26813</v>
      </c>
    </row>
    <row r="1874" spans="1:13" ht="100.8" x14ac:dyDescent="0.3">
      <c r="A1874" s="16" t="s">
        <v>6865</v>
      </c>
      <c r="B1874" s="16" t="s">
        <v>6866</v>
      </c>
      <c r="C1874" s="16" t="s">
        <v>32</v>
      </c>
      <c r="D1874" s="16" t="s">
        <v>1499</v>
      </c>
      <c r="E1874" s="16"/>
      <c r="F1874" s="16" t="s">
        <v>742</v>
      </c>
      <c r="G1874" s="16"/>
      <c r="H1874" s="16"/>
      <c r="I1874" s="19" t="s">
        <v>6867</v>
      </c>
      <c r="J1874" s="16"/>
      <c r="K1874" s="16" t="s">
        <v>6868</v>
      </c>
      <c r="L1874" s="16" t="s">
        <v>202</v>
      </c>
      <c r="M1874" s="16" t="str">
        <f>HYPERLINK("https://ceds.ed.gov/cedselementdetails.aspx?termid=26444")</f>
        <v>https://ceds.ed.gov/cedselementdetails.aspx?termid=26444</v>
      </c>
    </row>
    <row r="1875" spans="1:13" ht="57.6" x14ac:dyDescent="0.3">
      <c r="A1875" s="16" t="s">
        <v>6869</v>
      </c>
      <c r="B1875" s="16" t="s">
        <v>6870</v>
      </c>
      <c r="C1875" s="16" t="s">
        <v>32</v>
      </c>
      <c r="D1875" s="16" t="s">
        <v>1499</v>
      </c>
      <c r="E1875" s="16"/>
      <c r="F1875" s="16" t="s">
        <v>742</v>
      </c>
      <c r="G1875" s="16"/>
      <c r="H1875" s="16"/>
      <c r="I1875" s="19" t="s">
        <v>6871</v>
      </c>
      <c r="J1875" s="16"/>
      <c r="K1875" s="16" t="s">
        <v>6872</v>
      </c>
      <c r="L1875" s="16" t="s">
        <v>6873</v>
      </c>
      <c r="M1875" s="16" t="str">
        <f>HYPERLINK("https://ceds.ed.gov/cedselementdetails.aspx?termid=26443")</f>
        <v>https://ceds.ed.gov/cedselementdetails.aspx?termid=26443</v>
      </c>
    </row>
    <row r="1876" spans="1:13" ht="57.6" x14ac:dyDescent="0.3">
      <c r="A1876" s="16" t="s">
        <v>6874</v>
      </c>
      <c r="B1876" s="16" t="s">
        <v>6875</v>
      </c>
      <c r="C1876" s="16" t="s">
        <v>22</v>
      </c>
      <c r="D1876" s="16" t="s">
        <v>1167</v>
      </c>
      <c r="E1876" s="16"/>
      <c r="F1876" s="16"/>
      <c r="G1876" s="16"/>
      <c r="H1876" s="16"/>
      <c r="I1876" s="19" t="s">
        <v>6876</v>
      </c>
      <c r="J1876" s="16"/>
      <c r="K1876" s="16" t="s">
        <v>6877</v>
      </c>
      <c r="L1876" s="16"/>
      <c r="M1876" s="16" t="str">
        <f>HYPERLINK("https://ceds.ed.gov/cedselementdetails.aspx?termid=27742")</f>
        <v>https://ceds.ed.gov/cedselementdetails.aspx?termid=27742</v>
      </c>
    </row>
    <row r="1877" spans="1:13" ht="409.6" x14ac:dyDescent="0.3">
      <c r="A1877" s="16" t="s">
        <v>6878</v>
      </c>
      <c r="B1877" s="16" t="s">
        <v>6879</v>
      </c>
      <c r="C1877" s="16" t="s">
        <v>8270</v>
      </c>
      <c r="D1877" s="16" t="s">
        <v>8839</v>
      </c>
      <c r="E1877" s="16"/>
      <c r="F1877" s="16"/>
      <c r="G1877" s="16"/>
      <c r="H1877" s="16"/>
      <c r="I1877" s="19" t="s">
        <v>6880</v>
      </c>
      <c r="J1877" s="16"/>
      <c r="K1877" s="16" t="s">
        <v>6881</v>
      </c>
      <c r="L1877" s="16" t="s">
        <v>195</v>
      </c>
      <c r="M1877" s="16" t="str">
        <f>HYPERLINK("https://ceds.ed.gov/cedselementdetails.aspx?termid=26804")</f>
        <v>https://ceds.ed.gov/cedselementdetails.aspx?termid=26804</v>
      </c>
    </row>
    <row r="1878" spans="1:13" ht="28.8" x14ac:dyDescent="0.3">
      <c r="A1878" s="16" t="s">
        <v>6882</v>
      </c>
      <c r="B1878" s="16" t="s">
        <v>6883</v>
      </c>
      <c r="C1878" s="16" t="s">
        <v>32</v>
      </c>
      <c r="D1878" s="16" t="s">
        <v>7913</v>
      </c>
      <c r="E1878" s="16"/>
      <c r="F1878" s="16" t="s">
        <v>305</v>
      </c>
      <c r="G1878" s="16"/>
      <c r="H1878" s="16"/>
      <c r="I1878" s="19" t="s">
        <v>6884</v>
      </c>
      <c r="J1878" s="16"/>
      <c r="K1878" s="16" t="s">
        <v>6885</v>
      </c>
      <c r="L1878" s="16" t="s">
        <v>98</v>
      </c>
      <c r="M1878" s="16" t="str">
        <f>HYPERLINK("https://ceds.ed.gov/cedselementdetails.aspx?termid=26865")</f>
        <v>https://ceds.ed.gov/cedselementdetails.aspx?termid=26865</v>
      </c>
    </row>
    <row r="1879" spans="1:13" ht="409.6" x14ac:dyDescent="0.3">
      <c r="A1879" s="16" t="s">
        <v>6886</v>
      </c>
      <c r="B1879" s="16" t="s">
        <v>6887</v>
      </c>
      <c r="C1879" s="16" t="s">
        <v>8270</v>
      </c>
      <c r="D1879" s="16" t="s">
        <v>9397</v>
      </c>
      <c r="E1879" s="16"/>
      <c r="F1879" s="16"/>
      <c r="G1879" s="16"/>
      <c r="H1879" s="16"/>
      <c r="I1879" s="19" t="s">
        <v>6888</v>
      </c>
      <c r="J1879" s="16"/>
      <c r="K1879" s="16" t="s">
        <v>6889</v>
      </c>
      <c r="L1879" s="16" t="s">
        <v>1516</v>
      </c>
      <c r="M1879" s="16" t="str">
        <f>HYPERLINK("https://ceds.ed.gov/cedselementdetails.aspx?termid=26417")</f>
        <v>https://ceds.ed.gov/cedselementdetails.aspx?termid=26417</v>
      </c>
    </row>
    <row r="1880" spans="1:13" ht="409.6" x14ac:dyDescent="0.3">
      <c r="A1880" s="16" t="s">
        <v>6890</v>
      </c>
      <c r="B1880" s="16" t="s">
        <v>6891</v>
      </c>
      <c r="C1880" s="16" t="s">
        <v>8270</v>
      </c>
      <c r="D1880" s="16" t="s">
        <v>6892</v>
      </c>
      <c r="E1880" s="16"/>
      <c r="F1880" s="16"/>
      <c r="G1880" s="16"/>
      <c r="H1880" s="16"/>
      <c r="I1880" s="19" t="s">
        <v>6893</v>
      </c>
      <c r="J1880" s="16"/>
      <c r="K1880" s="16" t="s">
        <v>6894</v>
      </c>
      <c r="L1880" s="16" t="s">
        <v>186</v>
      </c>
      <c r="M1880" s="16" t="str">
        <f>HYPERLINK("https://ceds.ed.gov/cedselementdetails.aspx?termid=26268")</f>
        <v>https://ceds.ed.gov/cedselementdetails.aspx?termid=26268</v>
      </c>
    </row>
    <row r="1881" spans="1:13" ht="72" x14ac:dyDescent="0.3">
      <c r="A1881" s="16" t="s">
        <v>6895</v>
      </c>
      <c r="B1881" s="16" t="s">
        <v>6896</v>
      </c>
      <c r="C1881" s="16" t="s">
        <v>8271</v>
      </c>
      <c r="D1881" s="16" t="s">
        <v>9387</v>
      </c>
      <c r="E1881" s="16"/>
      <c r="F1881" s="16"/>
      <c r="G1881" s="16"/>
      <c r="H1881" s="16"/>
      <c r="I1881" s="19" t="s">
        <v>6897</v>
      </c>
      <c r="J1881" s="16"/>
      <c r="K1881" s="16" t="s">
        <v>6898</v>
      </c>
      <c r="L1881" s="16" t="s">
        <v>214</v>
      </c>
      <c r="M1881" s="16" t="str">
        <f>HYPERLINK("https://ceds.ed.gov/cedselementdetails.aspx?termid=26578")</f>
        <v>https://ceds.ed.gov/cedselementdetails.aspx?termid=26578</v>
      </c>
    </row>
    <row r="1882" spans="1:13" ht="43.2" x14ac:dyDescent="0.3">
      <c r="A1882" s="16" t="s">
        <v>6899</v>
      </c>
      <c r="B1882" s="16" t="s">
        <v>6900</v>
      </c>
      <c r="C1882" s="16" t="s">
        <v>22</v>
      </c>
      <c r="D1882" s="16" t="s">
        <v>2996</v>
      </c>
      <c r="E1882" s="16"/>
      <c r="F1882" s="16"/>
      <c r="G1882" s="16"/>
      <c r="H1882" s="16"/>
      <c r="I1882" s="19" t="s">
        <v>6901</v>
      </c>
      <c r="J1882" s="16"/>
      <c r="K1882" s="16" t="s">
        <v>6902</v>
      </c>
      <c r="L1882" s="16" t="s">
        <v>202</v>
      </c>
      <c r="M1882" s="16" t="str">
        <f>HYPERLINK("https://ceds.ed.gov/cedselementdetails.aspx?termid=26435")</f>
        <v>https://ceds.ed.gov/cedselementdetails.aspx?termid=26435</v>
      </c>
    </row>
    <row r="1883" spans="1:13" ht="374.4" x14ac:dyDescent="0.3">
      <c r="A1883" s="16" t="s">
        <v>6903</v>
      </c>
      <c r="B1883" s="16" t="s">
        <v>9323</v>
      </c>
      <c r="C1883" s="16" t="s">
        <v>32</v>
      </c>
      <c r="D1883" s="16" t="s">
        <v>12969</v>
      </c>
      <c r="E1883" s="16" t="s">
        <v>160</v>
      </c>
      <c r="F1883" s="16" t="s">
        <v>812</v>
      </c>
      <c r="G1883" s="16" t="s">
        <v>12952</v>
      </c>
      <c r="H1883" s="16" t="s">
        <v>8158</v>
      </c>
      <c r="I1883" s="19" t="s">
        <v>6904</v>
      </c>
      <c r="J1883" s="16"/>
      <c r="K1883" s="16" t="s">
        <v>6905</v>
      </c>
      <c r="L1883" s="16"/>
      <c r="M1883" s="16" t="str">
        <f>HYPERLINK("https://ceds.ed.gov/cedselementdetails.aspx?termid=27193")</f>
        <v>https://ceds.ed.gov/cedselementdetails.aspx?termid=27193</v>
      </c>
    </row>
    <row r="1884" spans="1:13" ht="216" x14ac:dyDescent="0.3">
      <c r="A1884" s="16" t="s">
        <v>6906</v>
      </c>
      <c r="B1884" s="16" t="s">
        <v>9324</v>
      </c>
      <c r="C1884" s="16" t="s">
        <v>32</v>
      </c>
      <c r="D1884" s="16" t="s">
        <v>12969</v>
      </c>
      <c r="E1884" s="16" t="s">
        <v>160</v>
      </c>
      <c r="F1884" s="16" t="s">
        <v>812</v>
      </c>
      <c r="G1884" s="16" t="s">
        <v>12952</v>
      </c>
      <c r="H1884" s="16"/>
      <c r="I1884" s="19" t="s">
        <v>6907</v>
      </c>
      <c r="J1884" s="16"/>
      <c r="K1884" s="16" t="s">
        <v>6908</v>
      </c>
      <c r="L1884" s="16"/>
      <c r="M1884" s="16" t="str">
        <f>HYPERLINK("https://ceds.ed.gov/cedselementdetails.aspx?termid=27192")</f>
        <v>https://ceds.ed.gov/cedselementdetails.aspx?termid=27192</v>
      </c>
    </row>
    <row r="1885" spans="1:13" ht="115.2" x14ac:dyDescent="0.3">
      <c r="A1885" s="16" t="s">
        <v>6909</v>
      </c>
      <c r="B1885" s="16" t="s">
        <v>6910</v>
      </c>
      <c r="C1885" s="16" t="s">
        <v>32</v>
      </c>
      <c r="D1885" s="16" t="s">
        <v>27</v>
      </c>
      <c r="E1885" s="16"/>
      <c r="F1885" s="16" t="s">
        <v>6911</v>
      </c>
      <c r="G1885" s="16"/>
      <c r="H1885" s="16"/>
      <c r="I1885" s="19" t="s">
        <v>6912</v>
      </c>
      <c r="J1885" s="16"/>
      <c r="K1885" s="16" t="s">
        <v>6913</v>
      </c>
      <c r="L1885" s="16" t="s">
        <v>214</v>
      </c>
      <c r="M1885" s="16" t="str">
        <f>HYPERLINK("https://ceds.ed.gov/cedselementdetails.aspx?termid=26271")</f>
        <v>https://ceds.ed.gov/cedselementdetails.aspx?termid=26271</v>
      </c>
    </row>
    <row r="1886" spans="1:13" ht="244.8" x14ac:dyDescent="0.3">
      <c r="A1886" s="16" t="s">
        <v>6914</v>
      </c>
      <c r="B1886" s="16" t="s">
        <v>6915</v>
      </c>
      <c r="C1886" s="16" t="s">
        <v>32</v>
      </c>
      <c r="D1886" s="16" t="s">
        <v>6916</v>
      </c>
      <c r="E1886" s="16"/>
      <c r="F1886" s="16" t="s">
        <v>2500</v>
      </c>
      <c r="G1886" s="16"/>
      <c r="H1886" s="16"/>
      <c r="I1886" s="19" t="s">
        <v>6917</v>
      </c>
      <c r="J1886" s="16"/>
      <c r="K1886" s="16" t="s">
        <v>6918</v>
      </c>
      <c r="L1886" s="16" t="s">
        <v>64</v>
      </c>
      <c r="M1886" s="16" t="str">
        <f>HYPERLINK("https://ceds.ed.gov/cedselementdetails.aspx?termid=26124")</f>
        <v>https://ceds.ed.gov/cedselementdetails.aspx?termid=26124</v>
      </c>
    </row>
    <row r="1887" spans="1:13" ht="129.6" x14ac:dyDescent="0.3">
      <c r="A1887" s="16" t="s">
        <v>6919</v>
      </c>
      <c r="B1887" s="16" t="s">
        <v>6920</v>
      </c>
      <c r="C1887" s="16" t="s">
        <v>32</v>
      </c>
      <c r="D1887" s="16" t="s">
        <v>6921</v>
      </c>
      <c r="E1887" s="16"/>
      <c r="F1887" s="16" t="s">
        <v>101</v>
      </c>
      <c r="G1887" s="16"/>
      <c r="H1887" s="16"/>
      <c r="I1887" s="19" t="s">
        <v>6922</v>
      </c>
      <c r="J1887" s="16"/>
      <c r="K1887" s="16" t="s">
        <v>6923</v>
      </c>
      <c r="L1887" s="16"/>
      <c r="M1887" s="16" t="str">
        <f>HYPERLINK("https://ceds.ed.gov/cedselementdetails.aspx?termid=27552")</f>
        <v>https://ceds.ed.gov/cedselementdetails.aspx?termid=27552</v>
      </c>
    </row>
    <row r="1888" spans="1:13" ht="100.8" x14ac:dyDescent="0.3">
      <c r="A1888" s="16" t="s">
        <v>6924</v>
      </c>
      <c r="B1888" s="16" t="s">
        <v>6925</v>
      </c>
      <c r="C1888" s="16" t="s">
        <v>22</v>
      </c>
      <c r="D1888" s="16" t="s">
        <v>5298</v>
      </c>
      <c r="E1888" s="16"/>
      <c r="F1888" s="16"/>
      <c r="G1888" s="16"/>
      <c r="H1888" s="16"/>
      <c r="I1888" s="19" t="s">
        <v>6926</v>
      </c>
      <c r="J1888" s="16"/>
      <c r="K1888" s="16" t="s">
        <v>6927</v>
      </c>
      <c r="L1888" s="16"/>
      <c r="M1888" s="16" t="str">
        <f>HYPERLINK("https://ceds.ed.gov/cedselementdetails.aspx?termid=27191")</f>
        <v>https://ceds.ed.gov/cedselementdetails.aspx?termid=27191</v>
      </c>
    </row>
    <row r="1889" spans="1:13" ht="72" x14ac:dyDescent="0.3">
      <c r="A1889" s="16" t="s">
        <v>9259</v>
      </c>
      <c r="B1889" s="16" t="s">
        <v>9260</v>
      </c>
      <c r="C1889" s="16" t="s">
        <v>9308</v>
      </c>
      <c r="D1889" s="16" t="s">
        <v>13040</v>
      </c>
      <c r="E1889" s="16"/>
      <c r="F1889" s="16" t="s">
        <v>2</v>
      </c>
      <c r="G1889" s="16"/>
      <c r="H1889" s="16"/>
      <c r="I1889" s="19" t="s">
        <v>9261</v>
      </c>
      <c r="J1889" s="16"/>
      <c r="K1889" s="16" t="s">
        <v>9262</v>
      </c>
      <c r="L1889" s="16"/>
      <c r="M1889" s="16" t="str">
        <f>HYPERLINK("https://ceds.ed.gov/cedselementdetails.aspx?termid=28088")</f>
        <v>https://ceds.ed.gov/cedselementdetails.aspx?termid=28088</v>
      </c>
    </row>
    <row r="1890" spans="1:13" ht="86.4" x14ac:dyDescent="0.3">
      <c r="A1890" s="16" t="s">
        <v>6928</v>
      </c>
      <c r="B1890" s="16" t="s">
        <v>6929</v>
      </c>
      <c r="C1890" s="16" t="s">
        <v>8840</v>
      </c>
      <c r="D1890" s="16" t="s">
        <v>3161</v>
      </c>
      <c r="E1890" s="16"/>
      <c r="F1890" s="16"/>
      <c r="G1890" s="16"/>
      <c r="H1890" s="16"/>
      <c r="I1890" s="19" t="s">
        <v>6930</v>
      </c>
      <c r="J1890" s="16"/>
      <c r="K1890" s="16" t="s">
        <v>6931</v>
      </c>
      <c r="L1890" s="16"/>
      <c r="M1890" s="16" t="str">
        <f>HYPERLINK("https://ceds.ed.gov/cedselementdetails.aspx?termid=27843")</f>
        <v>https://ceds.ed.gov/cedselementdetails.aspx?termid=27843</v>
      </c>
    </row>
    <row r="1891" spans="1:13" ht="360" x14ac:dyDescent="0.3">
      <c r="A1891" s="16" t="s">
        <v>6932</v>
      </c>
      <c r="B1891" s="16" t="s">
        <v>6933</v>
      </c>
      <c r="C1891" s="16" t="s">
        <v>9344</v>
      </c>
      <c r="D1891" s="16" t="s">
        <v>9345</v>
      </c>
      <c r="E1891" s="16"/>
      <c r="F1891" s="16"/>
      <c r="G1891" s="16"/>
      <c r="H1891" s="16"/>
      <c r="I1891" s="19" t="s">
        <v>6934</v>
      </c>
      <c r="J1891" s="16"/>
      <c r="K1891" s="16" t="s">
        <v>6935</v>
      </c>
      <c r="L1891" s="16" t="s">
        <v>6936</v>
      </c>
      <c r="M1891" s="16" t="str">
        <f>HYPERLINK("https://ceds.ed.gov/cedselementdetails.aspx?termid=26163")</f>
        <v>https://ceds.ed.gov/cedselementdetails.aspx?termid=26163</v>
      </c>
    </row>
    <row r="1892" spans="1:13" ht="360" x14ac:dyDescent="0.3">
      <c r="A1892" s="16" t="s">
        <v>6937</v>
      </c>
      <c r="B1892" s="16" t="s">
        <v>6938</v>
      </c>
      <c r="C1892" s="16" t="s">
        <v>32</v>
      </c>
      <c r="D1892" s="16" t="s">
        <v>9345</v>
      </c>
      <c r="E1892" s="16"/>
      <c r="F1892" s="16" t="s">
        <v>120</v>
      </c>
      <c r="G1892" s="16"/>
      <c r="H1892" s="16" t="s">
        <v>7817</v>
      </c>
      <c r="I1892" s="19" t="s">
        <v>6939</v>
      </c>
      <c r="J1892" s="16"/>
      <c r="K1892" s="16" t="s">
        <v>6940</v>
      </c>
      <c r="L1892" s="16" t="s">
        <v>6936</v>
      </c>
      <c r="M1892" s="16" t="str">
        <f>HYPERLINK("https://ceds.ed.gov/cedselementdetails.aspx?termid=26157")</f>
        <v>https://ceds.ed.gov/cedselementdetails.aspx?termid=26157</v>
      </c>
    </row>
    <row r="1893" spans="1:13" ht="57.6" x14ac:dyDescent="0.3">
      <c r="A1893" s="16" t="s">
        <v>12865</v>
      </c>
      <c r="B1893" s="16" t="s">
        <v>12866</v>
      </c>
      <c r="C1893" s="16" t="s">
        <v>12891</v>
      </c>
      <c r="D1893" s="16" t="s">
        <v>4442</v>
      </c>
      <c r="E1893" s="16" t="s">
        <v>155</v>
      </c>
      <c r="F1893" s="16" t="s">
        <v>2</v>
      </c>
      <c r="G1893" s="16" t="s">
        <v>12636</v>
      </c>
      <c r="H1893" s="16" t="s">
        <v>12677</v>
      </c>
      <c r="I1893" s="19" t="s">
        <v>12867</v>
      </c>
      <c r="J1893" s="16"/>
      <c r="K1893" s="16" t="s">
        <v>12868</v>
      </c>
      <c r="L1893" s="16"/>
      <c r="M1893" s="16" t="str">
        <f>HYPERLINK("https://ceds.ed.gov/cedselementdetails.aspx?termid=28104")</f>
        <v>https://ceds.ed.gov/cedselementdetails.aspx?termid=28104</v>
      </c>
    </row>
    <row r="1894" spans="1:13" ht="72" x14ac:dyDescent="0.3">
      <c r="A1894" s="16" t="s">
        <v>6941</v>
      </c>
      <c r="B1894" s="16" t="s">
        <v>6942</v>
      </c>
      <c r="C1894" s="16" t="s">
        <v>8841</v>
      </c>
      <c r="D1894" s="16" t="s">
        <v>2074</v>
      </c>
      <c r="E1894" s="16"/>
      <c r="F1894" s="16"/>
      <c r="G1894" s="16"/>
      <c r="H1894" s="16"/>
      <c r="I1894" s="19" t="s">
        <v>6943</v>
      </c>
      <c r="J1894" s="16"/>
      <c r="K1894" s="16" t="s">
        <v>6944</v>
      </c>
      <c r="L1894" s="16" t="s">
        <v>186</v>
      </c>
      <c r="M1894" s="16" t="str">
        <f>HYPERLINK("https://ceds.ed.gov/cedselementdetails.aspx?termid=26272")</f>
        <v>https://ceds.ed.gov/cedselementdetails.aspx?termid=26272</v>
      </c>
    </row>
    <row r="1895" spans="1:13" ht="86.4" x14ac:dyDescent="0.3">
      <c r="A1895" s="16" t="s">
        <v>7579</v>
      </c>
      <c r="B1895" s="16" t="s">
        <v>7580</v>
      </c>
      <c r="C1895" s="16" t="s">
        <v>8200</v>
      </c>
      <c r="D1895" s="16" t="s">
        <v>3161</v>
      </c>
      <c r="E1895" s="16"/>
      <c r="F1895" s="16"/>
      <c r="G1895" s="16"/>
      <c r="H1895" s="16" t="s">
        <v>7581</v>
      </c>
      <c r="I1895" s="19" t="s">
        <v>7582</v>
      </c>
      <c r="J1895" s="16"/>
      <c r="K1895" s="16" t="s">
        <v>7583</v>
      </c>
      <c r="L1895" s="16"/>
      <c r="M1895" s="16" t="str">
        <f>HYPERLINK("https://ceds.ed.gov/cedselementdetails.aspx?termid=27968")</f>
        <v>https://ceds.ed.gov/cedselementdetails.aspx?termid=27968</v>
      </c>
    </row>
    <row r="1896" spans="1:13" ht="158.4" x14ac:dyDescent="0.3">
      <c r="A1896" s="16" t="s">
        <v>8159</v>
      </c>
      <c r="B1896" s="16" t="s">
        <v>8160</v>
      </c>
      <c r="C1896" s="16" t="s">
        <v>8204</v>
      </c>
      <c r="D1896" s="16" t="s">
        <v>9407</v>
      </c>
      <c r="E1896" s="16"/>
      <c r="F1896" s="16" t="s">
        <v>2</v>
      </c>
      <c r="G1896" s="16"/>
      <c r="H1896" s="16"/>
      <c r="I1896" s="19" t="s">
        <v>8196</v>
      </c>
      <c r="J1896" s="16"/>
      <c r="K1896" s="16" t="s">
        <v>8161</v>
      </c>
      <c r="L1896" s="16"/>
      <c r="M1896" s="16" t="str">
        <f>HYPERLINK("https://ceds.ed.gov/cedselementdetails.aspx?termid=27994")</f>
        <v>https://ceds.ed.gov/cedselementdetails.aspx?termid=27994</v>
      </c>
    </row>
    <row r="1897" spans="1:13" ht="409.6" x14ac:dyDescent="0.3">
      <c r="A1897" s="16" t="s">
        <v>6945</v>
      </c>
      <c r="B1897" s="16" t="s">
        <v>6946</v>
      </c>
      <c r="C1897" s="16" t="s">
        <v>9421</v>
      </c>
      <c r="D1897" s="16" t="s">
        <v>13067</v>
      </c>
      <c r="E1897" s="16"/>
      <c r="F1897" s="16"/>
      <c r="G1897" s="16"/>
      <c r="H1897" s="16" t="s">
        <v>6947</v>
      </c>
      <c r="I1897" s="19" t="s">
        <v>6948</v>
      </c>
      <c r="J1897" s="16"/>
      <c r="K1897" s="16" t="s">
        <v>6949</v>
      </c>
      <c r="L1897" s="16"/>
      <c r="M1897" s="16" t="str">
        <f>HYPERLINK("https://ceds.ed.gov/cedselementdetails.aspx?termid=26273")</f>
        <v>https://ceds.ed.gov/cedselementdetails.aspx?termid=26273</v>
      </c>
    </row>
    <row r="1898" spans="1:13" ht="100.8" x14ac:dyDescent="0.3">
      <c r="A1898" s="16" t="s">
        <v>6950</v>
      </c>
      <c r="B1898" s="16" t="s">
        <v>6951</v>
      </c>
      <c r="C1898" s="16" t="s">
        <v>32</v>
      </c>
      <c r="D1898" s="16" t="s">
        <v>2479</v>
      </c>
      <c r="E1898" s="16"/>
      <c r="F1898" s="16" t="s">
        <v>106</v>
      </c>
      <c r="G1898" s="16"/>
      <c r="H1898" s="16" t="s">
        <v>2480</v>
      </c>
      <c r="I1898" s="19" t="s">
        <v>6952</v>
      </c>
      <c r="J1898" s="16"/>
      <c r="K1898" s="16" t="s">
        <v>6953</v>
      </c>
      <c r="L1898" s="16"/>
      <c r="M1898" s="16" t="str">
        <f>HYPERLINK("https://ceds.ed.gov/cedselementdetails.aspx?termid=27739")</f>
        <v>https://ceds.ed.gov/cedselementdetails.aspx?termid=27739</v>
      </c>
    </row>
    <row r="1899" spans="1:13" ht="57.6" x14ac:dyDescent="0.3">
      <c r="A1899" s="16" t="s">
        <v>6954</v>
      </c>
      <c r="B1899" s="16" t="s">
        <v>6955</v>
      </c>
      <c r="C1899" s="16" t="s">
        <v>8317</v>
      </c>
      <c r="D1899" s="16" t="s">
        <v>340</v>
      </c>
      <c r="E1899" s="16"/>
      <c r="F1899" s="16"/>
      <c r="G1899" s="16"/>
      <c r="H1899" s="16"/>
      <c r="I1899" s="19" t="s">
        <v>6956</v>
      </c>
      <c r="J1899" s="16"/>
      <c r="K1899" s="16" t="s">
        <v>6957</v>
      </c>
      <c r="L1899" s="16" t="s">
        <v>343</v>
      </c>
      <c r="M1899" s="16" t="str">
        <f>HYPERLINK("https://ceds.ed.gov/cedselementdetails.aspx?termid=26754")</f>
        <v>https://ceds.ed.gov/cedselementdetails.aspx?termid=26754</v>
      </c>
    </row>
    <row r="1900" spans="1:13" ht="57.6" x14ac:dyDescent="0.3">
      <c r="A1900" s="16" t="s">
        <v>6958</v>
      </c>
      <c r="B1900" s="16" t="s">
        <v>8162</v>
      </c>
      <c r="C1900" s="16" t="s">
        <v>32</v>
      </c>
      <c r="D1900" s="16" t="s">
        <v>340</v>
      </c>
      <c r="E1900" s="16"/>
      <c r="F1900" s="16" t="s">
        <v>305</v>
      </c>
      <c r="G1900" s="16"/>
      <c r="H1900" s="16"/>
      <c r="I1900" s="19" t="s">
        <v>6959</v>
      </c>
      <c r="J1900" s="16"/>
      <c r="K1900" s="16" t="s">
        <v>6960</v>
      </c>
      <c r="L1900" s="16" t="s">
        <v>343</v>
      </c>
      <c r="M1900" s="16" t="str">
        <f>HYPERLINK("https://ceds.ed.gov/cedselementdetails.aspx?termid=26755")</f>
        <v>https://ceds.ed.gov/cedselementdetails.aspx?termid=26755</v>
      </c>
    </row>
    <row r="1901" spans="1:13" ht="43.2" x14ac:dyDescent="0.3">
      <c r="A1901" s="16" t="s">
        <v>6961</v>
      </c>
      <c r="B1901" s="16" t="s">
        <v>6962</v>
      </c>
      <c r="C1901" s="16" t="s">
        <v>32</v>
      </c>
      <c r="D1901" s="16" t="s">
        <v>4047</v>
      </c>
      <c r="E1901" s="16"/>
      <c r="F1901" s="16" t="s">
        <v>1481</v>
      </c>
      <c r="G1901" s="16"/>
      <c r="H1901" s="16"/>
      <c r="I1901" s="19" t="s">
        <v>6963</v>
      </c>
      <c r="J1901" s="16" t="s">
        <v>6964</v>
      </c>
      <c r="K1901" s="16" t="s">
        <v>6965</v>
      </c>
      <c r="L1901" s="16" t="s">
        <v>214</v>
      </c>
      <c r="M1901" s="16" t="str">
        <f>HYPERLINK("https://ceds.ed.gov/cedselementdetails.aspx?termid=26566")</f>
        <v>https://ceds.ed.gov/cedselementdetails.aspx?termid=26566</v>
      </c>
    </row>
    <row r="1902" spans="1:13" ht="57.6" x14ac:dyDescent="0.3">
      <c r="A1902" s="16" t="s">
        <v>6966</v>
      </c>
      <c r="B1902" s="16" t="s">
        <v>6967</v>
      </c>
      <c r="C1902" s="16" t="s">
        <v>32</v>
      </c>
      <c r="D1902" s="16" t="s">
        <v>4047</v>
      </c>
      <c r="E1902" s="16"/>
      <c r="F1902" s="16" t="s">
        <v>1481</v>
      </c>
      <c r="G1902" s="16"/>
      <c r="H1902" s="16"/>
      <c r="I1902" s="19" t="s">
        <v>6968</v>
      </c>
      <c r="J1902" s="16" t="s">
        <v>6969</v>
      </c>
      <c r="K1902" s="16" t="s">
        <v>6970</v>
      </c>
      <c r="L1902" s="16" t="s">
        <v>214</v>
      </c>
      <c r="M1902" s="16" t="str">
        <f>HYPERLINK("https://ceds.ed.gov/cedselementdetails.aspx?termid=26559")</f>
        <v>https://ceds.ed.gov/cedselementdetails.aspx?termid=26559</v>
      </c>
    </row>
    <row r="1903" spans="1:13" ht="57.6" x14ac:dyDescent="0.3">
      <c r="A1903" s="16" t="s">
        <v>6971</v>
      </c>
      <c r="B1903" s="16" t="s">
        <v>6972</v>
      </c>
      <c r="C1903" s="16" t="s">
        <v>32</v>
      </c>
      <c r="D1903" s="16" t="s">
        <v>4047</v>
      </c>
      <c r="E1903" s="16"/>
      <c r="F1903" s="16" t="s">
        <v>1481</v>
      </c>
      <c r="G1903" s="16"/>
      <c r="H1903" s="16"/>
      <c r="I1903" s="19" t="s">
        <v>6973</v>
      </c>
      <c r="J1903" s="16" t="s">
        <v>6974</v>
      </c>
      <c r="K1903" s="16" t="s">
        <v>6975</v>
      </c>
      <c r="L1903" s="16" t="s">
        <v>214</v>
      </c>
      <c r="M1903" s="16" t="str">
        <f>HYPERLINK("https://ceds.ed.gov/cedselementdetails.aspx?termid=26567")</f>
        <v>https://ceds.ed.gov/cedselementdetails.aspx?termid=26567</v>
      </c>
    </row>
    <row r="1904" spans="1:13" ht="43.2" x14ac:dyDescent="0.3">
      <c r="A1904" s="16" t="s">
        <v>12869</v>
      </c>
      <c r="B1904" s="16" t="s">
        <v>12870</v>
      </c>
      <c r="C1904" s="16" t="s">
        <v>12925</v>
      </c>
      <c r="D1904" s="16" t="s">
        <v>12887</v>
      </c>
      <c r="E1904" s="16" t="s">
        <v>155</v>
      </c>
      <c r="F1904" s="16" t="s">
        <v>2</v>
      </c>
      <c r="G1904" s="16" t="s">
        <v>12636</v>
      </c>
      <c r="H1904" s="16"/>
      <c r="I1904" s="19" t="s">
        <v>12871</v>
      </c>
      <c r="J1904" s="16"/>
      <c r="K1904" s="16" t="s">
        <v>12872</v>
      </c>
      <c r="L1904" s="16"/>
      <c r="M1904" s="16" t="str">
        <f>HYPERLINK("https://ceds.ed.gov/cedselementdetails.aspx?termid=28146")</f>
        <v>https://ceds.ed.gov/cedselementdetails.aspx?termid=28146</v>
      </c>
    </row>
    <row r="1905" spans="1:13" ht="72" x14ac:dyDescent="0.3">
      <c r="A1905" s="16" t="s">
        <v>6976</v>
      </c>
      <c r="B1905" s="16" t="s">
        <v>6977</v>
      </c>
      <c r="C1905" s="16" t="s">
        <v>12970</v>
      </c>
      <c r="D1905" s="16" t="s">
        <v>2474</v>
      </c>
      <c r="E1905" s="16" t="s">
        <v>160</v>
      </c>
      <c r="F1905" s="16"/>
      <c r="G1905" s="16" t="s">
        <v>12953</v>
      </c>
      <c r="H1905" s="16"/>
      <c r="I1905" s="19" t="s">
        <v>6978</v>
      </c>
      <c r="J1905" s="16"/>
      <c r="K1905" s="16" t="s">
        <v>6979</v>
      </c>
      <c r="L1905" s="16"/>
      <c r="M1905" s="16" t="str">
        <f>HYPERLINK("https://ceds.ed.gov/cedselementdetails.aspx?termid=27910")</f>
        <v>https://ceds.ed.gov/cedselementdetails.aspx?termid=27910</v>
      </c>
    </row>
    <row r="1906" spans="1:13" ht="86.4" x14ac:dyDescent="0.3">
      <c r="A1906" s="16" t="s">
        <v>6980</v>
      </c>
      <c r="B1906" s="16" t="s">
        <v>6981</v>
      </c>
      <c r="C1906" s="16" t="s">
        <v>32</v>
      </c>
      <c r="D1906" s="16" t="s">
        <v>9408</v>
      </c>
      <c r="E1906" s="16"/>
      <c r="F1906" s="16" t="s">
        <v>81</v>
      </c>
      <c r="G1906" s="16"/>
      <c r="H1906" s="16" t="s">
        <v>8163</v>
      </c>
      <c r="I1906" s="19" t="s">
        <v>6982</v>
      </c>
      <c r="J1906" s="16"/>
      <c r="K1906" s="16" t="s">
        <v>6983</v>
      </c>
      <c r="L1906" s="16" t="s">
        <v>343</v>
      </c>
      <c r="M1906" s="16" t="str">
        <f>HYPERLINK("https://ceds.ed.gov/cedselementdetails.aspx?termid=26757")</f>
        <v>https://ceds.ed.gov/cedselementdetails.aspx?termid=26757</v>
      </c>
    </row>
  </sheetData>
  <autoFilter ref="A1:M1" xr:uid="{239D2C97-D118-4A8C-8A00-93FC7C3F8860}"/>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B0B5C-6E0D-4343-9632-F02D41B5CF75}">
  <dimension ref="A1:Q5008"/>
  <sheetViews>
    <sheetView showGridLines="0" workbookViewId="0">
      <selection activeCell="A2" sqref="A2:Q5008"/>
    </sheetView>
  </sheetViews>
  <sheetFormatPr defaultRowHeight="14.4" x14ac:dyDescent="0.3"/>
  <cols>
    <col min="1" max="1" width="31.33203125" style="13" bestFit="1" customWidth="1"/>
    <col min="2" max="2" width="33" style="13" bestFit="1" customWidth="1"/>
    <col min="3" max="3" width="36.5546875" style="13" bestFit="1" customWidth="1"/>
    <col min="4" max="4" width="13.44140625" style="13" bestFit="1" customWidth="1"/>
    <col min="5" max="6" width="36.5546875" style="13" bestFit="1" customWidth="1"/>
    <col min="7" max="7" width="55.77734375" style="13" customWidth="1"/>
    <col min="8" max="8" width="36.5546875" style="13" bestFit="1" customWidth="1"/>
    <col min="9" max="9" width="15.88671875" style="13" bestFit="1" customWidth="1"/>
    <col min="10" max="12" width="36.5546875" style="13" bestFit="1" customWidth="1"/>
    <col min="13" max="13" width="11.44140625" style="18" bestFit="1" customWidth="1"/>
    <col min="14" max="15" width="36.5546875" style="13" bestFit="1" customWidth="1"/>
    <col min="16" max="16" width="50.88671875" style="13" bestFit="1" customWidth="1"/>
    <col min="17" max="17" width="14.33203125" style="13" customWidth="1"/>
  </cols>
  <sheetData>
    <row r="1" spans="1:17" s="2" customFormat="1" ht="28.8" x14ac:dyDescent="0.3">
      <c r="A1" s="3" t="s">
        <v>13</v>
      </c>
      <c r="B1" s="3" t="s">
        <v>14</v>
      </c>
      <c r="C1" s="3" t="s">
        <v>15</v>
      </c>
      <c r="D1" s="3" t="s">
        <v>16</v>
      </c>
      <c r="E1" s="3" t="s">
        <v>0</v>
      </c>
      <c r="F1" s="3" t="s">
        <v>1</v>
      </c>
      <c r="G1" s="3" t="s">
        <v>2</v>
      </c>
      <c r="H1" s="3" t="s">
        <v>17</v>
      </c>
      <c r="I1" s="4" t="s">
        <v>18</v>
      </c>
      <c r="J1" s="3" t="s">
        <v>5</v>
      </c>
      <c r="K1" s="3" t="s">
        <v>6</v>
      </c>
      <c r="L1" s="3" t="s">
        <v>7</v>
      </c>
      <c r="M1" s="14" t="s">
        <v>8</v>
      </c>
      <c r="N1" s="3" t="s">
        <v>9</v>
      </c>
      <c r="O1" s="2" t="s">
        <v>10</v>
      </c>
      <c r="P1" s="2" t="s">
        <v>12</v>
      </c>
      <c r="Q1" s="3" t="s">
        <v>19</v>
      </c>
    </row>
    <row r="2" spans="1:17" ht="43.2" x14ac:dyDescent="0.3">
      <c r="A2" s="16" t="s">
        <v>7596</v>
      </c>
      <c r="B2" s="16" t="s">
        <v>8865</v>
      </c>
      <c r="C2" s="16"/>
      <c r="D2" s="16" t="s">
        <v>7597</v>
      </c>
      <c r="E2" s="16" t="s">
        <v>5590</v>
      </c>
      <c r="F2" s="16" t="s">
        <v>5591</v>
      </c>
      <c r="G2" s="16" t="s">
        <v>32</v>
      </c>
      <c r="H2" s="16"/>
      <c r="I2" s="16"/>
      <c r="J2" s="16" t="s">
        <v>50</v>
      </c>
      <c r="K2" s="16"/>
      <c r="L2" s="16"/>
      <c r="M2" s="19" t="s">
        <v>5592</v>
      </c>
      <c r="N2" s="16"/>
      <c r="O2" s="16" t="s">
        <v>5593</v>
      </c>
      <c r="P2" s="16" t="str">
        <f>HYPERLINK("https://ceds.ed.gov/cedselementdetails.aspx?termid=27644")</f>
        <v>https://ceds.ed.gov/cedselementdetails.aspx?termid=27644</v>
      </c>
      <c r="Q2" s="16">
        <v>74974</v>
      </c>
    </row>
    <row r="3" spans="1:17" ht="28.8" x14ac:dyDescent="0.3">
      <c r="A3" s="16" t="s">
        <v>7596</v>
      </c>
      <c r="B3" s="16" t="s">
        <v>8865</v>
      </c>
      <c r="C3" s="16"/>
      <c r="D3" s="16" t="s">
        <v>7597</v>
      </c>
      <c r="E3" s="16" t="s">
        <v>5606</v>
      </c>
      <c r="F3" s="16" t="s">
        <v>5607</v>
      </c>
      <c r="G3" s="16" t="s">
        <v>32</v>
      </c>
      <c r="H3" s="16"/>
      <c r="I3" s="16"/>
      <c r="J3" s="16" t="s">
        <v>2807</v>
      </c>
      <c r="K3" s="16"/>
      <c r="L3" s="16"/>
      <c r="M3" s="19" t="s">
        <v>5608</v>
      </c>
      <c r="N3" s="16"/>
      <c r="O3" s="16" t="s">
        <v>5609</v>
      </c>
      <c r="P3" s="16" t="str">
        <f>HYPERLINK("https://ceds.ed.gov/cedselementdetails.aspx?termid=27731")</f>
        <v>https://ceds.ed.gov/cedselementdetails.aspx?termid=27731</v>
      </c>
      <c r="Q3" s="16">
        <v>74981</v>
      </c>
    </row>
    <row r="4" spans="1:17" ht="43.2" x14ac:dyDescent="0.3">
      <c r="A4" s="16" t="s">
        <v>7596</v>
      </c>
      <c r="B4" s="16" t="s">
        <v>8865</v>
      </c>
      <c r="C4" s="16"/>
      <c r="D4" s="16" t="s">
        <v>7597</v>
      </c>
      <c r="E4" s="16" t="s">
        <v>5602</v>
      </c>
      <c r="F4" s="16" t="s">
        <v>5603</v>
      </c>
      <c r="G4" s="16" t="s">
        <v>8248</v>
      </c>
      <c r="H4" s="16"/>
      <c r="I4" s="16"/>
      <c r="J4" s="16"/>
      <c r="K4" s="16"/>
      <c r="L4" s="16"/>
      <c r="M4" s="19" t="s">
        <v>5604</v>
      </c>
      <c r="N4" s="16"/>
      <c r="O4" s="16" t="s">
        <v>5605</v>
      </c>
      <c r="P4" s="16" t="str">
        <f>HYPERLINK("https://ceds.ed.gov/cedselementdetails.aspx?termid=27387")</f>
        <v>https://ceds.ed.gov/cedselementdetails.aspx?termid=27387</v>
      </c>
      <c r="Q4" s="16">
        <v>74472</v>
      </c>
    </row>
    <row r="5" spans="1:17" ht="28.8" x14ac:dyDescent="0.3">
      <c r="A5" s="16" t="s">
        <v>7596</v>
      </c>
      <c r="B5" s="16" t="s">
        <v>8865</v>
      </c>
      <c r="C5" s="16"/>
      <c r="D5" s="16" t="s">
        <v>7597</v>
      </c>
      <c r="E5" s="16" t="s">
        <v>5570</v>
      </c>
      <c r="F5" s="16" t="s">
        <v>5571</v>
      </c>
      <c r="G5" s="16" t="s">
        <v>32</v>
      </c>
      <c r="H5" s="16" t="s">
        <v>214</v>
      </c>
      <c r="I5" s="16"/>
      <c r="J5" s="16" t="s">
        <v>106</v>
      </c>
      <c r="K5" s="16"/>
      <c r="L5" s="16"/>
      <c r="M5" s="19" t="s">
        <v>5572</v>
      </c>
      <c r="N5" s="16"/>
      <c r="O5" s="16" t="s">
        <v>5573</v>
      </c>
      <c r="P5" s="16" t="str">
        <f>HYPERLINK("https://ceds.ed.gov/cedselementdetails.aspx?termid=26525")</f>
        <v>https://ceds.ed.gov/cedselementdetails.aspx?termid=26525</v>
      </c>
      <c r="Q5" s="16">
        <v>75774</v>
      </c>
    </row>
    <row r="6" spans="1:17" ht="172.8" x14ac:dyDescent="0.3">
      <c r="A6" s="16" t="s">
        <v>7596</v>
      </c>
      <c r="B6" s="16" t="s">
        <v>8865</v>
      </c>
      <c r="C6" s="16" t="s">
        <v>7598</v>
      </c>
      <c r="D6" s="16" t="s">
        <v>7597</v>
      </c>
      <c r="E6" s="16" t="s">
        <v>5586</v>
      </c>
      <c r="F6" s="16" t="s">
        <v>5587</v>
      </c>
      <c r="G6" s="16" t="s">
        <v>32</v>
      </c>
      <c r="H6" s="16" t="s">
        <v>98</v>
      </c>
      <c r="I6" s="16"/>
      <c r="J6" s="16" t="s">
        <v>120</v>
      </c>
      <c r="K6" s="16"/>
      <c r="L6" s="16" t="s">
        <v>7817</v>
      </c>
      <c r="M6" s="19" t="s">
        <v>5588</v>
      </c>
      <c r="N6" s="16"/>
      <c r="O6" s="16" t="s">
        <v>5589</v>
      </c>
      <c r="P6" s="16" t="str">
        <f>HYPERLINK("https://ceds.ed.gov/cedselementdetails.aspx?termid=26825")</f>
        <v>https://ceds.ed.gov/cedselementdetails.aspx?termid=26825</v>
      </c>
      <c r="Q6" s="16">
        <v>72282</v>
      </c>
    </row>
    <row r="7" spans="1:17" ht="187.2" x14ac:dyDescent="0.3">
      <c r="A7" s="16" t="s">
        <v>7596</v>
      </c>
      <c r="B7" s="16" t="s">
        <v>8865</v>
      </c>
      <c r="C7" s="16" t="s">
        <v>7598</v>
      </c>
      <c r="D7" s="16" t="s">
        <v>7597</v>
      </c>
      <c r="E7" s="16" t="s">
        <v>5582</v>
      </c>
      <c r="F7" s="16" t="s">
        <v>5583</v>
      </c>
      <c r="G7" s="16" t="s">
        <v>8247</v>
      </c>
      <c r="H7" s="16" t="s">
        <v>98</v>
      </c>
      <c r="I7" s="16"/>
      <c r="J7" s="16"/>
      <c r="K7" s="16"/>
      <c r="L7" s="16"/>
      <c r="M7" s="19" t="s">
        <v>5584</v>
      </c>
      <c r="N7" s="16"/>
      <c r="O7" s="16" t="s">
        <v>5585</v>
      </c>
      <c r="P7" s="16" t="str">
        <f>HYPERLINK("https://ceds.ed.gov/cedselementdetails.aspx?termid=26827")</f>
        <v>https://ceds.ed.gov/cedselementdetails.aspx?termid=26827</v>
      </c>
      <c r="Q7" s="16">
        <v>72283</v>
      </c>
    </row>
    <row r="8" spans="1:17" ht="409.6" x14ac:dyDescent="0.3">
      <c r="A8" s="16" t="s">
        <v>7596</v>
      </c>
      <c r="B8" s="16" t="s">
        <v>8865</v>
      </c>
      <c r="C8" s="16" t="s">
        <v>7598</v>
      </c>
      <c r="D8" s="16" t="s">
        <v>7597</v>
      </c>
      <c r="E8" s="16" t="s">
        <v>5618</v>
      </c>
      <c r="F8" s="16" t="s">
        <v>5619</v>
      </c>
      <c r="G8" s="16" t="s">
        <v>9335</v>
      </c>
      <c r="H8" s="16"/>
      <c r="I8" s="16"/>
      <c r="J8" s="16"/>
      <c r="K8" s="16"/>
      <c r="L8" s="16" t="s">
        <v>5620</v>
      </c>
      <c r="M8" s="19" t="s">
        <v>5621</v>
      </c>
      <c r="N8" s="16"/>
      <c r="O8" s="16" t="s">
        <v>5622</v>
      </c>
      <c r="P8" s="16" t="str">
        <f>HYPERLINK("https://ceds.ed.gov/cedselementdetails.aspx?termid=27165")</f>
        <v>https://ceds.ed.gov/cedselementdetails.aspx?termid=27165</v>
      </c>
      <c r="Q8" s="16">
        <v>71785</v>
      </c>
    </row>
    <row r="9" spans="1:17" ht="43.2" x14ac:dyDescent="0.3">
      <c r="A9" s="16" t="s">
        <v>7596</v>
      </c>
      <c r="B9" s="16" t="s">
        <v>8865</v>
      </c>
      <c r="C9" s="16" t="s">
        <v>7598</v>
      </c>
      <c r="D9" s="16" t="s">
        <v>7597</v>
      </c>
      <c r="E9" s="16" t="s">
        <v>5598</v>
      </c>
      <c r="F9" s="16" t="s">
        <v>5599</v>
      </c>
      <c r="G9" s="16" t="s">
        <v>32</v>
      </c>
      <c r="H9" s="16" t="s">
        <v>195</v>
      </c>
      <c r="I9" s="16"/>
      <c r="J9" s="16" t="s">
        <v>145</v>
      </c>
      <c r="K9" s="16"/>
      <c r="L9" s="16"/>
      <c r="M9" s="19" t="s">
        <v>5600</v>
      </c>
      <c r="N9" s="16"/>
      <c r="O9" s="16" t="s">
        <v>5601</v>
      </c>
      <c r="P9" s="16" t="str">
        <f>HYPERLINK("https://ceds.ed.gov/cedselementdetails.aspx?termid=26204")</f>
        <v>https://ceds.ed.gov/cedselementdetails.aspx?termid=26204</v>
      </c>
      <c r="Q9" s="16">
        <v>74380</v>
      </c>
    </row>
    <row r="10" spans="1:17" ht="409.6" x14ac:dyDescent="0.3">
      <c r="A10" s="16" t="s">
        <v>7596</v>
      </c>
      <c r="B10" s="16" t="s">
        <v>8865</v>
      </c>
      <c r="C10" s="16" t="s">
        <v>7598</v>
      </c>
      <c r="D10" s="16" t="s">
        <v>7597</v>
      </c>
      <c r="E10" s="16" t="s">
        <v>6852</v>
      </c>
      <c r="F10" s="16" t="s">
        <v>6853</v>
      </c>
      <c r="G10" s="16" t="s">
        <v>8268</v>
      </c>
      <c r="H10" s="16" t="s">
        <v>6856</v>
      </c>
      <c r="I10" s="16"/>
      <c r="J10" s="16"/>
      <c r="K10" s="16"/>
      <c r="L10" s="16"/>
      <c r="M10" s="19" t="s">
        <v>6854</v>
      </c>
      <c r="N10" s="16"/>
      <c r="O10" s="16" t="s">
        <v>6855</v>
      </c>
      <c r="P10" s="16" t="str">
        <f>HYPERLINK("https://ceds.ed.gov/cedselementdetails.aspx?termid=26414")</f>
        <v>https://ceds.ed.gov/cedselementdetails.aspx?termid=26414</v>
      </c>
      <c r="Q10" s="16">
        <v>74389</v>
      </c>
    </row>
    <row r="11" spans="1:17" ht="86.4" x14ac:dyDescent="0.3">
      <c r="A11" s="16" t="s">
        <v>7596</v>
      </c>
      <c r="B11" s="16" t="s">
        <v>8865</v>
      </c>
      <c r="C11" s="16" t="s">
        <v>7598</v>
      </c>
      <c r="D11" s="16" t="s">
        <v>7597</v>
      </c>
      <c r="E11" s="16" t="s">
        <v>5610</v>
      </c>
      <c r="F11" s="16" t="s">
        <v>5611</v>
      </c>
      <c r="G11" s="16" t="s">
        <v>8249</v>
      </c>
      <c r="H11" s="16"/>
      <c r="I11" s="16"/>
      <c r="J11" s="16"/>
      <c r="K11" s="16"/>
      <c r="L11" s="16" t="s">
        <v>8099</v>
      </c>
      <c r="M11" s="19" t="s">
        <v>5612</v>
      </c>
      <c r="N11" s="16"/>
      <c r="O11" s="16" t="s">
        <v>5613</v>
      </c>
      <c r="P11" s="16" t="str">
        <f>HYPERLINK("https://ceds.ed.gov/cedselementdetails.aspx?termid=27886")</f>
        <v>https://ceds.ed.gov/cedselementdetails.aspx?termid=27886</v>
      </c>
      <c r="Q11" s="16">
        <v>75008</v>
      </c>
    </row>
    <row r="12" spans="1:17" ht="57.6" x14ac:dyDescent="0.3">
      <c r="A12" s="16" t="s">
        <v>7596</v>
      </c>
      <c r="B12" s="16" t="s">
        <v>8865</v>
      </c>
      <c r="C12" s="16" t="s">
        <v>7598</v>
      </c>
      <c r="D12" s="16" t="s">
        <v>7597</v>
      </c>
      <c r="E12" s="16" t="s">
        <v>215</v>
      </c>
      <c r="F12" s="16" t="s">
        <v>216</v>
      </c>
      <c r="G12" s="16" t="s">
        <v>8206</v>
      </c>
      <c r="H12" s="16"/>
      <c r="I12" s="16"/>
      <c r="J12" s="16"/>
      <c r="K12" s="16"/>
      <c r="L12" s="16"/>
      <c r="M12" s="19" t="s">
        <v>218</v>
      </c>
      <c r="N12" s="16"/>
      <c r="O12" s="16" t="s">
        <v>219</v>
      </c>
      <c r="P12" s="16" t="str">
        <f>HYPERLINK("https://ceds.ed.gov/cedselementdetails.aspx?termid=26012")</f>
        <v>https://ceds.ed.gov/cedselementdetails.aspx?termid=26012</v>
      </c>
      <c r="Q12" s="16">
        <v>75813</v>
      </c>
    </row>
    <row r="13" spans="1:17" ht="172.8" x14ac:dyDescent="0.3">
      <c r="A13" s="16" t="s">
        <v>7596</v>
      </c>
      <c r="B13" s="16" t="s">
        <v>8865</v>
      </c>
      <c r="C13" s="16" t="s">
        <v>7598</v>
      </c>
      <c r="D13" s="16" t="s">
        <v>7597</v>
      </c>
      <c r="E13" s="16" t="s">
        <v>5251</v>
      </c>
      <c r="F13" s="16" t="s">
        <v>5252</v>
      </c>
      <c r="G13" s="16" t="s">
        <v>8242</v>
      </c>
      <c r="H13" s="16" t="s">
        <v>5256</v>
      </c>
      <c r="I13" s="16"/>
      <c r="J13" s="16"/>
      <c r="K13" s="16"/>
      <c r="L13" s="16"/>
      <c r="M13" s="19" t="s">
        <v>5253</v>
      </c>
      <c r="N13" s="16" t="s">
        <v>5254</v>
      </c>
      <c r="O13" s="16" t="s">
        <v>5255</v>
      </c>
      <c r="P13" s="16" t="str">
        <f>HYPERLINK("https://ceds.ed.gov/cedselementdetails.aspx?termid=26159")</f>
        <v>https://ceds.ed.gov/cedselementdetails.aspx?termid=26159</v>
      </c>
      <c r="Q13" s="16">
        <v>75814</v>
      </c>
    </row>
    <row r="14" spans="1:17" ht="172.8" x14ac:dyDescent="0.3">
      <c r="A14" s="16" t="s">
        <v>7596</v>
      </c>
      <c r="B14" s="16" t="s">
        <v>8865</v>
      </c>
      <c r="C14" s="16" t="s">
        <v>7598</v>
      </c>
      <c r="D14" s="16" t="s">
        <v>7597</v>
      </c>
      <c r="E14" s="16" t="s">
        <v>5257</v>
      </c>
      <c r="F14" s="16" t="s">
        <v>5258</v>
      </c>
      <c r="G14" s="16" t="s">
        <v>32</v>
      </c>
      <c r="H14" s="16" t="s">
        <v>5256</v>
      </c>
      <c r="I14" s="16"/>
      <c r="J14" s="16" t="s">
        <v>120</v>
      </c>
      <c r="K14" s="16"/>
      <c r="L14" s="16" t="s">
        <v>7905</v>
      </c>
      <c r="M14" s="19" t="s">
        <v>5259</v>
      </c>
      <c r="N14" s="16" t="s">
        <v>5260</v>
      </c>
      <c r="O14" s="16" t="s">
        <v>5261</v>
      </c>
      <c r="P14" s="16" t="str">
        <f>HYPERLINK("https://ceds.ed.gov/cedselementdetails.aspx?termid=26153")</f>
        <v>https://ceds.ed.gov/cedselementdetails.aspx?termid=26153</v>
      </c>
      <c r="Q14" s="16">
        <v>75815</v>
      </c>
    </row>
    <row r="15" spans="1:17" ht="187.2" x14ac:dyDescent="0.3">
      <c r="A15" s="16" t="s">
        <v>7596</v>
      </c>
      <c r="B15" s="16" t="s">
        <v>8865</v>
      </c>
      <c r="C15" s="16" t="s">
        <v>7598</v>
      </c>
      <c r="D15" s="16" t="s">
        <v>7597</v>
      </c>
      <c r="E15" s="16" t="s">
        <v>5431</v>
      </c>
      <c r="F15" s="16" t="s">
        <v>5432</v>
      </c>
      <c r="G15" s="16" t="s">
        <v>32</v>
      </c>
      <c r="H15" s="16" t="s">
        <v>5435</v>
      </c>
      <c r="I15" s="16"/>
      <c r="J15" s="16" t="s">
        <v>145</v>
      </c>
      <c r="K15" s="16"/>
      <c r="L15" s="16"/>
      <c r="M15" s="19" t="s">
        <v>5433</v>
      </c>
      <c r="N15" s="16"/>
      <c r="O15" s="16" t="s">
        <v>5434</v>
      </c>
      <c r="P15" s="16" t="str">
        <f>HYPERLINK("https://ceds.ed.gov/cedselementdetails.aspx?termid=26191")</f>
        <v>https://ceds.ed.gov/cedselementdetails.aspx?termid=26191</v>
      </c>
      <c r="Q15" s="16">
        <v>75816</v>
      </c>
    </row>
    <row r="16" spans="1:17" ht="187.2" x14ac:dyDescent="0.3">
      <c r="A16" s="16" t="s">
        <v>7596</v>
      </c>
      <c r="B16" s="16" t="s">
        <v>8865</v>
      </c>
      <c r="C16" s="16" t="s">
        <v>7598</v>
      </c>
      <c r="D16" s="16" t="s">
        <v>7597</v>
      </c>
      <c r="E16" s="16" t="s">
        <v>6520</v>
      </c>
      <c r="F16" s="16" t="s">
        <v>263</v>
      </c>
      <c r="G16" s="16" t="s">
        <v>8261</v>
      </c>
      <c r="H16" s="16" t="s">
        <v>6523</v>
      </c>
      <c r="I16" s="16"/>
      <c r="J16" s="16"/>
      <c r="K16" s="16"/>
      <c r="L16" s="16"/>
      <c r="M16" s="19" t="s">
        <v>6521</v>
      </c>
      <c r="N16" s="16"/>
      <c r="O16" s="16" t="s">
        <v>6522</v>
      </c>
      <c r="P16" s="16" t="str">
        <f>HYPERLINK("https://ceds.ed.gov/cedselementdetails.aspx?termid=26161")</f>
        <v>https://ceds.ed.gov/cedselementdetails.aspx?termid=26161</v>
      </c>
      <c r="Q16" s="16">
        <v>75817</v>
      </c>
    </row>
    <row r="17" spans="1:17" ht="172.8" x14ac:dyDescent="0.3">
      <c r="A17" s="16" t="s">
        <v>7596</v>
      </c>
      <c r="B17" s="16" t="s">
        <v>8865</v>
      </c>
      <c r="C17" s="16" t="s">
        <v>7598</v>
      </c>
      <c r="D17" s="16" t="s">
        <v>7597</v>
      </c>
      <c r="E17" s="16" t="s">
        <v>6524</v>
      </c>
      <c r="F17" s="16" t="s">
        <v>268</v>
      </c>
      <c r="G17" s="16" t="s">
        <v>32</v>
      </c>
      <c r="H17" s="16" t="s">
        <v>6523</v>
      </c>
      <c r="I17" s="16"/>
      <c r="J17" s="16" t="s">
        <v>120</v>
      </c>
      <c r="K17" s="16"/>
      <c r="L17" s="16" t="s">
        <v>7817</v>
      </c>
      <c r="M17" s="19" t="s">
        <v>6525</v>
      </c>
      <c r="N17" s="16"/>
      <c r="O17" s="16" t="s">
        <v>6526</v>
      </c>
      <c r="P17" s="16" t="str">
        <f>HYPERLINK("https://ceds.ed.gov/cedselementdetails.aspx?termid=26155")</f>
        <v>https://ceds.ed.gov/cedselementdetails.aspx?termid=26155</v>
      </c>
      <c r="Q17" s="16">
        <v>75818</v>
      </c>
    </row>
    <row r="18" spans="1:17" ht="86.4" x14ac:dyDescent="0.3">
      <c r="A18" s="16" t="s">
        <v>7596</v>
      </c>
      <c r="B18" s="16" t="s">
        <v>8865</v>
      </c>
      <c r="C18" s="16" t="s">
        <v>7598</v>
      </c>
      <c r="D18" s="16" t="s">
        <v>7597</v>
      </c>
      <c r="E18" s="16" t="s">
        <v>8142</v>
      </c>
      <c r="F18" s="16" t="s">
        <v>8143</v>
      </c>
      <c r="G18" s="16" t="s">
        <v>32</v>
      </c>
      <c r="H18" s="16"/>
      <c r="I18" s="16"/>
      <c r="J18" s="16" t="s">
        <v>81</v>
      </c>
      <c r="K18" s="16"/>
      <c r="L18" s="16" t="s">
        <v>6671</v>
      </c>
      <c r="M18" s="19" t="s">
        <v>6672</v>
      </c>
      <c r="N18" s="16"/>
      <c r="O18" s="16" t="s">
        <v>8144</v>
      </c>
      <c r="P18" s="16" t="str">
        <f>HYPERLINK("https://ceds.ed.gov/cedselementdetails.aspx?termid=27459")</f>
        <v>https://ceds.ed.gov/cedselementdetails.aspx?termid=27459</v>
      </c>
      <c r="Q18" s="16">
        <v>75819</v>
      </c>
    </row>
    <row r="19" spans="1:17" ht="100.8" x14ac:dyDescent="0.3">
      <c r="A19" s="16" t="s">
        <v>7596</v>
      </c>
      <c r="B19" s="16" t="s">
        <v>8865</v>
      </c>
      <c r="C19" s="16" t="s">
        <v>7598</v>
      </c>
      <c r="D19" s="16" t="s">
        <v>7597</v>
      </c>
      <c r="E19" s="16" t="s">
        <v>6845</v>
      </c>
      <c r="F19" s="16" t="s">
        <v>8156</v>
      </c>
      <c r="G19" s="16" t="s">
        <v>8267</v>
      </c>
      <c r="H19" s="16"/>
      <c r="I19" s="16"/>
      <c r="J19" s="16"/>
      <c r="K19" s="16"/>
      <c r="L19" s="16"/>
      <c r="M19" s="19" t="s">
        <v>6846</v>
      </c>
      <c r="N19" s="16"/>
      <c r="O19" s="16" t="s">
        <v>6847</v>
      </c>
      <c r="P19" s="16" t="str">
        <f>HYPERLINK("https://ceds.ed.gov/cedselementdetails.aspx?termid=27463")</f>
        <v>https://ceds.ed.gov/cedselementdetails.aspx?termid=27463</v>
      </c>
      <c r="Q19" s="16">
        <v>75820</v>
      </c>
    </row>
    <row r="20" spans="1:17" ht="172.8" x14ac:dyDescent="0.3">
      <c r="A20" s="16" t="s">
        <v>7596</v>
      </c>
      <c r="B20" s="16" t="s">
        <v>8865</v>
      </c>
      <c r="C20" s="16" t="s">
        <v>7598</v>
      </c>
      <c r="D20" s="16" t="s">
        <v>7597</v>
      </c>
      <c r="E20" s="16" t="s">
        <v>6848</v>
      </c>
      <c r="F20" s="16" t="s">
        <v>6849</v>
      </c>
      <c r="G20" s="16" t="s">
        <v>32</v>
      </c>
      <c r="H20" s="16"/>
      <c r="I20" s="16"/>
      <c r="J20" s="16" t="s">
        <v>120</v>
      </c>
      <c r="K20" s="16"/>
      <c r="L20" s="16" t="s">
        <v>7905</v>
      </c>
      <c r="M20" s="19" t="s">
        <v>6850</v>
      </c>
      <c r="N20" s="16"/>
      <c r="O20" s="16" t="s">
        <v>6851</v>
      </c>
      <c r="P20" s="16" t="str">
        <f>HYPERLINK("https://ceds.ed.gov/cedselementdetails.aspx?termid=27462")</f>
        <v>https://ceds.ed.gov/cedselementdetails.aspx?termid=27462</v>
      </c>
      <c r="Q20" s="16">
        <v>75821</v>
      </c>
    </row>
    <row r="21" spans="1:17" ht="72" x14ac:dyDescent="0.3">
      <c r="A21" s="16" t="s">
        <v>7596</v>
      </c>
      <c r="B21" s="16" t="s">
        <v>8865</v>
      </c>
      <c r="C21" s="16" t="s">
        <v>7599</v>
      </c>
      <c r="D21" s="16" t="s">
        <v>7597</v>
      </c>
      <c r="E21" s="16" t="s">
        <v>187</v>
      </c>
      <c r="F21" s="16" t="s">
        <v>188</v>
      </c>
      <c r="G21" s="16" t="s">
        <v>8205</v>
      </c>
      <c r="H21" s="16" t="s">
        <v>64</v>
      </c>
      <c r="I21" s="16"/>
      <c r="J21" s="16" t="s">
        <v>81</v>
      </c>
      <c r="K21" s="16"/>
      <c r="L21" s="16"/>
      <c r="M21" s="19" t="s">
        <v>189</v>
      </c>
      <c r="N21" s="16"/>
      <c r="O21" s="16" t="s">
        <v>190</v>
      </c>
      <c r="P21" s="16" t="str">
        <f>HYPERLINK("https://ceds.ed.gov/cedselementdetails.aspx?termid=26644")</f>
        <v>https://ceds.ed.gov/cedselementdetails.aspx?termid=26644</v>
      </c>
      <c r="Q21" s="16">
        <v>74206</v>
      </c>
    </row>
    <row r="22" spans="1:17" ht="187.2" x14ac:dyDescent="0.3">
      <c r="A22" s="16" t="s">
        <v>7596</v>
      </c>
      <c r="B22" s="16" t="s">
        <v>8865</v>
      </c>
      <c r="C22" s="16" t="s">
        <v>7599</v>
      </c>
      <c r="D22" s="16" t="s">
        <v>7597</v>
      </c>
      <c r="E22" s="16" t="s">
        <v>177</v>
      </c>
      <c r="F22" s="16" t="s">
        <v>178</v>
      </c>
      <c r="G22" s="16" t="s">
        <v>32</v>
      </c>
      <c r="H22" s="16" t="s">
        <v>163</v>
      </c>
      <c r="I22" s="16"/>
      <c r="J22" s="16" t="s">
        <v>179</v>
      </c>
      <c r="K22" s="16"/>
      <c r="L22" s="16"/>
      <c r="M22" s="19" t="s">
        <v>180</v>
      </c>
      <c r="N22" s="16"/>
      <c r="O22" s="16" t="s">
        <v>181</v>
      </c>
      <c r="P22" s="16" t="str">
        <f>HYPERLINK("https://ceds.ed.gov/cedselementdetails.aspx?termid=26269")</f>
        <v>https://ceds.ed.gov/cedselementdetails.aspx?termid=26269</v>
      </c>
      <c r="Q22" s="16">
        <v>74205</v>
      </c>
    </row>
    <row r="23" spans="1:17" ht="187.2" x14ac:dyDescent="0.3">
      <c r="A23" s="16" t="s">
        <v>7596</v>
      </c>
      <c r="B23" s="16" t="s">
        <v>8865</v>
      </c>
      <c r="C23" s="16" t="s">
        <v>7599</v>
      </c>
      <c r="D23" s="16" t="s">
        <v>7597</v>
      </c>
      <c r="E23" s="16" t="s">
        <v>158</v>
      </c>
      <c r="F23" s="16" t="s">
        <v>159</v>
      </c>
      <c r="G23" s="16" t="s">
        <v>32</v>
      </c>
      <c r="H23" s="16" t="s">
        <v>163</v>
      </c>
      <c r="I23" s="16"/>
      <c r="J23" s="16" t="s">
        <v>145</v>
      </c>
      <c r="K23" s="16"/>
      <c r="L23" s="16"/>
      <c r="M23" s="19" t="s">
        <v>161</v>
      </c>
      <c r="N23" s="16"/>
      <c r="O23" s="16" t="s">
        <v>162</v>
      </c>
      <c r="P23" s="16" t="str">
        <f>HYPERLINK("https://ceds.ed.gov/cedselementdetails.aspx?termid=26019")</f>
        <v>https://ceds.ed.gov/cedselementdetails.aspx?termid=26019</v>
      </c>
      <c r="Q23" s="16">
        <v>74208</v>
      </c>
    </row>
    <row r="24" spans="1:17" ht="187.2" x14ac:dyDescent="0.3">
      <c r="A24" s="16" t="s">
        <v>7596</v>
      </c>
      <c r="B24" s="16" t="s">
        <v>8865</v>
      </c>
      <c r="C24" s="16" t="s">
        <v>7599</v>
      </c>
      <c r="D24" s="16" t="s">
        <v>7597</v>
      </c>
      <c r="E24" s="16" t="s">
        <v>164</v>
      </c>
      <c r="F24" s="16" t="s">
        <v>165</v>
      </c>
      <c r="G24" s="16" t="s">
        <v>32</v>
      </c>
      <c r="H24" s="16" t="s">
        <v>163</v>
      </c>
      <c r="I24" s="16"/>
      <c r="J24" s="16" t="s">
        <v>81</v>
      </c>
      <c r="K24" s="16"/>
      <c r="L24" s="16"/>
      <c r="M24" s="19" t="s">
        <v>166</v>
      </c>
      <c r="N24" s="16"/>
      <c r="O24" s="16" t="s">
        <v>167</v>
      </c>
      <c r="P24" s="16" t="str">
        <f>HYPERLINK("https://ceds.ed.gov/cedselementdetails.aspx?termid=26040")</f>
        <v>https://ceds.ed.gov/cedselementdetails.aspx?termid=26040</v>
      </c>
      <c r="Q24" s="16">
        <v>74209</v>
      </c>
    </row>
    <row r="25" spans="1:17" ht="409.6" x14ac:dyDescent="0.3">
      <c r="A25" s="16" t="s">
        <v>7596</v>
      </c>
      <c r="B25" s="16" t="s">
        <v>8865</v>
      </c>
      <c r="C25" s="16" t="s">
        <v>7599</v>
      </c>
      <c r="D25" s="16" t="s">
        <v>7597</v>
      </c>
      <c r="E25" s="16" t="s">
        <v>6840</v>
      </c>
      <c r="F25" s="16" t="s">
        <v>6841</v>
      </c>
      <c r="G25" s="16" t="s">
        <v>8266</v>
      </c>
      <c r="H25" s="16" t="s">
        <v>6844</v>
      </c>
      <c r="I25" s="16"/>
      <c r="J25" s="16"/>
      <c r="K25" s="16"/>
      <c r="L25" s="16"/>
      <c r="M25" s="19" t="s">
        <v>6842</v>
      </c>
      <c r="N25" s="16"/>
      <c r="O25" s="16" t="s">
        <v>6843</v>
      </c>
      <c r="P25" s="16" t="str">
        <f>HYPERLINK("https://ceds.ed.gov/cedselementdetails.aspx?termid=26267")</f>
        <v>https://ceds.ed.gov/cedselementdetails.aspx?termid=26267</v>
      </c>
      <c r="Q25" s="16">
        <v>74211</v>
      </c>
    </row>
    <row r="26" spans="1:17" ht="187.2" x14ac:dyDescent="0.3">
      <c r="A26" s="16" t="s">
        <v>7596</v>
      </c>
      <c r="B26" s="16" t="s">
        <v>8865</v>
      </c>
      <c r="C26" s="16" t="s">
        <v>7599</v>
      </c>
      <c r="D26" s="16" t="s">
        <v>7597</v>
      </c>
      <c r="E26" s="16" t="s">
        <v>172</v>
      </c>
      <c r="F26" s="16" t="s">
        <v>173</v>
      </c>
      <c r="G26" s="16" t="s">
        <v>32</v>
      </c>
      <c r="H26" s="16" t="s">
        <v>163</v>
      </c>
      <c r="I26" s="16"/>
      <c r="J26" s="16" t="s">
        <v>174</v>
      </c>
      <c r="K26" s="16"/>
      <c r="L26" s="16"/>
      <c r="M26" s="19" t="s">
        <v>175</v>
      </c>
      <c r="N26" s="16"/>
      <c r="O26" s="16" t="s">
        <v>176</v>
      </c>
      <c r="P26" s="16" t="str">
        <f>HYPERLINK("https://ceds.ed.gov/cedselementdetails.aspx?termid=26214")</f>
        <v>https://ceds.ed.gov/cedselementdetails.aspx?termid=26214</v>
      </c>
      <c r="Q26" s="16">
        <v>74210</v>
      </c>
    </row>
    <row r="27" spans="1:17" ht="187.2" x14ac:dyDescent="0.3">
      <c r="A27" s="16" t="s">
        <v>7596</v>
      </c>
      <c r="B27" s="16" t="s">
        <v>8865</v>
      </c>
      <c r="C27" s="16" t="s">
        <v>7599</v>
      </c>
      <c r="D27" s="16" t="s">
        <v>7597</v>
      </c>
      <c r="E27" s="16" t="s">
        <v>168</v>
      </c>
      <c r="F27" s="16" t="s">
        <v>169</v>
      </c>
      <c r="G27" s="16" t="s">
        <v>32</v>
      </c>
      <c r="H27" s="16" t="s">
        <v>163</v>
      </c>
      <c r="I27" s="16"/>
      <c r="J27" s="16" t="s">
        <v>81</v>
      </c>
      <c r="K27" s="16"/>
      <c r="L27" s="16"/>
      <c r="M27" s="19" t="s">
        <v>170</v>
      </c>
      <c r="N27" s="16"/>
      <c r="O27" s="16" t="s">
        <v>171</v>
      </c>
      <c r="P27" s="16" t="str">
        <f>HYPERLINK("https://ceds.ed.gov/cedselementdetails.aspx?termid=26190")</f>
        <v>https://ceds.ed.gov/cedselementdetails.aspx?termid=26190</v>
      </c>
      <c r="Q27" s="16">
        <v>74204</v>
      </c>
    </row>
    <row r="28" spans="1:17" ht="158.4" x14ac:dyDescent="0.3">
      <c r="A28" s="16" t="s">
        <v>7596</v>
      </c>
      <c r="B28" s="16" t="s">
        <v>8865</v>
      </c>
      <c r="C28" s="16" t="s">
        <v>7599</v>
      </c>
      <c r="D28" s="16" t="s">
        <v>7597</v>
      </c>
      <c r="E28" s="16" t="s">
        <v>2493</v>
      </c>
      <c r="F28" s="16" t="s">
        <v>2494</v>
      </c>
      <c r="G28" s="16" t="s">
        <v>32</v>
      </c>
      <c r="H28" s="16"/>
      <c r="I28" s="16"/>
      <c r="J28" s="16" t="s">
        <v>2495</v>
      </c>
      <c r="K28" s="16"/>
      <c r="L28" s="16"/>
      <c r="M28" s="19" t="s">
        <v>2496</v>
      </c>
      <c r="N28" s="16"/>
      <c r="O28" s="16" t="s">
        <v>2497</v>
      </c>
      <c r="P28" s="16" t="str">
        <f>HYPERLINK("https://ceds.ed.gov/cedselementdetails.aspx?termid=27176")</f>
        <v>https://ceds.ed.gov/cedselementdetails.aspx?termid=27176</v>
      </c>
      <c r="Q28" s="16">
        <v>74207</v>
      </c>
    </row>
    <row r="29" spans="1:17" ht="43.2" x14ac:dyDescent="0.3">
      <c r="A29" s="16" t="s">
        <v>7596</v>
      </c>
      <c r="B29" s="16" t="s">
        <v>8865</v>
      </c>
      <c r="C29" s="16" t="s">
        <v>7599</v>
      </c>
      <c r="D29" s="16" t="s">
        <v>7597</v>
      </c>
      <c r="E29" s="16" t="s">
        <v>1761</v>
      </c>
      <c r="F29" s="16" t="s">
        <v>1762</v>
      </c>
      <c r="G29" s="16" t="s">
        <v>32</v>
      </c>
      <c r="H29" s="16"/>
      <c r="I29" s="16"/>
      <c r="J29" s="16" t="s">
        <v>145</v>
      </c>
      <c r="K29" s="16"/>
      <c r="L29" s="16"/>
      <c r="M29" s="19" t="s">
        <v>1763</v>
      </c>
      <c r="N29" s="16"/>
      <c r="O29" s="16" t="s">
        <v>1764</v>
      </c>
      <c r="P29" s="16" t="str">
        <f>HYPERLINK("https://ceds.ed.gov/cedselementdetails.aspx?termid=26595")</f>
        <v>https://ceds.ed.gov/cedselementdetails.aspx?termid=26595</v>
      </c>
      <c r="Q29" s="16">
        <v>74473</v>
      </c>
    </row>
    <row r="30" spans="1:17" ht="57.6" x14ac:dyDescent="0.3">
      <c r="A30" s="16" t="s">
        <v>7596</v>
      </c>
      <c r="B30" s="16" t="s">
        <v>8865</v>
      </c>
      <c r="C30" s="16" t="s">
        <v>7599</v>
      </c>
      <c r="D30" s="16" t="s">
        <v>7597</v>
      </c>
      <c r="E30" s="16" t="s">
        <v>4902</v>
      </c>
      <c r="F30" s="16" t="s">
        <v>4903</v>
      </c>
      <c r="G30" s="16" t="s">
        <v>32</v>
      </c>
      <c r="H30" s="16"/>
      <c r="I30" s="16"/>
      <c r="J30" s="16" t="s">
        <v>1130</v>
      </c>
      <c r="K30" s="16"/>
      <c r="L30" s="16"/>
      <c r="M30" s="19" t="s">
        <v>4904</v>
      </c>
      <c r="N30" s="16"/>
      <c r="O30" s="16" t="s">
        <v>4902</v>
      </c>
      <c r="P30" s="16" t="str">
        <f>HYPERLINK("https://ceds.ed.gov/cedselementdetails.aspx?termid=26599")</f>
        <v>https://ceds.ed.gov/cedselementdetails.aspx?termid=26599</v>
      </c>
      <c r="Q30" s="16">
        <v>74275</v>
      </c>
    </row>
    <row r="31" spans="1:17" ht="57.6" x14ac:dyDescent="0.3">
      <c r="A31" s="16" t="s">
        <v>7596</v>
      </c>
      <c r="B31" s="16" t="s">
        <v>8865</v>
      </c>
      <c r="C31" s="16" t="s">
        <v>7599</v>
      </c>
      <c r="D31" s="16" t="s">
        <v>7597</v>
      </c>
      <c r="E31" s="16" t="s">
        <v>5285</v>
      </c>
      <c r="F31" s="16" t="s">
        <v>5286</v>
      </c>
      <c r="G31" s="16" t="s">
        <v>32</v>
      </c>
      <c r="H31" s="16"/>
      <c r="I31" s="16"/>
      <c r="J31" s="16" t="s">
        <v>1130</v>
      </c>
      <c r="K31" s="16"/>
      <c r="L31" s="16"/>
      <c r="M31" s="19" t="s">
        <v>5287</v>
      </c>
      <c r="N31" s="16"/>
      <c r="O31" s="16" t="s">
        <v>5285</v>
      </c>
      <c r="P31" s="16" t="str">
        <f>HYPERLINK("https://ceds.ed.gov/cedselementdetails.aspx?termid=26600")</f>
        <v>https://ceds.ed.gov/cedselementdetails.aspx?termid=26600</v>
      </c>
      <c r="Q31" s="16">
        <v>74298</v>
      </c>
    </row>
    <row r="32" spans="1:17" ht="57.6" x14ac:dyDescent="0.3">
      <c r="A32" s="16" t="s">
        <v>7596</v>
      </c>
      <c r="B32" s="16" t="s">
        <v>8865</v>
      </c>
      <c r="C32" s="16" t="s">
        <v>7599</v>
      </c>
      <c r="D32" s="16" t="s">
        <v>7597</v>
      </c>
      <c r="E32" s="16" t="s">
        <v>3175</v>
      </c>
      <c r="F32" s="16" t="s">
        <v>3176</v>
      </c>
      <c r="G32" s="16" t="s">
        <v>2987</v>
      </c>
      <c r="H32" s="16"/>
      <c r="I32" s="16"/>
      <c r="J32" s="16"/>
      <c r="K32" s="16"/>
      <c r="L32" s="16"/>
      <c r="M32" s="19" t="s">
        <v>3177</v>
      </c>
      <c r="N32" s="16"/>
      <c r="O32" s="16" t="s">
        <v>3178</v>
      </c>
      <c r="P32" s="16" t="str">
        <f>HYPERLINK("https://ceds.ed.gov/cedselementdetails.aspx?termid=27905")</f>
        <v>https://ceds.ed.gov/cedselementdetails.aspx?termid=27905</v>
      </c>
      <c r="Q32" s="16">
        <v>75273</v>
      </c>
    </row>
    <row r="33" spans="1:17" ht="72" x14ac:dyDescent="0.3">
      <c r="A33" s="16" t="s">
        <v>7596</v>
      </c>
      <c r="B33" s="16" t="s">
        <v>8865</v>
      </c>
      <c r="C33" s="16" t="s">
        <v>7600</v>
      </c>
      <c r="D33" s="16" t="s">
        <v>7597</v>
      </c>
      <c r="E33" s="16" t="s">
        <v>7053</v>
      </c>
      <c r="F33" s="16" t="s">
        <v>7054</v>
      </c>
      <c r="G33" s="16" t="s">
        <v>32</v>
      </c>
      <c r="H33" s="16" t="s">
        <v>64</v>
      </c>
      <c r="I33" s="16"/>
      <c r="J33" s="16" t="s">
        <v>7055</v>
      </c>
      <c r="K33" s="16"/>
      <c r="L33" s="16"/>
      <c r="M33" s="19" t="s">
        <v>7056</v>
      </c>
      <c r="N33" s="16"/>
      <c r="O33" s="16" t="s">
        <v>7057</v>
      </c>
      <c r="P33" s="16" t="str">
        <f>HYPERLINK("https://ceds.ed.gov/cedselementdetails.aspx?termid=26279")</f>
        <v>https://ceds.ed.gov/cedselementdetails.aspx?termid=26279</v>
      </c>
      <c r="Q33" s="16">
        <v>74213</v>
      </c>
    </row>
    <row r="34" spans="1:17" ht="115.2" x14ac:dyDescent="0.3">
      <c r="A34" s="16" t="s">
        <v>7596</v>
      </c>
      <c r="B34" s="16" t="s">
        <v>8865</v>
      </c>
      <c r="C34" s="16" t="s">
        <v>7600</v>
      </c>
      <c r="D34" s="16" t="s">
        <v>7597</v>
      </c>
      <c r="E34" s="16" t="s">
        <v>4703</v>
      </c>
      <c r="F34" s="16" t="s">
        <v>4704</v>
      </c>
      <c r="G34" s="16" t="s">
        <v>8662</v>
      </c>
      <c r="H34" s="16"/>
      <c r="I34" s="16"/>
      <c r="J34" s="16"/>
      <c r="K34" s="16"/>
      <c r="L34" s="16"/>
      <c r="M34" s="19" t="s">
        <v>4705</v>
      </c>
      <c r="N34" s="16"/>
      <c r="O34" s="16" t="s">
        <v>4706</v>
      </c>
      <c r="P34" s="16" t="str">
        <f>HYPERLINK("https://ceds.ed.gov/cedselementdetails.aspx?termid=26167")</f>
        <v>https://ceds.ed.gov/cedselementdetails.aspx?termid=26167</v>
      </c>
      <c r="Q34" s="16">
        <v>74212</v>
      </c>
    </row>
    <row r="35" spans="1:17" ht="72" x14ac:dyDescent="0.3">
      <c r="A35" s="16" t="s">
        <v>7596</v>
      </c>
      <c r="B35" s="16" t="s">
        <v>8865</v>
      </c>
      <c r="C35" s="16" t="s">
        <v>7600</v>
      </c>
      <c r="D35" s="16" t="s">
        <v>7597</v>
      </c>
      <c r="E35" s="16" t="s">
        <v>5865</v>
      </c>
      <c r="F35" s="16" t="s">
        <v>5866</v>
      </c>
      <c r="G35" s="16" t="s">
        <v>22</v>
      </c>
      <c r="H35" s="16" t="s">
        <v>64</v>
      </c>
      <c r="I35" s="16"/>
      <c r="J35" s="16"/>
      <c r="K35" s="16"/>
      <c r="L35" s="16"/>
      <c r="M35" s="19" t="s">
        <v>5867</v>
      </c>
      <c r="N35" s="16"/>
      <c r="O35" s="16" t="s">
        <v>5868</v>
      </c>
      <c r="P35" s="16" t="str">
        <f>HYPERLINK("https://ceds.ed.gov/cedselementdetails.aspx?termid=26219")</f>
        <v>https://ceds.ed.gov/cedselementdetails.aspx?termid=26219</v>
      </c>
      <c r="Q35" s="16">
        <v>74214</v>
      </c>
    </row>
    <row r="36" spans="1:17" ht="57.6" x14ac:dyDescent="0.3">
      <c r="A36" s="16" t="s">
        <v>7596</v>
      </c>
      <c r="B36" s="16" t="s">
        <v>8865</v>
      </c>
      <c r="C36" s="16" t="s">
        <v>7600</v>
      </c>
      <c r="D36" s="16" t="s">
        <v>7597</v>
      </c>
      <c r="E36" s="16" t="s">
        <v>3175</v>
      </c>
      <c r="F36" s="16" t="s">
        <v>3176</v>
      </c>
      <c r="G36" s="16" t="s">
        <v>2987</v>
      </c>
      <c r="H36" s="16"/>
      <c r="I36" s="16"/>
      <c r="J36" s="16"/>
      <c r="K36" s="16"/>
      <c r="L36" s="16"/>
      <c r="M36" s="19" t="s">
        <v>3177</v>
      </c>
      <c r="N36" s="16"/>
      <c r="O36" s="16" t="s">
        <v>3178</v>
      </c>
      <c r="P36" s="16" t="str">
        <f>HYPERLINK("https://ceds.ed.gov/cedselementdetails.aspx?termid=27905")</f>
        <v>https://ceds.ed.gov/cedselementdetails.aspx?termid=27905</v>
      </c>
      <c r="Q36" s="16">
        <v>75278</v>
      </c>
    </row>
    <row r="37" spans="1:17" ht="57.6" x14ac:dyDescent="0.3">
      <c r="A37" s="16" t="s">
        <v>7596</v>
      </c>
      <c r="B37" s="16" t="s">
        <v>8865</v>
      </c>
      <c r="C37" s="16" t="s">
        <v>7600</v>
      </c>
      <c r="D37" s="16" t="s">
        <v>7597</v>
      </c>
      <c r="E37" s="16" t="s">
        <v>7058</v>
      </c>
      <c r="F37" s="16" t="s">
        <v>7059</v>
      </c>
      <c r="G37" s="16" t="s">
        <v>8848</v>
      </c>
      <c r="H37" s="16"/>
      <c r="I37" s="16"/>
      <c r="J37" s="16"/>
      <c r="K37" s="16"/>
      <c r="L37" s="16"/>
      <c r="M37" s="19" t="s">
        <v>7060</v>
      </c>
      <c r="N37" s="16"/>
      <c r="O37" s="16" t="s">
        <v>7061</v>
      </c>
      <c r="P37" s="16" t="str">
        <f>HYPERLINK("https://ceds.ed.gov/cedselementdetails.aspx?termid=27911")</f>
        <v>https://ceds.ed.gov/cedselementdetails.aspx?termid=27911</v>
      </c>
      <c r="Q37" s="16">
        <v>75279</v>
      </c>
    </row>
    <row r="38" spans="1:17" ht="72" x14ac:dyDescent="0.3">
      <c r="A38" s="16" t="s">
        <v>7596</v>
      </c>
      <c r="B38" s="16" t="s">
        <v>8865</v>
      </c>
      <c r="C38" s="16" t="s">
        <v>7601</v>
      </c>
      <c r="D38" s="16" t="s">
        <v>7597</v>
      </c>
      <c r="E38" s="16" t="s">
        <v>5773</v>
      </c>
      <c r="F38" s="16" t="s">
        <v>5774</v>
      </c>
      <c r="G38" s="16" t="s">
        <v>32</v>
      </c>
      <c r="H38" s="16" t="s">
        <v>64</v>
      </c>
      <c r="I38" s="16"/>
      <c r="J38" s="16" t="s">
        <v>1304</v>
      </c>
      <c r="K38" s="16"/>
      <c r="L38" s="16"/>
      <c r="M38" s="19" t="s">
        <v>5775</v>
      </c>
      <c r="N38" s="16"/>
      <c r="O38" s="16" t="s">
        <v>5776</v>
      </c>
      <c r="P38" s="16" t="str">
        <f>HYPERLINK("https://ceds.ed.gov/cedselementdetails.aspx?termid=26213")</f>
        <v>https://ceds.ed.gov/cedselementdetails.aspx?termid=26213</v>
      </c>
      <c r="Q38" s="16">
        <v>74474</v>
      </c>
    </row>
    <row r="39" spans="1:17" ht="86.4" x14ac:dyDescent="0.3">
      <c r="A39" s="16" t="s">
        <v>7596</v>
      </c>
      <c r="B39" s="16" t="s">
        <v>8865</v>
      </c>
      <c r="C39" s="16" t="s">
        <v>7601</v>
      </c>
      <c r="D39" s="16" t="s">
        <v>7597</v>
      </c>
      <c r="E39" s="16" t="s">
        <v>5855</v>
      </c>
      <c r="F39" s="16" t="s">
        <v>5856</v>
      </c>
      <c r="G39" s="16" t="s">
        <v>22</v>
      </c>
      <c r="H39" s="16"/>
      <c r="I39" s="16"/>
      <c r="J39" s="16"/>
      <c r="K39" s="16"/>
      <c r="L39" s="16"/>
      <c r="M39" s="19" t="s">
        <v>5857</v>
      </c>
      <c r="N39" s="16"/>
      <c r="O39" s="16" t="s">
        <v>5858</v>
      </c>
      <c r="P39" s="16" t="str">
        <f>HYPERLINK("https://ceds.ed.gov/cedselementdetails.aspx?termid=27397")</f>
        <v>https://ceds.ed.gov/cedselementdetails.aspx?termid=27397</v>
      </c>
      <c r="Q39" s="16">
        <v>74475</v>
      </c>
    </row>
    <row r="40" spans="1:17" ht="28.8" x14ac:dyDescent="0.3">
      <c r="A40" s="16" t="s">
        <v>7596</v>
      </c>
      <c r="B40" s="16" t="s">
        <v>8865</v>
      </c>
      <c r="C40" s="16" t="s">
        <v>7601</v>
      </c>
      <c r="D40" s="16" t="s">
        <v>7597</v>
      </c>
      <c r="E40" s="16" t="s">
        <v>7262</v>
      </c>
      <c r="F40" s="16" t="s">
        <v>7263</v>
      </c>
      <c r="G40" s="16" t="s">
        <v>32</v>
      </c>
      <c r="H40" s="16" t="s">
        <v>214</v>
      </c>
      <c r="I40" s="16"/>
      <c r="J40" s="16" t="s">
        <v>101</v>
      </c>
      <c r="K40" s="16"/>
      <c r="L40" s="16"/>
      <c r="M40" s="19" t="s">
        <v>7264</v>
      </c>
      <c r="N40" s="16"/>
      <c r="O40" s="16" t="s">
        <v>7265</v>
      </c>
      <c r="P40" s="16" t="str">
        <f>HYPERLINK("https://ceds.ed.gov/cedselementdetails.aspx?termid=26300")</f>
        <v>https://ceds.ed.gov/cedselementdetails.aspx?termid=26300</v>
      </c>
      <c r="Q40" s="16">
        <v>74174</v>
      </c>
    </row>
    <row r="41" spans="1:17" ht="158.4" x14ac:dyDescent="0.3">
      <c r="A41" s="16" t="s">
        <v>7596</v>
      </c>
      <c r="B41" s="16" t="s">
        <v>8865</v>
      </c>
      <c r="C41" s="16" t="s">
        <v>7602</v>
      </c>
      <c r="D41" s="16" t="s">
        <v>7597</v>
      </c>
      <c r="E41" s="16" t="s">
        <v>3990</v>
      </c>
      <c r="F41" s="16" t="s">
        <v>3991</v>
      </c>
      <c r="G41" s="16" t="s">
        <v>32</v>
      </c>
      <c r="H41" s="16" t="s">
        <v>3994</v>
      </c>
      <c r="I41" s="16"/>
      <c r="J41" s="16" t="s">
        <v>7426</v>
      </c>
      <c r="K41" s="16"/>
      <c r="L41" s="16" t="s">
        <v>8047</v>
      </c>
      <c r="M41" s="19" t="s">
        <v>3992</v>
      </c>
      <c r="N41" s="16"/>
      <c r="O41" s="16" t="s">
        <v>3993</v>
      </c>
      <c r="P41" s="16" t="str">
        <f>HYPERLINK("https://ceds.ed.gov/cedselementdetails.aspx?termid=26115")</f>
        <v>https://ceds.ed.gov/cedselementdetails.aspx?termid=26115</v>
      </c>
      <c r="Q41" s="16">
        <v>74477</v>
      </c>
    </row>
    <row r="42" spans="1:17" ht="158.4" x14ac:dyDescent="0.3">
      <c r="A42" s="16" t="s">
        <v>7596</v>
      </c>
      <c r="B42" s="16" t="s">
        <v>8865</v>
      </c>
      <c r="C42" s="16" t="s">
        <v>7602</v>
      </c>
      <c r="D42" s="16" t="s">
        <v>7597</v>
      </c>
      <c r="E42" s="16" t="s">
        <v>5328</v>
      </c>
      <c r="F42" s="16" t="s">
        <v>5329</v>
      </c>
      <c r="G42" s="16" t="s">
        <v>32</v>
      </c>
      <c r="H42" s="16" t="s">
        <v>3994</v>
      </c>
      <c r="I42" s="16"/>
      <c r="J42" s="16" t="s">
        <v>7426</v>
      </c>
      <c r="K42" s="16"/>
      <c r="L42" s="16" t="s">
        <v>8053</v>
      </c>
      <c r="M42" s="19" t="s">
        <v>5330</v>
      </c>
      <c r="N42" s="16"/>
      <c r="O42" s="16" t="s">
        <v>5331</v>
      </c>
      <c r="P42" s="16" t="str">
        <f>HYPERLINK("https://ceds.ed.gov/cedselementdetails.aspx?termid=26184")</f>
        <v>https://ceds.ed.gov/cedselementdetails.aspx?termid=26184</v>
      </c>
      <c r="Q42" s="16">
        <v>74480</v>
      </c>
    </row>
    <row r="43" spans="1:17" ht="158.4" x14ac:dyDescent="0.3">
      <c r="A43" s="16" t="s">
        <v>7596</v>
      </c>
      <c r="B43" s="16" t="s">
        <v>8865</v>
      </c>
      <c r="C43" s="16" t="s">
        <v>7602</v>
      </c>
      <c r="D43" s="16" t="s">
        <v>7597</v>
      </c>
      <c r="E43" s="16" t="s">
        <v>4893</v>
      </c>
      <c r="F43" s="16" t="s">
        <v>4894</v>
      </c>
      <c r="G43" s="16" t="s">
        <v>32</v>
      </c>
      <c r="H43" s="16" t="s">
        <v>3994</v>
      </c>
      <c r="I43" s="16"/>
      <c r="J43" s="16" t="s">
        <v>7426</v>
      </c>
      <c r="K43" s="16"/>
      <c r="L43" s="16" t="s">
        <v>8053</v>
      </c>
      <c r="M43" s="19" t="s">
        <v>4895</v>
      </c>
      <c r="N43" s="16" t="s">
        <v>4896</v>
      </c>
      <c r="O43" s="16" t="s">
        <v>4897</v>
      </c>
      <c r="P43" s="16" t="str">
        <f>HYPERLINK("https://ceds.ed.gov/cedselementdetails.aspx?termid=26172")</f>
        <v>https://ceds.ed.gov/cedselementdetails.aspx?termid=26172</v>
      </c>
      <c r="Q43" s="16">
        <v>74479</v>
      </c>
    </row>
    <row r="44" spans="1:17" ht="129.6" x14ac:dyDescent="0.3">
      <c r="A44" s="16" t="s">
        <v>7596</v>
      </c>
      <c r="B44" s="16" t="s">
        <v>8865</v>
      </c>
      <c r="C44" s="16" t="s">
        <v>7602</v>
      </c>
      <c r="D44" s="16" t="s">
        <v>7597</v>
      </c>
      <c r="E44" s="16" t="s">
        <v>4054</v>
      </c>
      <c r="F44" s="16" t="s">
        <v>4055</v>
      </c>
      <c r="G44" s="16" t="s">
        <v>32</v>
      </c>
      <c r="H44" s="16" t="s">
        <v>4059</v>
      </c>
      <c r="I44" s="16"/>
      <c r="J44" s="16" t="s">
        <v>2697</v>
      </c>
      <c r="K44" s="16"/>
      <c r="L44" s="16" t="s">
        <v>8053</v>
      </c>
      <c r="M44" s="19" t="s">
        <v>4057</v>
      </c>
      <c r="N44" s="16"/>
      <c r="O44" s="16" t="s">
        <v>4058</v>
      </c>
      <c r="P44" s="16" t="str">
        <f>HYPERLINK("https://ceds.ed.gov/cedselementdetails.aspx?termid=26121")</f>
        <v>https://ceds.ed.gov/cedselementdetails.aspx?termid=26121</v>
      </c>
      <c r="Q44" s="16">
        <v>74478</v>
      </c>
    </row>
    <row r="45" spans="1:17" ht="86.4" x14ac:dyDescent="0.3">
      <c r="A45" s="16" t="s">
        <v>7596</v>
      </c>
      <c r="B45" s="16" t="s">
        <v>8865</v>
      </c>
      <c r="C45" s="16" t="s">
        <v>7602</v>
      </c>
      <c r="D45" s="16" t="s">
        <v>7597</v>
      </c>
      <c r="E45" s="16" t="s">
        <v>5760</v>
      </c>
      <c r="F45" s="16" t="s">
        <v>5761</v>
      </c>
      <c r="G45" s="16" t="s">
        <v>32</v>
      </c>
      <c r="H45" s="16" t="s">
        <v>5765</v>
      </c>
      <c r="I45" s="16"/>
      <c r="J45" s="16" t="s">
        <v>81</v>
      </c>
      <c r="K45" s="16"/>
      <c r="L45" s="16"/>
      <c r="M45" s="19" t="s">
        <v>5762</v>
      </c>
      <c r="N45" s="16" t="s">
        <v>5763</v>
      </c>
      <c r="O45" s="16" t="s">
        <v>5764</v>
      </c>
      <c r="P45" s="16" t="str">
        <f>HYPERLINK("https://ceds.ed.gov/cedselementdetails.aspx?termid=26212")</f>
        <v>https://ceds.ed.gov/cedselementdetails.aspx?termid=26212</v>
      </c>
      <c r="Q45" s="16">
        <v>74481</v>
      </c>
    </row>
    <row r="46" spans="1:17" ht="72" x14ac:dyDescent="0.3">
      <c r="A46" s="16" t="s">
        <v>7596</v>
      </c>
      <c r="B46" s="16" t="s">
        <v>8865</v>
      </c>
      <c r="C46" s="16" t="s">
        <v>7603</v>
      </c>
      <c r="D46" s="16" t="s">
        <v>7597</v>
      </c>
      <c r="E46" s="16" t="s">
        <v>187</v>
      </c>
      <c r="F46" s="16" t="s">
        <v>188</v>
      </c>
      <c r="G46" s="16" t="s">
        <v>8205</v>
      </c>
      <c r="H46" s="16" t="s">
        <v>64</v>
      </c>
      <c r="I46" s="16"/>
      <c r="J46" s="16" t="s">
        <v>81</v>
      </c>
      <c r="K46" s="16"/>
      <c r="L46" s="16"/>
      <c r="M46" s="19" t="s">
        <v>189</v>
      </c>
      <c r="N46" s="16"/>
      <c r="O46" s="16" t="s">
        <v>190</v>
      </c>
      <c r="P46" s="16" t="str">
        <f>HYPERLINK("https://ceds.ed.gov/cedselementdetails.aspx?termid=26644")</f>
        <v>https://ceds.ed.gov/cedselementdetails.aspx?termid=26644</v>
      </c>
      <c r="Q46" s="16">
        <v>70724</v>
      </c>
    </row>
    <row r="47" spans="1:17" ht="187.2" x14ac:dyDescent="0.3">
      <c r="A47" s="16" t="s">
        <v>7596</v>
      </c>
      <c r="B47" s="16" t="s">
        <v>8865</v>
      </c>
      <c r="C47" s="16" t="s">
        <v>7603</v>
      </c>
      <c r="D47" s="16" t="s">
        <v>7597</v>
      </c>
      <c r="E47" s="16" t="s">
        <v>177</v>
      </c>
      <c r="F47" s="16" t="s">
        <v>178</v>
      </c>
      <c r="G47" s="16" t="s">
        <v>32</v>
      </c>
      <c r="H47" s="16" t="s">
        <v>163</v>
      </c>
      <c r="I47" s="16"/>
      <c r="J47" s="16" t="s">
        <v>179</v>
      </c>
      <c r="K47" s="16"/>
      <c r="L47" s="16"/>
      <c r="M47" s="19" t="s">
        <v>180</v>
      </c>
      <c r="N47" s="16"/>
      <c r="O47" s="16" t="s">
        <v>181</v>
      </c>
      <c r="P47" s="16" t="str">
        <f>HYPERLINK("https://ceds.ed.gov/cedselementdetails.aspx?termid=26269")</f>
        <v>https://ceds.ed.gov/cedselementdetails.aspx?termid=26269</v>
      </c>
      <c r="Q47" s="16">
        <v>70709</v>
      </c>
    </row>
    <row r="48" spans="1:17" ht="187.2" x14ac:dyDescent="0.3">
      <c r="A48" s="16" t="s">
        <v>7596</v>
      </c>
      <c r="B48" s="16" t="s">
        <v>8865</v>
      </c>
      <c r="C48" s="16" t="s">
        <v>7603</v>
      </c>
      <c r="D48" s="16" t="s">
        <v>7597</v>
      </c>
      <c r="E48" s="16" t="s">
        <v>158</v>
      </c>
      <c r="F48" s="16" t="s">
        <v>159</v>
      </c>
      <c r="G48" s="16" t="s">
        <v>32</v>
      </c>
      <c r="H48" s="16" t="s">
        <v>163</v>
      </c>
      <c r="I48" s="16"/>
      <c r="J48" s="16" t="s">
        <v>145</v>
      </c>
      <c r="K48" s="16"/>
      <c r="L48" s="16"/>
      <c r="M48" s="19" t="s">
        <v>161</v>
      </c>
      <c r="N48" s="16"/>
      <c r="O48" s="16" t="s">
        <v>162</v>
      </c>
      <c r="P48" s="16" t="str">
        <f>HYPERLINK("https://ceds.ed.gov/cedselementdetails.aspx?termid=26019")</f>
        <v>https://ceds.ed.gov/cedselementdetails.aspx?termid=26019</v>
      </c>
      <c r="Q48" s="16">
        <v>70703</v>
      </c>
    </row>
    <row r="49" spans="1:17" ht="187.2" x14ac:dyDescent="0.3">
      <c r="A49" s="16" t="s">
        <v>7596</v>
      </c>
      <c r="B49" s="16" t="s">
        <v>8865</v>
      </c>
      <c r="C49" s="16" t="s">
        <v>7603</v>
      </c>
      <c r="D49" s="16" t="s">
        <v>7597</v>
      </c>
      <c r="E49" s="16" t="s">
        <v>164</v>
      </c>
      <c r="F49" s="16" t="s">
        <v>165</v>
      </c>
      <c r="G49" s="16" t="s">
        <v>32</v>
      </c>
      <c r="H49" s="16" t="s">
        <v>163</v>
      </c>
      <c r="I49" s="16"/>
      <c r="J49" s="16" t="s">
        <v>81</v>
      </c>
      <c r="K49" s="16"/>
      <c r="L49" s="16"/>
      <c r="M49" s="19" t="s">
        <v>166</v>
      </c>
      <c r="N49" s="16"/>
      <c r="O49" s="16" t="s">
        <v>167</v>
      </c>
      <c r="P49" s="16" t="str">
        <f>HYPERLINK("https://ceds.ed.gov/cedselementdetails.aspx?termid=26040")</f>
        <v>https://ceds.ed.gov/cedselementdetails.aspx?termid=26040</v>
      </c>
      <c r="Q49" s="16">
        <v>70704</v>
      </c>
    </row>
    <row r="50" spans="1:17" ht="409.6" x14ac:dyDescent="0.3">
      <c r="A50" s="16" t="s">
        <v>7596</v>
      </c>
      <c r="B50" s="16" t="s">
        <v>8865</v>
      </c>
      <c r="C50" s="16" t="s">
        <v>7603</v>
      </c>
      <c r="D50" s="16" t="s">
        <v>7597</v>
      </c>
      <c r="E50" s="16" t="s">
        <v>6840</v>
      </c>
      <c r="F50" s="16" t="s">
        <v>6841</v>
      </c>
      <c r="G50" s="16" t="s">
        <v>8266</v>
      </c>
      <c r="H50" s="16" t="s">
        <v>6844</v>
      </c>
      <c r="I50" s="16"/>
      <c r="J50" s="16"/>
      <c r="K50" s="16"/>
      <c r="L50" s="16"/>
      <c r="M50" s="19" t="s">
        <v>6842</v>
      </c>
      <c r="N50" s="16"/>
      <c r="O50" s="16" t="s">
        <v>6843</v>
      </c>
      <c r="P50" s="16" t="str">
        <f>HYPERLINK("https://ceds.ed.gov/cedselementdetails.aspx?termid=26267")</f>
        <v>https://ceds.ed.gov/cedselementdetails.aspx?termid=26267</v>
      </c>
      <c r="Q50" s="16">
        <v>70708</v>
      </c>
    </row>
    <row r="51" spans="1:17" ht="187.2" x14ac:dyDescent="0.3">
      <c r="A51" s="16" t="s">
        <v>7596</v>
      </c>
      <c r="B51" s="16" t="s">
        <v>8865</v>
      </c>
      <c r="C51" s="16" t="s">
        <v>7603</v>
      </c>
      <c r="D51" s="16" t="s">
        <v>7597</v>
      </c>
      <c r="E51" s="16" t="s">
        <v>172</v>
      </c>
      <c r="F51" s="16" t="s">
        <v>173</v>
      </c>
      <c r="G51" s="16" t="s">
        <v>32</v>
      </c>
      <c r="H51" s="16" t="s">
        <v>163</v>
      </c>
      <c r="I51" s="16"/>
      <c r="J51" s="16" t="s">
        <v>174</v>
      </c>
      <c r="K51" s="16"/>
      <c r="L51" s="16"/>
      <c r="M51" s="19" t="s">
        <v>175</v>
      </c>
      <c r="N51" s="16"/>
      <c r="O51" s="16" t="s">
        <v>176</v>
      </c>
      <c r="P51" s="16" t="str">
        <f>HYPERLINK("https://ceds.ed.gov/cedselementdetails.aspx?termid=26214")</f>
        <v>https://ceds.ed.gov/cedselementdetails.aspx?termid=26214</v>
      </c>
      <c r="Q51" s="16">
        <v>70706</v>
      </c>
    </row>
    <row r="52" spans="1:17" ht="187.2" x14ac:dyDescent="0.3">
      <c r="A52" s="16" t="s">
        <v>7596</v>
      </c>
      <c r="B52" s="16" t="s">
        <v>8865</v>
      </c>
      <c r="C52" s="16" t="s">
        <v>7603</v>
      </c>
      <c r="D52" s="16" t="s">
        <v>7597</v>
      </c>
      <c r="E52" s="16" t="s">
        <v>168</v>
      </c>
      <c r="F52" s="16" t="s">
        <v>169</v>
      </c>
      <c r="G52" s="16" t="s">
        <v>32</v>
      </c>
      <c r="H52" s="16" t="s">
        <v>163</v>
      </c>
      <c r="I52" s="16"/>
      <c r="J52" s="16" t="s">
        <v>81</v>
      </c>
      <c r="K52" s="16"/>
      <c r="L52" s="16"/>
      <c r="M52" s="19" t="s">
        <v>170</v>
      </c>
      <c r="N52" s="16"/>
      <c r="O52" s="16" t="s">
        <v>171</v>
      </c>
      <c r="P52" s="16" t="str">
        <f>HYPERLINK("https://ceds.ed.gov/cedselementdetails.aspx?termid=26190")</f>
        <v>https://ceds.ed.gov/cedselementdetails.aspx?termid=26190</v>
      </c>
      <c r="Q52" s="16">
        <v>70705</v>
      </c>
    </row>
    <row r="53" spans="1:17" ht="158.4" x14ac:dyDescent="0.3">
      <c r="A53" s="16" t="s">
        <v>7596</v>
      </c>
      <c r="B53" s="16" t="s">
        <v>8865</v>
      </c>
      <c r="C53" s="16" t="s">
        <v>7603</v>
      </c>
      <c r="D53" s="16" t="s">
        <v>7597</v>
      </c>
      <c r="E53" s="16" t="s">
        <v>2493</v>
      </c>
      <c r="F53" s="16" t="s">
        <v>2494</v>
      </c>
      <c r="G53" s="16" t="s">
        <v>32</v>
      </c>
      <c r="H53" s="16"/>
      <c r="I53" s="16"/>
      <c r="J53" s="16" t="s">
        <v>2495</v>
      </c>
      <c r="K53" s="16"/>
      <c r="L53" s="16"/>
      <c r="M53" s="19" t="s">
        <v>2496</v>
      </c>
      <c r="N53" s="16"/>
      <c r="O53" s="16" t="s">
        <v>2497</v>
      </c>
      <c r="P53" s="16" t="str">
        <f>HYPERLINK("https://ceds.ed.gov/cedselementdetails.aspx?termid=27176")</f>
        <v>https://ceds.ed.gov/cedselementdetails.aspx?termid=27176</v>
      </c>
      <c r="Q53" s="16">
        <v>72140</v>
      </c>
    </row>
    <row r="54" spans="1:17" ht="409.6" x14ac:dyDescent="0.3">
      <c r="A54" s="16" t="s">
        <v>7596</v>
      </c>
      <c r="B54" s="16" t="s">
        <v>8865</v>
      </c>
      <c r="C54" s="16" t="s">
        <v>7603</v>
      </c>
      <c r="D54" s="16" t="s">
        <v>7597</v>
      </c>
      <c r="E54" s="16" t="s">
        <v>2483</v>
      </c>
      <c r="F54" s="16" t="s">
        <v>2484</v>
      </c>
      <c r="G54" s="16" t="s">
        <v>8454</v>
      </c>
      <c r="H54" s="16" t="s">
        <v>2487</v>
      </c>
      <c r="I54" s="16"/>
      <c r="J54" s="16"/>
      <c r="K54" s="16"/>
      <c r="L54" s="16" t="s">
        <v>7915</v>
      </c>
      <c r="M54" s="19" t="s">
        <v>2485</v>
      </c>
      <c r="N54" s="16"/>
      <c r="O54" s="16" t="s">
        <v>2486</v>
      </c>
      <c r="P54" s="16" t="str">
        <f>HYPERLINK("https://ceds.ed.gov/cedselementdetails.aspx?termid=26050")</f>
        <v>https://ceds.ed.gov/cedselementdetails.aspx?termid=26050</v>
      </c>
      <c r="Q54" s="16">
        <v>74476</v>
      </c>
    </row>
    <row r="55" spans="1:17" ht="57.6" x14ac:dyDescent="0.3">
      <c r="A55" s="16" t="s">
        <v>7596</v>
      </c>
      <c r="B55" s="16" t="s">
        <v>8865</v>
      </c>
      <c r="C55" s="16" t="s">
        <v>7603</v>
      </c>
      <c r="D55" s="16" t="s">
        <v>7597</v>
      </c>
      <c r="E55" s="16" t="s">
        <v>4902</v>
      </c>
      <c r="F55" s="16" t="s">
        <v>4903</v>
      </c>
      <c r="G55" s="16" t="s">
        <v>32</v>
      </c>
      <c r="H55" s="16"/>
      <c r="I55" s="16"/>
      <c r="J55" s="16" t="s">
        <v>1130</v>
      </c>
      <c r="K55" s="16"/>
      <c r="L55" s="16"/>
      <c r="M55" s="19" t="s">
        <v>4904</v>
      </c>
      <c r="N55" s="16"/>
      <c r="O55" s="16" t="s">
        <v>4902</v>
      </c>
      <c r="P55" s="16" t="str">
        <f>HYPERLINK("https://ceds.ed.gov/cedselementdetails.aspx?termid=26599")</f>
        <v>https://ceds.ed.gov/cedselementdetails.aspx?termid=26599</v>
      </c>
      <c r="Q55" s="16">
        <v>74257</v>
      </c>
    </row>
    <row r="56" spans="1:17" ht="57.6" x14ac:dyDescent="0.3">
      <c r="A56" s="16" t="s">
        <v>7596</v>
      </c>
      <c r="B56" s="16" t="s">
        <v>8865</v>
      </c>
      <c r="C56" s="16" t="s">
        <v>7603</v>
      </c>
      <c r="D56" s="16" t="s">
        <v>7597</v>
      </c>
      <c r="E56" s="16" t="s">
        <v>5285</v>
      </c>
      <c r="F56" s="16" t="s">
        <v>5286</v>
      </c>
      <c r="G56" s="16" t="s">
        <v>32</v>
      </c>
      <c r="H56" s="16"/>
      <c r="I56" s="16"/>
      <c r="J56" s="16" t="s">
        <v>1130</v>
      </c>
      <c r="K56" s="16"/>
      <c r="L56" s="16"/>
      <c r="M56" s="19" t="s">
        <v>5287</v>
      </c>
      <c r="N56" s="16"/>
      <c r="O56" s="16" t="s">
        <v>5285</v>
      </c>
      <c r="P56" s="16" t="str">
        <f>HYPERLINK("https://ceds.ed.gov/cedselementdetails.aspx?termid=26600")</f>
        <v>https://ceds.ed.gov/cedselementdetails.aspx?termid=26600</v>
      </c>
      <c r="Q56" s="16">
        <v>74280</v>
      </c>
    </row>
    <row r="57" spans="1:17" ht="57.6" x14ac:dyDescent="0.3">
      <c r="A57" s="16" t="s">
        <v>7596</v>
      </c>
      <c r="B57" s="16" t="s">
        <v>8865</v>
      </c>
      <c r="C57" s="16" t="s">
        <v>7603</v>
      </c>
      <c r="D57" s="16" t="s">
        <v>7597</v>
      </c>
      <c r="E57" s="16" t="s">
        <v>3175</v>
      </c>
      <c r="F57" s="16" t="s">
        <v>3176</v>
      </c>
      <c r="G57" s="16" t="s">
        <v>2987</v>
      </c>
      <c r="H57" s="16"/>
      <c r="I57" s="16"/>
      <c r="J57" s="16"/>
      <c r="K57" s="16"/>
      <c r="L57" s="16"/>
      <c r="M57" s="19" t="s">
        <v>3177</v>
      </c>
      <c r="N57" s="16"/>
      <c r="O57" s="16" t="s">
        <v>3178</v>
      </c>
      <c r="P57" s="16" t="str">
        <f>HYPERLINK("https://ceds.ed.gov/cedselementdetails.aspx?termid=27905")</f>
        <v>https://ceds.ed.gov/cedselementdetails.aspx?termid=27905</v>
      </c>
      <c r="Q57" s="16">
        <v>75274</v>
      </c>
    </row>
    <row r="58" spans="1:17" ht="216" x14ac:dyDescent="0.3">
      <c r="A58" s="16" t="s">
        <v>7596</v>
      </c>
      <c r="B58" s="16" t="s">
        <v>8865</v>
      </c>
      <c r="C58" s="16" t="s">
        <v>7603</v>
      </c>
      <c r="D58" s="16" t="s">
        <v>7597</v>
      </c>
      <c r="E58" s="16" t="s">
        <v>12811</v>
      </c>
      <c r="F58" s="16" t="s">
        <v>12812</v>
      </c>
      <c r="G58" s="16" t="s">
        <v>12913</v>
      </c>
      <c r="H58" s="16"/>
      <c r="I58" s="16" t="s">
        <v>155</v>
      </c>
      <c r="J58" s="16" t="s">
        <v>12813</v>
      </c>
      <c r="K58" s="16" t="s">
        <v>12636</v>
      </c>
      <c r="L58" s="16" t="s">
        <v>12814</v>
      </c>
      <c r="M58" s="19" t="s">
        <v>12815</v>
      </c>
      <c r="N58" s="16"/>
      <c r="O58" s="16" t="s">
        <v>12816</v>
      </c>
      <c r="P58" s="16" t="str">
        <f>HYPERLINK("https://ceds.ed.gov/cedselementdetails.aspx?termid=28111")</f>
        <v>https://ceds.ed.gov/cedselementdetails.aspx?termid=28111</v>
      </c>
      <c r="Q58" s="16">
        <v>76588</v>
      </c>
    </row>
    <row r="59" spans="1:17" ht="72" x14ac:dyDescent="0.3">
      <c r="A59" s="16" t="s">
        <v>7596</v>
      </c>
      <c r="B59" s="16" t="s">
        <v>8865</v>
      </c>
      <c r="C59" s="16" t="s">
        <v>7604</v>
      </c>
      <c r="D59" s="16" t="s">
        <v>7597</v>
      </c>
      <c r="E59" s="16" t="s">
        <v>7053</v>
      </c>
      <c r="F59" s="16" t="s">
        <v>7054</v>
      </c>
      <c r="G59" s="16" t="s">
        <v>32</v>
      </c>
      <c r="H59" s="16" t="s">
        <v>64</v>
      </c>
      <c r="I59" s="16"/>
      <c r="J59" s="16" t="s">
        <v>7055</v>
      </c>
      <c r="K59" s="16"/>
      <c r="L59" s="16"/>
      <c r="M59" s="19" t="s">
        <v>7056</v>
      </c>
      <c r="N59" s="16"/>
      <c r="O59" s="16" t="s">
        <v>7057</v>
      </c>
      <c r="P59" s="16" t="str">
        <f>HYPERLINK("https://ceds.ed.gov/cedselementdetails.aspx?termid=26279")</f>
        <v>https://ceds.ed.gov/cedselementdetails.aspx?termid=26279</v>
      </c>
      <c r="Q59" s="16">
        <v>70710</v>
      </c>
    </row>
    <row r="60" spans="1:17" ht="86.4" x14ac:dyDescent="0.3">
      <c r="A60" s="16" t="s">
        <v>7596</v>
      </c>
      <c r="B60" s="16" t="s">
        <v>8865</v>
      </c>
      <c r="C60" s="16" t="s">
        <v>7604</v>
      </c>
      <c r="D60" s="16" t="s">
        <v>7597</v>
      </c>
      <c r="E60" s="16" t="s">
        <v>7062</v>
      </c>
      <c r="F60" s="16" t="s">
        <v>7063</v>
      </c>
      <c r="G60" s="16" t="s">
        <v>8849</v>
      </c>
      <c r="H60" s="16" t="s">
        <v>64</v>
      </c>
      <c r="I60" s="16"/>
      <c r="J60" s="16" t="s">
        <v>2500</v>
      </c>
      <c r="K60" s="16"/>
      <c r="L60" s="16"/>
      <c r="M60" s="19" t="s">
        <v>7064</v>
      </c>
      <c r="N60" s="16"/>
      <c r="O60" s="16" t="s">
        <v>7065</v>
      </c>
      <c r="P60" s="16" t="str">
        <f>HYPERLINK("https://ceds.ed.gov/cedselementdetails.aspx?termid=26280")</f>
        <v>https://ceds.ed.gov/cedselementdetails.aspx?termid=26280</v>
      </c>
      <c r="Q60" s="16">
        <v>71980</v>
      </c>
    </row>
    <row r="61" spans="1:17" ht="72" x14ac:dyDescent="0.3">
      <c r="A61" s="16" t="s">
        <v>7596</v>
      </c>
      <c r="B61" s="16" t="s">
        <v>8865</v>
      </c>
      <c r="C61" s="16" t="s">
        <v>7604</v>
      </c>
      <c r="D61" s="16" t="s">
        <v>7597</v>
      </c>
      <c r="E61" s="16" t="s">
        <v>5865</v>
      </c>
      <c r="F61" s="16" t="s">
        <v>5866</v>
      </c>
      <c r="G61" s="16" t="s">
        <v>22</v>
      </c>
      <c r="H61" s="16" t="s">
        <v>64</v>
      </c>
      <c r="I61" s="16"/>
      <c r="J61" s="16"/>
      <c r="K61" s="16"/>
      <c r="L61" s="16"/>
      <c r="M61" s="19" t="s">
        <v>5867</v>
      </c>
      <c r="N61" s="16"/>
      <c r="O61" s="16" t="s">
        <v>5868</v>
      </c>
      <c r="P61" s="16" t="str">
        <f>HYPERLINK("https://ceds.ed.gov/cedselementdetails.aspx?termid=26219")</f>
        <v>https://ceds.ed.gov/cedselementdetails.aspx?termid=26219</v>
      </c>
      <c r="Q61" s="16">
        <v>70707</v>
      </c>
    </row>
    <row r="62" spans="1:17" ht="57.6" x14ac:dyDescent="0.3">
      <c r="A62" s="16" t="s">
        <v>7596</v>
      </c>
      <c r="B62" s="16" t="s">
        <v>8865</v>
      </c>
      <c r="C62" s="16" t="s">
        <v>7604</v>
      </c>
      <c r="D62" s="16" t="s">
        <v>7597</v>
      </c>
      <c r="E62" s="16" t="s">
        <v>3175</v>
      </c>
      <c r="F62" s="16" t="s">
        <v>3176</v>
      </c>
      <c r="G62" s="16" t="s">
        <v>2987</v>
      </c>
      <c r="H62" s="16"/>
      <c r="I62" s="16"/>
      <c r="J62" s="16"/>
      <c r="K62" s="16"/>
      <c r="L62" s="16"/>
      <c r="M62" s="19" t="s">
        <v>3177</v>
      </c>
      <c r="N62" s="16"/>
      <c r="O62" s="16" t="s">
        <v>3178</v>
      </c>
      <c r="P62" s="16" t="str">
        <f>HYPERLINK("https://ceds.ed.gov/cedselementdetails.aspx?termid=27905")</f>
        <v>https://ceds.ed.gov/cedselementdetails.aspx?termid=27905</v>
      </c>
      <c r="Q62" s="16">
        <v>75276</v>
      </c>
    </row>
    <row r="63" spans="1:17" ht="57.6" x14ac:dyDescent="0.3">
      <c r="A63" s="16" t="s">
        <v>7596</v>
      </c>
      <c r="B63" s="16" t="s">
        <v>8865</v>
      </c>
      <c r="C63" s="16" t="s">
        <v>7604</v>
      </c>
      <c r="D63" s="16" t="s">
        <v>7597</v>
      </c>
      <c r="E63" s="16" t="s">
        <v>7058</v>
      </c>
      <c r="F63" s="16" t="s">
        <v>7059</v>
      </c>
      <c r="G63" s="16" t="s">
        <v>8848</v>
      </c>
      <c r="H63" s="16"/>
      <c r="I63" s="16"/>
      <c r="J63" s="16"/>
      <c r="K63" s="16"/>
      <c r="L63" s="16"/>
      <c r="M63" s="19" t="s">
        <v>7060</v>
      </c>
      <c r="N63" s="16"/>
      <c r="O63" s="16" t="s">
        <v>7061</v>
      </c>
      <c r="P63" s="16" t="str">
        <f>HYPERLINK("https://ceds.ed.gov/cedselementdetails.aspx?termid=27911")</f>
        <v>https://ceds.ed.gov/cedselementdetails.aspx?termid=27911</v>
      </c>
      <c r="Q63" s="16">
        <v>75277</v>
      </c>
    </row>
    <row r="64" spans="1:17" ht="72" x14ac:dyDescent="0.3">
      <c r="A64" s="16" t="s">
        <v>7596</v>
      </c>
      <c r="B64" s="16" t="s">
        <v>8865</v>
      </c>
      <c r="C64" s="16" t="s">
        <v>7605</v>
      </c>
      <c r="D64" s="16" t="s">
        <v>7597</v>
      </c>
      <c r="E64" s="16" t="s">
        <v>3406</v>
      </c>
      <c r="F64" s="16" t="s">
        <v>3407</v>
      </c>
      <c r="G64" s="16" t="s">
        <v>32</v>
      </c>
      <c r="H64" s="16" t="s">
        <v>64</v>
      </c>
      <c r="I64" s="16"/>
      <c r="J64" s="16" t="s">
        <v>3408</v>
      </c>
      <c r="K64" s="16"/>
      <c r="L64" s="16"/>
      <c r="M64" s="19" t="s">
        <v>3409</v>
      </c>
      <c r="N64" s="16" t="s">
        <v>3410</v>
      </c>
      <c r="O64" s="16" t="s">
        <v>3411</v>
      </c>
      <c r="P64" s="16" t="str">
        <f>HYPERLINK("https://ceds.ed.gov/cedselementdetails.aspx?termid=26088")</f>
        <v>https://ceds.ed.gov/cedselementdetails.aspx?termid=26088</v>
      </c>
      <c r="Q64" s="16">
        <v>73967</v>
      </c>
    </row>
    <row r="65" spans="1:17" ht="72" x14ac:dyDescent="0.3">
      <c r="A65" s="16" t="s">
        <v>7596</v>
      </c>
      <c r="B65" s="16" t="s">
        <v>8865</v>
      </c>
      <c r="C65" s="16" t="s">
        <v>7605</v>
      </c>
      <c r="D65" s="16" t="s">
        <v>7597</v>
      </c>
      <c r="E65" s="16" t="s">
        <v>3412</v>
      </c>
      <c r="F65" s="16" t="s">
        <v>3413</v>
      </c>
      <c r="G65" s="16" t="s">
        <v>9330</v>
      </c>
      <c r="H65" s="16" t="s">
        <v>64</v>
      </c>
      <c r="I65" s="16"/>
      <c r="J65" s="16"/>
      <c r="K65" s="16"/>
      <c r="L65" s="16"/>
      <c r="M65" s="19" t="s">
        <v>3414</v>
      </c>
      <c r="N65" s="16" t="s">
        <v>3415</v>
      </c>
      <c r="O65" s="16" t="s">
        <v>3416</v>
      </c>
      <c r="P65" s="16" t="str">
        <f>HYPERLINK("https://ceds.ed.gov/cedselementdetails.aspx?termid=26089")</f>
        <v>https://ceds.ed.gov/cedselementdetails.aspx?termid=26089</v>
      </c>
      <c r="Q65" s="16">
        <v>73969</v>
      </c>
    </row>
    <row r="66" spans="1:17" ht="57.6" x14ac:dyDescent="0.3">
      <c r="A66" s="16" t="s">
        <v>7596</v>
      </c>
      <c r="B66" s="16" t="s">
        <v>8865</v>
      </c>
      <c r="C66" s="16" t="s">
        <v>7605</v>
      </c>
      <c r="D66" s="16" t="s">
        <v>7597</v>
      </c>
      <c r="E66" s="16" t="s">
        <v>3175</v>
      </c>
      <c r="F66" s="16" t="s">
        <v>3176</v>
      </c>
      <c r="G66" s="16" t="s">
        <v>2987</v>
      </c>
      <c r="H66" s="16"/>
      <c r="I66" s="16"/>
      <c r="J66" s="16"/>
      <c r="K66" s="16"/>
      <c r="L66" s="16"/>
      <c r="M66" s="19" t="s">
        <v>3177</v>
      </c>
      <c r="N66" s="16"/>
      <c r="O66" s="16" t="s">
        <v>3178</v>
      </c>
      <c r="P66" s="16" t="str">
        <f>HYPERLINK("https://ceds.ed.gov/cedselementdetails.aspx?termid=27905")</f>
        <v>https://ceds.ed.gov/cedselementdetails.aspx?termid=27905</v>
      </c>
      <c r="Q66" s="16">
        <v>75275</v>
      </c>
    </row>
    <row r="67" spans="1:17" ht="28.8" x14ac:dyDescent="0.3">
      <c r="A67" s="16" t="s">
        <v>7596</v>
      </c>
      <c r="B67" s="16" t="s">
        <v>8865</v>
      </c>
      <c r="C67" s="16" t="s">
        <v>7606</v>
      </c>
      <c r="D67" s="16" t="s">
        <v>7597</v>
      </c>
      <c r="E67" s="16" t="s">
        <v>5631</v>
      </c>
      <c r="F67" s="16" t="s">
        <v>5632</v>
      </c>
      <c r="G67" s="16" t="s">
        <v>32</v>
      </c>
      <c r="H67" s="16"/>
      <c r="I67" s="16"/>
      <c r="J67" s="16" t="s">
        <v>1266</v>
      </c>
      <c r="K67" s="16"/>
      <c r="L67" s="16" t="s">
        <v>5633</v>
      </c>
      <c r="M67" s="19" t="s">
        <v>5634</v>
      </c>
      <c r="N67" s="16"/>
      <c r="O67" s="16" t="s">
        <v>5635</v>
      </c>
      <c r="P67" s="16" t="str">
        <f>HYPERLINK("https://ceds.ed.gov/cedselementdetails.aspx?termid=27486")</f>
        <v>https://ceds.ed.gov/cedselementdetails.aspx?termid=27486</v>
      </c>
      <c r="Q67" s="16">
        <v>74485</v>
      </c>
    </row>
    <row r="68" spans="1:17" ht="28.8" x14ac:dyDescent="0.3">
      <c r="A68" s="16" t="s">
        <v>7596</v>
      </c>
      <c r="B68" s="16" t="s">
        <v>8865</v>
      </c>
      <c r="C68" s="16" t="s">
        <v>7606</v>
      </c>
      <c r="D68" s="16" t="s">
        <v>7597</v>
      </c>
      <c r="E68" s="16" t="s">
        <v>5636</v>
      </c>
      <c r="F68" s="16" t="s">
        <v>5637</v>
      </c>
      <c r="G68" s="16" t="s">
        <v>32</v>
      </c>
      <c r="H68" s="16"/>
      <c r="I68" s="16"/>
      <c r="J68" s="16" t="s">
        <v>1266</v>
      </c>
      <c r="K68" s="16"/>
      <c r="L68" s="16" t="s">
        <v>5638</v>
      </c>
      <c r="M68" s="19" t="s">
        <v>5639</v>
      </c>
      <c r="N68" s="16"/>
      <c r="O68" s="16" t="s">
        <v>5640</v>
      </c>
      <c r="P68" s="16" t="str">
        <f>HYPERLINK("https://ceds.ed.gov/cedselementdetails.aspx?termid=27485")</f>
        <v>https://ceds.ed.gov/cedselementdetails.aspx?termid=27485</v>
      </c>
      <c r="Q68" s="16">
        <v>74484</v>
      </c>
    </row>
    <row r="69" spans="1:17" ht="28.8" x14ac:dyDescent="0.3">
      <c r="A69" s="16" t="s">
        <v>7596</v>
      </c>
      <c r="B69" s="16" t="s">
        <v>8865</v>
      </c>
      <c r="C69" s="16" t="s">
        <v>7606</v>
      </c>
      <c r="D69" s="16" t="s">
        <v>7597</v>
      </c>
      <c r="E69" s="16" t="s">
        <v>5641</v>
      </c>
      <c r="F69" s="16" t="s">
        <v>5642</v>
      </c>
      <c r="G69" s="16" t="s">
        <v>32</v>
      </c>
      <c r="H69" s="16"/>
      <c r="I69" s="16"/>
      <c r="J69" s="16" t="s">
        <v>1266</v>
      </c>
      <c r="K69" s="16"/>
      <c r="L69" s="16" t="s">
        <v>5643</v>
      </c>
      <c r="M69" s="19" t="s">
        <v>5644</v>
      </c>
      <c r="N69" s="16"/>
      <c r="O69" s="16" t="s">
        <v>5645</v>
      </c>
      <c r="P69" s="16" t="str">
        <f>HYPERLINK("https://ceds.ed.gov/cedselementdetails.aspx?termid=27487")</f>
        <v>https://ceds.ed.gov/cedselementdetails.aspx?termid=27487</v>
      </c>
      <c r="Q69" s="16">
        <v>74486</v>
      </c>
    </row>
    <row r="70" spans="1:17" ht="129.6" x14ac:dyDescent="0.3">
      <c r="A70" s="16" t="s">
        <v>7596</v>
      </c>
      <c r="B70" s="16" t="s">
        <v>8865</v>
      </c>
      <c r="C70" s="16" t="s">
        <v>7606</v>
      </c>
      <c r="D70" s="16" t="s">
        <v>7597</v>
      </c>
      <c r="E70" s="16" t="s">
        <v>5646</v>
      </c>
      <c r="F70" s="16" t="s">
        <v>5647</v>
      </c>
      <c r="G70" s="16" t="s">
        <v>32</v>
      </c>
      <c r="H70" s="16" t="s">
        <v>4059</v>
      </c>
      <c r="I70" s="16"/>
      <c r="J70" s="16" t="s">
        <v>120</v>
      </c>
      <c r="K70" s="16"/>
      <c r="L70" s="16"/>
      <c r="M70" s="19" t="s">
        <v>5648</v>
      </c>
      <c r="N70" s="16"/>
      <c r="O70" s="16" t="s">
        <v>5649</v>
      </c>
      <c r="P70" s="16" t="str">
        <f>HYPERLINK("https://ceds.ed.gov/cedselementdetails.aspx?termid=26206")</f>
        <v>https://ceds.ed.gov/cedselementdetails.aspx?termid=26206</v>
      </c>
      <c r="Q70" s="16">
        <v>74482</v>
      </c>
    </row>
    <row r="71" spans="1:17" ht="115.2" x14ac:dyDescent="0.3">
      <c r="A71" s="16" t="s">
        <v>7596</v>
      </c>
      <c r="B71" s="16" t="s">
        <v>8865</v>
      </c>
      <c r="C71" s="16" t="s">
        <v>7606</v>
      </c>
      <c r="D71" s="16" t="s">
        <v>7597</v>
      </c>
      <c r="E71" s="16" t="s">
        <v>5650</v>
      </c>
      <c r="F71" s="16" t="s">
        <v>5651</v>
      </c>
      <c r="G71" s="16" t="s">
        <v>8746</v>
      </c>
      <c r="H71" s="16" t="s">
        <v>5654</v>
      </c>
      <c r="I71" s="16"/>
      <c r="J71" s="16" t="s">
        <v>81</v>
      </c>
      <c r="K71" s="16"/>
      <c r="L71" s="16"/>
      <c r="M71" s="19" t="s">
        <v>5652</v>
      </c>
      <c r="N71" s="16"/>
      <c r="O71" s="16" t="s">
        <v>5653</v>
      </c>
      <c r="P71" s="16" t="str">
        <f>HYPERLINK("https://ceds.ed.gov/cedselementdetails.aspx?termid=26627")</f>
        <v>https://ceds.ed.gov/cedselementdetails.aspx?termid=26627</v>
      </c>
      <c r="Q71" s="16">
        <v>74483</v>
      </c>
    </row>
    <row r="72" spans="1:17" ht="259.2" x14ac:dyDescent="0.3">
      <c r="A72" s="16" t="s">
        <v>7596</v>
      </c>
      <c r="B72" s="16" t="s">
        <v>8865</v>
      </c>
      <c r="C72" s="16" t="s">
        <v>7607</v>
      </c>
      <c r="D72" s="16" t="s">
        <v>7597</v>
      </c>
      <c r="E72" s="16" t="s">
        <v>3223</v>
      </c>
      <c r="F72" s="16" t="s">
        <v>3224</v>
      </c>
      <c r="G72" s="16" t="s">
        <v>9329</v>
      </c>
      <c r="H72" s="16" t="s">
        <v>98</v>
      </c>
      <c r="I72" s="16"/>
      <c r="J72" s="16"/>
      <c r="K72" s="16"/>
      <c r="L72" s="16"/>
      <c r="M72" s="19" t="s">
        <v>3225</v>
      </c>
      <c r="N72" s="16"/>
      <c r="O72" s="16" t="s">
        <v>3226</v>
      </c>
      <c r="P72" s="16" t="str">
        <f>HYPERLINK("https://ceds.ed.gov/cedselementdetails.aspx?termid=26829")</f>
        <v>https://ceds.ed.gov/cedselementdetails.aspx?termid=26829</v>
      </c>
      <c r="Q72" s="16">
        <v>72285</v>
      </c>
    </row>
    <row r="73" spans="1:17" ht="28.8" x14ac:dyDescent="0.3">
      <c r="A73" s="16" t="s">
        <v>7596</v>
      </c>
      <c r="B73" s="16" t="s">
        <v>8865</v>
      </c>
      <c r="C73" s="16" t="s">
        <v>7607</v>
      </c>
      <c r="D73" s="16" t="s">
        <v>7597</v>
      </c>
      <c r="E73" s="16" t="s">
        <v>3361</v>
      </c>
      <c r="F73" s="16" t="s">
        <v>3362</v>
      </c>
      <c r="G73" s="16" t="s">
        <v>32</v>
      </c>
      <c r="H73" s="16" t="s">
        <v>2025</v>
      </c>
      <c r="I73" s="16"/>
      <c r="J73" s="16" t="s">
        <v>1807</v>
      </c>
      <c r="K73" s="16"/>
      <c r="L73" s="16"/>
      <c r="M73" s="19" t="s">
        <v>3363</v>
      </c>
      <c r="N73" s="16"/>
      <c r="O73" s="16" t="s">
        <v>3364</v>
      </c>
      <c r="P73" s="16" t="str">
        <f>HYPERLINK("https://ceds.ed.gov/cedselementdetails.aspx?termid=26864")</f>
        <v>https://ceds.ed.gov/cedselementdetails.aspx?termid=26864</v>
      </c>
      <c r="Q73" s="16">
        <v>72315</v>
      </c>
    </row>
    <row r="74" spans="1:17" ht="28.8" x14ac:dyDescent="0.3">
      <c r="A74" s="16" t="s">
        <v>7596</v>
      </c>
      <c r="B74" s="16" t="s">
        <v>8865</v>
      </c>
      <c r="C74" s="16" t="s">
        <v>7607</v>
      </c>
      <c r="D74" s="16" t="s">
        <v>7597</v>
      </c>
      <c r="E74" s="16" t="s">
        <v>6653</v>
      </c>
      <c r="F74" s="16" t="s">
        <v>6654</v>
      </c>
      <c r="G74" s="16" t="s">
        <v>32</v>
      </c>
      <c r="H74" s="16" t="s">
        <v>2025</v>
      </c>
      <c r="I74" s="16"/>
      <c r="J74" s="16" t="s">
        <v>403</v>
      </c>
      <c r="K74" s="16"/>
      <c r="L74" s="16"/>
      <c r="M74" s="19" t="s">
        <v>6655</v>
      </c>
      <c r="N74" s="16"/>
      <c r="O74" s="16" t="s">
        <v>6656</v>
      </c>
      <c r="P74" s="16" t="str">
        <f>HYPERLINK("https://ceds.ed.gov/cedselementdetails.aspx?termid=26986")</f>
        <v>https://ceds.ed.gov/cedselementdetails.aspx?termid=26986</v>
      </c>
      <c r="Q74" s="16">
        <v>71436</v>
      </c>
    </row>
    <row r="75" spans="1:17" ht="28.8" x14ac:dyDescent="0.3">
      <c r="A75" s="16" t="s">
        <v>7596</v>
      </c>
      <c r="B75" s="16" t="s">
        <v>8865</v>
      </c>
      <c r="C75" s="16" t="s">
        <v>7607</v>
      </c>
      <c r="D75" s="16" t="s">
        <v>7597</v>
      </c>
      <c r="E75" s="16" t="s">
        <v>6641</v>
      </c>
      <c r="F75" s="16" t="s">
        <v>6642</v>
      </c>
      <c r="G75" s="16" t="s">
        <v>32</v>
      </c>
      <c r="H75" s="16" t="s">
        <v>2025</v>
      </c>
      <c r="I75" s="16"/>
      <c r="J75" s="16" t="s">
        <v>403</v>
      </c>
      <c r="K75" s="16"/>
      <c r="L75" s="16"/>
      <c r="M75" s="19" t="s">
        <v>6643</v>
      </c>
      <c r="N75" s="16"/>
      <c r="O75" s="16" t="s">
        <v>6644</v>
      </c>
      <c r="P75" s="16" t="str">
        <f>HYPERLINK("https://ceds.ed.gov/cedselementdetails.aspx?termid=26988")</f>
        <v>https://ceds.ed.gov/cedselementdetails.aspx?termid=26988</v>
      </c>
      <c r="Q75" s="16">
        <v>71437</v>
      </c>
    </row>
    <row r="76" spans="1:17" ht="409.6" x14ac:dyDescent="0.3">
      <c r="A76" s="16" t="s">
        <v>7596</v>
      </c>
      <c r="B76" s="16" t="s">
        <v>8865</v>
      </c>
      <c r="C76" s="16" t="s">
        <v>7607</v>
      </c>
      <c r="D76" s="16" t="s">
        <v>7597</v>
      </c>
      <c r="E76" s="16" t="s">
        <v>4037</v>
      </c>
      <c r="F76" s="16" t="s">
        <v>4038</v>
      </c>
      <c r="G76" s="16" t="s">
        <v>8606</v>
      </c>
      <c r="H76" s="16" t="s">
        <v>3397</v>
      </c>
      <c r="I76" s="16"/>
      <c r="J76" s="16"/>
      <c r="K76" s="16"/>
      <c r="L76" s="16"/>
      <c r="M76" s="19" t="s">
        <v>4039</v>
      </c>
      <c r="N76" s="16"/>
      <c r="O76" s="16" t="s">
        <v>4040</v>
      </c>
      <c r="P76" s="16" t="str">
        <f>HYPERLINK("https://ceds.ed.gov/cedselementdetails.aspx?termid=26866")</f>
        <v>https://ceds.ed.gov/cedselementdetails.aspx?termid=26866</v>
      </c>
      <c r="Q76" s="16">
        <v>72317</v>
      </c>
    </row>
    <row r="77" spans="1:17" ht="409.6" x14ac:dyDescent="0.3">
      <c r="A77" s="16" t="s">
        <v>7596</v>
      </c>
      <c r="B77" s="16" t="s">
        <v>8865</v>
      </c>
      <c r="C77" s="16" t="s">
        <v>7607</v>
      </c>
      <c r="D77" s="16" t="s">
        <v>7597</v>
      </c>
      <c r="E77" s="16" t="s">
        <v>5680</v>
      </c>
      <c r="F77" s="16" t="s">
        <v>5681</v>
      </c>
      <c r="G77" s="16" t="s">
        <v>8606</v>
      </c>
      <c r="H77" s="16" t="s">
        <v>3397</v>
      </c>
      <c r="I77" s="16"/>
      <c r="J77" s="16"/>
      <c r="K77" s="16"/>
      <c r="L77" s="16"/>
      <c r="M77" s="19" t="s">
        <v>5682</v>
      </c>
      <c r="N77" s="16"/>
      <c r="O77" s="16" t="s">
        <v>5683</v>
      </c>
      <c r="P77" s="16" t="str">
        <f>HYPERLINK("https://ceds.ed.gov/cedselementdetails.aspx?termid=26867")</f>
        <v>https://ceds.ed.gov/cedselementdetails.aspx?termid=26867</v>
      </c>
      <c r="Q77" s="16">
        <v>72318</v>
      </c>
    </row>
    <row r="78" spans="1:17" ht="57.6" x14ac:dyDescent="0.3">
      <c r="A78" s="16" t="s">
        <v>7596</v>
      </c>
      <c r="B78" s="16" t="s">
        <v>8865</v>
      </c>
      <c r="C78" s="16" t="s">
        <v>7607</v>
      </c>
      <c r="D78" s="16" t="s">
        <v>7597</v>
      </c>
      <c r="E78" s="16" t="s">
        <v>3086</v>
      </c>
      <c r="F78" s="16" t="s">
        <v>3087</v>
      </c>
      <c r="G78" s="16" t="s">
        <v>8317</v>
      </c>
      <c r="H78" s="16" t="s">
        <v>195</v>
      </c>
      <c r="I78" s="16"/>
      <c r="J78" s="16"/>
      <c r="K78" s="16"/>
      <c r="L78" s="16"/>
      <c r="M78" s="19" t="s">
        <v>3088</v>
      </c>
      <c r="N78" s="16"/>
      <c r="O78" s="16" t="s">
        <v>3089</v>
      </c>
      <c r="P78" s="16" t="str">
        <f>HYPERLINK("https://ceds.ed.gov/cedselementdetails.aspx?termid=26868")</f>
        <v>https://ceds.ed.gov/cedselementdetails.aspx?termid=26868</v>
      </c>
      <c r="Q78" s="16">
        <v>72319</v>
      </c>
    </row>
    <row r="79" spans="1:17" ht="28.8" x14ac:dyDescent="0.3">
      <c r="A79" s="16" t="s">
        <v>7596</v>
      </c>
      <c r="B79" s="16" t="s">
        <v>8865</v>
      </c>
      <c r="C79" s="16" t="s">
        <v>7607</v>
      </c>
      <c r="D79" s="16" t="s">
        <v>7597</v>
      </c>
      <c r="E79" s="16" t="s">
        <v>3325</v>
      </c>
      <c r="F79" s="16" t="s">
        <v>3326</v>
      </c>
      <c r="G79" s="16" t="s">
        <v>32</v>
      </c>
      <c r="H79" s="16" t="s">
        <v>2025</v>
      </c>
      <c r="I79" s="16"/>
      <c r="J79" s="16" t="s">
        <v>3327</v>
      </c>
      <c r="K79" s="16"/>
      <c r="L79" s="16"/>
      <c r="M79" s="19" t="s">
        <v>3328</v>
      </c>
      <c r="N79" s="16"/>
      <c r="O79" s="16" t="s">
        <v>3329</v>
      </c>
      <c r="P79" s="16" t="str">
        <f>HYPERLINK("https://ceds.ed.gov/cedselementdetails.aspx?termid=26824")</f>
        <v>https://ceds.ed.gov/cedselementdetails.aspx?termid=26824</v>
      </c>
      <c r="Q79" s="16">
        <v>71981</v>
      </c>
    </row>
    <row r="80" spans="1:17" ht="115.2" x14ac:dyDescent="0.3">
      <c r="A80" s="16" t="s">
        <v>7596</v>
      </c>
      <c r="B80" s="16" t="s">
        <v>8865</v>
      </c>
      <c r="C80" s="16" t="s">
        <v>7607</v>
      </c>
      <c r="D80" s="16" t="s">
        <v>7597</v>
      </c>
      <c r="E80" s="16" t="s">
        <v>2086</v>
      </c>
      <c r="F80" s="16" t="s">
        <v>2087</v>
      </c>
      <c r="G80" s="16" t="s">
        <v>8441</v>
      </c>
      <c r="H80" s="16"/>
      <c r="I80" s="16"/>
      <c r="J80" s="16"/>
      <c r="K80" s="16"/>
      <c r="L80" s="16"/>
      <c r="M80" s="19" t="s">
        <v>2088</v>
      </c>
      <c r="N80" s="16"/>
      <c r="O80" s="16" t="s">
        <v>2089</v>
      </c>
      <c r="P80" s="16" t="str">
        <f>HYPERLINK("https://ceds.ed.gov/cedselementdetails.aspx?termid=27614")</f>
        <v>https://ceds.ed.gov/cedselementdetails.aspx?termid=27614</v>
      </c>
      <c r="Q80" s="16">
        <v>74129</v>
      </c>
    </row>
    <row r="81" spans="1:17" ht="43.2" x14ac:dyDescent="0.3">
      <c r="A81" s="16" t="s">
        <v>7596</v>
      </c>
      <c r="B81" s="16" t="s">
        <v>8865</v>
      </c>
      <c r="C81" s="16" t="s">
        <v>7607</v>
      </c>
      <c r="D81" s="16" t="s">
        <v>7597</v>
      </c>
      <c r="E81" s="16" t="s">
        <v>4550</v>
      </c>
      <c r="F81" s="16" t="s">
        <v>4551</v>
      </c>
      <c r="G81" s="16" t="s">
        <v>22</v>
      </c>
      <c r="H81" s="16"/>
      <c r="I81" s="16"/>
      <c r="J81" s="16"/>
      <c r="K81" s="16"/>
      <c r="L81" s="16"/>
      <c r="M81" s="19" t="s">
        <v>4552</v>
      </c>
      <c r="N81" s="16"/>
      <c r="O81" s="16" t="s">
        <v>4553</v>
      </c>
      <c r="P81" s="16" t="str">
        <f>HYPERLINK("https://ceds.ed.gov/cedselementdetails.aspx?termid=27615")</f>
        <v>https://ceds.ed.gov/cedselementdetails.aspx?termid=27615</v>
      </c>
      <c r="Q81" s="16">
        <v>74138</v>
      </c>
    </row>
    <row r="82" spans="1:17" ht="57.6" x14ac:dyDescent="0.3">
      <c r="A82" s="16" t="s">
        <v>7596</v>
      </c>
      <c r="B82" s="16" t="s">
        <v>8865</v>
      </c>
      <c r="C82" s="16" t="s">
        <v>7607</v>
      </c>
      <c r="D82" s="16" t="s">
        <v>7597</v>
      </c>
      <c r="E82" s="16" t="s">
        <v>215</v>
      </c>
      <c r="F82" s="16" t="s">
        <v>216</v>
      </c>
      <c r="G82" s="16" t="s">
        <v>8206</v>
      </c>
      <c r="H82" s="16"/>
      <c r="I82" s="16"/>
      <c r="J82" s="16"/>
      <c r="K82" s="16"/>
      <c r="L82" s="16"/>
      <c r="M82" s="19" t="s">
        <v>218</v>
      </c>
      <c r="N82" s="16"/>
      <c r="O82" s="16" t="s">
        <v>219</v>
      </c>
      <c r="P82" s="16" t="str">
        <f>HYPERLINK("https://ceds.ed.gov/cedselementdetails.aspx?termid=26012")</f>
        <v>https://ceds.ed.gov/cedselementdetails.aspx?termid=26012</v>
      </c>
      <c r="Q82" s="16">
        <v>75824</v>
      </c>
    </row>
    <row r="83" spans="1:17" ht="28.8" x14ac:dyDescent="0.3">
      <c r="A83" s="16" t="s">
        <v>7596</v>
      </c>
      <c r="B83" s="16" t="s">
        <v>8865</v>
      </c>
      <c r="C83" s="16" t="s">
        <v>7608</v>
      </c>
      <c r="D83" s="16" t="s">
        <v>7597</v>
      </c>
      <c r="E83" s="16" t="s">
        <v>5566</v>
      </c>
      <c r="F83" s="16" t="s">
        <v>5567</v>
      </c>
      <c r="G83" s="16" t="s">
        <v>32</v>
      </c>
      <c r="H83" s="16" t="s">
        <v>2444</v>
      </c>
      <c r="I83" s="16"/>
      <c r="J83" s="16" t="s">
        <v>106</v>
      </c>
      <c r="K83" s="16"/>
      <c r="L83" s="16"/>
      <c r="M83" s="19" t="s">
        <v>5568</v>
      </c>
      <c r="N83" s="16"/>
      <c r="O83" s="16" t="s">
        <v>5569</v>
      </c>
      <c r="P83" s="16" t="str">
        <f>HYPERLINK("https://ceds.ed.gov/cedselementdetails.aspx?termid=26350")</f>
        <v>https://ceds.ed.gov/cedselementdetails.aspx?termid=26350</v>
      </c>
      <c r="Q83" s="16">
        <v>70714</v>
      </c>
    </row>
    <row r="84" spans="1:17" ht="100.8" x14ac:dyDescent="0.3">
      <c r="A84" s="16" t="s">
        <v>7596</v>
      </c>
      <c r="B84" s="16" t="s">
        <v>8865</v>
      </c>
      <c r="C84" s="16" t="s">
        <v>7608</v>
      </c>
      <c r="D84" s="16" t="s">
        <v>7597</v>
      </c>
      <c r="E84" s="16" t="s">
        <v>6599</v>
      </c>
      <c r="F84" s="16" t="s">
        <v>6600</v>
      </c>
      <c r="G84" s="16" t="s">
        <v>8828</v>
      </c>
      <c r="H84" s="16" t="s">
        <v>3007</v>
      </c>
      <c r="I84" s="16"/>
      <c r="J84" s="16"/>
      <c r="K84" s="16"/>
      <c r="L84" s="16"/>
      <c r="M84" s="19" t="s">
        <v>6601</v>
      </c>
      <c r="N84" s="16"/>
      <c r="O84" s="16" t="s">
        <v>6602</v>
      </c>
      <c r="P84" s="16" t="str">
        <f>HYPERLINK("https://ceds.ed.gov/cedselementdetails.aspx?termid=26352")</f>
        <v>https://ceds.ed.gov/cedselementdetails.aspx?termid=26352</v>
      </c>
      <c r="Q84" s="16">
        <v>70715</v>
      </c>
    </row>
    <row r="85" spans="1:17" ht="57.6" x14ac:dyDescent="0.3">
      <c r="A85" s="16" t="s">
        <v>7596</v>
      </c>
      <c r="B85" s="16" t="s">
        <v>8865</v>
      </c>
      <c r="C85" s="16" t="s">
        <v>7608</v>
      </c>
      <c r="D85" s="16" t="s">
        <v>7597</v>
      </c>
      <c r="E85" s="16" t="s">
        <v>4311</v>
      </c>
      <c r="F85" s="16" t="s">
        <v>4312</v>
      </c>
      <c r="G85" s="16" t="s">
        <v>32</v>
      </c>
      <c r="H85" s="16" t="s">
        <v>3007</v>
      </c>
      <c r="I85" s="16"/>
      <c r="J85" s="16" t="s">
        <v>1481</v>
      </c>
      <c r="K85" s="16"/>
      <c r="L85" s="16"/>
      <c r="M85" s="19" t="s">
        <v>4313</v>
      </c>
      <c r="N85" s="16"/>
      <c r="O85" s="16" t="s">
        <v>4314</v>
      </c>
      <c r="P85" s="16" t="str">
        <f>HYPERLINK("https://ceds.ed.gov/cedselementdetails.aspx?termid=26353")</f>
        <v>https://ceds.ed.gov/cedselementdetails.aspx?termid=26353</v>
      </c>
      <c r="Q85" s="16">
        <v>70716</v>
      </c>
    </row>
    <row r="86" spans="1:17" ht="57.6" x14ac:dyDescent="0.3">
      <c r="A86" s="16" t="s">
        <v>7596</v>
      </c>
      <c r="B86" s="16" t="s">
        <v>8865</v>
      </c>
      <c r="C86" s="16" t="s">
        <v>7608</v>
      </c>
      <c r="D86" s="16" t="s">
        <v>7597</v>
      </c>
      <c r="E86" s="16" t="s">
        <v>3003</v>
      </c>
      <c r="F86" s="16" t="s">
        <v>3004</v>
      </c>
      <c r="G86" s="16" t="s">
        <v>32</v>
      </c>
      <c r="H86" s="16" t="s">
        <v>3007</v>
      </c>
      <c r="I86" s="16"/>
      <c r="J86" s="16" t="s">
        <v>305</v>
      </c>
      <c r="K86" s="16"/>
      <c r="L86" s="16"/>
      <c r="M86" s="19" t="s">
        <v>3005</v>
      </c>
      <c r="N86" s="16"/>
      <c r="O86" s="16" t="s">
        <v>3006</v>
      </c>
      <c r="P86" s="16" t="str">
        <f>HYPERLINK("https://ceds.ed.gov/cedselementdetails.aspx?termid=26354")</f>
        <v>https://ceds.ed.gov/cedselementdetails.aspx?termid=26354</v>
      </c>
      <c r="Q86" s="16">
        <v>70717</v>
      </c>
    </row>
    <row r="87" spans="1:17" ht="115.2" x14ac:dyDescent="0.3">
      <c r="A87" s="16" t="s">
        <v>7596</v>
      </c>
      <c r="B87" s="16" t="s">
        <v>8865</v>
      </c>
      <c r="C87" s="16" t="s">
        <v>7608</v>
      </c>
      <c r="D87" s="16" t="s">
        <v>7597</v>
      </c>
      <c r="E87" s="16" t="s">
        <v>3235</v>
      </c>
      <c r="F87" s="16" t="s">
        <v>7944</v>
      </c>
      <c r="G87" s="16" t="s">
        <v>8519</v>
      </c>
      <c r="H87" s="16" t="s">
        <v>3007</v>
      </c>
      <c r="I87" s="16"/>
      <c r="J87" s="16"/>
      <c r="K87" s="16"/>
      <c r="L87" s="16"/>
      <c r="M87" s="19" t="s">
        <v>3236</v>
      </c>
      <c r="N87" s="16"/>
      <c r="O87" s="16" t="s">
        <v>3237</v>
      </c>
      <c r="P87" s="16" t="str">
        <f>HYPERLINK("https://ceds.ed.gov/cedselementdetails.aspx?termid=26355")</f>
        <v>https://ceds.ed.gov/cedselementdetails.aspx?termid=26355</v>
      </c>
      <c r="Q87" s="16">
        <v>70718</v>
      </c>
    </row>
    <row r="88" spans="1:17" ht="43.2" x14ac:dyDescent="0.3">
      <c r="A88" s="16" t="s">
        <v>7596</v>
      </c>
      <c r="B88" s="16" t="s">
        <v>8865</v>
      </c>
      <c r="C88" s="16" t="s">
        <v>7608</v>
      </c>
      <c r="D88" s="16" t="s">
        <v>7597</v>
      </c>
      <c r="E88" s="16" t="s">
        <v>5495</v>
      </c>
      <c r="F88" s="16" t="s">
        <v>5496</v>
      </c>
      <c r="G88" s="16" t="s">
        <v>32</v>
      </c>
      <c r="H88" s="16" t="s">
        <v>98</v>
      </c>
      <c r="I88" s="16"/>
      <c r="J88" s="16" t="s">
        <v>305</v>
      </c>
      <c r="K88" s="16"/>
      <c r="L88" s="16"/>
      <c r="M88" s="19" t="s">
        <v>5497</v>
      </c>
      <c r="N88" s="16"/>
      <c r="O88" s="16" t="s">
        <v>5498</v>
      </c>
      <c r="P88" s="16" t="str">
        <f>HYPERLINK("https://ceds.ed.gov/cedselementdetails.aspx?termid=26844")</f>
        <v>https://ceds.ed.gov/cedselementdetails.aspx?termid=26844</v>
      </c>
      <c r="Q88" s="16">
        <v>72298</v>
      </c>
    </row>
    <row r="89" spans="1:17" ht="57.6" x14ac:dyDescent="0.3">
      <c r="A89" s="16" t="s">
        <v>7596</v>
      </c>
      <c r="B89" s="16" t="s">
        <v>8865</v>
      </c>
      <c r="C89" s="16" t="s">
        <v>7608</v>
      </c>
      <c r="D89" s="16" t="s">
        <v>7597</v>
      </c>
      <c r="E89" s="16" t="s">
        <v>3384</v>
      </c>
      <c r="F89" s="16" t="s">
        <v>7959</v>
      </c>
      <c r="G89" s="16" t="s">
        <v>32</v>
      </c>
      <c r="H89" s="16" t="s">
        <v>3308</v>
      </c>
      <c r="I89" s="16"/>
      <c r="J89" s="16" t="s">
        <v>305</v>
      </c>
      <c r="K89" s="16"/>
      <c r="L89" s="16"/>
      <c r="M89" s="19" t="s">
        <v>3385</v>
      </c>
      <c r="N89" s="16"/>
      <c r="O89" s="16" t="s">
        <v>3386</v>
      </c>
      <c r="P89" s="16" t="str">
        <f>HYPERLINK("https://ceds.ed.gov/cedselementdetails.aspx?termid=26626")</f>
        <v>https://ceds.ed.gov/cedselementdetails.aspx?termid=26626</v>
      </c>
      <c r="Q89" s="16">
        <v>70723</v>
      </c>
    </row>
    <row r="90" spans="1:17" ht="57.6" x14ac:dyDescent="0.3">
      <c r="A90" s="16" t="s">
        <v>7596</v>
      </c>
      <c r="B90" s="16" t="s">
        <v>8865</v>
      </c>
      <c r="C90" s="16" t="s">
        <v>7608</v>
      </c>
      <c r="D90" s="16" t="s">
        <v>7597</v>
      </c>
      <c r="E90" s="16" t="s">
        <v>3305</v>
      </c>
      <c r="F90" s="16" t="s">
        <v>7954</v>
      </c>
      <c r="G90" s="16" t="s">
        <v>32</v>
      </c>
      <c r="H90" s="16" t="s">
        <v>3308</v>
      </c>
      <c r="I90" s="16"/>
      <c r="J90" s="16" t="s">
        <v>305</v>
      </c>
      <c r="K90" s="16"/>
      <c r="L90" s="16"/>
      <c r="M90" s="19" t="s">
        <v>3306</v>
      </c>
      <c r="N90" s="16"/>
      <c r="O90" s="16" t="s">
        <v>3307</v>
      </c>
      <c r="P90" s="16" t="str">
        <f>HYPERLINK("https://ceds.ed.gov/cedselementdetails.aspx?termid=27189")</f>
        <v>https://ceds.ed.gov/cedselementdetails.aspx?termid=27189</v>
      </c>
      <c r="Q90" s="16">
        <v>71630</v>
      </c>
    </row>
    <row r="91" spans="1:17" ht="115.2" x14ac:dyDescent="0.3">
      <c r="A91" s="16" t="s">
        <v>7596</v>
      </c>
      <c r="B91" s="16" t="s">
        <v>8865</v>
      </c>
      <c r="C91" s="16" t="s">
        <v>7608</v>
      </c>
      <c r="D91" s="16" t="s">
        <v>7597</v>
      </c>
      <c r="E91" s="16" t="s">
        <v>6705</v>
      </c>
      <c r="F91" s="16" t="s">
        <v>6706</v>
      </c>
      <c r="G91" s="16" t="s">
        <v>8834</v>
      </c>
      <c r="H91" s="16" t="s">
        <v>98</v>
      </c>
      <c r="I91" s="16"/>
      <c r="J91" s="16"/>
      <c r="K91" s="16"/>
      <c r="L91" s="16"/>
      <c r="M91" s="19" t="s">
        <v>6707</v>
      </c>
      <c r="N91" s="16"/>
      <c r="O91" s="16" t="s">
        <v>6708</v>
      </c>
      <c r="P91" s="16" t="str">
        <f>HYPERLINK("https://ceds.ed.gov/cedselementdetails.aspx?termid=26852")</f>
        <v>https://ceds.ed.gov/cedselementdetails.aspx?termid=26852</v>
      </c>
      <c r="Q91" s="16">
        <v>72305</v>
      </c>
    </row>
    <row r="92" spans="1:17" ht="244.8" x14ac:dyDescent="0.3">
      <c r="A92" s="16" t="s">
        <v>7596</v>
      </c>
      <c r="B92" s="16" t="s">
        <v>8865</v>
      </c>
      <c r="C92" s="16" t="s">
        <v>7608</v>
      </c>
      <c r="D92" s="16" t="s">
        <v>7597</v>
      </c>
      <c r="E92" s="16" t="s">
        <v>3392</v>
      </c>
      <c r="F92" s="16" t="s">
        <v>3393</v>
      </c>
      <c r="G92" s="16" t="s">
        <v>8540</v>
      </c>
      <c r="H92" s="16" t="s">
        <v>3397</v>
      </c>
      <c r="I92" s="16"/>
      <c r="J92" s="16"/>
      <c r="K92" s="16"/>
      <c r="L92" s="16"/>
      <c r="M92" s="19" t="s">
        <v>3394</v>
      </c>
      <c r="N92" s="16" t="s">
        <v>3395</v>
      </c>
      <c r="O92" s="16" t="s">
        <v>3396</v>
      </c>
      <c r="P92" s="16" t="str">
        <f>HYPERLINK("https://ceds.ed.gov/cedselementdetails.aspx?termid=26862")</f>
        <v>https://ceds.ed.gov/cedselementdetails.aspx?termid=26862</v>
      </c>
      <c r="Q92" s="16">
        <v>72313</v>
      </c>
    </row>
    <row r="93" spans="1:17" ht="28.8" x14ac:dyDescent="0.3">
      <c r="A93" s="16" t="s">
        <v>7596</v>
      </c>
      <c r="B93" s="16" t="s">
        <v>8865</v>
      </c>
      <c r="C93" s="16" t="s">
        <v>7608</v>
      </c>
      <c r="D93" s="16" t="s">
        <v>7597</v>
      </c>
      <c r="E93" s="16" t="s">
        <v>7818</v>
      </c>
      <c r="F93" s="16" t="s">
        <v>7819</v>
      </c>
      <c r="G93" s="16" t="s">
        <v>32</v>
      </c>
      <c r="H93" s="16"/>
      <c r="I93" s="16"/>
      <c r="J93" s="16" t="s">
        <v>136</v>
      </c>
      <c r="K93" s="16"/>
      <c r="L93" s="16"/>
      <c r="M93" s="19" t="s">
        <v>8174</v>
      </c>
      <c r="N93" s="16"/>
      <c r="O93" s="16" t="s">
        <v>7820</v>
      </c>
      <c r="P93" s="16" t="str">
        <f>HYPERLINK("https://ceds.ed.gov/cedselementdetails.aspx?termid=27972")</f>
        <v>https://ceds.ed.gov/cedselementdetails.aspx?termid=27972</v>
      </c>
      <c r="Q93" s="16">
        <v>75775</v>
      </c>
    </row>
    <row r="94" spans="1:17" ht="43.2" x14ac:dyDescent="0.3">
      <c r="A94" s="16" t="s">
        <v>7596</v>
      </c>
      <c r="B94" s="16" t="s">
        <v>8865</v>
      </c>
      <c r="C94" s="16" t="s">
        <v>7608</v>
      </c>
      <c r="D94" s="16" t="s">
        <v>7597</v>
      </c>
      <c r="E94" s="16" t="s">
        <v>7821</v>
      </c>
      <c r="F94" s="16" t="s">
        <v>7822</v>
      </c>
      <c r="G94" s="16" t="s">
        <v>8197</v>
      </c>
      <c r="H94" s="16"/>
      <c r="I94" s="16"/>
      <c r="J94" s="16" t="s">
        <v>2</v>
      </c>
      <c r="K94" s="16"/>
      <c r="L94" s="16"/>
      <c r="M94" s="19" t="s">
        <v>8175</v>
      </c>
      <c r="N94" s="16"/>
      <c r="O94" s="16" t="s">
        <v>7823</v>
      </c>
      <c r="P94" s="16" t="str">
        <f>HYPERLINK("https://ceds.ed.gov/cedselementdetails.aspx?termid=27973")</f>
        <v>https://ceds.ed.gov/cedselementdetails.aspx?termid=27973</v>
      </c>
      <c r="Q94" s="16">
        <v>75776</v>
      </c>
    </row>
    <row r="95" spans="1:17" ht="100.8" x14ac:dyDescent="0.3">
      <c r="A95" s="16" t="s">
        <v>7596</v>
      </c>
      <c r="B95" s="16" t="s">
        <v>8865</v>
      </c>
      <c r="C95" s="16" t="s">
        <v>7608</v>
      </c>
      <c r="D95" s="16" t="s">
        <v>7597</v>
      </c>
      <c r="E95" s="16" t="s">
        <v>2456</v>
      </c>
      <c r="F95" s="16" t="s">
        <v>7914</v>
      </c>
      <c r="G95" s="16" t="s">
        <v>8216</v>
      </c>
      <c r="H95" s="16" t="s">
        <v>1927</v>
      </c>
      <c r="I95" s="16"/>
      <c r="J95" s="16"/>
      <c r="K95" s="16"/>
      <c r="L95" s="16"/>
      <c r="M95" s="19" t="s">
        <v>2457</v>
      </c>
      <c r="N95" s="16"/>
      <c r="O95" s="16" t="s">
        <v>2458</v>
      </c>
      <c r="P95" s="16" t="str">
        <f>HYPERLINK("https://ceds.ed.gov/cedselementdetails.aspx?termid=26048")</f>
        <v>https://ceds.ed.gov/cedselementdetails.aspx?termid=26048</v>
      </c>
      <c r="Q95" s="16">
        <v>75777</v>
      </c>
    </row>
    <row r="96" spans="1:17" ht="28.8" x14ac:dyDescent="0.3">
      <c r="A96" s="16" t="s">
        <v>7596</v>
      </c>
      <c r="B96" s="16" t="s">
        <v>8865</v>
      </c>
      <c r="C96" s="16" t="s">
        <v>7608</v>
      </c>
      <c r="D96" s="16" t="s">
        <v>7597</v>
      </c>
      <c r="E96" s="16" t="s">
        <v>7945</v>
      </c>
      <c r="F96" s="16" t="s">
        <v>7946</v>
      </c>
      <c r="G96" s="16" t="s">
        <v>32</v>
      </c>
      <c r="H96" s="16"/>
      <c r="I96" s="16"/>
      <c r="J96" s="16" t="s">
        <v>136</v>
      </c>
      <c r="K96" s="16"/>
      <c r="L96" s="16"/>
      <c r="M96" s="19" t="s">
        <v>8178</v>
      </c>
      <c r="N96" s="16"/>
      <c r="O96" s="16" t="s">
        <v>7947</v>
      </c>
      <c r="P96" s="16" t="str">
        <f>HYPERLINK("https://ceds.ed.gov/cedselementdetails.aspx?termid=27976")</f>
        <v>https://ceds.ed.gov/cedselementdetails.aspx?termid=27976</v>
      </c>
      <c r="Q96" s="16">
        <v>75778</v>
      </c>
    </row>
    <row r="97" spans="1:17" ht="28.8" x14ac:dyDescent="0.3">
      <c r="A97" s="16" t="s">
        <v>7596</v>
      </c>
      <c r="B97" s="16" t="s">
        <v>8865</v>
      </c>
      <c r="C97" s="16" t="s">
        <v>7608</v>
      </c>
      <c r="D97" s="16" t="s">
        <v>7597</v>
      </c>
      <c r="E97" s="16" t="s">
        <v>7948</v>
      </c>
      <c r="F97" s="16" t="s">
        <v>7949</v>
      </c>
      <c r="G97" s="16" t="s">
        <v>32</v>
      </c>
      <c r="H97" s="16"/>
      <c r="I97" s="16"/>
      <c r="J97" s="16" t="s">
        <v>136</v>
      </c>
      <c r="K97" s="16"/>
      <c r="L97" s="16"/>
      <c r="M97" s="19" t="s">
        <v>8179</v>
      </c>
      <c r="N97" s="16"/>
      <c r="O97" s="16" t="s">
        <v>7950</v>
      </c>
      <c r="P97" s="16" t="str">
        <f>HYPERLINK("https://ceds.ed.gov/cedselementdetails.aspx?termid=27977")</f>
        <v>https://ceds.ed.gov/cedselementdetails.aspx?termid=27977</v>
      </c>
      <c r="Q97" s="16">
        <v>75779</v>
      </c>
    </row>
    <row r="98" spans="1:17" ht="43.2" x14ac:dyDescent="0.3">
      <c r="A98" s="16" t="s">
        <v>7596</v>
      </c>
      <c r="B98" s="16" t="s">
        <v>8865</v>
      </c>
      <c r="C98" s="16" t="s">
        <v>7608</v>
      </c>
      <c r="D98" s="16" t="s">
        <v>7597</v>
      </c>
      <c r="E98" s="16" t="s">
        <v>7966</v>
      </c>
      <c r="F98" s="16" t="s">
        <v>7967</v>
      </c>
      <c r="G98" s="16" t="s">
        <v>32</v>
      </c>
      <c r="H98" s="16"/>
      <c r="I98" s="16"/>
      <c r="J98" s="16" t="s">
        <v>1662</v>
      </c>
      <c r="K98" s="16"/>
      <c r="L98" s="16" t="s">
        <v>7968</v>
      </c>
      <c r="M98" s="19" t="s">
        <v>8181</v>
      </c>
      <c r="N98" s="16"/>
      <c r="O98" s="16" t="s">
        <v>7969</v>
      </c>
      <c r="P98" s="16" t="str">
        <f>HYPERLINK("https://ceds.ed.gov/cedselementdetails.aspx?termid=27979")</f>
        <v>https://ceds.ed.gov/cedselementdetails.aspx?termid=27979</v>
      </c>
      <c r="Q98" s="16">
        <v>75780</v>
      </c>
    </row>
    <row r="99" spans="1:17" ht="172.8" x14ac:dyDescent="0.3">
      <c r="A99" s="16" t="s">
        <v>7596</v>
      </c>
      <c r="B99" s="16" t="s">
        <v>8865</v>
      </c>
      <c r="C99" s="16" t="s">
        <v>7608</v>
      </c>
      <c r="D99" s="16" t="s">
        <v>7597</v>
      </c>
      <c r="E99" s="16" t="s">
        <v>3573</v>
      </c>
      <c r="F99" s="16" t="s">
        <v>3574</v>
      </c>
      <c r="G99" s="16" t="s">
        <v>32</v>
      </c>
      <c r="H99" s="16"/>
      <c r="I99" s="16"/>
      <c r="J99" s="16" t="s">
        <v>120</v>
      </c>
      <c r="K99" s="16"/>
      <c r="L99" s="16" t="s">
        <v>7817</v>
      </c>
      <c r="M99" s="19" t="s">
        <v>3575</v>
      </c>
      <c r="N99" s="16"/>
      <c r="O99" s="16" t="s">
        <v>3576</v>
      </c>
      <c r="P99" s="16" t="str">
        <f>HYPERLINK("https://ceds.ed.gov/cedselementdetails.aspx?termid=26495")</f>
        <v>https://ceds.ed.gov/cedselementdetails.aspx?termid=26495</v>
      </c>
      <c r="Q99" s="16">
        <v>75781</v>
      </c>
    </row>
    <row r="100" spans="1:17" ht="43.2" x14ac:dyDescent="0.3">
      <c r="A100" s="16" t="s">
        <v>7596</v>
      </c>
      <c r="B100" s="16" t="s">
        <v>8865</v>
      </c>
      <c r="C100" s="16" t="s">
        <v>7608</v>
      </c>
      <c r="D100" s="16" t="s">
        <v>7597</v>
      </c>
      <c r="E100" s="16" t="s">
        <v>4769</v>
      </c>
      <c r="F100" s="16" t="s">
        <v>4770</v>
      </c>
      <c r="G100" s="16" t="s">
        <v>8238</v>
      </c>
      <c r="H100" s="16" t="s">
        <v>214</v>
      </c>
      <c r="I100" s="16"/>
      <c r="J100" s="16"/>
      <c r="K100" s="16"/>
      <c r="L100" s="16"/>
      <c r="M100" s="19" t="s">
        <v>4771</v>
      </c>
      <c r="N100" s="16"/>
      <c r="O100" s="16" t="s">
        <v>4772</v>
      </c>
      <c r="P100" s="16" t="str">
        <f>HYPERLINK("https://ceds.ed.gov/cedselementdetails.aspx?termid=26580")</f>
        <v>https://ceds.ed.gov/cedselementdetails.aspx?termid=26580</v>
      </c>
      <c r="Q100" s="16">
        <v>75782</v>
      </c>
    </row>
    <row r="101" spans="1:17" ht="129.6" x14ac:dyDescent="0.3">
      <c r="A101" s="16" t="s">
        <v>7596</v>
      </c>
      <c r="B101" s="16" t="s">
        <v>8865</v>
      </c>
      <c r="C101" s="16" t="s">
        <v>7608</v>
      </c>
      <c r="D101" s="16" t="s">
        <v>7597</v>
      </c>
      <c r="E101" s="16" t="s">
        <v>5267</v>
      </c>
      <c r="F101" s="16" t="s">
        <v>5268</v>
      </c>
      <c r="G101" s="16" t="s">
        <v>8243</v>
      </c>
      <c r="H101" s="16" t="s">
        <v>214</v>
      </c>
      <c r="I101" s="16"/>
      <c r="J101" s="16"/>
      <c r="K101" s="16"/>
      <c r="L101" s="16"/>
      <c r="M101" s="19" t="s">
        <v>5270</v>
      </c>
      <c r="N101" s="16" t="s">
        <v>5271</v>
      </c>
      <c r="O101" s="16" t="s">
        <v>5272</v>
      </c>
      <c r="P101" s="16" t="str">
        <f>HYPERLINK("https://ceds.ed.gov/cedselementdetails.aspx?termid=26174")</f>
        <v>https://ceds.ed.gov/cedselementdetails.aspx?termid=26174</v>
      </c>
      <c r="Q101" s="16">
        <v>75783</v>
      </c>
    </row>
    <row r="102" spans="1:17" x14ac:dyDescent="0.3">
      <c r="A102" s="16" t="s">
        <v>7596</v>
      </c>
      <c r="B102" s="16" t="s">
        <v>8865</v>
      </c>
      <c r="C102" s="16" t="s">
        <v>7608</v>
      </c>
      <c r="D102" s="16" t="s">
        <v>7597</v>
      </c>
      <c r="E102" s="16" t="s">
        <v>5283</v>
      </c>
      <c r="F102" s="16"/>
      <c r="G102" s="16"/>
      <c r="H102" s="16"/>
      <c r="I102" s="16"/>
      <c r="J102" s="16"/>
      <c r="K102" s="16"/>
      <c r="L102" s="16"/>
      <c r="M102" s="19"/>
      <c r="N102" s="16"/>
      <c r="O102" s="16"/>
      <c r="P102" s="16"/>
      <c r="Q102" s="16"/>
    </row>
    <row r="103" spans="1:17" ht="288" x14ac:dyDescent="0.3">
      <c r="A103" s="16" t="s">
        <v>13009</v>
      </c>
      <c r="B103" s="16" t="s">
        <v>8244</v>
      </c>
      <c r="C103" s="16" t="s">
        <v>214</v>
      </c>
      <c r="D103" s="16"/>
      <c r="E103" s="16"/>
      <c r="F103" s="16"/>
      <c r="G103" s="16" t="s">
        <v>8088</v>
      </c>
      <c r="H103" s="16">
        <v>537</v>
      </c>
      <c r="I103" s="16"/>
      <c r="J103" s="16" t="s">
        <v>5284</v>
      </c>
      <c r="K103" s="16" t="str">
        <f>HYPERLINK("https://ceds.ed.gov/cedselementdetails.aspx?termid=26528")</f>
        <v>https://ceds.ed.gov/cedselementdetails.aspx?termid=26528</v>
      </c>
      <c r="L103" s="16">
        <v>75784</v>
      </c>
      <c r="M103" s="19"/>
      <c r="N103" s="16"/>
      <c r="O103" s="16"/>
      <c r="P103" s="16"/>
      <c r="Q103" s="16"/>
    </row>
    <row r="104" spans="1:17" ht="115.2" x14ac:dyDescent="0.3">
      <c r="A104" s="16" t="s">
        <v>7596</v>
      </c>
      <c r="B104" s="16" t="s">
        <v>8865</v>
      </c>
      <c r="C104" s="16" t="s">
        <v>7608</v>
      </c>
      <c r="D104" s="16" t="s">
        <v>7597</v>
      </c>
      <c r="E104" s="16" t="s">
        <v>5827</v>
      </c>
      <c r="F104" s="16" t="s">
        <v>5828</v>
      </c>
      <c r="G104" s="16" t="s">
        <v>8253</v>
      </c>
      <c r="H104" s="16" t="s">
        <v>5832</v>
      </c>
      <c r="I104" s="16"/>
      <c r="J104" s="16"/>
      <c r="K104" s="16"/>
      <c r="L104" s="16" t="s">
        <v>5829</v>
      </c>
      <c r="M104" s="19" t="s">
        <v>5830</v>
      </c>
      <c r="N104" s="16"/>
      <c r="O104" s="16" t="s">
        <v>5831</v>
      </c>
      <c r="P104" s="16" t="str">
        <f>HYPERLINK("https://ceds.ed.gov/cedselementdetails.aspx?termid=26705")</f>
        <v>https://ceds.ed.gov/cedselementdetails.aspx?termid=26705</v>
      </c>
      <c r="Q104" s="16">
        <v>75785</v>
      </c>
    </row>
    <row r="105" spans="1:17" ht="409.6" x14ac:dyDescent="0.3">
      <c r="A105" s="16" t="s">
        <v>7596</v>
      </c>
      <c r="B105" s="16" t="s">
        <v>8865</v>
      </c>
      <c r="C105" s="16" t="s">
        <v>7608</v>
      </c>
      <c r="D105" s="16" t="s">
        <v>7597</v>
      </c>
      <c r="E105" s="16" t="s">
        <v>6130</v>
      </c>
      <c r="F105" s="16" t="s">
        <v>6131</v>
      </c>
      <c r="G105" s="16" t="s">
        <v>9420</v>
      </c>
      <c r="H105" s="16" t="s">
        <v>64</v>
      </c>
      <c r="I105" s="16"/>
      <c r="J105" s="16"/>
      <c r="K105" s="16"/>
      <c r="L105" s="16"/>
      <c r="M105" s="19" t="s">
        <v>6132</v>
      </c>
      <c r="N105" s="16"/>
      <c r="O105" s="16" t="s">
        <v>6133</v>
      </c>
      <c r="P105" s="16" t="str">
        <f>HYPERLINK("https://ceds.ed.gov/cedselementdetails.aspx?termid=26225")</f>
        <v>https://ceds.ed.gov/cedselementdetails.aspx?termid=26225</v>
      </c>
      <c r="Q105" s="16">
        <v>75786</v>
      </c>
    </row>
    <row r="106" spans="1:17" ht="187.2" x14ac:dyDescent="0.3">
      <c r="A106" s="16" t="s">
        <v>7596</v>
      </c>
      <c r="B106" s="16" t="s">
        <v>8865</v>
      </c>
      <c r="C106" s="16" t="s">
        <v>7608</v>
      </c>
      <c r="D106" s="16" t="s">
        <v>7597</v>
      </c>
      <c r="E106" s="16" t="s">
        <v>6551</v>
      </c>
      <c r="F106" s="16" t="s">
        <v>6552</v>
      </c>
      <c r="G106" s="16" t="s">
        <v>8262</v>
      </c>
      <c r="H106" s="16"/>
      <c r="I106" s="16"/>
      <c r="J106" s="16"/>
      <c r="K106" s="16"/>
      <c r="L106" s="16"/>
      <c r="M106" s="19" t="s">
        <v>6553</v>
      </c>
      <c r="N106" s="16"/>
      <c r="O106" s="16" t="s">
        <v>6554</v>
      </c>
      <c r="P106" s="16" t="str">
        <f>HYPERLINK("https://ceds.ed.gov/cedselementdetails.aspx?termid=26241")</f>
        <v>https://ceds.ed.gov/cedselementdetails.aspx?termid=26241</v>
      </c>
      <c r="Q106" s="16">
        <v>75787</v>
      </c>
    </row>
    <row r="107" spans="1:17" ht="129.6" x14ac:dyDescent="0.3">
      <c r="A107" s="16" t="s">
        <v>7596</v>
      </c>
      <c r="B107" s="16" t="s">
        <v>8865</v>
      </c>
      <c r="C107" s="16" t="s">
        <v>7608</v>
      </c>
      <c r="D107" s="16" t="s">
        <v>7597</v>
      </c>
      <c r="E107" s="16" t="s">
        <v>6555</v>
      </c>
      <c r="F107" s="16" t="s">
        <v>6556</v>
      </c>
      <c r="G107" s="16" t="s">
        <v>8263</v>
      </c>
      <c r="H107" s="16" t="s">
        <v>214</v>
      </c>
      <c r="I107" s="16"/>
      <c r="J107" s="16"/>
      <c r="K107" s="16"/>
      <c r="L107" s="16"/>
      <c r="M107" s="19" t="s">
        <v>6557</v>
      </c>
      <c r="N107" s="16"/>
      <c r="O107" s="16" t="s">
        <v>6558</v>
      </c>
      <c r="P107" s="16" t="str">
        <f>HYPERLINK("https://ceds.ed.gov/cedselementdetails.aspx?termid=26524")</f>
        <v>https://ceds.ed.gov/cedselementdetails.aspx?termid=26524</v>
      </c>
      <c r="Q107" s="16">
        <v>75788</v>
      </c>
    </row>
    <row r="108" spans="1:17" ht="115.2" x14ac:dyDescent="0.3">
      <c r="A108" s="16" t="s">
        <v>7596</v>
      </c>
      <c r="B108" s="16" t="s">
        <v>8865</v>
      </c>
      <c r="C108" s="16" t="s">
        <v>7608</v>
      </c>
      <c r="D108" s="16" t="s">
        <v>7597</v>
      </c>
      <c r="E108" s="16" t="s">
        <v>7227</v>
      </c>
      <c r="F108" s="16" t="s">
        <v>8171</v>
      </c>
      <c r="G108" s="16" t="s">
        <v>22</v>
      </c>
      <c r="H108" s="16"/>
      <c r="I108" s="16"/>
      <c r="J108" s="16"/>
      <c r="K108" s="16"/>
      <c r="L108" s="16"/>
      <c r="M108" s="19" t="s">
        <v>7228</v>
      </c>
      <c r="N108" s="16"/>
      <c r="O108" s="16" t="s">
        <v>7229</v>
      </c>
      <c r="P108" s="16" t="str">
        <f>HYPERLINK("https://ceds.ed.gov/cedselementdetails.aspx?termid=27167")</f>
        <v>https://ceds.ed.gov/cedselementdetails.aspx?termid=27167</v>
      </c>
      <c r="Q108" s="16">
        <v>75789</v>
      </c>
    </row>
    <row r="109" spans="1:17" ht="86.4" x14ac:dyDescent="0.3">
      <c r="A109" s="16" t="s">
        <v>7596</v>
      </c>
      <c r="B109" s="16" t="s">
        <v>8865</v>
      </c>
      <c r="C109" s="16" t="s">
        <v>7608</v>
      </c>
      <c r="D109" s="16" t="s">
        <v>7597</v>
      </c>
      <c r="E109" s="16" t="s">
        <v>7230</v>
      </c>
      <c r="F109" s="16" t="s">
        <v>8172</v>
      </c>
      <c r="G109" s="16" t="s">
        <v>8278</v>
      </c>
      <c r="H109" s="16"/>
      <c r="I109" s="16"/>
      <c r="J109" s="16"/>
      <c r="K109" s="16"/>
      <c r="L109" s="16"/>
      <c r="M109" s="19" t="s">
        <v>7231</v>
      </c>
      <c r="N109" s="16"/>
      <c r="O109" s="16" t="s">
        <v>7232</v>
      </c>
      <c r="P109" s="16" t="str">
        <f>HYPERLINK("https://ceds.ed.gov/cedselementdetails.aspx?termid=27747")</f>
        <v>https://ceds.ed.gov/cedselementdetails.aspx?termid=27747</v>
      </c>
      <c r="Q109" s="16">
        <v>75790</v>
      </c>
    </row>
    <row r="110" spans="1:17" ht="28.8" x14ac:dyDescent="0.3">
      <c r="A110" s="16" t="s">
        <v>7596</v>
      </c>
      <c r="B110" s="16" t="s">
        <v>8865</v>
      </c>
      <c r="C110" s="16" t="s">
        <v>7608</v>
      </c>
      <c r="D110" s="16" t="s">
        <v>7597</v>
      </c>
      <c r="E110" s="16" t="s">
        <v>7262</v>
      </c>
      <c r="F110" s="16" t="s">
        <v>7263</v>
      </c>
      <c r="G110" s="16" t="s">
        <v>32</v>
      </c>
      <c r="H110" s="16" t="s">
        <v>214</v>
      </c>
      <c r="I110" s="16"/>
      <c r="J110" s="16" t="s">
        <v>101</v>
      </c>
      <c r="K110" s="16"/>
      <c r="L110" s="16"/>
      <c r="M110" s="19" t="s">
        <v>7264</v>
      </c>
      <c r="N110" s="16"/>
      <c r="O110" s="16" t="s">
        <v>7265</v>
      </c>
      <c r="P110" s="16" t="str">
        <f>HYPERLINK("https://ceds.ed.gov/cedselementdetails.aspx?termid=26300")</f>
        <v>https://ceds.ed.gov/cedselementdetails.aspx?termid=26300</v>
      </c>
      <c r="Q110" s="16">
        <v>75791</v>
      </c>
    </row>
    <row r="111" spans="1:17" ht="28.8" x14ac:dyDescent="0.3">
      <c r="A111" s="16" t="s">
        <v>7596</v>
      </c>
      <c r="B111" s="16" t="s">
        <v>8865</v>
      </c>
      <c r="C111" s="16" t="s">
        <v>7609</v>
      </c>
      <c r="D111" s="16" t="s">
        <v>7597</v>
      </c>
      <c r="E111" s="16" t="s">
        <v>6686</v>
      </c>
      <c r="F111" s="16" t="s">
        <v>8145</v>
      </c>
      <c r="G111" s="16" t="s">
        <v>32</v>
      </c>
      <c r="H111" s="16" t="s">
        <v>2444</v>
      </c>
      <c r="I111" s="16"/>
      <c r="J111" s="16" t="s">
        <v>145</v>
      </c>
      <c r="K111" s="16"/>
      <c r="L111" s="16"/>
      <c r="M111" s="19" t="s">
        <v>6687</v>
      </c>
      <c r="N111" s="16"/>
      <c r="O111" s="16" t="s">
        <v>6688</v>
      </c>
      <c r="P111" s="16" t="str">
        <f>HYPERLINK("https://ceds.ed.gov/cedselementdetails.aspx?termid=26625")</f>
        <v>https://ceds.ed.gov/cedselementdetails.aspx?termid=26625</v>
      </c>
      <c r="Q111" s="16">
        <v>70722</v>
      </c>
    </row>
    <row r="112" spans="1:17" ht="115.2" x14ac:dyDescent="0.3">
      <c r="A112" s="16" t="s">
        <v>7596</v>
      </c>
      <c r="B112" s="16" t="s">
        <v>8865</v>
      </c>
      <c r="C112" s="16" t="s">
        <v>7609</v>
      </c>
      <c r="D112" s="16" t="s">
        <v>7597</v>
      </c>
      <c r="E112" s="16" t="s">
        <v>5450</v>
      </c>
      <c r="F112" s="16" t="s">
        <v>5451</v>
      </c>
      <c r="G112" s="16" t="s">
        <v>8246</v>
      </c>
      <c r="H112" s="16"/>
      <c r="I112" s="16"/>
      <c r="J112" s="16"/>
      <c r="K112" s="16"/>
      <c r="L112" s="16"/>
      <c r="M112" s="19" t="s">
        <v>5452</v>
      </c>
      <c r="N112" s="16"/>
      <c r="O112" s="16" t="s">
        <v>5453</v>
      </c>
      <c r="P112" s="16" t="str">
        <f>HYPERLINK("https://ceds.ed.gov/cedselementdetails.aspx?termid=27748")</f>
        <v>https://ceds.ed.gov/cedselementdetails.aspx?termid=27748</v>
      </c>
      <c r="Q112" s="16">
        <v>75825</v>
      </c>
    </row>
    <row r="113" spans="1:17" ht="86.4" x14ac:dyDescent="0.3">
      <c r="A113" s="16" t="s">
        <v>7596</v>
      </c>
      <c r="B113" s="16" t="s">
        <v>8865</v>
      </c>
      <c r="C113" s="16" t="s">
        <v>7609</v>
      </c>
      <c r="D113" s="16" t="s">
        <v>7597</v>
      </c>
      <c r="E113" s="16" t="s">
        <v>8142</v>
      </c>
      <c r="F113" s="16" t="s">
        <v>8143</v>
      </c>
      <c r="G113" s="16" t="s">
        <v>32</v>
      </c>
      <c r="H113" s="16"/>
      <c r="I113" s="16"/>
      <c r="J113" s="16" t="s">
        <v>81</v>
      </c>
      <c r="K113" s="16"/>
      <c r="L113" s="16" t="s">
        <v>6671</v>
      </c>
      <c r="M113" s="19" t="s">
        <v>6672</v>
      </c>
      <c r="N113" s="16"/>
      <c r="O113" s="16" t="s">
        <v>8144</v>
      </c>
      <c r="P113" s="16" t="str">
        <f>HYPERLINK("https://ceds.ed.gov/cedselementdetails.aspx?termid=27459")</f>
        <v>https://ceds.ed.gov/cedselementdetails.aspx?termid=27459</v>
      </c>
      <c r="Q113" s="16">
        <v>75826</v>
      </c>
    </row>
    <row r="114" spans="1:17" ht="72" x14ac:dyDescent="0.3">
      <c r="A114" s="16" t="s">
        <v>7596</v>
      </c>
      <c r="B114" s="16" t="s">
        <v>8865</v>
      </c>
      <c r="C114" s="16" t="s">
        <v>7609</v>
      </c>
      <c r="D114" s="16" t="s">
        <v>7597</v>
      </c>
      <c r="E114" s="16" t="s">
        <v>6895</v>
      </c>
      <c r="F114" s="16" t="s">
        <v>6896</v>
      </c>
      <c r="G114" s="16" t="s">
        <v>8271</v>
      </c>
      <c r="H114" s="16" t="s">
        <v>214</v>
      </c>
      <c r="I114" s="16"/>
      <c r="J114" s="16"/>
      <c r="K114" s="16"/>
      <c r="L114" s="16"/>
      <c r="M114" s="19" t="s">
        <v>6897</v>
      </c>
      <c r="N114" s="16"/>
      <c r="O114" s="16" t="s">
        <v>6898</v>
      </c>
      <c r="P114" s="16" t="str">
        <f>HYPERLINK("https://ceds.ed.gov/cedselementdetails.aspx?termid=26578")</f>
        <v>https://ceds.ed.gov/cedselementdetails.aspx?termid=26578</v>
      </c>
      <c r="Q114" s="16">
        <v>75827</v>
      </c>
    </row>
    <row r="115" spans="1:17" ht="409.6" x14ac:dyDescent="0.3">
      <c r="A115" s="16" t="s">
        <v>7596</v>
      </c>
      <c r="B115" s="16" t="s">
        <v>8865</v>
      </c>
      <c r="C115" s="16" t="s">
        <v>7609</v>
      </c>
      <c r="D115" s="16" t="s">
        <v>7597</v>
      </c>
      <c r="E115" s="16" t="s">
        <v>6945</v>
      </c>
      <c r="F115" s="16" t="s">
        <v>6946</v>
      </c>
      <c r="G115" s="16" t="s">
        <v>9421</v>
      </c>
      <c r="H115" s="16"/>
      <c r="I115" s="16"/>
      <c r="J115" s="16"/>
      <c r="K115" s="16"/>
      <c r="L115" s="16" t="s">
        <v>6947</v>
      </c>
      <c r="M115" s="19" t="s">
        <v>6948</v>
      </c>
      <c r="N115" s="16"/>
      <c r="O115" s="16" t="s">
        <v>6949</v>
      </c>
      <c r="P115" s="16" t="str">
        <f>HYPERLINK("https://ceds.ed.gov/cedselementdetails.aspx?termid=26273")</f>
        <v>https://ceds.ed.gov/cedselementdetails.aspx?termid=26273</v>
      </c>
      <c r="Q115" s="16">
        <v>75828</v>
      </c>
    </row>
    <row r="116" spans="1:17" ht="72" x14ac:dyDescent="0.3">
      <c r="A116" s="16" t="s">
        <v>7596</v>
      </c>
      <c r="B116" s="16" t="s">
        <v>8865</v>
      </c>
      <c r="C116" s="16" t="s">
        <v>7609</v>
      </c>
      <c r="D116" s="16" t="s">
        <v>7597</v>
      </c>
      <c r="E116" s="16" t="s">
        <v>7094</v>
      </c>
      <c r="F116" s="16" t="s">
        <v>7095</v>
      </c>
      <c r="G116" s="16" t="s">
        <v>8276</v>
      </c>
      <c r="H116" s="16" t="s">
        <v>214</v>
      </c>
      <c r="I116" s="16"/>
      <c r="J116" s="16"/>
      <c r="K116" s="16"/>
      <c r="L116" s="16"/>
      <c r="M116" s="19" t="s">
        <v>7096</v>
      </c>
      <c r="N116" s="16"/>
      <c r="O116" s="16" t="s">
        <v>7097</v>
      </c>
      <c r="P116" s="16" t="str">
        <f>HYPERLINK("https://ceds.ed.gov/cedselementdetails.aspx?termid=26284")</f>
        <v>https://ceds.ed.gov/cedselementdetails.aspx?termid=26284</v>
      </c>
      <c r="Q116" s="16">
        <v>75829</v>
      </c>
    </row>
    <row r="117" spans="1:17" ht="57.6" x14ac:dyDescent="0.3">
      <c r="A117" s="16" t="s">
        <v>7596</v>
      </c>
      <c r="B117" s="16" t="s">
        <v>8865</v>
      </c>
      <c r="C117" s="16" t="s">
        <v>7610</v>
      </c>
      <c r="D117" s="16" t="s">
        <v>7597</v>
      </c>
      <c r="E117" s="16" t="s">
        <v>3772</v>
      </c>
      <c r="F117" s="16" t="s">
        <v>3773</v>
      </c>
      <c r="G117" s="16" t="s">
        <v>8586</v>
      </c>
      <c r="H117" s="16" t="s">
        <v>98</v>
      </c>
      <c r="I117" s="16"/>
      <c r="J117" s="16"/>
      <c r="K117" s="16"/>
      <c r="L117" s="16"/>
      <c r="M117" s="19" t="s">
        <v>3774</v>
      </c>
      <c r="N117" s="16"/>
      <c r="O117" s="16" t="s">
        <v>3775</v>
      </c>
      <c r="P117" s="16" t="str">
        <f>HYPERLINK("https://ceds.ed.gov/cedselementdetails.aspx?termid=26834")</f>
        <v>https://ceds.ed.gov/cedselementdetails.aspx?termid=26834</v>
      </c>
      <c r="Q117" s="16">
        <v>72288</v>
      </c>
    </row>
    <row r="118" spans="1:17" ht="57.6" x14ac:dyDescent="0.3">
      <c r="A118" s="16" t="s">
        <v>7596</v>
      </c>
      <c r="B118" s="16" t="s">
        <v>8865</v>
      </c>
      <c r="C118" s="16" t="s">
        <v>7611</v>
      </c>
      <c r="D118" s="16" t="s">
        <v>7597</v>
      </c>
      <c r="E118" s="16" t="s">
        <v>3732</v>
      </c>
      <c r="F118" s="16" t="s">
        <v>3733</v>
      </c>
      <c r="G118" s="16" t="s">
        <v>8580</v>
      </c>
      <c r="H118" s="16" t="s">
        <v>3397</v>
      </c>
      <c r="I118" s="16"/>
      <c r="J118" s="16"/>
      <c r="K118" s="16"/>
      <c r="L118" s="16"/>
      <c r="M118" s="19" t="s">
        <v>3734</v>
      </c>
      <c r="N118" s="16"/>
      <c r="O118" s="16" t="s">
        <v>3735</v>
      </c>
      <c r="P118" s="16" t="str">
        <f>HYPERLINK("https://ceds.ed.gov/cedselementdetails.aspx?termid=26985")</f>
        <v>https://ceds.ed.gov/cedselementdetails.aspx?termid=26985</v>
      </c>
      <c r="Q118" s="16">
        <v>71435</v>
      </c>
    </row>
    <row r="119" spans="1:17" ht="28.8" x14ac:dyDescent="0.3">
      <c r="A119" s="16" t="s">
        <v>7596</v>
      </c>
      <c r="B119" s="16" t="s">
        <v>8865</v>
      </c>
      <c r="C119" s="16" t="s">
        <v>7611</v>
      </c>
      <c r="D119" s="16" t="s">
        <v>7597</v>
      </c>
      <c r="E119" s="16" t="s">
        <v>6882</v>
      </c>
      <c r="F119" s="16" t="s">
        <v>6883</v>
      </c>
      <c r="G119" s="16" t="s">
        <v>32</v>
      </c>
      <c r="H119" s="16" t="s">
        <v>98</v>
      </c>
      <c r="I119" s="16"/>
      <c r="J119" s="16" t="s">
        <v>305</v>
      </c>
      <c r="K119" s="16"/>
      <c r="L119" s="16"/>
      <c r="M119" s="19" t="s">
        <v>6884</v>
      </c>
      <c r="N119" s="16"/>
      <c r="O119" s="16" t="s">
        <v>6885</v>
      </c>
      <c r="P119" s="16" t="str">
        <f>HYPERLINK("https://ceds.ed.gov/cedselementdetails.aspx?termid=26865")</f>
        <v>https://ceds.ed.gov/cedselementdetails.aspx?termid=26865</v>
      </c>
      <c r="Q119" s="16">
        <v>72316</v>
      </c>
    </row>
    <row r="120" spans="1:17" ht="72" x14ac:dyDescent="0.3">
      <c r="A120" s="16" t="s">
        <v>7596</v>
      </c>
      <c r="B120" s="16" t="s">
        <v>8865</v>
      </c>
      <c r="C120" s="16" t="s">
        <v>7611</v>
      </c>
      <c r="D120" s="16" t="s">
        <v>7597</v>
      </c>
      <c r="E120" s="16" t="s">
        <v>3357</v>
      </c>
      <c r="F120" s="16" t="s">
        <v>3358</v>
      </c>
      <c r="G120" s="16" t="s">
        <v>8533</v>
      </c>
      <c r="H120" s="16" t="s">
        <v>98</v>
      </c>
      <c r="I120" s="16"/>
      <c r="J120" s="16"/>
      <c r="K120" s="16"/>
      <c r="L120" s="16"/>
      <c r="M120" s="19" t="s">
        <v>3359</v>
      </c>
      <c r="N120" s="16"/>
      <c r="O120" s="16" t="s">
        <v>3360</v>
      </c>
      <c r="P120" s="16" t="str">
        <f>HYPERLINK("https://ceds.ed.gov/cedselementdetails.aspx?termid=26828")</f>
        <v>https://ceds.ed.gov/cedselementdetails.aspx?termid=26828</v>
      </c>
      <c r="Q120" s="16">
        <v>72284</v>
      </c>
    </row>
    <row r="121" spans="1:17" ht="43.2" x14ac:dyDescent="0.3">
      <c r="A121" s="16" t="s">
        <v>7596</v>
      </c>
      <c r="B121" s="16" t="s">
        <v>8865</v>
      </c>
      <c r="C121" s="16" t="s">
        <v>7611</v>
      </c>
      <c r="D121" s="16" t="s">
        <v>7597</v>
      </c>
      <c r="E121" s="16" t="s">
        <v>4678</v>
      </c>
      <c r="F121" s="16" t="s">
        <v>4679</v>
      </c>
      <c r="G121" s="16" t="s">
        <v>32</v>
      </c>
      <c r="H121" s="16" t="s">
        <v>2444</v>
      </c>
      <c r="I121" s="16"/>
      <c r="J121" s="16" t="s">
        <v>106</v>
      </c>
      <c r="K121" s="16"/>
      <c r="L121" s="16"/>
      <c r="M121" s="19" t="s">
        <v>4680</v>
      </c>
      <c r="N121" s="16"/>
      <c r="O121" s="16" t="s">
        <v>4681</v>
      </c>
      <c r="P121" s="16" t="str">
        <f>HYPERLINK("https://ceds.ed.gov/cedselementdetails.aspx?termid=26347")</f>
        <v>https://ceds.ed.gov/cedselementdetails.aspx?termid=26347</v>
      </c>
      <c r="Q121" s="16">
        <v>70711</v>
      </c>
    </row>
    <row r="122" spans="1:17" ht="43.2" x14ac:dyDescent="0.3">
      <c r="A122" s="16" t="s">
        <v>7596</v>
      </c>
      <c r="B122" s="16" t="s">
        <v>8865</v>
      </c>
      <c r="C122" s="16" t="s">
        <v>7611</v>
      </c>
      <c r="D122" s="16" t="s">
        <v>7597</v>
      </c>
      <c r="E122" s="16" t="s">
        <v>2440</v>
      </c>
      <c r="F122" s="16" t="s">
        <v>2441</v>
      </c>
      <c r="G122" s="16" t="s">
        <v>32</v>
      </c>
      <c r="H122" s="16" t="s">
        <v>2444</v>
      </c>
      <c r="I122" s="16"/>
      <c r="J122" s="16" t="s">
        <v>106</v>
      </c>
      <c r="K122" s="16"/>
      <c r="L122" s="16"/>
      <c r="M122" s="19" t="s">
        <v>2442</v>
      </c>
      <c r="N122" s="16"/>
      <c r="O122" s="16" t="s">
        <v>2443</v>
      </c>
      <c r="P122" s="16" t="str">
        <f>HYPERLINK("https://ceds.ed.gov/cedselementdetails.aspx?termid=26348")</f>
        <v>https://ceds.ed.gov/cedselementdetails.aspx?termid=26348</v>
      </c>
      <c r="Q122" s="16">
        <v>70712</v>
      </c>
    </row>
    <row r="123" spans="1:17" ht="57.6" x14ac:dyDescent="0.3">
      <c r="A123" s="16" t="s">
        <v>7596</v>
      </c>
      <c r="B123" s="16" t="s">
        <v>8865</v>
      </c>
      <c r="C123" s="16" t="s">
        <v>7611</v>
      </c>
      <c r="D123" s="16" t="s">
        <v>7597</v>
      </c>
      <c r="E123" s="16" t="s">
        <v>5221</v>
      </c>
      <c r="F123" s="16" t="s">
        <v>5222</v>
      </c>
      <c r="G123" s="16" t="s">
        <v>8317</v>
      </c>
      <c r="H123" s="16" t="s">
        <v>2444</v>
      </c>
      <c r="I123" s="16"/>
      <c r="J123" s="16"/>
      <c r="K123" s="16"/>
      <c r="L123" s="16"/>
      <c r="M123" s="19" t="s">
        <v>5223</v>
      </c>
      <c r="N123" s="16"/>
      <c r="O123" s="16" t="s">
        <v>5224</v>
      </c>
      <c r="P123" s="16" t="str">
        <f>HYPERLINK("https://ceds.ed.gov/cedselementdetails.aspx?termid=26349")</f>
        <v>https://ceds.ed.gov/cedselementdetails.aspx?termid=26349</v>
      </c>
      <c r="Q123" s="16">
        <v>70713</v>
      </c>
    </row>
    <row r="124" spans="1:17" ht="28.8" x14ac:dyDescent="0.3">
      <c r="A124" s="16" t="s">
        <v>7596</v>
      </c>
      <c r="B124" s="16" t="s">
        <v>8865</v>
      </c>
      <c r="C124" s="16" t="s">
        <v>7611</v>
      </c>
      <c r="D124" s="16" t="s">
        <v>7597</v>
      </c>
      <c r="E124" s="16" t="s">
        <v>5524</v>
      </c>
      <c r="F124" s="16" t="s">
        <v>5525</v>
      </c>
      <c r="G124" s="16" t="s">
        <v>32</v>
      </c>
      <c r="H124" s="16" t="s">
        <v>98</v>
      </c>
      <c r="I124" s="16"/>
      <c r="J124" s="16" t="s">
        <v>305</v>
      </c>
      <c r="K124" s="16"/>
      <c r="L124" s="16"/>
      <c r="M124" s="19" t="s">
        <v>5526</v>
      </c>
      <c r="N124" s="16"/>
      <c r="O124" s="16" t="s">
        <v>5527</v>
      </c>
      <c r="P124" s="16" t="str">
        <f>HYPERLINK("https://ceds.ed.gov/cedselementdetails.aspx?termid=26835")</f>
        <v>https://ceds.ed.gov/cedselementdetails.aspx?termid=26835</v>
      </c>
      <c r="Q124" s="16">
        <v>72289</v>
      </c>
    </row>
    <row r="125" spans="1:17" ht="28.8" x14ac:dyDescent="0.3">
      <c r="A125" s="16" t="s">
        <v>7596</v>
      </c>
      <c r="B125" s="16" t="s">
        <v>8865</v>
      </c>
      <c r="C125" s="16" t="s">
        <v>7611</v>
      </c>
      <c r="D125" s="16" t="s">
        <v>7597</v>
      </c>
      <c r="E125" s="16" t="s">
        <v>5528</v>
      </c>
      <c r="F125" s="16" t="s">
        <v>5529</v>
      </c>
      <c r="G125" s="16" t="s">
        <v>32</v>
      </c>
      <c r="H125" s="16" t="s">
        <v>98</v>
      </c>
      <c r="I125" s="16"/>
      <c r="J125" s="16" t="s">
        <v>305</v>
      </c>
      <c r="K125" s="16"/>
      <c r="L125" s="16"/>
      <c r="M125" s="19" t="s">
        <v>5530</v>
      </c>
      <c r="N125" s="16"/>
      <c r="O125" s="16" t="s">
        <v>5531</v>
      </c>
      <c r="P125" s="16" t="str">
        <f>HYPERLINK("https://ceds.ed.gov/cedselementdetails.aspx?termid=26836")</f>
        <v>https://ceds.ed.gov/cedselementdetails.aspx?termid=26836</v>
      </c>
      <c r="Q125" s="16">
        <v>72290</v>
      </c>
    </row>
    <row r="126" spans="1:17" ht="43.2" x14ac:dyDescent="0.3">
      <c r="A126" s="16" t="s">
        <v>7596</v>
      </c>
      <c r="B126" s="16" t="s">
        <v>8865</v>
      </c>
      <c r="C126" s="16" t="s">
        <v>7611</v>
      </c>
      <c r="D126" s="16" t="s">
        <v>7597</v>
      </c>
      <c r="E126" s="16" t="s">
        <v>3353</v>
      </c>
      <c r="F126" s="16" t="s">
        <v>3354</v>
      </c>
      <c r="G126" s="16" t="s">
        <v>22</v>
      </c>
      <c r="H126" s="16" t="s">
        <v>98</v>
      </c>
      <c r="I126" s="16"/>
      <c r="J126" s="16"/>
      <c r="K126" s="16"/>
      <c r="L126" s="16"/>
      <c r="M126" s="19" t="s">
        <v>3355</v>
      </c>
      <c r="N126" s="16"/>
      <c r="O126" s="16" t="s">
        <v>3356</v>
      </c>
      <c r="P126" s="16" t="str">
        <f>HYPERLINK("https://ceds.ed.gov/cedselementdetails.aspx?termid=26837")</f>
        <v>https://ceds.ed.gov/cedselementdetails.aspx?termid=26837</v>
      </c>
      <c r="Q126" s="16">
        <v>72291</v>
      </c>
    </row>
    <row r="127" spans="1:17" ht="43.2" x14ac:dyDescent="0.3">
      <c r="A127" s="16" t="s">
        <v>7596</v>
      </c>
      <c r="B127" s="16" t="s">
        <v>8865</v>
      </c>
      <c r="C127" s="16" t="s">
        <v>7611</v>
      </c>
      <c r="D127" s="16" t="s">
        <v>7597</v>
      </c>
      <c r="E127" s="16" t="s">
        <v>3349</v>
      </c>
      <c r="F127" s="16" t="s">
        <v>3350</v>
      </c>
      <c r="G127" s="16" t="s">
        <v>22</v>
      </c>
      <c r="H127" s="16" t="s">
        <v>98</v>
      </c>
      <c r="I127" s="16"/>
      <c r="J127" s="16"/>
      <c r="K127" s="16"/>
      <c r="L127" s="16"/>
      <c r="M127" s="19" t="s">
        <v>3351</v>
      </c>
      <c r="N127" s="16"/>
      <c r="O127" s="16" t="s">
        <v>3352</v>
      </c>
      <c r="P127" s="16" t="str">
        <f>HYPERLINK("https://ceds.ed.gov/cedselementdetails.aspx?termid=26838")</f>
        <v>https://ceds.ed.gov/cedselementdetails.aspx?termid=26838</v>
      </c>
      <c r="Q127" s="16">
        <v>72292</v>
      </c>
    </row>
    <row r="128" spans="1:17" ht="28.8" x14ac:dyDescent="0.3">
      <c r="A128" s="16" t="s">
        <v>7596</v>
      </c>
      <c r="B128" s="16" t="s">
        <v>8865</v>
      </c>
      <c r="C128" s="16" t="s">
        <v>7611</v>
      </c>
      <c r="D128" s="16" t="s">
        <v>7597</v>
      </c>
      <c r="E128" s="16" t="s">
        <v>7818</v>
      </c>
      <c r="F128" s="16" t="s">
        <v>7819</v>
      </c>
      <c r="G128" s="16" t="s">
        <v>32</v>
      </c>
      <c r="H128" s="16"/>
      <c r="I128" s="16"/>
      <c r="J128" s="16" t="s">
        <v>136</v>
      </c>
      <c r="K128" s="16"/>
      <c r="L128" s="16"/>
      <c r="M128" s="19" t="s">
        <v>8174</v>
      </c>
      <c r="N128" s="16"/>
      <c r="O128" s="16" t="s">
        <v>7820</v>
      </c>
      <c r="P128" s="16" t="str">
        <f>HYPERLINK("https://ceds.ed.gov/cedselementdetails.aspx?termid=27972")</f>
        <v>https://ceds.ed.gov/cedselementdetails.aspx?termid=27972</v>
      </c>
      <c r="Q128" s="16">
        <v>75822</v>
      </c>
    </row>
    <row r="129" spans="1:17" ht="43.2" x14ac:dyDescent="0.3">
      <c r="A129" s="16" t="s">
        <v>7596</v>
      </c>
      <c r="B129" s="16" t="s">
        <v>8865</v>
      </c>
      <c r="C129" s="16" t="s">
        <v>7611</v>
      </c>
      <c r="D129" s="16" t="s">
        <v>7597</v>
      </c>
      <c r="E129" s="16" t="s">
        <v>7821</v>
      </c>
      <c r="F129" s="16" t="s">
        <v>7822</v>
      </c>
      <c r="G129" s="16" t="s">
        <v>8197</v>
      </c>
      <c r="H129" s="16"/>
      <c r="I129" s="16"/>
      <c r="J129" s="16" t="s">
        <v>2</v>
      </c>
      <c r="K129" s="16"/>
      <c r="L129" s="16"/>
      <c r="M129" s="19" t="s">
        <v>8175</v>
      </c>
      <c r="N129" s="16"/>
      <c r="O129" s="16" t="s">
        <v>7823</v>
      </c>
      <c r="P129" s="16" t="str">
        <f>HYPERLINK("https://ceds.ed.gov/cedselementdetails.aspx?termid=27973")</f>
        <v>https://ceds.ed.gov/cedselementdetails.aspx?termid=27973</v>
      </c>
      <c r="Q129" s="16">
        <v>75823</v>
      </c>
    </row>
    <row r="130" spans="1:17" ht="86.4" x14ac:dyDescent="0.3">
      <c r="A130" s="16" t="s">
        <v>7596</v>
      </c>
      <c r="B130" s="16" t="s">
        <v>8865</v>
      </c>
      <c r="C130" s="16" t="s">
        <v>7612</v>
      </c>
      <c r="D130" s="16" t="s">
        <v>7597</v>
      </c>
      <c r="E130" s="16" t="s">
        <v>6233</v>
      </c>
      <c r="F130" s="16" t="s">
        <v>6234</v>
      </c>
      <c r="G130" s="16" t="s">
        <v>8810</v>
      </c>
      <c r="H130" s="16" t="s">
        <v>6238</v>
      </c>
      <c r="I130" s="16"/>
      <c r="J130" s="16"/>
      <c r="K130" s="16"/>
      <c r="L130" s="16"/>
      <c r="M130" s="19" t="s">
        <v>6235</v>
      </c>
      <c r="N130" s="16" t="s">
        <v>6236</v>
      </c>
      <c r="O130" s="16" t="s">
        <v>6237</v>
      </c>
      <c r="P130" s="16" t="str">
        <f>HYPERLINK("https://ceds.ed.gov/cedselementdetails.aspx?termid=26356")</f>
        <v>https://ceds.ed.gov/cedselementdetails.aspx?termid=26356</v>
      </c>
      <c r="Q130" s="16">
        <v>70719</v>
      </c>
    </row>
    <row r="131" spans="1:17" ht="43.2" x14ac:dyDescent="0.3">
      <c r="A131" s="16" t="s">
        <v>7596</v>
      </c>
      <c r="B131" s="16" t="s">
        <v>8865</v>
      </c>
      <c r="C131" s="16" t="s">
        <v>7612</v>
      </c>
      <c r="D131" s="16" t="s">
        <v>7597</v>
      </c>
      <c r="E131" s="16" t="s">
        <v>6239</v>
      </c>
      <c r="F131" s="16" t="s">
        <v>6240</v>
      </c>
      <c r="G131" s="16" t="s">
        <v>32</v>
      </c>
      <c r="H131" s="16" t="s">
        <v>6238</v>
      </c>
      <c r="I131" s="16"/>
      <c r="J131" s="16" t="s">
        <v>1304</v>
      </c>
      <c r="K131" s="16"/>
      <c r="L131" s="16"/>
      <c r="M131" s="19" t="s">
        <v>6241</v>
      </c>
      <c r="N131" s="16" t="s">
        <v>6242</v>
      </c>
      <c r="O131" s="16" t="s">
        <v>6243</v>
      </c>
      <c r="P131" s="16" t="str">
        <f>HYPERLINK("https://ceds.ed.gov/cedselementdetails.aspx?termid=26357")</f>
        <v>https://ceds.ed.gov/cedselementdetails.aspx?termid=26357</v>
      </c>
      <c r="Q131" s="16">
        <v>70720</v>
      </c>
    </row>
    <row r="132" spans="1:17" ht="28.8" x14ac:dyDescent="0.3">
      <c r="A132" s="16" t="s">
        <v>7596</v>
      </c>
      <c r="B132" s="16" t="s">
        <v>8865</v>
      </c>
      <c r="C132" s="16" t="s">
        <v>7612</v>
      </c>
      <c r="D132" s="16" t="s">
        <v>7597</v>
      </c>
      <c r="E132" s="16" t="s">
        <v>6223</v>
      </c>
      <c r="F132" s="16" t="s">
        <v>6224</v>
      </c>
      <c r="G132" s="16" t="s">
        <v>32</v>
      </c>
      <c r="H132" s="16" t="s">
        <v>98</v>
      </c>
      <c r="I132" s="16"/>
      <c r="J132" s="16" t="s">
        <v>106</v>
      </c>
      <c r="K132" s="16"/>
      <c r="L132" s="16"/>
      <c r="M132" s="19" t="s">
        <v>6225</v>
      </c>
      <c r="N132" s="16" t="s">
        <v>6226</v>
      </c>
      <c r="O132" s="16" t="s">
        <v>6227</v>
      </c>
      <c r="P132" s="16" t="str">
        <f>HYPERLINK("https://ceds.ed.gov/cedselementdetails.aspx?termid=26830")</f>
        <v>https://ceds.ed.gov/cedselementdetails.aspx?termid=26830</v>
      </c>
      <c r="Q132" s="16">
        <v>72286</v>
      </c>
    </row>
    <row r="133" spans="1:17" ht="28.8" x14ac:dyDescent="0.3">
      <c r="A133" s="16" t="s">
        <v>7596</v>
      </c>
      <c r="B133" s="16" t="s">
        <v>8865</v>
      </c>
      <c r="C133" s="16" t="s">
        <v>7612</v>
      </c>
      <c r="D133" s="16" t="s">
        <v>7597</v>
      </c>
      <c r="E133" s="16" t="s">
        <v>6228</v>
      </c>
      <c r="F133" s="16" t="s">
        <v>6229</v>
      </c>
      <c r="G133" s="16" t="s">
        <v>32</v>
      </c>
      <c r="H133" s="16" t="s">
        <v>98</v>
      </c>
      <c r="I133" s="16"/>
      <c r="J133" s="16" t="s">
        <v>106</v>
      </c>
      <c r="K133" s="16"/>
      <c r="L133" s="16"/>
      <c r="M133" s="19" t="s">
        <v>6230</v>
      </c>
      <c r="N133" s="16" t="s">
        <v>6231</v>
      </c>
      <c r="O133" s="16" t="s">
        <v>6232</v>
      </c>
      <c r="P133" s="16" t="str">
        <f>HYPERLINK("https://ceds.ed.gov/cedselementdetails.aspx?termid=26831")</f>
        <v>https://ceds.ed.gov/cedselementdetails.aspx?termid=26831</v>
      </c>
      <c r="Q133" s="16">
        <v>72287</v>
      </c>
    </row>
    <row r="134" spans="1:17" ht="28.8" x14ac:dyDescent="0.3">
      <c r="A134" s="16" t="s">
        <v>7596</v>
      </c>
      <c r="B134" s="16" t="s">
        <v>8865</v>
      </c>
      <c r="C134" s="16" t="s">
        <v>7612</v>
      </c>
      <c r="D134" s="16" t="s">
        <v>7597</v>
      </c>
      <c r="E134" s="16" t="s">
        <v>5542</v>
      </c>
      <c r="F134" s="16" t="s">
        <v>5543</v>
      </c>
      <c r="G134" s="16" t="s">
        <v>32</v>
      </c>
      <c r="H134" s="16" t="s">
        <v>98</v>
      </c>
      <c r="I134" s="16"/>
      <c r="J134" s="16" t="s">
        <v>305</v>
      </c>
      <c r="K134" s="16"/>
      <c r="L134" s="16"/>
      <c r="M134" s="19" t="s">
        <v>5544</v>
      </c>
      <c r="N134" s="16" t="s">
        <v>5545</v>
      </c>
      <c r="O134" s="16" t="s">
        <v>5546</v>
      </c>
      <c r="P134" s="16" t="str">
        <f>HYPERLINK("https://ceds.ed.gov/cedselementdetails.aspx?termid=26843")</f>
        <v>https://ceds.ed.gov/cedselementdetails.aspx?termid=26843</v>
      </c>
      <c r="Q134" s="16">
        <v>72297</v>
      </c>
    </row>
    <row r="135" spans="1:17" x14ac:dyDescent="0.3">
      <c r="A135" s="16" t="s">
        <v>7596</v>
      </c>
      <c r="B135" s="16" t="s">
        <v>8865</v>
      </c>
      <c r="C135" s="16" t="s">
        <v>7613</v>
      </c>
      <c r="D135" s="16" t="s">
        <v>7597</v>
      </c>
      <c r="E135" s="16" t="s">
        <v>5415</v>
      </c>
      <c r="F135" s="16" t="s">
        <v>5416</v>
      </c>
      <c r="G135" s="16" t="s">
        <v>32</v>
      </c>
      <c r="H135" s="16"/>
      <c r="I135" s="16"/>
      <c r="J135" s="16" t="s">
        <v>106</v>
      </c>
      <c r="K135" s="16"/>
      <c r="L135" s="16"/>
      <c r="M135" s="19" t="s">
        <v>5417</v>
      </c>
      <c r="N135" s="16"/>
      <c r="O135" s="16" t="s">
        <v>5418</v>
      </c>
      <c r="P135" s="16" t="str">
        <f>HYPERLINK("https://ceds.ed.gov/cedselementdetails.aspx?termid=27297")</f>
        <v>https://ceds.ed.gov/cedselementdetails.aspx?termid=27297</v>
      </c>
      <c r="Q135" s="16">
        <v>73137</v>
      </c>
    </row>
    <row r="136" spans="1:17" ht="57.6" x14ac:dyDescent="0.3">
      <c r="A136" s="16" t="s">
        <v>7596</v>
      </c>
      <c r="B136" s="16" t="s">
        <v>8865</v>
      </c>
      <c r="C136" s="16" t="s">
        <v>7613</v>
      </c>
      <c r="D136" s="16" t="s">
        <v>7597</v>
      </c>
      <c r="E136" s="16" t="s">
        <v>5411</v>
      </c>
      <c r="F136" s="16" t="s">
        <v>5412</v>
      </c>
      <c r="G136" s="16" t="s">
        <v>32</v>
      </c>
      <c r="H136" s="16"/>
      <c r="I136" s="16"/>
      <c r="J136" s="16" t="s">
        <v>106</v>
      </c>
      <c r="K136" s="16"/>
      <c r="L136" s="16" t="s">
        <v>131</v>
      </c>
      <c r="M136" s="19" t="s">
        <v>5413</v>
      </c>
      <c r="N136" s="16"/>
      <c r="O136" s="16" t="s">
        <v>5414</v>
      </c>
      <c r="P136" s="16" t="str">
        <f>HYPERLINK("https://ceds.ed.gov/cedselementdetails.aspx?termid=27298")</f>
        <v>https://ceds.ed.gov/cedselementdetails.aspx?termid=27298</v>
      </c>
      <c r="Q136" s="16">
        <v>73138</v>
      </c>
    </row>
    <row r="137" spans="1:17" ht="43.2" x14ac:dyDescent="0.3">
      <c r="A137" s="16" t="s">
        <v>7596</v>
      </c>
      <c r="B137" s="16" t="s">
        <v>8865</v>
      </c>
      <c r="C137" s="16" t="s">
        <v>7613</v>
      </c>
      <c r="D137" s="16" t="s">
        <v>7597</v>
      </c>
      <c r="E137" s="16" t="s">
        <v>5594</v>
      </c>
      <c r="F137" s="16" t="s">
        <v>5595</v>
      </c>
      <c r="G137" s="16" t="s">
        <v>8742</v>
      </c>
      <c r="H137" s="16"/>
      <c r="I137" s="16"/>
      <c r="J137" s="16"/>
      <c r="K137" s="16"/>
      <c r="L137" s="16"/>
      <c r="M137" s="19" t="s">
        <v>5596</v>
      </c>
      <c r="N137" s="16"/>
      <c r="O137" s="16" t="s">
        <v>5597</v>
      </c>
      <c r="P137" s="16" t="str">
        <f>HYPERLINK("https://ceds.ed.gov/cedselementdetails.aspx?termid=27296")</f>
        <v>https://ceds.ed.gov/cedselementdetails.aspx?termid=27296</v>
      </c>
      <c r="Q137" s="16">
        <v>73136</v>
      </c>
    </row>
    <row r="138" spans="1:17" ht="28.8" x14ac:dyDescent="0.3">
      <c r="A138" s="16" t="s">
        <v>7596</v>
      </c>
      <c r="B138" s="16" t="s">
        <v>8865</v>
      </c>
      <c r="C138" s="16" t="s">
        <v>7613</v>
      </c>
      <c r="D138" s="16" t="s">
        <v>7597</v>
      </c>
      <c r="E138" s="16" t="s">
        <v>5623</v>
      </c>
      <c r="F138" s="16" t="s">
        <v>5624</v>
      </c>
      <c r="G138" s="16" t="s">
        <v>32</v>
      </c>
      <c r="H138" s="16"/>
      <c r="I138" s="16"/>
      <c r="J138" s="16" t="s">
        <v>101</v>
      </c>
      <c r="K138" s="16"/>
      <c r="L138" s="16"/>
      <c r="M138" s="19" t="s">
        <v>5625</v>
      </c>
      <c r="N138" s="16"/>
      <c r="O138" s="16" t="s">
        <v>5626</v>
      </c>
      <c r="P138" s="16" t="str">
        <f>HYPERLINK("https://ceds.ed.gov/cedselementdetails.aspx?termid=27300")</f>
        <v>https://ceds.ed.gov/cedselementdetails.aspx?termid=27300</v>
      </c>
      <c r="Q138" s="16">
        <v>73140</v>
      </c>
    </row>
    <row r="139" spans="1:17" ht="86.4" x14ac:dyDescent="0.3">
      <c r="A139" s="16" t="s">
        <v>7596</v>
      </c>
      <c r="B139" s="16" t="s">
        <v>8865</v>
      </c>
      <c r="C139" s="16" t="s">
        <v>7613</v>
      </c>
      <c r="D139" s="16" t="s">
        <v>7597</v>
      </c>
      <c r="E139" s="16" t="s">
        <v>6183</v>
      </c>
      <c r="F139" s="16" t="s">
        <v>6184</v>
      </c>
      <c r="G139" s="16" t="s">
        <v>8808</v>
      </c>
      <c r="H139" s="16"/>
      <c r="I139" s="16"/>
      <c r="J139" s="16"/>
      <c r="K139" s="16"/>
      <c r="L139" s="16"/>
      <c r="M139" s="19" t="s">
        <v>6185</v>
      </c>
      <c r="N139" s="16"/>
      <c r="O139" s="16" t="s">
        <v>6186</v>
      </c>
      <c r="P139" s="16" t="str">
        <f>HYPERLINK("https://ceds.ed.gov/cedselementdetails.aspx?termid=27299")</f>
        <v>https://ceds.ed.gov/cedselementdetails.aspx?termid=27299</v>
      </c>
      <c r="Q139" s="16">
        <v>73139</v>
      </c>
    </row>
    <row r="140" spans="1:17" ht="129.6" x14ac:dyDescent="0.3">
      <c r="A140" s="16" t="s">
        <v>7596</v>
      </c>
      <c r="B140" s="16" t="s">
        <v>8865</v>
      </c>
      <c r="C140" s="16" t="s">
        <v>7614</v>
      </c>
      <c r="D140" s="16" t="s">
        <v>7597</v>
      </c>
      <c r="E140" s="16" t="s">
        <v>93</v>
      </c>
      <c r="F140" s="16" t="s">
        <v>94</v>
      </c>
      <c r="G140" s="16" t="s">
        <v>8287</v>
      </c>
      <c r="H140" s="16" t="s">
        <v>98</v>
      </c>
      <c r="I140" s="16"/>
      <c r="J140" s="16"/>
      <c r="K140" s="16"/>
      <c r="L140" s="16" t="s">
        <v>95</v>
      </c>
      <c r="M140" s="19" t="s">
        <v>96</v>
      </c>
      <c r="N140" s="16"/>
      <c r="O140" s="16" t="s">
        <v>97</v>
      </c>
      <c r="P140" s="16" t="str">
        <f>HYPERLINK("https://ceds.ed.gov/cedselementdetails.aspx?termid=26983")</f>
        <v>https://ceds.ed.gov/cedselementdetails.aspx?termid=26983</v>
      </c>
      <c r="Q140" s="16">
        <v>71510</v>
      </c>
    </row>
    <row r="141" spans="1:17" ht="28.8" x14ac:dyDescent="0.3">
      <c r="A141" s="16" t="s">
        <v>7596</v>
      </c>
      <c r="B141" s="16" t="s">
        <v>8865</v>
      </c>
      <c r="C141" s="16" t="s">
        <v>7614</v>
      </c>
      <c r="D141" s="16" t="s">
        <v>7597</v>
      </c>
      <c r="E141" s="16" t="s">
        <v>104</v>
      </c>
      <c r="F141" s="16" t="s">
        <v>105</v>
      </c>
      <c r="G141" s="16" t="s">
        <v>32</v>
      </c>
      <c r="H141" s="16" t="s">
        <v>98</v>
      </c>
      <c r="I141" s="16"/>
      <c r="J141" s="16" t="s">
        <v>106</v>
      </c>
      <c r="K141" s="16"/>
      <c r="L141" s="16"/>
      <c r="M141" s="19" t="s">
        <v>107</v>
      </c>
      <c r="N141" s="16"/>
      <c r="O141" s="16" t="s">
        <v>108</v>
      </c>
      <c r="P141" s="16" t="str">
        <f>HYPERLINK("https://ceds.ed.gov/cedselementdetails.aspx?termid=26840")</f>
        <v>https://ceds.ed.gov/cedselementdetails.aspx?termid=26840</v>
      </c>
      <c r="Q141" s="16">
        <v>72294</v>
      </c>
    </row>
    <row r="142" spans="1:17" ht="28.8" x14ac:dyDescent="0.3">
      <c r="A142" s="16" t="s">
        <v>7596</v>
      </c>
      <c r="B142" s="16" t="s">
        <v>8865</v>
      </c>
      <c r="C142" s="16" t="s">
        <v>7614</v>
      </c>
      <c r="D142" s="16" t="s">
        <v>7597</v>
      </c>
      <c r="E142" s="16" t="s">
        <v>109</v>
      </c>
      <c r="F142" s="16" t="s">
        <v>110</v>
      </c>
      <c r="G142" s="16" t="s">
        <v>32</v>
      </c>
      <c r="H142" s="16" t="s">
        <v>98</v>
      </c>
      <c r="I142" s="16"/>
      <c r="J142" s="16" t="s">
        <v>106</v>
      </c>
      <c r="K142" s="16"/>
      <c r="L142" s="16"/>
      <c r="M142" s="19" t="s">
        <v>111</v>
      </c>
      <c r="N142" s="16"/>
      <c r="O142" s="16" t="s">
        <v>112</v>
      </c>
      <c r="P142" s="16" t="str">
        <f>HYPERLINK("https://ceds.ed.gov/cedselementdetails.aspx?termid=26841")</f>
        <v>https://ceds.ed.gov/cedselementdetails.aspx?termid=26841</v>
      </c>
      <c r="Q142" s="16">
        <v>72295</v>
      </c>
    </row>
    <row r="143" spans="1:17" ht="43.2" x14ac:dyDescent="0.3">
      <c r="A143" s="16" t="s">
        <v>7596</v>
      </c>
      <c r="B143" s="16" t="s">
        <v>8865</v>
      </c>
      <c r="C143" s="16" t="s">
        <v>7614</v>
      </c>
      <c r="D143" s="16" t="s">
        <v>7597</v>
      </c>
      <c r="E143" s="16" t="s">
        <v>5614</v>
      </c>
      <c r="F143" s="16" t="s">
        <v>5615</v>
      </c>
      <c r="G143" s="16" t="s">
        <v>32</v>
      </c>
      <c r="H143" s="16"/>
      <c r="I143" s="16"/>
      <c r="J143" s="16" t="s">
        <v>106</v>
      </c>
      <c r="K143" s="16"/>
      <c r="L143" s="16"/>
      <c r="M143" s="19" t="s">
        <v>5616</v>
      </c>
      <c r="N143" s="16"/>
      <c r="O143" s="16" t="s">
        <v>5617</v>
      </c>
      <c r="P143" s="16" t="str">
        <f>HYPERLINK("https://ceds.ed.gov/cedselementdetails.aspx?termid=27388")</f>
        <v>https://ceds.ed.gov/cedselementdetails.aspx?termid=27388</v>
      </c>
      <c r="Q143" s="16">
        <v>73301</v>
      </c>
    </row>
    <row r="144" spans="1:17" ht="28.8" x14ac:dyDescent="0.3">
      <c r="A144" s="16" t="s">
        <v>7596</v>
      </c>
      <c r="B144" s="16" t="s">
        <v>8865</v>
      </c>
      <c r="C144" s="16" t="s">
        <v>7615</v>
      </c>
      <c r="D144" s="16" t="s">
        <v>7597</v>
      </c>
      <c r="E144" s="16" t="s">
        <v>6203</v>
      </c>
      <c r="F144" s="16" t="s">
        <v>6204</v>
      </c>
      <c r="G144" s="16" t="s">
        <v>32</v>
      </c>
      <c r="H144" s="16"/>
      <c r="I144" s="16"/>
      <c r="J144" s="16" t="s">
        <v>81</v>
      </c>
      <c r="K144" s="16"/>
      <c r="L144" s="16"/>
      <c r="M144" s="19" t="s">
        <v>6205</v>
      </c>
      <c r="N144" s="16"/>
      <c r="O144" s="16" t="s">
        <v>6206</v>
      </c>
      <c r="P144" s="16" t="str">
        <f>HYPERLINK("https://ceds.ed.gov/cedselementdetails.aspx?termid=27433")</f>
        <v>https://ceds.ed.gov/cedselementdetails.aspx?termid=27433</v>
      </c>
      <c r="Q144" s="16">
        <v>73368</v>
      </c>
    </row>
    <row r="145" spans="1:17" ht="28.8" x14ac:dyDescent="0.3">
      <c r="A145" s="16" t="s">
        <v>7596</v>
      </c>
      <c r="B145" s="16" t="s">
        <v>8865</v>
      </c>
      <c r="C145" s="16" t="s">
        <v>7615</v>
      </c>
      <c r="D145" s="16" t="s">
        <v>7597</v>
      </c>
      <c r="E145" s="16" t="s">
        <v>6199</v>
      </c>
      <c r="F145" s="16" t="s">
        <v>6200</v>
      </c>
      <c r="G145" s="16" t="s">
        <v>32</v>
      </c>
      <c r="H145" s="16"/>
      <c r="I145" s="16"/>
      <c r="J145" s="16" t="s">
        <v>81</v>
      </c>
      <c r="K145" s="16"/>
      <c r="L145" s="16"/>
      <c r="M145" s="19" t="s">
        <v>6201</v>
      </c>
      <c r="N145" s="16"/>
      <c r="O145" s="16" t="s">
        <v>6202</v>
      </c>
      <c r="P145" s="16" t="str">
        <f>HYPERLINK("https://ceds.ed.gov/cedselementdetails.aspx?termid=27432")</f>
        <v>https://ceds.ed.gov/cedselementdetails.aspx?termid=27432</v>
      </c>
      <c r="Q145" s="16">
        <v>73367</v>
      </c>
    </row>
    <row r="146" spans="1:17" x14ac:dyDescent="0.3">
      <c r="A146" s="16" t="s">
        <v>7596</v>
      </c>
      <c r="B146" s="16" t="s">
        <v>8865</v>
      </c>
      <c r="C146" s="16" t="s">
        <v>7615</v>
      </c>
      <c r="D146" s="16" t="s">
        <v>7597</v>
      </c>
      <c r="E146" s="16" t="s">
        <v>6215</v>
      </c>
      <c r="F146" s="16" t="s">
        <v>6216</v>
      </c>
      <c r="G146" s="16" t="s">
        <v>32</v>
      </c>
      <c r="H146" s="16"/>
      <c r="I146" s="16"/>
      <c r="J146" s="16" t="s">
        <v>106</v>
      </c>
      <c r="K146" s="16"/>
      <c r="L146" s="16"/>
      <c r="M146" s="19" t="s">
        <v>6217</v>
      </c>
      <c r="N146" s="16"/>
      <c r="O146" s="16" t="s">
        <v>6218</v>
      </c>
      <c r="P146" s="16" t="str">
        <f>HYPERLINK("https://ceds.ed.gov/cedselementdetails.aspx?termid=27437")</f>
        <v>https://ceds.ed.gov/cedselementdetails.aspx?termid=27437</v>
      </c>
      <c r="Q146" s="16">
        <v>73372</v>
      </c>
    </row>
    <row r="147" spans="1:17" ht="57.6" x14ac:dyDescent="0.3">
      <c r="A147" s="16" t="s">
        <v>7596</v>
      </c>
      <c r="B147" s="16" t="s">
        <v>8865</v>
      </c>
      <c r="C147" s="16" t="s">
        <v>7615</v>
      </c>
      <c r="D147" s="16" t="s">
        <v>7597</v>
      </c>
      <c r="E147" s="16" t="s">
        <v>6207</v>
      </c>
      <c r="F147" s="16" t="s">
        <v>6208</v>
      </c>
      <c r="G147" s="16" t="s">
        <v>32</v>
      </c>
      <c r="H147" s="16"/>
      <c r="I147" s="16"/>
      <c r="J147" s="16" t="s">
        <v>106</v>
      </c>
      <c r="K147" s="16"/>
      <c r="L147" s="16" t="s">
        <v>131</v>
      </c>
      <c r="M147" s="19" t="s">
        <v>6209</v>
      </c>
      <c r="N147" s="16"/>
      <c r="O147" s="16" t="s">
        <v>6210</v>
      </c>
      <c r="P147" s="16" t="str">
        <f>HYPERLINK("https://ceds.ed.gov/cedselementdetails.aspx?termid=27436")</f>
        <v>https://ceds.ed.gov/cedselementdetails.aspx?termid=27436</v>
      </c>
      <c r="Q147" s="16">
        <v>73371</v>
      </c>
    </row>
    <row r="148" spans="1:17" ht="43.2" x14ac:dyDescent="0.3">
      <c r="A148" s="16" t="s">
        <v>7596</v>
      </c>
      <c r="B148" s="16" t="s">
        <v>8865</v>
      </c>
      <c r="C148" s="16" t="s">
        <v>7615</v>
      </c>
      <c r="D148" s="16" t="s">
        <v>7597</v>
      </c>
      <c r="E148" s="16" t="s">
        <v>6211</v>
      </c>
      <c r="F148" s="16" t="s">
        <v>6212</v>
      </c>
      <c r="G148" s="16" t="s">
        <v>22</v>
      </c>
      <c r="H148" s="16"/>
      <c r="I148" s="16"/>
      <c r="J148" s="16"/>
      <c r="K148" s="16"/>
      <c r="L148" s="16"/>
      <c r="M148" s="19" t="s">
        <v>6213</v>
      </c>
      <c r="N148" s="16"/>
      <c r="O148" s="16" t="s">
        <v>6214</v>
      </c>
      <c r="P148" s="16" t="str">
        <f>HYPERLINK("https://ceds.ed.gov/cedselementdetails.aspx?termid=27435")</f>
        <v>https://ceds.ed.gov/cedselementdetails.aspx?termid=27435</v>
      </c>
      <c r="Q148" s="16">
        <v>73370</v>
      </c>
    </row>
    <row r="149" spans="1:17" ht="57.6" x14ac:dyDescent="0.3">
      <c r="A149" s="16" t="s">
        <v>7596</v>
      </c>
      <c r="B149" s="16" t="s">
        <v>8865</v>
      </c>
      <c r="C149" s="16" t="s">
        <v>7615</v>
      </c>
      <c r="D149" s="16" t="s">
        <v>7597</v>
      </c>
      <c r="E149" s="16" t="s">
        <v>6219</v>
      </c>
      <c r="F149" s="16" t="s">
        <v>6220</v>
      </c>
      <c r="G149" s="16" t="s">
        <v>32</v>
      </c>
      <c r="H149" s="16"/>
      <c r="I149" s="16"/>
      <c r="J149" s="16" t="s">
        <v>81</v>
      </c>
      <c r="K149" s="16"/>
      <c r="L149" s="16"/>
      <c r="M149" s="19" t="s">
        <v>6221</v>
      </c>
      <c r="N149" s="16"/>
      <c r="O149" s="16" t="s">
        <v>6222</v>
      </c>
      <c r="P149" s="16" t="str">
        <f>HYPERLINK("https://ceds.ed.gov/cedselementdetails.aspx?termid=27434")</f>
        <v>https://ceds.ed.gov/cedselementdetails.aspx?termid=27434</v>
      </c>
      <c r="Q149" s="16">
        <v>73369</v>
      </c>
    </row>
    <row r="150" spans="1:17" ht="43.2" x14ac:dyDescent="0.3">
      <c r="A150" s="16" t="s">
        <v>7596</v>
      </c>
      <c r="B150" s="16" t="s">
        <v>8865</v>
      </c>
      <c r="C150" s="16" t="s">
        <v>7615</v>
      </c>
      <c r="D150" s="16" t="s">
        <v>7597</v>
      </c>
      <c r="E150" s="16" t="s">
        <v>6070</v>
      </c>
      <c r="F150" s="16" t="s">
        <v>6071</v>
      </c>
      <c r="G150" s="16" t="s">
        <v>22</v>
      </c>
      <c r="H150" s="16" t="s">
        <v>98</v>
      </c>
      <c r="I150" s="16"/>
      <c r="J150" s="16"/>
      <c r="K150" s="16"/>
      <c r="L150" s="16"/>
      <c r="M150" s="19" t="s">
        <v>6072</v>
      </c>
      <c r="N150" s="16"/>
      <c r="O150" s="16" t="s">
        <v>6073</v>
      </c>
      <c r="P150" s="16" t="str">
        <f>HYPERLINK("https://ceds.ed.gov/cedselementdetails.aspx?termid=26851")</f>
        <v>https://ceds.ed.gov/cedselementdetails.aspx?termid=26851</v>
      </c>
      <c r="Q150" s="16">
        <v>75166</v>
      </c>
    </row>
    <row r="151" spans="1:17" ht="115.2" x14ac:dyDescent="0.3">
      <c r="A151" s="16" t="s">
        <v>7596</v>
      </c>
      <c r="B151" s="16" t="s">
        <v>8865</v>
      </c>
      <c r="C151" s="16" t="s">
        <v>7616</v>
      </c>
      <c r="D151" s="16" t="s">
        <v>7597</v>
      </c>
      <c r="E151" s="16" t="s">
        <v>220</v>
      </c>
      <c r="F151" s="16" t="s">
        <v>221</v>
      </c>
      <c r="G151" s="16" t="s">
        <v>8298</v>
      </c>
      <c r="H151" s="16" t="s">
        <v>98</v>
      </c>
      <c r="I151" s="16"/>
      <c r="J151" s="16"/>
      <c r="K151" s="16"/>
      <c r="L151" s="16" t="s">
        <v>222</v>
      </c>
      <c r="M151" s="19" t="s">
        <v>223</v>
      </c>
      <c r="N151" s="16"/>
      <c r="O151" s="16" t="s">
        <v>224</v>
      </c>
      <c r="P151" s="16" t="str">
        <f>HYPERLINK("https://ceds.ed.gov/cedselementdetails.aspx?termid=26984")</f>
        <v>https://ceds.ed.gov/cedselementdetails.aspx?termid=26984</v>
      </c>
      <c r="Q151" s="16">
        <v>71434</v>
      </c>
    </row>
    <row r="152" spans="1:17" ht="86.4" x14ac:dyDescent="0.3">
      <c r="A152" s="16" t="s">
        <v>7596</v>
      </c>
      <c r="B152" s="16" t="s">
        <v>8865</v>
      </c>
      <c r="C152" s="16" t="s">
        <v>7616</v>
      </c>
      <c r="D152" s="16" t="s">
        <v>7597</v>
      </c>
      <c r="E152" s="16" t="s">
        <v>5766</v>
      </c>
      <c r="F152" s="16" t="s">
        <v>5767</v>
      </c>
      <c r="G152" s="16" t="s">
        <v>8756</v>
      </c>
      <c r="H152" s="16" t="s">
        <v>98</v>
      </c>
      <c r="I152" s="16"/>
      <c r="J152" s="16"/>
      <c r="K152" s="16"/>
      <c r="L152" s="16"/>
      <c r="M152" s="19" t="s">
        <v>5768</v>
      </c>
      <c r="N152" s="16"/>
      <c r="O152" s="16" t="s">
        <v>5769</v>
      </c>
      <c r="P152" s="16" t="str">
        <f>HYPERLINK("https://ceds.ed.gov/cedselementdetails.aspx?termid=26842")</f>
        <v>https://ceds.ed.gov/cedselementdetails.aspx?termid=26842</v>
      </c>
      <c r="Q152" s="16">
        <v>72296</v>
      </c>
    </row>
    <row r="153" spans="1:17" ht="43.2" x14ac:dyDescent="0.3">
      <c r="A153" s="16" t="s">
        <v>7596</v>
      </c>
      <c r="B153" s="16" t="s">
        <v>8865</v>
      </c>
      <c r="C153" s="16" t="s">
        <v>7616</v>
      </c>
      <c r="D153" s="16" t="s">
        <v>7597</v>
      </c>
      <c r="E153" s="16" t="s">
        <v>6126</v>
      </c>
      <c r="F153" s="16" t="s">
        <v>6127</v>
      </c>
      <c r="G153" s="16" t="s">
        <v>22</v>
      </c>
      <c r="H153" s="16" t="s">
        <v>98</v>
      </c>
      <c r="I153" s="16"/>
      <c r="J153" s="16"/>
      <c r="K153" s="16"/>
      <c r="L153" s="16"/>
      <c r="M153" s="19" t="s">
        <v>6128</v>
      </c>
      <c r="N153" s="16"/>
      <c r="O153" s="16" t="s">
        <v>6129</v>
      </c>
      <c r="P153" s="16" t="str">
        <f>HYPERLINK("https://ceds.ed.gov/cedselementdetails.aspx?termid=26859")</f>
        <v>https://ceds.ed.gov/cedselementdetails.aspx?termid=26859</v>
      </c>
      <c r="Q153" s="16">
        <v>72312</v>
      </c>
    </row>
    <row r="154" spans="1:17" ht="403.2" x14ac:dyDescent="0.3">
      <c r="A154" s="16" t="s">
        <v>7596</v>
      </c>
      <c r="B154" s="16" t="s">
        <v>8865</v>
      </c>
      <c r="C154" s="16" t="s">
        <v>7617</v>
      </c>
      <c r="D154" s="16" t="s">
        <v>7597</v>
      </c>
      <c r="E154" s="16" t="s">
        <v>3289</v>
      </c>
      <c r="F154" s="16" t="s">
        <v>3290</v>
      </c>
      <c r="G154" s="16" t="s">
        <v>8219</v>
      </c>
      <c r="H154" s="16"/>
      <c r="I154" s="16"/>
      <c r="J154" s="16"/>
      <c r="K154" s="16"/>
      <c r="L154" s="16"/>
      <c r="M154" s="19" t="s">
        <v>3291</v>
      </c>
      <c r="N154" s="16"/>
      <c r="O154" s="16" t="s">
        <v>3292</v>
      </c>
      <c r="P154" s="16" t="str">
        <f>HYPERLINK("https://ceds.ed.gov/cedselementdetails.aspx?termid=27294")</f>
        <v>https://ceds.ed.gov/cedselementdetails.aspx?termid=27294</v>
      </c>
      <c r="Q154" s="16">
        <v>74135</v>
      </c>
    </row>
    <row r="155" spans="1:17" ht="100.8" x14ac:dyDescent="0.3">
      <c r="A155" s="16" t="s">
        <v>7596</v>
      </c>
      <c r="B155" s="16" t="s">
        <v>8865</v>
      </c>
      <c r="C155" s="16" t="s">
        <v>7617</v>
      </c>
      <c r="D155" s="16" t="s">
        <v>7597</v>
      </c>
      <c r="E155" s="16" t="s">
        <v>3309</v>
      </c>
      <c r="F155" s="16" t="s">
        <v>3310</v>
      </c>
      <c r="G155" s="16" t="s">
        <v>8526</v>
      </c>
      <c r="H155" s="16"/>
      <c r="I155" s="16"/>
      <c r="J155" s="16"/>
      <c r="K155" s="16"/>
      <c r="L155" s="16"/>
      <c r="M155" s="19" t="s">
        <v>3311</v>
      </c>
      <c r="N155" s="16"/>
      <c r="O155" s="16" t="s">
        <v>3312</v>
      </c>
      <c r="P155" s="16" t="str">
        <f>HYPERLINK("https://ceds.ed.gov/cedselementdetails.aspx?termid=27302")</f>
        <v>https://ceds.ed.gov/cedselementdetails.aspx?termid=27302</v>
      </c>
      <c r="Q155" s="16">
        <v>74136</v>
      </c>
    </row>
    <row r="156" spans="1:17" ht="72" x14ac:dyDescent="0.3">
      <c r="A156" s="16" t="s">
        <v>7596</v>
      </c>
      <c r="B156" s="16" t="s">
        <v>8865</v>
      </c>
      <c r="C156" s="16" t="s">
        <v>7617</v>
      </c>
      <c r="D156" s="16" t="s">
        <v>7597</v>
      </c>
      <c r="E156" s="16" t="s">
        <v>3856</v>
      </c>
      <c r="F156" s="16" t="s">
        <v>7976</v>
      </c>
      <c r="G156" s="16" t="s">
        <v>32</v>
      </c>
      <c r="H156" s="16" t="s">
        <v>214</v>
      </c>
      <c r="I156" s="16"/>
      <c r="J156" s="16" t="s">
        <v>3857</v>
      </c>
      <c r="K156" s="16"/>
      <c r="L156" s="16"/>
      <c r="M156" s="19" t="s">
        <v>3858</v>
      </c>
      <c r="N156" s="16"/>
      <c r="O156" s="16" t="s">
        <v>3859</v>
      </c>
      <c r="P156" s="16" t="str">
        <f>HYPERLINK("https://ceds.ed.gov/cedselementdetails.aspx?termid=26538")</f>
        <v>https://ceds.ed.gov/cedselementdetails.aspx?termid=26538</v>
      </c>
      <c r="Q156" s="16">
        <v>74137</v>
      </c>
    </row>
    <row r="157" spans="1:17" ht="86.4" x14ac:dyDescent="0.3">
      <c r="A157" s="16" t="s">
        <v>7596</v>
      </c>
      <c r="B157" s="16" t="s">
        <v>8865</v>
      </c>
      <c r="C157" s="16" t="s">
        <v>7617</v>
      </c>
      <c r="D157" s="16" t="s">
        <v>7597</v>
      </c>
      <c r="E157" s="16" t="s">
        <v>3874</v>
      </c>
      <c r="F157" s="16" t="s">
        <v>3875</v>
      </c>
      <c r="G157" s="16" t="s">
        <v>8224</v>
      </c>
      <c r="H157" s="16"/>
      <c r="I157" s="16"/>
      <c r="J157" s="16"/>
      <c r="K157" s="16"/>
      <c r="L157" s="16"/>
      <c r="M157" s="19" t="s">
        <v>3876</v>
      </c>
      <c r="N157" s="16"/>
      <c r="O157" s="16" t="s">
        <v>3877</v>
      </c>
      <c r="P157" s="16" t="str">
        <f>HYPERLINK("https://ceds.ed.gov/cedselementdetails.aspx?termid=27312")</f>
        <v>https://ceds.ed.gov/cedselementdetails.aspx?termid=27312</v>
      </c>
      <c r="Q157" s="16">
        <v>75792</v>
      </c>
    </row>
    <row r="158" spans="1:17" ht="28.8" x14ac:dyDescent="0.3">
      <c r="A158" s="16" t="s">
        <v>7596</v>
      </c>
      <c r="B158" s="16" t="s">
        <v>8865</v>
      </c>
      <c r="C158" s="16" t="s">
        <v>7617</v>
      </c>
      <c r="D158" s="16" t="s">
        <v>7597</v>
      </c>
      <c r="E158" s="16" t="s">
        <v>3878</v>
      </c>
      <c r="F158" s="16" t="s">
        <v>7987</v>
      </c>
      <c r="G158" s="16" t="s">
        <v>32</v>
      </c>
      <c r="H158" s="16"/>
      <c r="I158" s="16"/>
      <c r="J158" s="16" t="s">
        <v>101</v>
      </c>
      <c r="K158" s="16"/>
      <c r="L158" s="16"/>
      <c r="M158" s="19" t="s">
        <v>3879</v>
      </c>
      <c r="N158" s="16"/>
      <c r="O158" s="16" t="s">
        <v>3880</v>
      </c>
      <c r="P158" s="16" t="str">
        <f>HYPERLINK("https://ceds.ed.gov/cedselementdetails.aspx?termid=27313")</f>
        <v>https://ceds.ed.gov/cedselementdetails.aspx?termid=27313</v>
      </c>
      <c r="Q158" s="16">
        <v>75793</v>
      </c>
    </row>
    <row r="159" spans="1:17" ht="144" x14ac:dyDescent="0.3">
      <c r="A159" s="16" t="s">
        <v>7596</v>
      </c>
      <c r="B159" s="16" t="s">
        <v>8865</v>
      </c>
      <c r="C159" s="16" t="s">
        <v>7617</v>
      </c>
      <c r="D159" s="16" t="s">
        <v>7597</v>
      </c>
      <c r="E159" s="16" t="s">
        <v>7988</v>
      </c>
      <c r="F159" s="16" t="s">
        <v>3884</v>
      </c>
      <c r="G159" s="16" t="s">
        <v>8225</v>
      </c>
      <c r="H159" s="16"/>
      <c r="I159" s="16"/>
      <c r="J159" s="16"/>
      <c r="K159" s="16"/>
      <c r="L159" s="16" t="s">
        <v>7989</v>
      </c>
      <c r="M159" s="19" t="s">
        <v>3885</v>
      </c>
      <c r="N159" s="16"/>
      <c r="O159" s="16" t="s">
        <v>7990</v>
      </c>
      <c r="P159" s="16" t="str">
        <f>HYPERLINK("https://ceds.ed.gov/cedselementdetails.aspx?termid=27314")</f>
        <v>https://ceds.ed.gov/cedselementdetails.aspx?termid=27314</v>
      </c>
      <c r="Q159" s="16">
        <v>75794</v>
      </c>
    </row>
    <row r="160" spans="1:17" ht="144" x14ac:dyDescent="0.3">
      <c r="A160" s="16" t="s">
        <v>7596</v>
      </c>
      <c r="B160" s="16" t="s">
        <v>8865</v>
      </c>
      <c r="C160" s="16" t="s">
        <v>7617</v>
      </c>
      <c r="D160" s="16" t="s">
        <v>7597</v>
      </c>
      <c r="E160" s="16" t="s">
        <v>8005</v>
      </c>
      <c r="F160" s="16" t="s">
        <v>8006</v>
      </c>
      <c r="G160" s="16" t="s">
        <v>8226</v>
      </c>
      <c r="H160" s="16"/>
      <c r="I160" s="16"/>
      <c r="J160" s="16"/>
      <c r="K160" s="16"/>
      <c r="L160" s="16" t="s">
        <v>8007</v>
      </c>
      <c r="M160" s="19" t="s">
        <v>3886</v>
      </c>
      <c r="N160" s="16"/>
      <c r="O160" s="16" t="s">
        <v>8008</v>
      </c>
      <c r="P160" s="16" t="str">
        <f>HYPERLINK("https://ceds.ed.gov/cedselementdetails.aspx?termid=27316")</f>
        <v>https://ceds.ed.gov/cedselementdetails.aspx?termid=27316</v>
      </c>
      <c r="Q160" s="16">
        <v>75795</v>
      </c>
    </row>
    <row r="161" spans="1:17" ht="409.6" x14ac:dyDescent="0.3">
      <c r="A161" s="16" t="s">
        <v>7596</v>
      </c>
      <c r="B161" s="16" t="s">
        <v>8865</v>
      </c>
      <c r="C161" s="16" t="s">
        <v>7617</v>
      </c>
      <c r="D161" s="16" t="s">
        <v>7597</v>
      </c>
      <c r="E161" s="16" t="s">
        <v>8011</v>
      </c>
      <c r="F161" s="16" t="s">
        <v>8012</v>
      </c>
      <c r="G161" s="16" t="s">
        <v>8227</v>
      </c>
      <c r="H161" s="16"/>
      <c r="I161" s="16"/>
      <c r="J161" s="16"/>
      <c r="K161" s="16"/>
      <c r="L161" s="16" t="s">
        <v>8013</v>
      </c>
      <c r="M161" s="19" t="s">
        <v>3887</v>
      </c>
      <c r="N161" s="16"/>
      <c r="O161" s="16" t="s">
        <v>8014</v>
      </c>
      <c r="P161" s="16" t="str">
        <f>HYPERLINK("https://ceds.ed.gov/cedselementdetails.aspx?termid=27440")</f>
        <v>https://ceds.ed.gov/cedselementdetails.aspx?termid=27440</v>
      </c>
      <c r="Q161" s="16">
        <v>75796</v>
      </c>
    </row>
    <row r="162" spans="1:17" ht="28.8" x14ac:dyDescent="0.3">
      <c r="A162" s="16" t="s">
        <v>7596</v>
      </c>
      <c r="B162" s="16" t="s">
        <v>8865</v>
      </c>
      <c r="C162" s="16" t="s">
        <v>7617</v>
      </c>
      <c r="D162" s="16" t="s">
        <v>7597</v>
      </c>
      <c r="E162" s="16" t="s">
        <v>3888</v>
      </c>
      <c r="F162" s="16" t="s">
        <v>8003</v>
      </c>
      <c r="G162" s="16" t="s">
        <v>32</v>
      </c>
      <c r="H162" s="16"/>
      <c r="I162" s="16"/>
      <c r="J162" s="16" t="s">
        <v>747</v>
      </c>
      <c r="K162" s="16"/>
      <c r="L162" s="16"/>
      <c r="M162" s="19" t="s">
        <v>3889</v>
      </c>
      <c r="N162" s="16"/>
      <c r="O162" s="16" t="s">
        <v>3890</v>
      </c>
      <c r="P162" s="16" t="str">
        <f>HYPERLINK("https://ceds.ed.gov/cedselementdetails.aspx?termid=27315")</f>
        <v>https://ceds.ed.gov/cedselementdetails.aspx?termid=27315</v>
      </c>
      <c r="Q162" s="16">
        <v>75797</v>
      </c>
    </row>
    <row r="163" spans="1:17" ht="86.4" x14ac:dyDescent="0.3">
      <c r="A163" s="16" t="s">
        <v>7596</v>
      </c>
      <c r="B163" s="16" t="s">
        <v>8865</v>
      </c>
      <c r="C163" s="16" t="s">
        <v>7617</v>
      </c>
      <c r="D163" s="16" t="s">
        <v>7597</v>
      </c>
      <c r="E163" s="16" t="s">
        <v>3891</v>
      </c>
      <c r="F163" s="16" t="s">
        <v>8004</v>
      </c>
      <c r="G163" s="16" t="s">
        <v>32</v>
      </c>
      <c r="H163" s="16"/>
      <c r="I163" s="16"/>
      <c r="J163" s="16" t="s">
        <v>81</v>
      </c>
      <c r="K163" s="16"/>
      <c r="L163" s="16"/>
      <c r="M163" s="19" t="s">
        <v>3892</v>
      </c>
      <c r="N163" s="16"/>
      <c r="O163" s="16" t="s">
        <v>3893</v>
      </c>
      <c r="P163" s="16" t="str">
        <f>HYPERLINK("https://ceds.ed.gov/cedselementdetails.aspx?termid=27530")</f>
        <v>https://ceds.ed.gov/cedselementdetails.aspx?termid=27530</v>
      </c>
      <c r="Q163" s="16">
        <v>75798</v>
      </c>
    </row>
    <row r="164" spans="1:17" ht="28.8" x14ac:dyDescent="0.3">
      <c r="A164" s="16" t="s">
        <v>7596</v>
      </c>
      <c r="B164" s="16" t="s">
        <v>8865</v>
      </c>
      <c r="C164" s="16" t="s">
        <v>7617</v>
      </c>
      <c r="D164" s="16" t="s">
        <v>7597</v>
      </c>
      <c r="E164" s="16" t="s">
        <v>3894</v>
      </c>
      <c r="F164" s="16" t="s">
        <v>8009</v>
      </c>
      <c r="G164" s="16" t="s">
        <v>32</v>
      </c>
      <c r="H164" s="16"/>
      <c r="I164" s="16"/>
      <c r="J164" s="16" t="s">
        <v>747</v>
      </c>
      <c r="K164" s="16"/>
      <c r="L164" s="16"/>
      <c r="M164" s="19" t="s">
        <v>3895</v>
      </c>
      <c r="N164" s="16"/>
      <c r="O164" s="16" t="s">
        <v>3896</v>
      </c>
      <c r="P164" s="16" t="str">
        <f>HYPERLINK("https://ceds.ed.gov/cedselementdetails.aspx?termid=27626")</f>
        <v>https://ceds.ed.gov/cedselementdetails.aspx?termid=27626</v>
      </c>
      <c r="Q164" s="16">
        <v>75799</v>
      </c>
    </row>
    <row r="165" spans="1:17" ht="28.8" x14ac:dyDescent="0.3">
      <c r="A165" s="16" t="s">
        <v>7596</v>
      </c>
      <c r="B165" s="16" t="s">
        <v>8865</v>
      </c>
      <c r="C165" s="16" t="s">
        <v>7617</v>
      </c>
      <c r="D165" s="16" t="s">
        <v>7597</v>
      </c>
      <c r="E165" s="16" t="s">
        <v>3897</v>
      </c>
      <c r="F165" s="16" t="s">
        <v>8010</v>
      </c>
      <c r="G165" s="16" t="s">
        <v>32</v>
      </c>
      <c r="H165" s="16"/>
      <c r="I165" s="16"/>
      <c r="J165" s="16" t="s">
        <v>81</v>
      </c>
      <c r="K165" s="16"/>
      <c r="L165" s="16"/>
      <c r="M165" s="19" t="s">
        <v>3898</v>
      </c>
      <c r="N165" s="16"/>
      <c r="O165" s="16" t="s">
        <v>3899</v>
      </c>
      <c r="P165" s="16" t="str">
        <f>HYPERLINK("https://ceds.ed.gov/cedselementdetails.aspx?termid=27627")</f>
        <v>https://ceds.ed.gov/cedselementdetails.aspx?termid=27627</v>
      </c>
      <c r="Q165" s="16">
        <v>75800</v>
      </c>
    </row>
    <row r="166" spans="1:17" ht="129.6" x14ac:dyDescent="0.3">
      <c r="A166" s="16" t="s">
        <v>7596</v>
      </c>
      <c r="B166" s="16" t="s">
        <v>8865</v>
      </c>
      <c r="C166" s="16" t="s">
        <v>7617</v>
      </c>
      <c r="D166" s="16" t="s">
        <v>7597</v>
      </c>
      <c r="E166" s="16" t="s">
        <v>3917</v>
      </c>
      <c r="F166" s="16" t="s">
        <v>3918</v>
      </c>
      <c r="G166" s="16" t="s">
        <v>32</v>
      </c>
      <c r="H166" s="16"/>
      <c r="I166" s="16"/>
      <c r="J166" s="16" t="s">
        <v>1481</v>
      </c>
      <c r="K166" s="16"/>
      <c r="L166" s="16" t="s">
        <v>3919</v>
      </c>
      <c r="M166" s="19" t="s">
        <v>3920</v>
      </c>
      <c r="N166" s="16"/>
      <c r="O166" s="16" t="s">
        <v>3921</v>
      </c>
      <c r="P166" s="16" t="str">
        <f>HYPERLINK("https://ceds.ed.gov/cedselementdetails.aspx?termid=27628")</f>
        <v>https://ceds.ed.gov/cedselementdetails.aspx?termid=27628</v>
      </c>
      <c r="Q166" s="16">
        <v>75801</v>
      </c>
    </row>
    <row r="167" spans="1:17" ht="28.8" x14ac:dyDescent="0.3">
      <c r="A167" s="16" t="s">
        <v>7596</v>
      </c>
      <c r="B167" s="16" t="s">
        <v>8865</v>
      </c>
      <c r="C167" s="16" t="s">
        <v>7617</v>
      </c>
      <c r="D167" s="16" t="s">
        <v>7597</v>
      </c>
      <c r="E167" s="16" t="s">
        <v>3900</v>
      </c>
      <c r="F167" s="16" t="s">
        <v>3901</v>
      </c>
      <c r="G167" s="16" t="s">
        <v>32</v>
      </c>
      <c r="H167" s="16"/>
      <c r="I167" s="16"/>
      <c r="J167" s="16" t="s">
        <v>106</v>
      </c>
      <c r="K167" s="16"/>
      <c r="L167" s="16"/>
      <c r="M167" s="19" t="s">
        <v>3902</v>
      </c>
      <c r="N167" s="16"/>
      <c r="O167" s="16" t="s">
        <v>3903</v>
      </c>
      <c r="P167" s="16" t="str">
        <f>HYPERLINK("https://ceds.ed.gov/cedselementdetails.aspx?termid=27629")</f>
        <v>https://ceds.ed.gov/cedselementdetails.aspx?termid=27629</v>
      </c>
      <c r="Q167" s="16">
        <v>75802</v>
      </c>
    </row>
    <row r="168" spans="1:17" ht="43.2" x14ac:dyDescent="0.3">
      <c r="A168" s="16" t="s">
        <v>7596</v>
      </c>
      <c r="B168" s="16" t="s">
        <v>8865</v>
      </c>
      <c r="C168" s="16" t="s">
        <v>7617</v>
      </c>
      <c r="D168" s="16" t="s">
        <v>7597</v>
      </c>
      <c r="E168" s="16" t="s">
        <v>3904</v>
      </c>
      <c r="F168" s="16" t="s">
        <v>3905</v>
      </c>
      <c r="G168" s="16" t="s">
        <v>32</v>
      </c>
      <c r="H168" s="16"/>
      <c r="I168" s="16"/>
      <c r="J168" s="16" t="s">
        <v>1481</v>
      </c>
      <c r="K168" s="16"/>
      <c r="L168" s="16"/>
      <c r="M168" s="19" t="s">
        <v>3906</v>
      </c>
      <c r="N168" s="16"/>
      <c r="O168" s="16" t="s">
        <v>3907</v>
      </c>
      <c r="P168" s="16" t="str">
        <f>HYPERLINK("https://ceds.ed.gov/cedselementdetails.aspx?termid=27317")</f>
        <v>https://ceds.ed.gov/cedselementdetails.aspx?termid=27317</v>
      </c>
      <c r="Q168" s="16">
        <v>75803</v>
      </c>
    </row>
    <row r="169" spans="1:17" ht="43.2" x14ac:dyDescent="0.3">
      <c r="A169" s="16" t="s">
        <v>7596</v>
      </c>
      <c r="B169" s="16" t="s">
        <v>8865</v>
      </c>
      <c r="C169" s="16" t="s">
        <v>7617</v>
      </c>
      <c r="D169" s="16" t="s">
        <v>7597</v>
      </c>
      <c r="E169" s="16" t="s">
        <v>3908</v>
      </c>
      <c r="F169" s="16" t="s">
        <v>3909</v>
      </c>
      <c r="G169" s="16" t="s">
        <v>32</v>
      </c>
      <c r="H169" s="16"/>
      <c r="I169" s="16"/>
      <c r="J169" s="16" t="s">
        <v>1481</v>
      </c>
      <c r="K169" s="16"/>
      <c r="L169" s="16"/>
      <c r="M169" s="19" t="s">
        <v>3910</v>
      </c>
      <c r="N169" s="16"/>
      <c r="O169" s="16" t="s">
        <v>3911</v>
      </c>
      <c r="P169" s="16" t="str">
        <f>HYPERLINK("https://ceds.ed.gov/cedselementdetails.aspx?termid=27318")</f>
        <v>https://ceds.ed.gov/cedselementdetails.aspx?termid=27318</v>
      </c>
      <c r="Q169" s="16">
        <v>75804</v>
      </c>
    </row>
    <row r="170" spans="1:17" ht="57.6" x14ac:dyDescent="0.3">
      <c r="A170" s="16" t="s">
        <v>7596</v>
      </c>
      <c r="B170" s="16" t="s">
        <v>8865</v>
      </c>
      <c r="C170" s="16" t="s">
        <v>7617</v>
      </c>
      <c r="D170" s="16" t="s">
        <v>7597</v>
      </c>
      <c r="E170" s="16" t="s">
        <v>3912</v>
      </c>
      <c r="F170" s="16" t="s">
        <v>3913</v>
      </c>
      <c r="G170" s="16" t="s">
        <v>32</v>
      </c>
      <c r="H170" s="16"/>
      <c r="I170" s="16"/>
      <c r="J170" s="16" t="s">
        <v>1481</v>
      </c>
      <c r="K170" s="16"/>
      <c r="L170" s="16" t="s">
        <v>3914</v>
      </c>
      <c r="M170" s="19" t="s">
        <v>3915</v>
      </c>
      <c r="N170" s="16"/>
      <c r="O170" s="16" t="s">
        <v>3916</v>
      </c>
      <c r="P170" s="16" t="str">
        <f>HYPERLINK("https://ceds.ed.gov/cedselementdetails.aspx?termid=27625")</f>
        <v>https://ceds.ed.gov/cedselementdetails.aspx?termid=27625</v>
      </c>
      <c r="Q170" s="16">
        <v>75805</v>
      </c>
    </row>
    <row r="171" spans="1:17" ht="409.6" x14ac:dyDescent="0.3">
      <c r="A171" s="16" t="s">
        <v>7596</v>
      </c>
      <c r="B171" s="16" t="s">
        <v>8865</v>
      </c>
      <c r="C171" s="16" t="s">
        <v>7617</v>
      </c>
      <c r="D171" s="16" t="s">
        <v>7597</v>
      </c>
      <c r="E171" s="16" t="s">
        <v>8023</v>
      </c>
      <c r="F171" s="16" t="s">
        <v>8024</v>
      </c>
      <c r="G171" s="16" t="s">
        <v>8228</v>
      </c>
      <c r="H171" s="16"/>
      <c r="I171" s="16"/>
      <c r="J171" s="16"/>
      <c r="K171" s="16"/>
      <c r="L171" s="16" t="s">
        <v>8025</v>
      </c>
      <c r="M171" s="19" t="s">
        <v>3957</v>
      </c>
      <c r="N171" s="16"/>
      <c r="O171" s="16" t="s">
        <v>8026</v>
      </c>
      <c r="P171" s="16" t="str">
        <f>HYPERLINK("https://ceds.ed.gov/cedselementdetails.aspx?termid=27321")</f>
        <v>https://ceds.ed.gov/cedselementdetails.aspx?termid=27321</v>
      </c>
      <c r="Q171" s="16">
        <v>75806</v>
      </c>
    </row>
    <row r="172" spans="1:17" ht="187.2" x14ac:dyDescent="0.3">
      <c r="A172" s="16" t="s">
        <v>7596</v>
      </c>
      <c r="B172" s="16" t="s">
        <v>8865</v>
      </c>
      <c r="C172" s="16" t="s">
        <v>7617</v>
      </c>
      <c r="D172" s="16" t="s">
        <v>7597</v>
      </c>
      <c r="E172" s="16" t="s">
        <v>8027</v>
      </c>
      <c r="F172" s="16" t="s">
        <v>3958</v>
      </c>
      <c r="G172" s="16" t="s">
        <v>8229</v>
      </c>
      <c r="H172" s="16"/>
      <c r="I172" s="16"/>
      <c r="J172" s="16"/>
      <c r="K172" s="16"/>
      <c r="L172" s="16" t="s">
        <v>8028</v>
      </c>
      <c r="M172" s="19" t="s">
        <v>3959</v>
      </c>
      <c r="N172" s="16"/>
      <c r="O172" s="16" t="s">
        <v>8029</v>
      </c>
      <c r="P172" s="16" t="str">
        <f>HYPERLINK("https://ceds.ed.gov/cedselementdetails.aspx?termid=27531")</f>
        <v>https://ceds.ed.gov/cedselementdetails.aspx?termid=27531</v>
      </c>
      <c r="Q172" s="16">
        <v>75807</v>
      </c>
    </row>
    <row r="173" spans="1:17" ht="409.6" x14ac:dyDescent="0.3">
      <c r="A173" s="16" t="s">
        <v>7596</v>
      </c>
      <c r="B173" s="16" t="s">
        <v>8865</v>
      </c>
      <c r="C173" s="16" t="s">
        <v>7617</v>
      </c>
      <c r="D173" s="16" t="s">
        <v>7597</v>
      </c>
      <c r="E173" s="16" t="s">
        <v>8039</v>
      </c>
      <c r="F173" s="16" t="s">
        <v>8040</v>
      </c>
      <c r="G173" s="16" t="s">
        <v>8230</v>
      </c>
      <c r="H173" s="16"/>
      <c r="I173" s="16"/>
      <c r="J173" s="16"/>
      <c r="K173" s="16"/>
      <c r="L173" s="16" t="s">
        <v>8041</v>
      </c>
      <c r="M173" s="19" t="s">
        <v>3960</v>
      </c>
      <c r="N173" s="16"/>
      <c r="O173" s="16" t="s">
        <v>8042</v>
      </c>
      <c r="P173" s="16" t="str">
        <f>HYPERLINK("https://ceds.ed.gov/cedselementdetails.aspx?termid=27322")</f>
        <v>https://ceds.ed.gov/cedselementdetails.aspx?termid=27322</v>
      </c>
      <c r="Q173" s="16">
        <v>75808</v>
      </c>
    </row>
    <row r="174" spans="1:17" ht="259.2" x14ac:dyDescent="0.3">
      <c r="A174" s="16" t="s">
        <v>7596</v>
      </c>
      <c r="B174" s="16" t="s">
        <v>8865</v>
      </c>
      <c r="C174" s="16" t="s">
        <v>7617</v>
      </c>
      <c r="D174" s="16" t="s">
        <v>7597</v>
      </c>
      <c r="E174" s="16" t="s">
        <v>8043</v>
      </c>
      <c r="F174" s="16" t="s">
        <v>8044</v>
      </c>
      <c r="G174" s="16" t="s">
        <v>32</v>
      </c>
      <c r="H174" s="16"/>
      <c r="I174" s="16"/>
      <c r="J174" s="16" t="s">
        <v>136</v>
      </c>
      <c r="K174" s="16"/>
      <c r="L174" s="16" t="s">
        <v>8045</v>
      </c>
      <c r="M174" s="19" t="s">
        <v>3961</v>
      </c>
      <c r="N174" s="16"/>
      <c r="O174" s="16" t="s">
        <v>8046</v>
      </c>
      <c r="P174" s="16" t="str">
        <f>HYPERLINK("https://ceds.ed.gov/cedselementdetails.aspx?termid=27532")</f>
        <v>https://ceds.ed.gov/cedselementdetails.aspx?termid=27532</v>
      </c>
      <c r="Q174" s="16">
        <v>75809</v>
      </c>
    </row>
    <row r="175" spans="1:17" ht="28.8" x14ac:dyDescent="0.3">
      <c r="A175" s="16" t="s">
        <v>7596</v>
      </c>
      <c r="B175" s="16" t="s">
        <v>8865</v>
      </c>
      <c r="C175" s="16" t="s">
        <v>7617</v>
      </c>
      <c r="D175" s="16" t="s">
        <v>7597</v>
      </c>
      <c r="E175" s="16" t="s">
        <v>3998</v>
      </c>
      <c r="F175" s="16" t="s">
        <v>3999</v>
      </c>
      <c r="G175" s="16" t="s">
        <v>32</v>
      </c>
      <c r="H175" s="16"/>
      <c r="I175" s="16"/>
      <c r="J175" s="16" t="s">
        <v>106</v>
      </c>
      <c r="K175" s="16"/>
      <c r="L175" s="16"/>
      <c r="M175" s="19" t="s">
        <v>4000</v>
      </c>
      <c r="N175" s="16"/>
      <c r="O175" s="16" t="s">
        <v>4001</v>
      </c>
      <c r="P175" s="16" t="str">
        <f>HYPERLINK("https://ceds.ed.gov/cedselementdetails.aspx?termid=27623")</f>
        <v>https://ceds.ed.gov/cedselementdetails.aspx?termid=27623</v>
      </c>
      <c r="Q175" s="16">
        <v>75810</v>
      </c>
    </row>
    <row r="176" spans="1:17" ht="57.6" x14ac:dyDescent="0.3">
      <c r="A176" s="16" t="s">
        <v>7596</v>
      </c>
      <c r="B176" s="16" t="s">
        <v>8865</v>
      </c>
      <c r="C176" s="16" t="s">
        <v>7617</v>
      </c>
      <c r="D176" s="16" t="s">
        <v>7597</v>
      </c>
      <c r="E176" s="16" t="s">
        <v>4002</v>
      </c>
      <c r="F176" s="16" t="s">
        <v>4003</v>
      </c>
      <c r="G176" s="16" t="s">
        <v>32</v>
      </c>
      <c r="H176" s="16"/>
      <c r="I176" s="16"/>
      <c r="J176" s="16" t="s">
        <v>106</v>
      </c>
      <c r="K176" s="16"/>
      <c r="L176" s="16" t="s">
        <v>131</v>
      </c>
      <c r="M176" s="19" t="s">
        <v>4004</v>
      </c>
      <c r="N176" s="16"/>
      <c r="O176" s="16" t="s">
        <v>4005</v>
      </c>
      <c r="P176" s="16" t="str">
        <f>HYPERLINK("https://ceds.ed.gov/cedselementdetails.aspx?termid=27624")</f>
        <v>https://ceds.ed.gov/cedselementdetails.aspx?termid=27624</v>
      </c>
      <c r="Q176" s="16">
        <v>75811</v>
      </c>
    </row>
    <row r="177" spans="1:17" ht="43.2" x14ac:dyDescent="0.3">
      <c r="A177" s="16" t="s">
        <v>7596</v>
      </c>
      <c r="B177" s="16" t="s">
        <v>8865</v>
      </c>
      <c r="C177" s="16" t="s">
        <v>7617</v>
      </c>
      <c r="D177" s="16" t="s">
        <v>7597</v>
      </c>
      <c r="E177" s="16" t="s">
        <v>4006</v>
      </c>
      <c r="F177" s="16" t="s">
        <v>8049</v>
      </c>
      <c r="G177" s="16" t="s">
        <v>32</v>
      </c>
      <c r="H177" s="16"/>
      <c r="I177" s="16"/>
      <c r="J177" s="16" t="s">
        <v>1807</v>
      </c>
      <c r="K177" s="16"/>
      <c r="L177" s="16"/>
      <c r="M177" s="19" t="s">
        <v>4007</v>
      </c>
      <c r="N177" s="16"/>
      <c r="O177" s="16" t="s">
        <v>4008</v>
      </c>
      <c r="P177" s="16" t="str">
        <f>HYPERLINK("https://ceds.ed.gov/cedselementdetails.aspx?termid=27620")</f>
        <v>https://ceds.ed.gov/cedselementdetails.aspx?termid=27620</v>
      </c>
      <c r="Q177" s="16">
        <v>75812</v>
      </c>
    </row>
    <row r="178" spans="1:17" ht="72" x14ac:dyDescent="0.3">
      <c r="A178" s="16" t="s">
        <v>7596</v>
      </c>
      <c r="B178" s="16" t="s">
        <v>8865</v>
      </c>
      <c r="C178" s="16" t="s">
        <v>7617</v>
      </c>
      <c r="D178" s="16" t="s">
        <v>7597</v>
      </c>
      <c r="E178" s="16" t="s">
        <v>8974</v>
      </c>
      <c r="F178" s="16" t="s">
        <v>8975</v>
      </c>
      <c r="G178" s="16" t="s">
        <v>32</v>
      </c>
      <c r="H178" s="16"/>
      <c r="I178" s="16"/>
      <c r="J178" s="16" t="s">
        <v>120</v>
      </c>
      <c r="K178" s="16"/>
      <c r="L178" s="16" t="s">
        <v>8976</v>
      </c>
      <c r="M178" s="19" t="s">
        <v>8977</v>
      </c>
      <c r="N178" s="16"/>
      <c r="O178" s="16" t="s">
        <v>8978</v>
      </c>
      <c r="P178" s="16" t="str">
        <f>HYPERLINK("https://ceds.ed.gov/cedselementdetails.aspx?termid=28020")</f>
        <v>https://ceds.ed.gov/cedselementdetails.aspx?termid=28020</v>
      </c>
      <c r="Q178" s="16">
        <v>76036</v>
      </c>
    </row>
    <row r="179" spans="1:17" ht="72" x14ac:dyDescent="0.3">
      <c r="A179" s="16" t="s">
        <v>7596</v>
      </c>
      <c r="B179" s="16" t="s">
        <v>8865</v>
      </c>
      <c r="C179" s="16" t="s">
        <v>7617</v>
      </c>
      <c r="D179" s="16" t="s">
        <v>7597</v>
      </c>
      <c r="E179" s="16" t="s">
        <v>8979</v>
      </c>
      <c r="F179" s="16" t="s">
        <v>8980</v>
      </c>
      <c r="G179" s="16" t="s">
        <v>32</v>
      </c>
      <c r="H179" s="16"/>
      <c r="I179" s="16"/>
      <c r="J179" s="16" t="s">
        <v>1481</v>
      </c>
      <c r="K179" s="16"/>
      <c r="L179" s="16" t="s">
        <v>8976</v>
      </c>
      <c r="M179" s="19" t="s">
        <v>8981</v>
      </c>
      <c r="N179" s="16"/>
      <c r="O179" s="16" t="s">
        <v>8982</v>
      </c>
      <c r="P179" s="16" t="str">
        <f>HYPERLINK("https://ceds.ed.gov/cedselementdetails.aspx?termid=28021")</f>
        <v>https://ceds.ed.gov/cedselementdetails.aspx?termid=28021</v>
      </c>
      <c r="Q179" s="16">
        <v>76037</v>
      </c>
    </row>
    <row r="180" spans="1:17" ht="57.6" x14ac:dyDescent="0.3">
      <c r="A180" s="16" t="s">
        <v>7596</v>
      </c>
      <c r="B180" s="16" t="s">
        <v>8865</v>
      </c>
      <c r="C180" s="16" t="s">
        <v>7617</v>
      </c>
      <c r="D180" s="16" t="s">
        <v>7597</v>
      </c>
      <c r="E180" s="16" t="s">
        <v>12783</v>
      </c>
      <c r="F180" s="16" t="s">
        <v>12784</v>
      </c>
      <c r="G180" s="16" t="s">
        <v>32</v>
      </c>
      <c r="H180" s="16"/>
      <c r="I180" s="16" t="s">
        <v>155</v>
      </c>
      <c r="J180" s="16" t="s">
        <v>136</v>
      </c>
      <c r="K180" s="16" t="s">
        <v>12636</v>
      </c>
      <c r="L180" s="16"/>
      <c r="M180" s="19" t="s">
        <v>12785</v>
      </c>
      <c r="N180" s="16"/>
      <c r="O180" s="16" t="s">
        <v>12786</v>
      </c>
      <c r="P180" s="16" t="str">
        <f>HYPERLINK("https://ceds.ed.gov/cedselementdetails.aspx?termid=28118")</f>
        <v>https://ceds.ed.gov/cedselementdetails.aspx?termid=28118</v>
      </c>
      <c r="Q180" s="16">
        <v>76629</v>
      </c>
    </row>
    <row r="181" spans="1:17" ht="43.2" x14ac:dyDescent="0.3">
      <c r="A181" s="16" t="s">
        <v>7596</v>
      </c>
      <c r="B181" s="16" t="s">
        <v>8865</v>
      </c>
      <c r="C181" s="16" t="s">
        <v>7617</v>
      </c>
      <c r="D181" s="16" t="s">
        <v>7597</v>
      </c>
      <c r="E181" s="16" t="s">
        <v>12787</v>
      </c>
      <c r="F181" s="16" t="s">
        <v>12788</v>
      </c>
      <c r="G181" s="16" t="s">
        <v>32</v>
      </c>
      <c r="H181" s="16"/>
      <c r="I181" s="16" t="s">
        <v>155</v>
      </c>
      <c r="J181" s="16" t="s">
        <v>9103</v>
      </c>
      <c r="K181" s="16" t="s">
        <v>12636</v>
      </c>
      <c r="L181" s="16"/>
      <c r="M181" s="19" t="s">
        <v>12789</v>
      </c>
      <c r="N181" s="16"/>
      <c r="O181" s="16" t="s">
        <v>12790</v>
      </c>
      <c r="P181" s="16" t="str">
        <f>HYPERLINK("https://ceds.ed.gov/cedselementdetails.aspx?termid=28117")</f>
        <v>https://ceds.ed.gov/cedselementdetails.aspx?termid=28117</v>
      </c>
      <c r="Q181" s="16">
        <v>76622</v>
      </c>
    </row>
    <row r="182" spans="1:17" ht="43.2" x14ac:dyDescent="0.3">
      <c r="A182" s="16" t="s">
        <v>7596</v>
      </c>
      <c r="B182" s="16" t="s">
        <v>8865</v>
      </c>
      <c r="C182" s="16" t="s">
        <v>7617</v>
      </c>
      <c r="D182" s="16" t="s">
        <v>7597</v>
      </c>
      <c r="E182" s="16" t="s">
        <v>12791</v>
      </c>
      <c r="F182" s="16" t="s">
        <v>12792</v>
      </c>
      <c r="G182" s="16" t="s">
        <v>32</v>
      </c>
      <c r="H182" s="16"/>
      <c r="I182" s="16" t="s">
        <v>155</v>
      </c>
      <c r="J182" s="16" t="s">
        <v>106</v>
      </c>
      <c r="K182" s="16" t="s">
        <v>12636</v>
      </c>
      <c r="L182" s="16"/>
      <c r="M182" s="19" t="s">
        <v>12793</v>
      </c>
      <c r="N182" s="16"/>
      <c r="O182" s="16" t="s">
        <v>12794</v>
      </c>
      <c r="P182" s="16" t="str">
        <f>HYPERLINK("https://ceds.ed.gov/cedselementdetails.aspx?termid=28116")</f>
        <v>https://ceds.ed.gov/cedselementdetails.aspx?termid=28116</v>
      </c>
      <c r="Q182" s="16">
        <v>76615</v>
      </c>
    </row>
    <row r="183" spans="1:17" ht="43.2" x14ac:dyDescent="0.3">
      <c r="A183" s="16" t="s">
        <v>7596</v>
      </c>
      <c r="B183" s="16" t="s">
        <v>8865</v>
      </c>
      <c r="C183" s="16" t="s">
        <v>7617</v>
      </c>
      <c r="D183" s="16" t="s">
        <v>7597</v>
      </c>
      <c r="E183" s="16" t="s">
        <v>12795</v>
      </c>
      <c r="F183" s="16" t="s">
        <v>12796</v>
      </c>
      <c r="G183" s="16" t="s">
        <v>12891</v>
      </c>
      <c r="H183" s="16"/>
      <c r="I183" s="16" t="s">
        <v>155</v>
      </c>
      <c r="J183" s="16" t="s">
        <v>2</v>
      </c>
      <c r="K183" s="16" t="s">
        <v>12636</v>
      </c>
      <c r="L183" s="16"/>
      <c r="M183" s="19" t="s">
        <v>12797</v>
      </c>
      <c r="N183" s="16"/>
      <c r="O183" s="16" t="s">
        <v>12798</v>
      </c>
      <c r="P183" s="16" t="str">
        <f>HYPERLINK("https://ceds.ed.gov/cedselementdetails.aspx?termid=28114")</f>
        <v>https://ceds.ed.gov/cedselementdetails.aspx?termid=28114</v>
      </c>
      <c r="Q183" s="16">
        <v>76601</v>
      </c>
    </row>
    <row r="184" spans="1:17" ht="43.2" x14ac:dyDescent="0.3">
      <c r="A184" s="16" t="s">
        <v>7596</v>
      </c>
      <c r="B184" s="16" t="s">
        <v>8865</v>
      </c>
      <c r="C184" s="16" t="s">
        <v>7617</v>
      </c>
      <c r="D184" s="16" t="s">
        <v>7597</v>
      </c>
      <c r="E184" s="16" t="s">
        <v>12799</v>
      </c>
      <c r="F184" s="16" t="s">
        <v>12800</v>
      </c>
      <c r="G184" s="16" t="s">
        <v>32</v>
      </c>
      <c r="H184" s="16"/>
      <c r="I184" s="16" t="s">
        <v>155</v>
      </c>
      <c r="J184" s="16" t="s">
        <v>106</v>
      </c>
      <c r="K184" s="16" t="s">
        <v>12636</v>
      </c>
      <c r="L184" s="16"/>
      <c r="M184" s="19" t="s">
        <v>12801</v>
      </c>
      <c r="N184" s="16"/>
      <c r="O184" s="16" t="s">
        <v>12802</v>
      </c>
      <c r="P184" s="16" t="str">
        <f>HYPERLINK("https://ceds.ed.gov/cedselementdetails.aspx?termid=28115")</f>
        <v>https://ceds.ed.gov/cedselementdetails.aspx?termid=28115</v>
      </c>
      <c r="Q184" s="16">
        <v>76608</v>
      </c>
    </row>
    <row r="185" spans="1:17" ht="100.8" x14ac:dyDescent="0.3">
      <c r="A185" s="16" t="s">
        <v>7596</v>
      </c>
      <c r="B185" s="16" t="s">
        <v>8865</v>
      </c>
      <c r="C185" s="16" t="s">
        <v>7617</v>
      </c>
      <c r="D185" s="16" t="s">
        <v>7597</v>
      </c>
      <c r="E185" s="16" t="s">
        <v>12803</v>
      </c>
      <c r="F185" s="16" t="s">
        <v>12804</v>
      </c>
      <c r="G185" s="16" t="s">
        <v>12911</v>
      </c>
      <c r="H185" s="16"/>
      <c r="I185" s="16" t="s">
        <v>155</v>
      </c>
      <c r="J185" s="16" t="s">
        <v>2</v>
      </c>
      <c r="K185" s="16" t="s">
        <v>12636</v>
      </c>
      <c r="L185" s="16"/>
      <c r="M185" s="19" t="s">
        <v>12805</v>
      </c>
      <c r="N185" s="16"/>
      <c r="O185" s="16" t="s">
        <v>12806</v>
      </c>
      <c r="P185" s="16" t="str">
        <f>HYPERLINK("https://ceds.ed.gov/cedselementdetails.aspx?termid=28120")</f>
        <v>https://ceds.ed.gov/cedselementdetails.aspx?termid=28120</v>
      </c>
      <c r="Q185" s="16">
        <v>76643</v>
      </c>
    </row>
    <row r="186" spans="1:17" ht="72" x14ac:dyDescent="0.3">
      <c r="A186" s="16" t="s">
        <v>7596</v>
      </c>
      <c r="B186" s="16" t="s">
        <v>8865</v>
      </c>
      <c r="C186" s="16" t="s">
        <v>7617</v>
      </c>
      <c r="D186" s="16" t="s">
        <v>7597</v>
      </c>
      <c r="E186" s="16" t="s">
        <v>12807</v>
      </c>
      <c r="F186" s="16" t="s">
        <v>12808</v>
      </c>
      <c r="G186" s="16" t="s">
        <v>12912</v>
      </c>
      <c r="H186" s="16"/>
      <c r="I186" s="16" t="s">
        <v>155</v>
      </c>
      <c r="J186" s="16" t="s">
        <v>2</v>
      </c>
      <c r="K186" s="16" t="s">
        <v>12636</v>
      </c>
      <c r="L186" s="16"/>
      <c r="M186" s="19" t="s">
        <v>12809</v>
      </c>
      <c r="N186" s="16"/>
      <c r="O186" s="16" t="s">
        <v>12810</v>
      </c>
      <c r="P186" s="16" t="str">
        <f>HYPERLINK("https://ceds.ed.gov/cedselementdetails.aspx?termid=28119")</f>
        <v>https://ceds.ed.gov/cedselementdetails.aspx?termid=28119</v>
      </c>
      <c r="Q186" s="16">
        <v>76636</v>
      </c>
    </row>
    <row r="187" spans="1:17" ht="43.2" x14ac:dyDescent="0.3">
      <c r="A187" s="16" t="s">
        <v>7596</v>
      </c>
      <c r="B187" s="16" t="s">
        <v>8865</v>
      </c>
      <c r="C187" s="16" t="s">
        <v>7618</v>
      </c>
      <c r="D187" s="16" t="s">
        <v>7597</v>
      </c>
      <c r="E187" s="16" t="s">
        <v>6061</v>
      </c>
      <c r="F187" s="16" t="s">
        <v>6062</v>
      </c>
      <c r="G187" s="16" t="s">
        <v>22</v>
      </c>
      <c r="H187" s="16" t="s">
        <v>3397</v>
      </c>
      <c r="I187" s="16"/>
      <c r="J187" s="16"/>
      <c r="K187" s="16"/>
      <c r="L187" s="16"/>
      <c r="M187" s="19" t="s">
        <v>6063</v>
      </c>
      <c r="N187" s="16"/>
      <c r="O187" s="16" t="s">
        <v>6064</v>
      </c>
      <c r="P187" s="16" t="str">
        <f>HYPERLINK("https://ceds.ed.gov/cedselementdetails.aspx?termid=26863")</f>
        <v>https://ceds.ed.gov/cedselementdetails.aspx?termid=26863</v>
      </c>
      <c r="Q187" s="16">
        <v>72314</v>
      </c>
    </row>
    <row r="188" spans="1:17" ht="115.2" x14ac:dyDescent="0.3">
      <c r="A188" s="16" t="s">
        <v>7596</v>
      </c>
      <c r="B188" s="16" t="s">
        <v>8865</v>
      </c>
      <c r="C188" s="16" t="s">
        <v>7619</v>
      </c>
      <c r="D188" s="16" t="s">
        <v>7597</v>
      </c>
      <c r="E188" s="16" t="s">
        <v>7033</v>
      </c>
      <c r="F188" s="16" t="s">
        <v>7034</v>
      </c>
      <c r="G188" s="16" t="s">
        <v>22</v>
      </c>
      <c r="H188" s="16"/>
      <c r="I188" s="16"/>
      <c r="J188" s="16"/>
      <c r="K188" s="16"/>
      <c r="L188" s="16" t="s">
        <v>8157</v>
      </c>
      <c r="M188" s="19" t="s">
        <v>7035</v>
      </c>
      <c r="N188" s="16"/>
      <c r="O188" s="16" t="s">
        <v>7036</v>
      </c>
      <c r="P188" s="16" t="str">
        <f>HYPERLINK("https://ceds.ed.gov/cedselementdetails.aspx?termid=27465")</f>
        <v>https://ceds.ed.gov/cedselementdetails.aspx?termid=27465</v>
      </c>
      <c r="Q188" s="16">
        <v>73433</v>
      </c>
    </row>
    <row r="189" spans="1:17" ht="115.2" x14ac:dyDescent="0.3">
      <c r="A189" s="16" t="s">
        <v>7596</v>
      </c>
      <c r="B189" s="16" t="s">
        <v>8865</v>
      </c>
      <c r="C189" s="16" t="s">
        <v>7619</v>
      </c>
      <c r="D189" s="16" t="s">
        <v>7597</v>
      </c>
      <c r="E189" s="16" t="s">
        <v>7037</v>
      </c>
      <c r="F189" s="16" t="s">
        <v>7038</v>
      </c>
      <c r="G189" s="16" t="s">
        <v>8274</v>
      </c>
      <c r="H189" s="16"/>
      <c r="I189" s="16"/>
      <c r="J189" s="16"/>
      <c r="K189" s="16"/>
      <c r="L189" s="16" t="s">
        <v>8157</v>
      </c>
      <c r="M189" s="19" t="s">
        <v>7039</v>
      </c>
      <c r="N189" s="16"/>
      <c r="O189" s="16" t="s">
        <v>7040</v>
      </c>
      <c r="P189" s="16" t="str">
        <f>HYPERLINK("https://ceds.ed.gov/cedselementdetails.aspx?termid=27466")</f>
        <v>https://ceds.ed.gov/cedselementdetails.aspx?termid=27466</v>
      </c>
      <c r="Q189" s="16">
        <v>73437</v>
      </c>
    </row>
    <row r="190" spans="1:17" ht="259.2" x14ac:dyDescent="0.3">
      <c r="A190" s="16" t="s">
        <v>7596</v>
      </c>
      <c r="B190" s="16" t="s">
        <v>8865</v>
      </c>
      <c r="C190" s="16" t="s">
        <v>7619</v>
      </c>
      <c r="D190" s="16" t="s">
        <v>7597</v>
      </c>
      <c r="E190" s="16" t="s">
        <v>7041</v>
      </c>
      <c r="F190" s="16" t="s">
        <v>7042</v>
      </c>
      <c r="G190" s="16" t="s">
        <v>8846</v>
      </c>
      <c r="H190" s="16"/>
      <c r="I190" s="16"/>
      <c r="J190" s="16"/>
      <c r="K190" s="16"/>
      <c r="L190" s="16" t="s">
        <v>8157</v>
      </c>
      <c r="M190" s="19" t="s">
        <v>7043</v>
      </c>
      <c r="N190" s="16"/>
      <c r="O190" s="16" t="s">
        <v>7044</v>
      </c>
      <c r="P190" s="16" t="str">
        <f>HYPERLINK("https://ceds.ed.gov/cedselementdetails.aspx?termid=27467")</f>
        <v>https://ceds.ed.gov/cedselementdetails.aspx?termid=27467</v>
      </c>
      <c r="Q190" s="16">
        <v>73441</v>
      </c>
    </row>
    <row r="191" spans="1:17" ht="72" x14ac:dyDescent="0.3">
      <c r="A191" s="16" t="s">
        <v>7596</v>
      </c>
      <c r="B191" s="16" t="s">
        <v>8865</v>
      </c>
      <c r="C191" s="16" t="s">
        <v>7620</v>
      </c>
      <c r="D191" s="16" t="s">
        <v>7597</v>
      </c>
      <c r="E191" s="16" t="s">
        <v>6607</v>
      </c>
      <c r="F191" s="16" t="s">
        <v>6608</v>
      </c>
      <c r="G191" s="16" t="s">
        <v>32</v>
      </c>
      <c r="H191" s="16"/>
      <c r="I191" s="16"/>
      <c r="J191" s="16" t="s">
        <v>747</v>
      </c>
      <c r="K191" s="16"/>
      <c r="L191" s="16"/>
      <c r="M191" s="19" t="s">
        <v>6609</v>
      </c>
      <c r="N191" s="16"/>
      <c r="O191" s="16" t="s">
        <v>6610</v>
      </c>
      <c r="P191" s="16" t="str">
        <f>HYPERLINK("https://ceds.ed.gov/cedselementdetails.aspx?termid=27606")</f>
        <v>https://ceds.ed.gov/cedselementdetails.aspx?termid=27606</v>
      </c>
      <c r="Q191" s="16">
        <v>74104</v>
      </c>
    </row>
    <row r="192" spans="1:17" ht="28.8" x14ac:dyDescent="0.3">
      <c r="A192" s="16" t="s">
        <v>7596</v>
      </c>
      <c r="B192" s="16" t="s">
        <v>8865</v>
      </c>
      <c r="C192" s="16" t="s">
        <v>7620</v>
      </c>
      <c r="D192" s="16" t="s">
        <v>7597</v>
      </c>
      <c r="E192" s="16" t="s">
        <v>6603</v>
      </c>
      <c r="F192" s="16" t="s">
        <v>6604</v>
      </c>
      <c r="G192" s="16" t="s">
        <v>32</v>
      </c>
      <c r="H192" s="16"/>
      <c r="I192" s="16"/>
      <c r="J192" s="16" t="s">
        <v>101</v>
      </c>
      <c r="K192" s="16"/>
      <c r="L192" s="16"/>
      <c r="M192" s="19" t="s">
        <v>6605</v>
      </c>
      <c r="N192" s="16"/>
      <c r="O192" s="16" t="s">
        <v>6606</v>
      </c>
      <c r="P192" s="16" t="str">
        <f>HYPERLINK("https://ceds.ed.gov/cedselementdetails.aspx?termid=27603")</f>
        <v>https://ceds.ed.gov/cedselementdetails.aspx?termid=27603</v>
      </c>
      <c r="Q192" s="16">
        <v>74103</v>
      </c>
    </row>
    <row r="193" spans="1:17" ht="57.6" x14ac:dyDescent="0.3">
      <c r="A193" s="16" t="s">
        <v>7596</v>
      </c>
      <c r="B193" s="16" t="s">
        <v>8865</v>
      </c>
      <c r="C193" s="16" t="s">
        <v>7620</v>
      </c>
      <c r="D193" s="16" t="s">
        <v>7597</v>
      </c>
      <c r="E193" s="16" t="s">
        <v>5316</v>
      </c>
      <c r="F193" s="16" t="s">
        <v>5317</v>
      </c>
      <c r="G193" s="16" t="s">
        <v>32</v>
      </c>
      <c r="H193" s="16"/>
      <c r="I193" s="16"/>
      <c r="J193" s="16" t="s">
        <v>106</v>
      </c>
      <c r="K193" s="16"/>
      <c r="L193" s="16"/>
      <c r="M193" s="19" t="s">
        <v>5318</v>
      </c>
      <c r="N193" s="16"/>
      <c r="O193" s="16" t="s">
        <v>5319</v>
      </c>
      <c r="P193" s="16" t="str">
        <f>HYPERLINK("https://ceds.ed.gov/cedselementdetails.aspx?termid=27594")</f>
        <v>https://ceds.ed.gov/cedselementdetails.aspx?termid=27594</v>
      </c>
      <c r="Q193" s="16">
        <v>74088</v>
      </c>
    </row>
    <row r="194" spans="1:17" ht="57.6" x14ac:dyDescent="0.3">
      <c r="A194" s="16" t="s">
        <v>7596</v>
      </c>
      <c r="B194" s="16" t="s">
        <v>8865</v>
      </c>
      <c r="C194" s="16" t="s">
        <v>7620</v>
      </c>
      <c r="D194" s="16" t="s">
        <v>7597</v>
      </c>
      <c r="E194" s="16" t="s">
        <v>5312</v>
      </c>
      <c r="F194" s="16" t="s">
        <v>5313</v>
      </c>
      <c r="G194" s="16" t="s">
        <v>32</v>
      </c>
      <c r="H194" s="16"/>
      <c r="I194" s="16"/>
      <c r="J194" s="16" t="s">
        <v>106</v>
      </c>
      <c r="K194" s="16"/>
      <c r="L194" s="16" t="s">
        <v>131</v>
      </c>
      <c r="M194" s="19" t="s">
        <v>5314</v>
      </c>
      <c r="N194" s="16"/>
      <c r="O194" s="16" t="s">
        <v>5315</v>
      </c>
      <c r="P194" s="16" t="str">
        <f>HYPERLINK("https://ceds.ed.gov/cedselementdetails.aspx?termid=27593")</f>
        <v>https://ceds.ed.gov/cedselementdetails.aspx?termid=27593</v>
      </c>
      <c r="Q194" s="16">
        <v>74087</v>
      </c>
    </row>
    <row r="195" spans="1:17" ht="43.2" x14ac:dyDescent="0.3">
      <c r="A195" s="16" t="s">
        <v>7596</v>
      </c>
      <c r="B195" s="16" t="s">
        <v>8865</v>
      </c>
      <c r="C195" s="16" t="s">
        <v>7621</v>
      </c>
      <c r="D195" s="16" t="s">
        <v>7597</v>
      </c>
      <c r="E195" s="16" t="s">
        <v>6114</v>
      </c>
      <c r="F195" s="16" t="s">
        <v>6115</v>
      </c>
      <c r="G195" s="16" t="s">
        <v>22</v>
      </c>
      <c r="H195" s="16" t="s">
        <v>98</v>
      </c>
      <c r="I195" s="16"/>
      <c r="J195" s="16"/>
      <c r="K195" s="16"/>
      <c r="L195" s="16"/>
      <c r="M195" s="19" t="s">
        <v>6116</v>
      </c>
      <c r="N195" s="16"/>
      <c r="O195" s="16" t="s">
        <v>6117</v>
      </c>
      <c r="P195" s="16" t="str">
        <f>HYPERLINK("https://ceds.ed.gov/cedselementdetails.aspx?termid=26845")</f>
        <v>https://ceds.ed.gov/cedselementdetails.aspx?termid=26845</v>
      </c>
      <c r="Q195" s="16">
        <v>72299</v>
      </c>
    </row>
    <row r="196" spans="1:17" ht="43.2" x14ac:dyDescent="0.3">
      <c r="A196" s="16" t="s">
        <v>7596</v>
      </c>
      <c r="B196" s="16" t="s">
        <v>8865</v>
      </c>
      <c r="C196" s="16" t="s">
        <v>7621</v>
      </c>
      <c r="D196" s="16" t="s">
        <v>7597</v>
      </c>
      <c r="E196" s="16" t="s">
        <v>4883</v>
      </c>
      <c r="F196" s="16" t="s">
        <v>8076</v>
      </c>
      <c r="G196" s="16" t="s">
        <v>22</v>
      </c>
      <c r="H196" s="16"/>
      <c r="I196" s="16"/>
      <c r="J196" s="16"/>
      <c r="K196" s="16"/>
      <c r="L196" s="16"/>
      <c r="M196" s="19" t="s">
        <v>4884</v>
      </c>
      <c r="N196" s="16"/>
      <c r="O196" s="16" t="s">
        <v>4885</v>
      </c>
      <c r="P196" s="16" t="str">
        <f>HYPERLINK("https://ceds.ed.gov/cedselementdetails.aspx?termid=27190")</f>
        <v>https://ceds.ed.gov/cedselementdetails.aspx?termid=27190</v>
      </c>
      <c r="Q196" s="16">
        <v>71631</v>
      </c>
    </row>
    <row r="197" spans="1:17" ht="43.2" x14ac:dyDescent="0.3">
      <c r="A197" s="16" t="s">
        <v>7596</v>
      </c>
      <c r="B197" s="16" t="s">
        <v>8865</v>
      </c>
      <c r="C197" s="16" t="s">
        <v>7622</v>
      </c>
      <c r="D197" s="16" t="s">
        <v>7597</v>
      </c>
      <c r="E197" s="16" t="s">
        <v>5562</v>
      </c>
      <c r="F197" s="16" t="s">
        <v>5563</v>
      </c>
      <c r="G197" s="16" t="s">
        <v>22</v>
      </c>
      <c r="H197" s="16" t="s">
        <v>98</v>
      </c>
      <c r="I197" s="16"/>
      <c r="J197" s="16"/>
      <c r="K197" s="16"/>
      <c r="L197" s="16"/>
      <c r="M197" s="19" t="s">
        <v>5564</v>
      </c>
      <c r="N197" s="16"/>
      <c r="O197" s="16" t="s">
        <v>5565</v>
      </c>
      <c r="P197" s="16" t="str">
        <f>HYPERLINK("https://ceds.ed.gov/cedselementdetails.aspx?termid=26847")</f>
        <v>https://ceds.ed.gov/cedselementdetails.aspx?termid=26847</v>
      </c>
      <c r="Q197" s="16">
        <v>72300</v>
      </c>
    </row>
    <row r="198" spans="1:17" ht="57.6" x14ac:dyDescent="0.3">
      <c r="A198" s="16" t="s">
        <v>7596</v>
      </c>
      <c r="B198" s="16" t="s">
        <v>8865</v>
      </c>
      <c r="C198" s="16" t="s">
        <v>7622</v>
      </c>
      <c r="D198" s="16" t="s">
        <v>7597</v>
      </c>
      <c r="E198" s="16" t="s">
        <v>3330</v>
      </c>
      <c r="F198" s="16" t="s">
        <v>3331</v>
      </c>
      <c r="G198" s="16" t="s">
        <v>22</v>
      </c>
      <c r="H198" s="16" t="s">
        <v>98</v>
      </c>
      <c r="I198" s="16"/>
      <c r="J198" s="16"/>
      <c r="K198" s="16"/>
      <c r="L198" s="16"/>
      <c r="M198" s="19" t="s">
        <v>3332</v>
      </c>
      <c r="N198" s="16"/>
      <c r="O198" s="16" t="s">
        <v>3333</v>
      </c>
      <c r="P198" s="16" t="str">
        <f>HYPERLINK("https://ceds.ed.gov/cedselementdetails.aspx?termid=26848")</f>
        <v>https://ceds.ed.gov/cedselementdetails.aspx?termid=26848</v>
      </c>
      <c r="Q198" s="16">
        <v>72301</v>
      </c>
    </row>
    <row r="199" spans="1:17" ht="57.6" x14ac:dyDescent="0.3">
      <c r="A199" s="16" t="s">
        <v>7596</v>
      </c>
      <c r="B199" s="16" t="s">
        <v>8865</v>
      </c>
      <c r="C199" s="16" t="s">
        <v>7622</v>
      </c>
      <c r="D199" s="16" t="s">
        <v>7597</v>
      </c>
      <c r="E199" s="16" t="s">
        <v>4450</v>
      </c>
      <c r="F199" s="16" t="s">
        <v>4451</v>
      </c>
      <c r="G199" s="16" t="s">
        <v>22</v>
      </c>
      <c r="H199" s="16" t="s">
        <v>98</v>
      </c>
      <c r="I199" s="16"/>
      <c r="J199" s="16"/>
      <c r="K199" s="16"/>
      <c r="L199" s="16"/>
      <c r="M199" s="19" t="s">
        <v>4452</v>
      </c>
      <c r="N199" s="16"/>
      <c r="O199" s="16" t="s">
        <v>4453</v>
      </c>
      <c r="P199" s="16" t="str">
        <f>HYPERLINK("https://ceds.ed.gov/cedselementdetails.aspx?termid=26849")</f>
        <v>https://ceds.ed.gov/cedselementdetails.aspx?termid=26849</v>
      </c>
      <c r="Q199" s="16">
        <v>72302</v>
      </c>
    </row>
    <row r="200" spans="1:17" ht="43.2" x14ac:dyDescent="0.3">
      <c r="A200" s="16" t="s">
        <v>7596</v>
      </c>
      <c r="B200" s="16" t="s">
        <v>8865</v>
      </c>
      <c r="C200" s="16" t="s">
        <v>7622</v>
      </c>
      <c r="D200" s="16" t="s">
        <v>7597</v>
      </c>
      <c r="E200" s="16" t="s">
        <v>6291</v>
      </c>
      <c r="F200" s="16" t="s">
        <v>6292</v>
      </c>
      <c r="G200" s="16" t="s">
        <v>22</v>
      </c>
      <c r="H200" s="16" t="s">
        <v>98</v>
      </c>
      <c r="I200" s="16"/>
      <c r="J200" s="16"/>
      <c r="K200" s="16"/>
      <c r="L200" s="16"/>
      <c r="M200" s="19" t="s">
        <v>6293</v>
      </c>
      <c r="N200" s="16"/>
      <c r="O200" s="16" t="s">
        <v>6294</v>
      </c>
      <c r="P200" s="16" t="str">
        <f>HYPERLINK("https://ceds.ed.gov/cedselementdetails.aspx?termid=26850")</f>
        <v>https://ceds.ed.gov/cedselementdetails.aspx?termid=26850</v>
      </c>
      <c r="Q200" s="16">
        <v>72303</v>
      </c>
    </row>
    <row r="201" spans="1:17" ht="288" x14ac:dyDescent="0.3">
      <c r="A201" s="16" t="s">
        <v>7596</v>
      </c>
      <c r="B201" s="16" t="s">
        <v>8865</v>
      </c>
      <c r="C201" s="16" t="s">
        <v>7622</v>
      </c>
      <c r="D201" s="16" t="s">
        <v>7597</v>
      </c>
      <c r="E201" s="16" t="s">
        <v>6331</v>
      </c>
      <c r="F201" s="16" t="s">
        <v>6332</v>
      </c>
      <c r="G201" s="16" t="s">
        <v>8641</v>
      </c>
      <c r="H201" s="16" t="s">
        <v>1977</v>
      </c>
      <c r="I201" s="16"/>
      <c r="J201" s="16"/>
      <c r="K201" s="16"/>
      <c r="L201" s="16"/>
      <c r="M201" s="19" t="s">
        <v>6333</v>
      </c>
      <c r="N201" s="16"/>
      <c r="O201" s="16" t="s">
        <v>6334</v>
      </c>
      <c r="P201" s="16" t="str">
        <f>HYPERLINK("https://ceds.ed.gov/cedselementdetails.aspx?termid=26307")</f>
        <v>https://ceds.ed.gov/cedselementdetails.aspx?termid=26307</v>
      </c>
      <c r="Q201" s="16">
        <v>72845</v>
      </c>
    </row>
    <row r="202" spans="1:17" ht="57.6" x14ac:dyDescent="0.3">
      <c r="A202" s="16" t="s">
        <v>7596</v>
      </c>
      <c r="B202" s="16" t="s">
        <v>8865</v>
      </c>
      <c r="C202" s="16" t="s">
        <v>7623</v>
      </c>
      <c r="D202" s="16" t="s">
        <v>7597</v>
      </c>
      <c r="E202" s="16" t="s">
        <v>6743</v>
      </c>
      <c r="F202" s="16" t="s">
        <v>8150</v>
      </c>
      <c r="G202" s="16" t="s">
        <v>22</v>
      </c>
      <c r="H202" s="16" t="s">
        <v>98</v>
      </c>
      <c r="I202" s="16"/>
      <c r="J202" s="16"/>
      <c r="K202" s="16"/>
      <c r="L202" s="16"/>
      <c r="M202" s="19" t="s">
        <v>6744</v>
      </c>
      <c r="N202" s="16"/>
      <c r="O202" s="16" t="s">
        <v>6745</v>
      </c>
      <c r="P202" s="16" t="str">
        <f>HYPERLINK("https://ceds.ed.gov/cedselementdetails.aspx?termid=27004")</f>
        <v>https://ceds.ed.gov/cedselementdetails.aspx?termid=27004</v>
      </c>
      <c r="Q202" s="16">
        <v>71440</v>
      </c>
    </row>
    <row r="203" spans="1:17" ht="43.2" x14ac:dyDescent="0.3">
      <c r="A203" s="16" t="s">
        <v>7596</v>
      </c>
      <c r="B203" s="16" t="s">
        <v>8865</v>
      </c>
      <c r="C203" s="16" t="s">
        <v>7624</v>
      </c>
      <c r="D203" s="16" t="s">
        <v>7597</v>
      </c>
      <c r="E203" s="16" t="s">
        <v>6118</v>
      </c>
      <c r="F203" s="16" t="s">
        <v>6119</v>
      </c>
      <c r="G203" s="16" t="s">
        <v>22</v>
      </c>
      <c r="H203" s="16" t="s">
        <v>98</v>
      </c>
      <c r="I203" s="16"/>
      <c r="J203" s="16"/>
      <c r="K203" s="16"/>
      <c r="L203" s="16"/>
      <c r="M203" s="19" t="s">
        <v>6120</v>
      </c>
      <c r="N203" s="16"/>
      <c r="O203" s="16" t="s">
        <v>6121</v>
      </c>
      <c r="P203" s="16" t="str">
        <f>HYPERLINK("https://ceds.ed.gov/cedselementdetails.aspx?termid=26853")</f>
        <v>https://ceds.ed.gov/cedselementdetails.aspx?termid=26853</v>
      </c>
      <c r="Q203" s="16">
        <v>72306</v>
      </c>
    </row>
    <row r="204" spans="1:17" ht="57.6" x14ac:dyDescent="0.3">
      <c r="A204" s="16" t="s">
        <v>7596</v>
      </c>
      <c r="B204" s="16" t="s">
        <v>8865</v>
      </c>
      <c r="C204" s="16" t="s">
        <v>7624</v>
      </c>
      <c r="D204" s="16" t="s">
        <v>7597</v>
      </c>
      <c r="E204" s="16" t="s">
        <v>6052</v>
      </c>
      <c r="F204" s="16" t="s">
        <v>6053</v>
      </c>
      <c r="G204" s="16" t="s">
        <v>22</v>
      </c>
      <c r="H204" s="16" t="s">
        <v>6056</v>
      </c>
      <c r="I204" s="16"/>
      <c r="J204" s="16"/>
      <c r="K204" s="16"/>
      <c r="L204" s="16"/>
      <c r="M204" s="19" t="s">
        <v>6054</v>
      </c>
      <c r="N204" s="16"/>
      <c r="O204" s="16" t="s">
        <v>6055</v>
      </c>
      <c r="P204" s="16" t="str">
        <f>HYPERLINK("https://ceds.ed.gov/cedselementdetails.aspx?termid=26854")</f>
        <v>https://ceds.ed.gov/cedselementdetails.aspx?termid=26854</v>
      </c>
      <c r="Q204" s="16">
        <v>72307</v>
      </c>
    </row>
    <row r="205" spans="1:17" ht="43.2" x14ac:dyDescent="0.3">
      <c r="A205" s="16" t="s">
        <v>7596</v>
      </c>
      <c r="B205" s="16" t="s">
        <v>8865</v>
      </c>
      <c r="C205" s="16" t="s">
        <v>7624</v>
      </c>
      <c r="D205" s="16" t="s">
        <v>7597</v>
      </c>
      <c r="E205" s="16" t="s">
        <v>6110</v>
      </c>
      <c r="F205" s="16" t="s">
        <v>6111</v>
      </c>
      <c r="G205" s="16" t="s">
        <v>22</v>
      </c>
      <c r="H205" s="16" t="s">
        <v>98</v>
      </c>
      <c r="I205" s="16"/>
      <c r="J205" s="16"/>
      <c r="K205" s="16"/>
      <c r="L205" s="16"/>
      <c r="M205" s="19" t="s">
        <v>6112</v>
      </c>
      <c r="N205" s="16"/>
      <c r="O205" s="16" t="s">
        <v>6113</v>
      </c>
      <c r="P205" s="16" t="str">
        <f>HYPERLINK("https://ceds.ed.gov/cedselementdetails.aspx?termid=26855")</f>
        <v>https://ceds.ed.gov/cedselementdetails.aspx?termid=26855</v>
      </c>
      <c r="Q205" s="16">
        <v>72308</v>
      </c>
    </row>
    <row r="206" spans="1:17" ht="43.2" x14ac:dyDescent="0.3">
      <c r="A206" s="16" t="s">
        <v>7596</v>
      </c>
      <c r="B206" s="16" t="s">
        <v>8865</v>
      </c>
      <c r="C206" s="16" t="s">
        <v>7624</v>
      </c>
      <c r="D206" s="16" t="s">
        <v>7597</v>
      </c>
      <c r="E206" s="16" t="s">
        <v>6106</v>
      </c>
      <c r="F206" s="16" t="s">
        <v>6107</v>
      </c>
      <c r="G206" s="16" t="s">
        <v>22</v>
      </c>
      <c r="H206" s="16" t="s">
        <v>98</v>
      </c>
      <c r="I206" s="16"/>
      <c r="J206" s="16"/>
      <c r="K206" s="16"/>
      <c r="L206" s="16"/>
      <c r="M206" s="19" t="s">
        <v>6108</v>
      </c>
      <c r="N206" s="16"/>
      <c r="O206" s="16" t="s">
        <v>6109</v>
      </c>
      <c r="P206" s="16" t="str">
        <f>HYPERLINK("https://ceds.ed.gov/cedselementdetails.aspx?termid=26856")</f>
        <v>https://ceds.ed.gov/cedselementdetails.aspx?termid=26856</v>
      </c>
      <c r="Q206" s="16">
        <v>72309</v>
      </c>
    </row>
    <row r="207" spans="1:17" ht="144" x14ac:dyDescent="0.3">
      <c r="A207" s="16" t="s">
        <v>7596</v>
      </c>
      <c r="B207" s="16" t="s">
        <v>8865</v>
      </c>
      <c r="C207" s="16" t="s">
        <v>7624</v>
      </c>
      <c r="D207" s="16" t="s">
        <v>7597</v>
      </c>
      <c r="E207" s="16" t="s">
        <v>5676</v>
      </c>
      <c r="F207" s="16" t="s">
        <v>5677</v>
      </c>
      <c r="G207" s="16" t="s">
        <v>8749</v>
      </c>
      <c r="H207" s="16" t="s">
        <v>98</v>
      </c>
      <c r="I207" s="16"/>
      <c r="J207" s="16"/>
      <c r="K207" s="16"/>
      <c r="L207" s="16"/>
      <c r="M207" s="19" t="s">
        <v>5678</v>
      </c>
      <c r="N207" s="16"/>
      <c r="O207" s="16" t="s">
        <v>5679</v>
      </c>
      <c r="P207" s="16" t="str">
        <f>HYPERLINK("https://ceds.ed.gov/cedselementdetails.aspx?termid=26857")</f>
        <v>https://ceds.ed.gov/cedselementdetails.aspx?termid=26857</v>
      </c>
      <c r="Q207" s="16">
        <v>72310</v>
      </c>
    </row>
    <row r="208" spans="1:17" ht="43.2" x14ac:dyDescent="0.3">
      <c r="A208" s="16" t="s">
        <v>7596</v>
      </c>
      <c r="B208" s="16" t="s">
        <v>8865</v>
      </c>
      <c r="C208" s="16" t="s">
        <v>7624</v>
      </c>
      <c r="D208" s="16" t="s">
        <v>7597</v>
      </c>
      <c r="E208" s="16" t="s">
        <v>1339</v>
      </c>
      <c r="F208" s="16" t="s">
        <v>1340</v>
      </c>
      <c r="G208" s="16" t="s">
        <v>22</v>
      </c>
      <c r="H208" s="16" t="s">
        <v>98</v>
      </c>
      <c r="I208" s="16"/>
      <c r="J208" s="16"/>
      <c r="K208" s="16"/>
      <c r="L208" s="16"/>
      <c r="M208" s="19" t="s">
        <v>1341</v>
      </c>
      <c r="N208" s="16"/>
      <c r="O208" s="16" t="s">
        <v>1342</v>
      </c>
      <c r="P208" s="16" t="str">
        <f>HYPERLINK("https://ceds.ed.gov/cedselementdetails.aspx?termid=26858")</f>
        <v>https://ceds.ed.gov/cedselementdetails.aspx?termid=26858</v>
      </c>
      <c r="Q208" s="16">
        <v>72311</v>
      </c>
    </row>
    <row r="209" spans="1:17" ht="100.8" x14ac:dyDescent="0.3">
      <c r="A209" s="16" t="s">
        <v>7596</v>
      </c>
      <c r="B209" s="16" t="s">
        <v>8865</v>
      </c>
      <c r="C209" s="16" t="s">
        <v>9409</v>
      </c>
      <c r="D209" s="16" t="s">
        <v>7597</v>
      </c>
      <c r="E209" s="16" t="s">
        <v>8909</v>
      </c>
      <c r="F209" s="16" t="s">
        <v>8910</v>
      </c>
      <c r="G209" s="16" t="s">
        <v>9288</v>
      </c>
      <c r="H209" s="16"/>
      <c r="I209" s="16"/>
      <c r="J209" s="16" t="s">
        <v>2</v>
      </c>
      <c r="K209" s="16"/>
      <c r="L209" s="16"/>
      <c r="M209" s="19" t="s">
        <v>8911</v>
      </c>
      <c r="N209" s="16"/>
      <c r="O209" s="16" t="s">
        <v>8912</v>
      </c>
      <c r="P209" s="16" t="str">
        <f>HYPERLINK("https://ceds.ed.gov/cedselementdetails.aspx?termid=28004")</f>
        <v>https://ceds.ed.gov/cedselementdetails.aspx?termid=28004</v>
      </c>
      <c r="Q209" s="16">
        <v>76032</v>
      </c>
    </row>
    <row r="210" spans="1:17" ht="28.8" x14ac:dyDescent="0.3">
      <c r="A210" s="16" t="s">
        <v>7596</v>
      </c>
      <c r="B210" s="16" t="s">
        <v>8865</v>
      </c>
      <c r="C210" s="16" t="s">
        <v>9409</v>
      </c>
      <c r="D210" s="16" t="s">
        <v>7597</v>
      </c>
      <c r="E210" s="16" t="s">
        <v>8913</v>
      </c>
      <c r="F210" s="16" t="s">
        <v>8914</v>
      </c>
      <c r="G210" s="16" t="s">
        <v>32</v>
      </c>
      <c r="H210" s="16"/>
      <c r="I210" s="16"/>
      <c r="J210" s="16" t="s">
        <v>106</v>
      </c>
      <c r="K210" s="16"/>
      <c r="L210" s="16"/>
      <c r="M210" s="19" t="s">
        <v>8915</v>
      </c>
      <c r="N210" s="16"/>
      <c r="O210" s="16" t="s">
        <v>8916</v>
      </c>
      <c r="P210" s="16" t="str">
        <f>HYPERLINK("https://ceds.ed.gov/cedselementdetails.aspx?termid=28005")</f>
        <v>https://ceds.ed.gov/cedselementdetails.aspx?termid=28005</v>
      </c>
      <c r="Q210" s="16">
        <v>76033</v>
      </c>
    </row>
    <row r="211" spans="1:17" ht="28.8" x14ac:dyDescent="0.3">
      <c r="A211" s="16" t="s">
        <v>7596</v>
      </c>
      <c r="B211" s="16" t="s">
        <v>8865</v>
      </c>
      <c r="C211" s="16" t="s">
        <v>9409</v>
      </c>
      <c r="D211" s="16" t="s">
        <v>7597</v>
      </c>
      <c r="E211" s="16" t="s">
        <v>8917</v>
      </c>
      <c r="F211" s="16" t="s">
        <v>8918</v>
      </c>
      <c r="G211" s="16" t="s">
        <v>32</v>
      </c>
      <c r="H211" s="16"/>
      <c r="I211" s="16"/>
      <c r="J211" s="16" t="s">
        <v>106</v>
      </c>
      <c r="K211" s="16"/>
      <c r="L211" s="16"/>
      <c r="M211" s="19" t="s">
        <v>8919</v>
      </c>
      <c r="N211" s="16"/>
      <c r="O211" s="16" t="s">
        <v>8920</v>
      </c>
      <c r="P211" s="16" t="str">
        <f>HYPERLINK("https://ceds.ed.gov/cedselementdetails.aspx?termid=28006")</f>
        <v>https://ceds.ed.gov/cedselementdetails.aspx?termid=28006</v>
      </c>
      <c r="Q211" s="16">
        <v>76034</v>
      </c>
    </row>
    <row r="212" spans="1:17" ht="57.6" x14ac:dyDescent="0.3">
      <c r="A212" s="16" t="s">
        <v>7596</v>
      </c>
      <c r="B212" s="16" t="s">
        <v>8865</v>
      </c>
      <c r="C212" s="16" t="s">
        <v>9409</v>
      </c>
      <c r="D212" s="16" t="s">
        <v>7597</v>
      </c>
      <c r="E212" s="16" t="s">
        <v>8921</v>
      </c>
      <c r="F212" s="16" t="s">
        <v>8922</v>
      </c>
      <c r="G212" s="16" t="s">
        <v>9289</v>
      </c>
      <c r="H212" s="16"/>
      <c r="I212" s="16"/>
      <c r="J212" s="16" t="s">
        <v>2</v>
      </c>
      <c r="K212" s="16"/>
      <c r="L212" s="16"/>
      <c r="M212" s="19" t="s">
        <v>8923</v>
      </c>
      <c r="N212" s="16"/>
      <c r="O212" s="16" t="s">
        <v>8924</v>
      </c>
      <c r="P212" s="16" t="str">
        <f>HYPERLINK("https://ceds.ed.gov/cedselementdetails.aspx?termid=28007")</f>
        <v>https://ceds.ed.gov/cedselementdetails.aspx?termid=28007</v>
      </c>
      <c r="Q212" s="16">
        <v>76035</v>
      </c>
    </row>
    <row r="213" spans="1:17" ht="57.6" x14ac:dyDescent="0.3">
      <c r="A213" s="16" t="s">
        <v>7596</v>
      </c>
      <c r="B213" s="16" t="s">
        <v>8865</v>
      </c>
      <c r="C213" s="16" t="s">
        <v>9410</v>
      </c>
      <c r="D213" s="16" t="s">
        <v>7597</v>
      </c>
      <c r="E213" s="16" t="s">
        <v>8929</v>
      </c>
      <c r="F213" s="16" t="s">
        <v>8930</v>
      </c>
      <c r="G213" s="16" t="s">
        <v>9290</v>
      </c>
      <c r="H213" s="16"/>
      <c r="I213" s="16"/>
      <c r="J213" s="16" t="s">
        <v>2</v>
      </c>
      <c r="K213" s="16"/>
      <c r="L213" s="16"/>
      <c r="M213" s="19" t="s">
        <v>8931</v>
      </c>
      <c r="N213" s="16"/>
      <c r="O213" s="16" t="s">
        <v>8932</v>
      </c>
      <c r="P213" s="16" t="str">
        <f>HYPERLINK("https://ceds.ed.gov/cedselementdetails.aspx?termid=28009")</f>
        <v>https://ceds.ed.gov/cedselementdetails.aspx?termid=28009</v>
      </c>
      <c r="Q213" s="16">
        <v>76038</v>
      </c>
    </row>
    <row r="214" spans="1:17" ht="72" x14ac:dyDescent="0.3">
      <c r="A214" s="16" t="s">
        <v>7596</v>
      </c>
      <c r="B214" s="16" t="s">
        <v>8865</v>
      </c>
      <c r="C214" s="16" t="s">
        <v>9410</v>
      </c>
      <c r="D214" s="16" t="s">
        <v>7597</v>
      </c>
      <c r="E214" s="16" t="s">
        <v>8954</v>
      </c>
      <c r="F214" s="16" t="s">
        <v>8955</v>
      </c>
      <c r="G214" s="16" t="s">
        <v>9422</v>
      </c>
      <c r="H214" s="16"/>
      <c r="I214" s="16"/>
      <c r="J214" s="16" t="s">
        <v>2</v>
      </c>
      <c r="K214" s="16"/>
      <c r="L214" s="16"/>
      <c r="M214" s="19" t="s">
        <v>8956</v>
      </c>
      <c r="N214" s="16"/>
      <c r="O214" s="16" t="s">
        <v>8957</v>
      </c>
      <c r="P214" s="16" t="str">
        <f>HYPERLINK("https://ceds.ed.gov/cedselementdetails.aspx?termid=28015")</f>
        <v>https://ceds.ed.gov/cedselementdetails.aspx?termid=28015</v>
      </c>
      <c r="Q214" s="16">
        <v>76039</v>
      </c>
    </row>
    <row r="215" spans="1:17" ht="72" x14ac:dyDescent="0.3">
      <c r="A215" s="16" t="s">
        <v>7596</v>
      </c>
      <c r="B215" s="16" t="s">
        <v>8865</v>
      </c>
      <c r="C215" s="16" t="s">
        <v>9410</v>
      </c>
      <c r="D215" s="16" t="s">
        <v>7597</v>
      </c>
      <c r="E215" s="16" t="s">
        <v>9000</v>
      </c>
      <c r="F215" s="16" t="s">
        <v>9001</v>
      </c>
      <c r="G215" s="16" t="s">
        <v>9293</v>
      </c>
      <c r="H215" s="16"/>
      <c r="I215" s="16"/>
      <c r="J215" s="16" t="s">
        <v>2</v>
      </c>
      <c r="K215" s="16"/>
      <c r="L215" s="16"/>
      <c r="M215" s="19" t="s">
        <v>9002</v>
      </c>
      <c r="N215" s="16"/>
      <c r="O215" s="16" t="s">
        <v>9003</v>
      </c>
      <c r="P215" s="16" t="str">
        <f>HYPERLINK("https://ceds.ed.gov/cedselementdetails.aspx?termid=28026")</f>
        <v>https://ceds.ed.gov/cedselementdetails.aspx?termid=28026</v>
      </c>
      <c r="Q215" s="16">
        <v>76040</v>
      </c>
    </row>
    <row r="216" spans="1:17" ht="28.8" x14ac:dyDescent="0.3">
      <c r="A216" s="16" t="s">
        <v>7596</v>
      </c>
      <c r="B216" s="16" t="s">
        <v>8865</v>
      </c>
      <c r="C216" s="16" t="s">
        <v>9410</v>
      </c>
      <c r="D216" s="16" t="s">
        <v>7597</v>
      </c>
      <c r="E216" s="16" t="s">
        <v>9004</v>
      </c>
      <c r="F216" s="16" t="s">
        <v>9005</v>
      </c>
      <c r="G216" s="16" t="s">
        <v>32</v>
      </c>
      <c r="H216" s="16"/>
      <c r="I216" s="16"/>
      <c r="J216" s="16" t="s">
        <v>120</v>
      </c>
      <c r="K216" s="16"/>
      <c r="L216" s="16"/>
      <c r="M216" s="19" t="s">
        <v>9006</v>
      </c>
      <c r="N216" s="16"/>
      <c r="O216" s="16" t="s">
        <v>9007</v>
      </c>
      <c r="P216" s="16" t="str">
        <f>HYPERLINK("https://ceds.ed.gov/cedselementdetails.aspx?termid=28027")</f>
        <v>https://ceds.ed.gov/cedselementdetails.aspx?termid=28027</v>
      </c>
      <c r="Q216" s="16">
        <v>76041</v>
      </c>
    </row>
    <row r="217" spans="1:17" ht="57.6" x14ac:dyDescent="0.3">
      <c r="A217" s="16" t="s">
        <v>7596</v>
      </c>
      <c r="B217" s="16" t="s">
        <v>8865</v>
      </c>
      <c r="C217" s="16" t="s">
        <v>9410</v>
      </c>
      <c r="D217" s="16" t="s">
        <v>7597</v>
      </c>
      <c r="E217" s="16" t="s">
        <v>9008</v>
      </c>
      <c r="F217" s="16" t="s">
        <v>9009</v>
      </c>
      <c r="G217" s="16" t="s">
        <v>32</v>
      </c>
      <c r="H217" s="16"/>
      <c r="I217" s="16"/>
      <c r="J217" s="16" t="s">
        <v>106</v>
      </c>
      <c r="K217" s="16"/>
      <c r="L217" s="16"/>
      <c r="M217" s="19" t="s">
        <v>9010</v>
      </c>
      <c r="N217" s="16"/>
      <c r="O217" s="16" t="s">
        <v>9011</v>
      </c>
      <c r="P217" s="16" t="str">
        <f>HYPERLINK("https://ceds.ed.gov/cedselementdetails.aspx?termid=28028")</f>
        <v>https://ceds.ed.gov/cedselementdetails.aspx?termid=28028</v>
      </c>
      <c r="Q217" s="16">
        <v>76042</v>
      </c>
    </row>
    <row r="218" spans="1:17" ht="72" x14ac:dyDescent="0.3">
      <c r="A218" s="16" t="s">
        <v>7596</v>
      </c>
      <c r="B218" s="16" t="s">
        <v>8865</v>
      </c>
      <c r="C218" s="16" t="s">
        <v>9410</v>
      </c>
      <c r="D218" s="16" t="s">
        <v>7597</v>
      </c>
      <c r="E218" s="16" t="s">
        <v>9012</v>
      </c>
      <c r="F218" s="16" t="s">
        <v>9013</v>
      </c>
      <c r="G218" s="16" t="s">
        <v>9293</v>
      </c>
      <c r="H218" s="16"/>
      <c r="I218" s="16"/>
      <c r="J218" s="16" t="s">
        <v>2</v>
      </c>
      <c r="K218" s="16"/>
      <c r="L218" s="16"/>
      <c r="M218" s="19" t="s">
        <v>9014</v>
      </c>
      <c r="N218" s="16"/>
      <c r="O218" s="16" t="s">
        <v>9015</v>
      </c>
      <c r="P218" s="16" t="str">
        <f>HYPERLINK("https://ceds.ed.gov/cedselementdetails.aspx?termid=28029")</f>
        <v>https://ceds.ed.gov/cedselementdetails.aspx?termid=28029</v>
      </c>
      <c r="Q218" s="16">
        <v>76043</v>
      </c>
    </row>
    <row r="219" spans="1:17" ht="28.8" x14ac:dyDescent="0.3">
      <c r="A219" s="16" t="s">
        <v>7596</v>
      </c>
      <c r="B219" s="16" t="s">
        <v>8865</v>
      </c>
      <c r="C219" s="16" t="s">
        <v>9410</v>
      </c>
      <c r="D219" s="16" t="s">
        <v>7597</v>
      </c>
      <c r="E219" s="16" t="s">
        <v>9016</v>
      </c>
      <c r="F219" s="16" t="s">
        <v>9017</v>
      </c>
      <c r="G219" s="16" t="s">
        <v>32</v>
      </c>
      <c r="H219" s="16"/>
      <c r="I219" s="16"/>
      <c r="J219" s="16" t="s">
        <v>120</v>
      </c>
      <c r="K219" s="16"/>
      <c r="L219" s="16"/>
      <c r="M219" s="19" t="s">
        <v>9018</v>
      </c>
      <c r="N219" s="16"/>
      <c r="O219" s="16" t="s">
        <v>9019</v>
      </c>
      <c r="P219" s="16" t="str">
        <f>HYPERLINK("https://ceds.ed.gov/cedselementdetails.aspx?termid=28030")</f>
        <v>https://ceds.ed.gov/cedselementdetails.aspx?termid=28030</v>
      </c>
      <c r="Q219" s="16">
        <v>76044</v>
      </c>
    </row>
    <row r="220" spans="1:17" ht="86.4" x14ac:dyDescent="0.3">
      <c r="A220" s="16" t="s">
        <v>7596</v>
      </c>
      <c r="B220" s="16" t="s">
        <v>8865</v>
      </c>
      <c r="C220" s="16" t="s">
        <v>9410</v>
      </c>
      <c r="D220" s="16" t="s">
        <v>7597</v>
      </c>
      <c r="E220" s="16" t="s">
        <v>9020</v>
      </c>
      <c r="F220" s="16" t="s">
        <v>9021</v>
      </c>
      <c r="G220" s="16" t="s">
        <v>9294</v>
      </c>
      <c r="H220" s="16"/>
      <c r="I220" s="16"/>
      <c r="J220" s="16" t="s">
        <v>2</v>
      </c>
      <c r="K220" s="16"/>
      <c r="L220" s="16"/>
      <c r="M220" s="19" t="s">
        <v>9022</v>
      </c>
      <c r="N220" s="16"/>
      <c r="O220" s="16" t="s">
        <v>9023</v>
      </c>
      <c r="P220" s="16" t="str">
        <f>HYPERLINK("https://ceds.ed.gov/cedselementdetails.aspx?termid=28031")</f>
        <v>https://ceds.ed.gov/cedselementdetails.aspx?termid=28031</v>
      </c>
      <c r="Q220" s="16">
        <v>76045</v>
      </c>
    </row>
    <row r="221" spans="1:17" ht="86.4" x14ac:dyDescent="0.3">
      <c r="A221" s="16" t="s">
        <v>7596</v>
      </c>
      <c r="B221" s="16" t="s">
        <v>8865</v>
      </c>
      <c r="C221" s="16" t="s">
        <v>9410</v>
      </c>
      <c r="D221" s="16" t="s">
        <v>7597</v>
      </c>
      <c r="E221" s="16" t="s">
        <v>9024</v>
      </c>
      <c r="F221" s="16" t="s">
        <v>9025</v>
      </c>
      <c r="G221" s="16" t="s">
        <v>9423</v>
      </c>
      <c r="H221" s="16"/>
      <c r="I221" s="16"/>
      <c r="J221" s="16" t="s">
        <v>2</v>
      </c>
      <c r="K221" s="16"/>
      <c r="L221" s="16" t="s">
        <v>9026</v>
      </c>
      <c r="M221" s="19" t="s">
        <v>9027</v>
      </c>
      <c r="N221" s="16"/>
      <c r="O221" s="16" t="s">
        <v>9028</v>
      </c>
      <c r="P221" s="16" t="str">
        <f>HYPERLINK("https://ceds.ed.gov/cedselementdetails.aspx?termid=28032")</f>
        <v>https://ceds.ed.gov/cedselementdetails.aspx?termid=28032</v>
      </c>
      <c r="Q221" s="16">
        <v>76046</v>
      </c>
    </row>
    <row r="222" spans="1:17" ht="28.8" x14ac:dyDescent="0.3">
      <c r="A222" s="16" t="s">
        <v>7596</v>
      </c>
      <c r="B222" s="16" t="s">
        <v>8865</v>
      </c>
      <c r="C222" s="16" t="s">
        <v>9410</v>
      </c>
      <c r="D222" s="16" t="s">
        <v>7597</v>
      </c>
      <c r="E222" s="16" t="s">
        <v>9029</v>
      </c>
      <c r="F222" s="16" t="s">
        <v>9030</v>
      </c>
      <c r="G222" s="16" t="s">
        <v>32</v>
      </c>
      <c r="H222" s="16"/>
      <c r="I222" s="16"/>
      <c r="J222" s="16" t="s">
        <v>106</v>
      </c>
      <c r="K222" s="16"/>
      <c r="L222" s="16" t="s">
        <v>9031</v>
      </c>
      <c r="M222" s="19" t="s">
        <v>9032</v>
      </c>
      <c r="N222" s="16"/>
      <c r="O222" s="16" t="s">
        <v>9033</v>
      </c>
      <c r="P222" s="16" t="str">
        <f>HYPERLINK("https://ceds.ed.gov/cedselementdetails.aspx?termid=28033")</f>
        <v>https://ceds.ed.gov/cedselementdetails.aspx?termid=28033</v>
      </c>
      <c r="Q222" s="16">
        <v>76047</v>
      </c>
    </row>
    <row r="223" spans="1:17" ht="28.8" x14ac:dyDescent="0.3">
      <c r="A223" s="16" t="s">
        <v>7596</v>
      </c>
      <c r="B223" s="16" t="s">
        <v>8865</v>
      </c>
      <c r="C223" s="16" t="s">
        <v>9410</v>
      </c>
      <c r="D223" s="16" t="s">
        <v>7597</v>
      </c>
      <c r="E223" s="16" t="s">
        <v>9071</v>
      </c>
      <c r="F223" s="16" t="s">
        <v>9072</v>
      </c>
      <c r="G223" s="16" t="s">
        <v>8200</v>
      </c>
      <c r="H223" s="16"/>
      <c r="I223" s="16"/>
      <c r="J223" s="16" t="s">
        <v>2</v>
      </c>
      <c r="K223" s="16"/>
      <c r="L223" s="16"/>
      <c r="M223" s="19" t="s">
        <v>9073</v>
      </c>
      <c r="N223" s="16"/>
      <c r="O223" s="16" t="s">
        <v>9074</v>
      </c>
      <c r="P223" s="16" t="str">
        <f>HYPERLINK("https://ceds.ed.gov/cedselementdetails.aspx?termid=28043")</f>
        <v>https://ceds.ed.gov/cedselementdetails.aspx?termid=28043</v>
      </c>
      <c r="Q223" s="16">
        <v>76048</v>
      </c>
    </row>
    <row r="224" spans="1:17" ht="28.8" x14ac:dyDescent="0.3">
      <c r="A224" s="16" t="s">
        <v>7596</v>
      </c>
      <c r="B224" s="16" t="s">
        <v>8865</v>
      </c>
      <c r="C224" s="16" t="s">
        <v>9410</v>
      </c>
      <c r="D224" s="16" t="s">
        <v>7597</v>
      </c>
      <c r="E224" s="16" t="s">
        <v>9075</v>
      </c>
      <c r="F224" s="16" t="s">
        <v>9076</v>
      </c>
      <c r="G224" s="16" t="s">
        <v>8200</v>
      </c>
      <c r="H224" s="16"/>
      <c r="I224" s="16"/>
      <c r="J224" s="16" t="s">
        <v>2</v>
      </c>
      <c r="K224" s="16"/>
      <c r="L224" s="16"/>
      <c r="M224" s="19" t="s">
        <v>9077</v>
      </c>
      <c r="N224" s="16"/>
      <c r="O224" s="16" t="s">
        <v>9078</v>
      </c>
      <c r="P224" s="16" t="str">
        <f>HYPERLINK("https://ceds.ed.gov/cedselementdetails.aspx?termid=28044")</f>
        <v>https://ceds.ed.gov/cedselementdetails.aspx?termid=28044</v>
      </c>
      <c r="Q224" s="16">
        <v>76049</v>
      </c>
    </row>
    <row r="225" spans="1:17" ht="72" x14ac:dyDescent="0.3">
      <c r="A225" s="16" t="s">
        <v>7596</v>
      </c>
      <c r="B225" s="16" t="s">
        <v>8865</v>
      </c>
      <c r="C225" s="16" t="s">
        <v>9411</v>
      </c>
      <c r="D225" s="16" t="s">
        <v>7597</v>
      </c>
      <c r="E225" s="16" t="s">
        <v>9201</v>
      </c>
      <c r="F225" s="16" t="s">
        <v>9202</v>
      </c>
      <c r="G225" s="16" t="s">
        <v>32</v>
      </c>
      <c r="H225" s="16"/>
      <c r="I225" s="16"/>
      <c r="J225" s="16" t="s">
        <v>955</v>
      </c>
      <c r="K225" s="16"/>
      <c r="L225" s="16"/>
      <c r="M225" s="19" t="s">
        <v>9203</v>
      </c>
      <c r="N225" s="16"/>
      <c r="O225" s="16" t="s">
        <v>9204</v>
      </c>
      <c r="P225" s="16" t="str">
        <f>HYPERLINK("https://ceds.ed.gov/cedselementdetails.aspx?termid=28074")</f>
        <v>https://ceds.ed.gov/cedselementdetails.aspx?termid=28074</v>
      </c>
      <c r="Q225" s="16">
        <v>76050</v>
      </c>
    </row>
    <row r="226" spans="1:17" ht="158.4" x14ac:dyDescent="0.3">
      <c r="A226" s="16" t="s">
        <v>7596</v>
      </c>
      <c r="B226" s="16" t="s">
        <v>8866</v>
      </c>
      <c r="C226" s="16" t="s">
        <v>7625</v>
      </c>
      <c r="D226" s="16" t="s">
        <v>7597</v>
      </c>
      <c r="E226" s="16" t="s">
        <v>3990</v>
      </c>
      <c r="F226" s="16" t="s">
        <v>3991</v>
      </c>
      <c r="G226" s="16" t="s">
        <v>32</v>
      </c>
      <c r="H226" s="16" t="s">
        <v>3994</v>
      </c>
      <c r="I226" s="16"/>
      <c r="J226" s="16" t="s">
        <v>7426</v>
      </c>
      <c r="K226" s="16"/>
      <c r="L226" s="16" t="s">
        <v>8047</v>
      </c>
      <c r="M226" s="19" t="s">
        <v>3992</v>
      </c>
      <c r="N226" s="16"/>
      <c r="O226" s="16" t="s">
        <v>3993</v>
      </c>
      <c r="P226" s="16" t="str">
        <f>HYPERLINK("https://ceds.ed.gov/cedselementdetails.aspx?termid=26115")</f>
        <v>https://ceds.ed.gov/cedselementdetails.aspx?termid=26115</v>
      </c>
      <c r="Q226" s="16">
        <v>70622</v>
      </c>
    </row>
    <row r="227" spans="1:17" ht="158.4" x14ac:dyDescent="0.3">
      <c r="A227" s="16" t="s">
        <v>7596</v>
      </c>
      <c r="B227" s="16" t="s">
        <v>8866</v>
      </c>
      <c r="C227" s="16" t="s">
        <v>7625</v>
      </c>
      <c r="D227" s="16" t="s">
        <v>7597</v>
      </c>
      <c r="E227" s="16" t="s">
        <v>5328</v>
      </c>
      <c r="F227" s="16" t="s">
        <v>5329</v>
      </c>
      <c r="G227" s="16" t="s">
        <v>32</v>
      </c>
      <c r="H227" s="16" t="s">
        <v>3994</v>
      </c>
      <c r="I227" s="16"/>
      <c r="J227" s="16" t="s">
        <v>7426</v>
      </c>
      <c r="K227" s="16"/>
      <c r="L227" s="16" t="s">
        <v>8053</v>
      </c>
      <c r="M227" s="19" t="s">
        <v>5330</v>
      </c>
      <c r="N227" s="16"/>
      <c r="O227" s="16" t="s">
        <v>5331</v>
      </c>
      <c r="P227" s="16" t="str">
        <f>HYPERLINK("https://ceds.ed.gov/cedselementdetails.aspx?termid=26184")</f>
        <v>https://ceds.ed.gov/cedselementdetails.aspx?termid=26184</v>
      </c>
      <c r="Q227" s="16">
        <v>70627</v>
      </c>
    </row>
    <row r="228" spans="1:17" ht="158.4" x14ac:dyDescent="0.3">
      <c r="A228" s="16" t="s">
        <v>7596</v>
      </c>
      <c r="B228" s="16" t="s">
        <v>8866</v>
      </c>
      <c r="C228" s="16" t="s">
        <v>7625</v>
      </c>
      <c r="D228" s="16" t="s">
        <v>7597</v>
      </c>
      <c r="E228" s="16" t="s">
        <v>4893</v>
      </c>
      <c r="F228" s="16" t="s">
        <v>4894</v>
      </c>
      <c r="G228" s="16" t="s">
        <v>32</v>
      </c>
      <c r="H228" s="16" t="s">
        <v>3994</v>
      </c>
      <c r="I228" s="16"/>
      <c r="J228" s="16" t="s">
        <v>7426</v>
      </c>
      <c r="K228" s="16"/>
      <c r="L228" s="16" t="s">
        <v>8053</v>
      </c>
      <c r="M228" s="19" t="s">
        <v>4895</v>
      </c>
      <c r="N228" s="16" t="s">
        <v>4896</v>
      </c>
      <c r="O228" s="16" t="s">
        <v>4897</v>
      </c>
      <c r="P228" s="16" t="str">
        <f>HYPERLINK("https://ceds.ed.gov/cedselementdetails.aspx?termid=26172")</f>
        <v>https://ceds.ed.gov/cedselementdetails.aspx?termid=26172</v>
      </c>
      <c r="Q228" s="16">
        <v>70626</v>
      </c>
    </row>
    <row r="229" spans="1:17" ht="129.6" x14ac:dyDescent="0.3">
      <c r="A229" s="16" t="s">
        <v>7596</v>
      </c>
      <c r="B229" s="16" t="s">
        <v>8866</v>
      </c>
      <c r="C229" s="16" t="s">
        <v>7625</v>
      </c>
      <c r="D229" s="16" t="s">
        <v>7597</v>
      </c>
      <c r="E229" s="16" t="s">
        <v>4054</v>
      </c>
      <c r="F229" s="16" t="s">
        <v>4055</v>
      </c>
      <c r="G229" s="16" t="s">
        <v>32</v>
      </c>
      <c r="H229" s="16" t="s">
        <v>4059</v>
      </c>
      <c r="I229" s="16"/>
      <c r="J229" s="16" t="s">
        <v>2697</v>
      </c>
      <c r="K229" s="16"/>
      <c r="L229" s="16" t="s">
        <v>8053</v>
      </c>
      <c r="M229" s="19" t="s">
        <v>4057</v>
      </c>
      <c r="N229" s="16"/>
      <c r="O229" s="16" t="s">
        <v>4058</v>
      </c>
      <c r="P229" s="16" t="str">
        <f>HYPERLINK("https://ceds.ed.gov/cedselementdetails.aspx?termid=26121")</f>
        <v>https://ceds.ed.gov/cedselementdetails.aspx?termid=26121</v>
      </c>
      <c r="Q229" s="16">
        <v>70623</v>
      </c>
    </row>
    <row r="230" spans="1:17" ht="115.2" x14ac:dyDescent="0.3">
      <c r="A230" s="16" t="s">
        <v>7596</v>
      </c>
      <c r="B230" s="16" t="s">
        <v>8866</v>
      </c>
      <c r="C230" s="16" t="s">
        <v>7626</v>
      </c>
      <c r="D230" s="16" t="s">
        <v>7597</v>
      </c>
      <c r="E230" s="16" t="s">
        <v>5650</v>
      </c>
      <c r="F230" s="16" t="s">
        <v>5651</v>
      </c>
      <c r="G230" s="16" t="s">
        <v>8746</v>
      </c>
      <c r="H230" s="16" t="s">
        <v>5654</v>
      </c>
      <c r="I230" s="16"/>
      <c r="J230" s="16" t="s">
        <v>81</v>
      </c>
      <c r="K230" s="16"/>
      <c r="L230" s="16"/>
      <c r="M230" s="19" t="s">
        <v>5652</v>
      </c>
      <c r="N230" s="16"/>
      <c r="O230" s="16" t="s">
        <v>5653</v>
      </c>
      <c r="P230" s="16" t="str">
        <f>HYPERLINK("https://ceds.ed.gov/cedselementdetails.aspx?termid=26627")</f>
        <v>https://ceds.ed.gov/cedselementdetails.aspx?termid=26627</v>
      </c>
      <c r="Q230" s="16">
        <v>71964</v>
      </c>
    </row>
    <row r="231" spans="1:17" ht="28.8" x14ac:dyDescent="0.3">
      <c r="A231" s="16" t="s">
        <v>7596</v>
      </c>
      <c r="B231" s="16" t="s">
        <v>8866</v>
      </c>
      <c r="C231" s="16" t="s">
        <v>7626</v>
      </c>
      <c r="D231" s="16" t="s">
        <v>7597</v>
      </c>
      <c r="E231" s="16" t="s">
        <v>5631</v>
      </c>
      <c r="F231" s="16" t="s">
        <v>5632</v>
      </c>
      <c r="G231" s="16" t="s">
        <v>32</v>
      </c>
      <c r="H231" s="16"/>
      <c r="I231" s="16"/>
      <c r="J231" s="16" t="s">
        <v>1266</v>
      </c>
      <c r="K231" s="16"/>
      <c r="L231" s="16" t="s">
        <v>5633</v>
      </c>
      <c r="M231" s="19" t="s">
        <v>5634</v>
      </c>
      <c r="N231" s="16"/>
      <c r="O231" s="16" t="s">
        <v>5635</v>
      </c>
      <c r="P231" s="16" t="str">
        <f>HYPERLINK("https://ceds.ed.gov/cedselementdetails.aspx?termid=27486")</f>
        <v>https://ceds.ed.gov/cedselementdetails.aspx?termid=27486</v>
      </c>
      <c r="Q231" s="16">
        <v>73627</v>
      </c>
    </row>
    <row r="232" spans="1:17" ht="28.8" x14ac:dyDescent="0.3">
      <c r="A232" s="16" t="s">
        <v>7596</v>
      </c>
      <c r="B232" s="16" t="s">
        <v>8866</v>
      </c>
      <c r="C232" s="16" t="s">
        <v>7626</v>
      </c>
      <c r="D232" s="16" t="s">
        <v>7597</v>
      </c>
      <c r="E232" s="16" t="s">
        <v>5641</v>
      </c>
      <c r="F232" s="16" t="s">
        <v>5642</v>
      </c>
      <c r="G232" s="16" t="s">
        <v>32</v>
      </c>
      <c r="H232" s="16"/>
      <c r="I232" s="16"/>
      <c r="J232" s="16" t="s">
        <v>1266</v>
      </c>
      <c r="K232" s="16"/>
      <c r="L232" s="16" t="s">
        <v>5643</v>
      </c>
      <c r="M232" s="19" t="s">
        <v>5644</v>
      </c>
      <c r="N232" s="16"/>
      <c r="O232" s="16" t="s">
        <v>5645</v>
      </c>
      <c r="P232" s="16" t="str">
        <f>HYPERLINK("https://ceds.ed.gov/cedselementdetails.aspx?termid=27487")</f>
        <v>https://ceds.ed.gov/cedselementdetails.aspx?termid=27487</v>
      </c>
      <c r="Q232" s="16">
        <v>73643</v>
      </c>
    </row>
    <row r="233" spans="1:17" ht="28.8" x14ac:dyDescent="0.3">
      <c r="A233" s="16" t="s">
        <v>7596</v>
      </c>
      <c r="B233" s="16" t="s">
        <v>8866</v>
      </c>
      <c r="C233" s="16" t="s">
        <v>7626</v>
      </c>
      <c r="D233" s="16" t="s">
        <v>7597</v>
      </c>
      <c r="E233" s="16" t="s">
        <v>5636</v>
      </c>
      <c r="F233" s="16" t="s">
        <v>5637</v>
      </c>
      <c r="G233" s="16" t="s">
        <v>32</v>
      </c>
      <c r="H233" s="16"/>
      <c r="I233" s="16"/>
      <c r="J233" s="16" t="s">
        <v>1266</v>
      </c>
      <c r="K233" s="16"/>
      <c r="L233" s="16" t="s">
        <v>5638</v>
      </c>
      <c r="M233" s="19" t="s">
        <v>5639</v>
      </c>
      <c r="N233" s="16"/>
      <c r="O233" s="16" t="s">
        <v>5640</v>
      </c>
      <c r="P233" s="16" t="str">
        <f>HYPERLINK("https://ceds.ed.gov/cedselementdetails.aspx?termid=27485")</f>
        <v>https://ceds.ed.gov/cedselementdetails.aspx?termid=27485</v>
      </c>
      <c r="Q233" s="16">
        <v>73611</v>
      </c>
    </row>
    <row r="234" spans="1:17" ht="129.6" x14ac:dyDescent="0.3">
      <c r="A234" s="16" t="s">
        <v>7596</v>
      </c>
      <c r="B234" s="16" t="s">
        <v>8866</v>
      </c>
      <c r="C234" s="16" t="s">
        <v>7626</v>
      </c>
      <c r="D234" s="16" t="s">
        <v>7597</v>
      </c>
      <c r="E234" s="16" t="s">
        <v>5646</v>
      </c>
      <c r="F234" s="16" t="s">
        <v>5647</v>
      </c>
      <c r="G234" s="16" t="s">
        <v>32</v>
      </c>
      <c r="H234" s="16" t="s">
        <v>4059</v>
      </c>
      <c r="I234" s="16"/>
      <c r="J234" s="16" t="s">
        <v>120</v>
      </c>
      <c r="K234" s="16"/>
      <c r="L234" s="16"/>
      <c r="M234" s="19" t="s">
        <v>5648</v>
      </c>
      <c r="N234" s="16"/>
      <c r="O234" s="16" t="s">
        <v>5649</v>
      </c>
      <c r="P234" s="16" t="str">
        <f>HYPERLINK("https://ceds.ed.gov/cedselementdetails.aspx?termid=26206")</f>
        <v>https://ceds.ed.gov/cedselementdetails.aspx?termid=26206</v>
      </c>
      <c r="Q234" s="16">
        <v>71965</v>
      </c>
    </row>
    <row r="235" spans="1:17" ht="172.8" x14ac:dyDescent="0.3">
      <c r="A235" s="16" t="s">
        <v>7596</v>
      </c>
      <c r="B235" s="16" t="s">
        <v>8866</v>
      </c>
      <c r="C235" s="16" t="s">
        <v>7627</v>
      </c>
      <c r="D235" s="16" t="s">
        <v>7597</v>
      </c>
      <c r="E235" s="16" t="s">
        <v>1983</v>
      </c>
      <c r="F235" s="16" t="s">
        <v>1984</v>
      </c>
      <c r="G235" s="16" t="s">
        <v>32</v>
      </c>
      <c r="H235" s="16" t="s">
        <v>1982</v>
      </c>
      <c r="I235" s="16"/>
      <c r="J235" s="16" t="s">
        <v>120</v>
      </c>
      <c r="K235" s="16"/>
      <c r="L235" s="16" t="s">
        <v>7817</v>
      </c>
      <c r="M235" s="19" t="s">
        <v>1985</v>
      </c>
      <c r="N235" s="16"/>
      <c r="O235" s="16" t="s">
        <v>1986</v>
      </c>
      <c r="P235" s="16" t="str">
        <f>HYPERLINK("https://ceds.ed.gov/cedselementdetails.aspx?termid=26781")</f>
        <v>https://ceds.ed.gov/cedselementdetails.aspx?termid=26781</v>
      </c>
      <c r="Q235" s="16">
        <v>71351</v>
      </c>
    </row>
    <row r="236" spans="1:17" ht="172.8" x14ac:dyDescent="0.3">
      <c r="A236" s="16" t="s">
        <v>7596</v>
      </c>
      <c r="B236" s="16" t="s">
        <v>8866</v>
      </c>
      <c r="C236" s="16" t="s">
        <v>7627</v>
      </c>
      <c r="D236" s="16" t="s">
        <v>7597</v>
      </c>
      <c r="E236" s="16" t="s">
        <v>1978</v>
      </c>
      <c r="F236" s="16" t="s">
        <v>1979</v>
      </c>
      <c r="G236" s="16" t="s">
        <v>9327</v>
      </c>
      <c r="H236" s="16" t="s">
        <v>1982</v>
      </c>
      <c r="I236" s="16"/>
      <c r="J236" s="16"/>
      <c r="K236" s="16"/>
      <c r="L236" s="16"/>
      <c r="M236" s="19" t="s">
        <v>1980</v>
      </c>
      <c r="N236" s="16"/>
      <c r="O236" s="16" t="s">
        <v>1981</v>
      </c>
      <c r="P236" s="16" t="str">
        <f>HYPERLINK("https://ceds.ed.gov/cedselementdetails.aspx?termid=26782")</f>
        <v>https://ceds.ed.gov/cedselementdetails.aspx?termid=26782</v>
      </c>
      <c r="Q236" s="16">
        <v>71352</v>
      </c>
    </row>
    <row r="237" spans="1:17" ht="403.2" x14ac:dyDescent="0.3">
      <c r="A237" s="16" t="s">
        <v>7596</v>
      </c>
      <c r="B237" s="16" t="s">
        <v>8866</v>
      </c>
      <c r="C237" s="16" t="s">
        <v>7627</v>
      </c>
      <c r="D237" s="16" t="s">
        <v>7597</v>
      </c>
      <c r="E237" s="16" t="s">
        <v>5756</v>
      </c>
      <c r="F237" s="16" t="s">
        <v>5757</v>
      </c>
      <c r="G237" s="16" t="s">
        <v>8252</v>
      </c>
      <c r="H237" s="16"/>
      <c r="I237" s="16"/>
      <c r="J237" s="16"/>
      <c r="K237" s="16"/>
      <c r="L237" s="16"/>
      <c r="M237" s="19" t="s">
        <v>5758</v>
      </c>
      <c r="N237" s="16"/>
      <c r="O237" s="16" t="s">
        <v>5759</v>
      </c>
      <c r="P237" s="16" t="str">
        <f>HYPERLINK("https://ceds.ed.gov/cedselementdetails.aspx?termid=26611")</f>
        <v>https://ceds.ed.gov/cedselementdetails.aspx?termid=26611</v>
      </c>
      <c r="Q237" s="16">
        <v>72214</v>
      </c>
    </row>
    <row r="238" spans="1:17" ht="72" x14ac:dyDescent="0.3">
      <c r="A238" s="16" t="s">
        <v>7596</v>
      </c>
      <c r="B238" s="16" t="s">
        <v>8866</v>
      </c>
      <c r="C238" s="16" t="s">
        <v>7627</v>
      </c>
      <c r="D238" s="16" t="s">
        <v>7597</v>
      </c>
      <c r="E238" s="16" t="s">
        <v>7508</v>
      </c>
      <c r="F238" s="16" t="s">
        <v>7509</v>
      </c>
      <c r="G238" s="16" t="s">
        <v>8251</v>
      </c>
      <c r="H238" s="16"/>
      <c r="I238" s="16"/>
      <c r="J238" s="16"/>
      <c r="K238" s="16"/>
      <c r="L238" s="16"/>
      <c r="M238" s="19" t="s">
        <v>7510</v>
      </c>
      <c r="N238" s="16"/>
      <c r="O238" s="16" t="s">
        <v>7511</v>
      </c>
      <c r="P238" s="16" t="str">
        <f>HYPERLINK("https://ceds.ed.gov/cedselementdetails.aspx?termid=27951")</f>
        <v>https://ceds.ed.gov/cedselementdetails.aspx?termid=27951</v>
      </c>
      <c r="Q238" s="16">
        <v>75506</v>
      </c>
    </row>
    <row r="239" spans="1:17" ht="172.8" x14ac:dyDescent="0.3">
      <c r="A239" s="16" t="s">
        <v>7596</v>
      </c>
      <c r="B239" s="16" t="s">
        <v>8866</v>
      </c>
      <c r="C239" s="16" t="s">
        <v>7603</v>
      </c>
      <c r="D239" s="16" t="s">
        <v>7597</v>
      </c>
      <c r="E239" s="16" t="s">
        <v>182</v>
      </c>
      <c r="F239" s="16" t="s">
        <v>183</v>
      </c>
      <c r="G239" s="16" t="s">
        <v>8293</v>
      </c>
      <c r="H239" s="16" t="s">
        <v>186</v>
      </c>
      <c r="I239" s="16"/>
      <c r="J239" s="16" t="s">
        <v>81</v>
      </c>
      <c r="K239" s="16"/>
      <c r="L239" s="16"/>
      <c r="M239" s="19" t="s">
        <v>184</v>
      </c>
      <c r="N239" s="16"/>
      <c r="O239" s="16" t="s">
        <v>185</v>
      </c>
      <c r="P239" s="16" t="str">
        <f>HYPERLINK("https://ceds.ed.gov/cedselementdetails.aspx?termid=26358")</f>
        <v>https://ceds.ed.gov/cedselementdetails.aspx?termid=26358</v>
      </c>
      <c r="Q239" s="16">
        <v>70659</v>
      </c>
    </row>
    <row r="240" spans="1:17" ht="187.2" x14ac:dyDescent="0.3">
      <c r="A240" s="16" t="s">
        <v>7596</v>
      </c>
      <c r="B240" s="16" t="s">
        <v>8866</v>
      </c>
      <c r="C240" s="16" t="s">
        <v>7603</v>
      </c>
      <c r="D240" s="16" t="s">
        <v>7597</v>
      </c>
      <c r="E240" s="16" t="s">
        <v>177</v>
      </c>
      <c r="F240" s="16" t="s">
        <v>178</v>
      </c>
      <c r="G240" s="16" t="s">
        <v>32</v>
      </c>
      <c r="H240" s="16" t="s">
        <v>163</v>
      </c>
      <c r="I240" s="16"/>
      <c r="J240" s="16" t="s">
        <v>179</v>
      </c>
      <c r="K240" s="16"/>
      <c r="L240" s="16"/>
      <c r="M240" s="19" t="s">
        <v>180</v>
      </c>
      <c r="N240" s="16"/>
      <c r="O240" s="16" t="s">
        <v>181</v>
      </c>
      <c r="P240" s="16" t="str">
        <f>HYPERLINK("https://ceds.ed.gov/cedselementdetails.aspx?termid=26269")</f>
        <v>https://ceds.ed.gov/cedselementdetails.aspx?termid=26269</v>
      </c>
      <c r="Q240" s="16">
        <v>70634</v>
      </c>
    </row>
    <row r="241" spans="1:17" ht="187.2" x14ac:dyDescent="0.3">
      <c r="A241" s="16" t="s">
        <v>7596</v>
      </c>
      <c r="B241" s="16" t="s">
        <v>8866</v>
      </c>
      <c r="C241" s="16" t="s">
        <v>7603</v>
      </c>
      <c r="D241" s="16" t="s">
        <v>7597</v>
      </c>
      <c r="E241" s="16" t="s">
        <v>158</v>
      </c>
      <c r="F241" s="16" t="s">
        <v>159</v>
      </c>
      <c r="G241" s="16" t="s">
        <v>32</v>
      </c>
      <c r="H241" s="16" t="s">
        <v>163</v>
      </c>
      <c r="I241" s="16"/>
      <c r="J241" s="16" t="s">
        <v>145</v>
      </c>
      <c r="K241" s="16"/>
      <c r="L241" s="16"/>
      <c r="M241" s="19" t="s">
        <v>161</v>
      </c>
      <c r="N241" s="16"/>
      <c r="O241" s="16" t="s">
        <v>162</v>
      </c>
      <c r="P241" s="16" t="str">
        <f>HYPERLINK("https://ceds.ed.gov/cedselementdetails.aspx?termid=26019")</f>
        <v>https://ceds.ed.gov/cedselementdetails.aspx?termid=26019</v>
      </c>
      <c r="Q241" s="16">
        <v>70616</v>
      </c>
    </row>
    <row r="242" spans="1:17" ht="187.2" x14ac:dyDescent="0.3">
      <c r="A242" s="16" t="s">
        <v>7596</v>
      </c>
      <c r="B242" s="16" t="s">
        <v>8866</v>
      </c>
      <c r="C242" s="16" t="s">
        <v>7603</v>
      </c>
      <c r="D242" s="16" t="s">
        <v>7597</v>
      </c>
      <c r="E242" s="16" t="s">
        <v>164</v>
      </c>
      <c r="F242" s="16" t="s">
        <v>165</v>
      </c>
      <c r="G242" s="16" t="s">
        <v>32</v>
      </c>
      <c r="H242" s="16" t="s">
        <v>163</v>
      </c>
      <c r="I242" s="16"/>
      <c r="J242" s="16" t="s">
        <v>81</v>
      </c>
      <c r="K242" s="16"/>
      <c r="L242" s="16"/>
      <c r="M242" s="19" t="s">
        <v>166</v>
      </c>
      <c r="N242" s="16"/>
      <c r="O242" s="16" t="s">
        <v>167</v>
      </c>
      <c r="P242" s="16" t="str">
        <f>HYPERLINK("https://ceds.ed.gov/cedselementdetails.aspx?termid=26040")</f>
        <v>https://ceds.ed.gov/cedselementdetails.aspx?termid=26040</v>
      </c>
      <c r="Q242" s="16">
        <v>70618</v>
      </c>
    </row>
    <row r="243" spans="1:17" ht="409.6" x14ac:dyDescent="0.3">
      <c r="A243" s="16" t="s">
        <v>7596</v>
      </c>
      <c r="B243" s="16" t="s">
        <v>8866</v>
      </c>
      <c r="C243" s="16" t="s">
        <v>7603</v>
      </c>
      <c r="D243" s="16" t="s">
        <v>7597</v>
      </c>
      <c r="E243" s="16" t="s">
        <v>6840</v>
      </c>
      <c r="F243" s="16" t="s">
        <v>6841</v>
      </c>
      <c r="G243" s="16" t="s">
        <v>8266</v>
      </c>
      <c r="H243" s="16" t="s">
        <v>6844</v>
      </c>
      <c r="I243" s="16"/>
      <c r="J243" s="16"/>
      <c r="K243" s="16"/>
      <c r="L243" s="16"/>
      <c r="M243" s="19" t="s">
        <v>6842</v>
      </c>
      <c r="N243" s="16"/>
      <c r="O243" s="16" t="s">
        <v>6843</v>
      </c>
      <c r="P243" s="16" t="str">
        <f>HYPERLINK("https://ceds.ed.gov/cedselementdetails.aspx?termid=26267")</f>
        <v>https://ceds.ed.gov/cedselementdetails.aspx?termid=26267</v>
      </c>
      <c r="Q243" s="16">
        <v>70633</v>
      </c>
    </row>
    <row r="244" spans="1:17" ht="187.2" x14ac:dyDescent="0.3">
      <c r="A244" s="16" t="s">
        <v>7596</v>
      </c>
      <c r="B244" s="16" t="s">
        <v>8866</v>
      </c>
      <c r="C244" s="16" t="s">
        <v>7603</v>
      </c>
      <c r="D244" s="16" t="s">
        <v>7597</v>
      </c>
      <c r="E244" s="16" t="s">
        <v>172</v>
      </c>
      <c r="F244" s="16" t="s">
        <v>173</v>
      </c>
      <c r="G244" s="16" t="s">
        <v>32</v>
      </c>
      <c r="H244" s="16" t="s">
        <v>163</v>
      </c>
      <c r="I244" s="16"/>
      <c r="J244" s="16" t="s">
        <v>174</v>
      </c>
      <c r="K244" s="16"/>
      <c r="L244" s="16"/>
      <c r="M244" s="19" t="s">
        <v>175</v>
      </c>
      <c r="N244" s="16"/>
      <c r="O244" s="16" t="s">
        <v>176</v>
      </c>
      <c r="P244" s="16" t="str">
        <f>HYPERLINK("https://ceds.ed.gov/cedselementdetails.aspx?termid=26214")</f>
        <v>https://ceds.ed.gov/cedselementdetails.aspx?termid=26214</v>
      </c>
      <c r="Q244" s="16">
        <v>70630</v>
      </c>
    </row>
    <row r="245" spans="1:17" ht="187.2" x14ac:dyDescent="0.3">
      <c r="A245" s="16" t="s">
        <v>7596</v>
      </c>
      <c r="B245" s="16" t="s">
        <v>8866</v>
      </c>
      <c r="C245" s="16" t="s">
        <v>7603</v>
      </c>
      <c r="D245" s="16" t="s">
        <v>7597</v>
      </c>
      <c r="E245" s="16" t="s">
        <v>168</v>
      </c>
      <c r="F245" s="16" t="s">
        <v>169</v>
      </c>
      <c r="G245" s="16" t="s">
        <v>32</v>
      </c>
      <c r="H245" s="16" t="s">
        <v>163</v>
      </c>
      <c r="I245" s="16"/>
      <c r="J245" s="16" t="s">
        <v>81</v>
      </c>
      <c r="K245" s="16"/>
      <c r="L245" s="16"/>
      <c r="M245" s="19" t="s">
        <v>170</v>
      </c>
      <c r="N245" s="16"/>
      <c r="O245" s="16" t="s">
        <v>171</v>
      </c>
      <c r="P245" s="16" t="str">
        <f>HYPERLINK("https://ceds.ed.gov/cedselementdetails.aspx?termid=26190")</f>
        <v>https://ceds.ed.gov/cedselementdetails.aspx?termid=26190</v>
      </c>
      <c r="Q245" s="16">
        <v>70628</v>
      </c>
    </row>
    <row r="246" spans="1:17" ht="409.6" x14ac:dyDescent="0.3">
      <c r="A246" s="16" t="s">
        <v>7596</v>
      </c>
      <c r="B246" s="16" t="s">
        <v>8866</v>
      </c>
      <c r="C246" s="16" t="s">
        <v>7603</v>
      </c>
      <c r="D246" s="16" t="s">
        <v>7597</v>
      </c>
      <c r="E246" s="16" t="s">
        <v>2483</v>
      </c>
      <c r="F246" s="16" t="s">
        <v>2484</v>
      </c>
      <c r="G246" s="16" t="s">
        <v>8454</v>
      </c>
      <c r="H246" s="16" t="s">
        <v>2487</v>
      </c>
      <c r="I246" s="16"/>
      <c r="J246" s="16"/>
      <c r="K246" s="16"/>
      <c r="L246" s="16" t="s">
        <v>7915</v>
      </c>
      <c r="M246" s="19" t="s">
        <v>2485</v>
      </c>
      <c r="N246" s="16"/>
      <c r="O246" s="16" t="s">
        <v>2486</v>
      </c>
      <c r="P246" s="16" t="str">
        <f>HYPERLINK("https://ceds.ed.gov/cedselementdetails.aspx?termid=26050")</f>
        <v>https://ceds.ed.gov/cedselementdetails.aspx?termid=26050</v>
      </c>
      <c r="Q246" s="16">
        <v>70619</v>
      </c>
    </row>
    <row r="247" spans="1:17" ht="57.6" x14ac:dyDescent="0.3">
      <c r="A247" s="16" t="s">
        <v>7596</v>
      </c>
      <c r="B247" s="16" t="s">
        <v>8866</v>
      </c>
      <c r="C247" s="16" t="s">
        <v>7603</v>
      </c>
      <c r="D247" s="16" t="s">
        <v>7597</v>
      </c>
      <c r="E247" s="16" t="s">
        <v>4902</v>
      </c>
      <c r="F247" s="16" t="s">
        <v>4903</v>
      </c>
      <c r="G247" s="16" t="s">
        <v>32</v>
      </c>
      <c r="H247" s="16"/>
      <c r="I247" s="16"/>
      <c r="J247" s="16" t="s">
        <v>1130</v>
      </c>
      <c r="K247" s="16"/>
      <c r="L247" s="16"/>
      <c r="M247" s="19" t="s">
        <v>4904</v>
      </c>
      <c r="N247" s="16"/>
      <c r="O247" s="16" t="s">
        <v>4902</v>
      </c>
      <c r="P247" s="16" t="str">
        <f>HYPERLINK("https://ceds.ed.gov/cedselementdetails.aspx?termid=26599")</f>
        <v>https://ceds.ed.gov/cedselementdetails.aspx?termid=26599</v>
      </c>
      <c r="Q247" s="16">
        <v>74255</v>
      </c>
    </row>
    <row r="248" spans="1:17" ht="57.6" x14ac:dyDescent="0.3">
      <c r="A248" s="16" t="s">
        <v>7596</v>
      </c>
      <c r="B248" s="16" t="s">
        <v>8866</v>
      </c>
      <c r="C248" s="16" t="s">
        <v>7603</v>
      </c>
      <c r="D248" s="16" t="s">
        <v>7597</v>
      </c>
      <c r="E248" s="16" t="s">
        <v>5285</v>
      </c>
      <c r="F248" s="16" t="s">
        <v>5286</v>
      </c>
      <c r="G248" s="16" t="s">
        <v>32</v>
      </c>
      <c r="H248" s="16"/>
      <c r="I248" s="16"/>
      <c r="J248" s="16" t="s">
        <v>1130</v>
      </c>
      <c r="K248" s="16"/>
      <c r="L248" s="16"/>
      <c r="M248" s="19" t="s">
        <v>5287</v>
      </c>
      <c r="N248" s="16"/>
      <c r="O248" s="16" t="s">
        <v>5285</v>
      </c>
      <c r="P248" s="16" t="str">
        <f>HYPERLINK("https://ceds.ed.gov/cedselementdetails.aspx?termid=26600")</f>
        <v>https://ceds.ed.gov/cedselementdetails.aspx?termid=26600</v>
      </c>
      <c r="Q248" s="16">
        <v>74278</v>
      </c>
    </row>
    <row r="249" spans="1:17" ht="158.4" x14ac:dyDescent="0.3">
      <c r="A249" s="16" t="s">
        <v>7596</v>
      </c>
      <c r="B249" s="16" t="s">
        <v>8866</v>
      </c>
      <c r="C249" s="16" t="s">
        <v>7603</v>
      </c>
      <c r="D249" s="16" t="s">
        <v>7597</v>
      </c>
      <c r="E249" s="16" t="s">
        <v>2493</v>
      </c>
      <c r="F249" s="16" t="s">
        <v>2494</v>
      </c>
      <c r="G249" s="16" t="s">
        <v>32</v>
      </c>
      <c r="H249" s="16"/>
      <c r="I249" s="16"/>
      <c r="J249" s="16" t="s">
        <v>2495</v>
      </c>
      <c r="K249" s="16"/>
      <c r="L249" s="16"/>
      <c r="M249" s="19" t="s">
        <v>2496</v>
      </c>
      <c r="N249" s="16"/>
      <c r="O249" s="16" t="s">
        <v>2497</v>
      </c>
      <c r="P249" s="16" t="str">
        <f>HYPERLINK("https://ceds.ed.gov/cedselementdetails.aspx?termid=27176")</f>
        <v>https://ceds.ed.gov/cedselementdetails.aspx?termid=27176</v>
      </c>
      <c r="Q249" s="16">
        <v>75262</v>
      </c>
    </row>
    <row r="250" spans="1:17" ht="57.6" x14ac:dyDescent="0.3">
      <c r="A250" s="16" t="s">
        <v>7596</v>
      </c>
      <c r="B250" s="16" t="s">
        <v>8866</v>
      </c>
      <c r="C250" s="16" t="s">
        <v>7603</v>
      </c>
      <c r="D250" s="16" t="s">
        <v>7597</v>
      </c>
      <c r="E250" s="16" t="s">
        <v>3175</v>
      </c>
      <c r="F250" s="16" t="s">
        <v>3176</v>
      </c>
      <c r="G250" s="16" t="s">
        <v>2987</v>
      </c>
      <c r="H250" s="16"/>
      <c r="I250" s="16"/>
      <c r="J250" s="16"/>
      <c r="K250" s="16"/>
      <c r="L250" s="16"/>
      <c r="M250" s="19" t="s">
        <v>3177</v>
      </c>
      <c r="N250" s="16"/>
      <c r="O250" s="16" t="s">
        <v>3178</v>
      </c>
      <c r="P250" s="16" t="str">
        <f>HYPERLINK("https://ceds.ed.gov/cedselementdetails.aspx?termid=27905")</f>
        <v>https://ceds.ed.gov/cedselementdetails.aspx?termid=27905</v>
      </c>
      <c r="Q250" s="16">
        <v>75263</v>
      </c>
    </row>
    <row r="251" spans="1:17" ht="72" x14ac:dyDescent="0.3">
      <c r="A251" s="16" t="s">
        <v>7596</v>
      </c>
      <c r="B251" s="16" t="s">
        <v>8866</v>
      </c>
      <c r="C251" s="16" t="s">
        <v>7604</v>
      </c>
      <c r="D251" s="16" t="s">
        <v>7597</v>
      </c>
      <c r="E251" s="16" t="s">
        <v>7053</v>
      </c>
      <c r="F251" s="16" t="s">
        <v>7054</v>
      </c>
      <c r="G251" s="16" t="s">
        <v>32</v>
      </c>
      <c r="H251" s="16" t="s">
        <v>64</v>
      </c>
      <c r="I251" s="16"/>
      <c r="J251" s="16" t="s">
        <v>7055</v>
      </c>
      <c r="K251" s="16"/>
      <c r="L251" s="16"/>
      <c r="M251" s="19" t="s">
        <v>7056</v>
      </c>
      <c r="N251" s="16"/>
      <c r="O251" s="16" t="s">
        <v>7057</v>
      </c>
      <c r="P251" s="16" t="str">
        <f>HYPERLINK("https://ceds.ed.gov/cedselementdetails.aspx?termid=26279")</f>
        <v>https://ceds.ed.gov/cedselementdetails.aspx?termid=26279</v>
      </c>
      <c r="Q251" s="16">
        <v>71966</v>
      </c>
    </row>
    <row r="252" spans="1:17" ht="86.4" x14ac:dyDescent="0.3">
      <c r="A252" s="16" t="s">
        <v>7596</v>
      </c>
      <c r="B252" s="16" t="s">
        <v>8866</v>
      </c>
      <c r="C252" s="16" t="s">
        <v>7604</v>
      </c>
      <c r="D252" s="16" t="s">
        <v>7597</v>
      </c>
      <c r="E252" s="16" t="s">
        <v>7062</v>
      </c>
      <c r="F252" s="16" t="s">
        <v>7063</v>
      </c>
      <c r="G252" s="16" t="s">
        <v>8849</v>
      </c>
      <c r="H252" s="16" t="s">
        <v>64</v>
      </c>
      <c r="I252" s="16"/>
      <c r="J252" s="16" t="s">
        <v>2500</v>
      </c>
      <c r="K252" s="16"/>
      <c r="L252" s="16"/>
      <c r="M252" s="19" t="s">
        <v>7064</v>
      </c>
      <c r="N252" s="16"/>
      <c r="O252" s="16" t="s">
        <v>7065</v>
      </c>
      <c r="P252" s="16" t="str">
        <f>HYPERLINK("https://ceds.ed.gov/cedselementdetails.aspx?termid=26280")</f>
        <v>https://ceds.ed.gov/cedselementdetails.aspx?termid=26280</v>
      </c>
      <c r="Q252" s="16">
        <v>72210</v>
      </c>
    </row>
    <row r="253" spans="1:17" ht="72" x14ac:dyDescent="0.3">
      <c r="A253" s="16" t="s">
        <v>7596</v>
      </c>
      <c r="B253" s="16" t="s">
        <v>8866</v>
      </c>
      <c r="C253" s="16" t="s">
        <v>7604</v>
      </c>
      <c r="D253" s="16" t="s">
        <v>7597</v>
      </c>
      <c r="E253" s="16" t="s">
        <v>5865</v>
      </c>
      <c r="F253" s="16" t="s">
        <v>5866</v>
      </c>
      <c r="G253" s="16" t="s">
        <v>22</v>
      </c>
      <c r="H253" s="16" t="s">
        <v>64</v>
      </c>
      <c r="I253" s="16"/>
      <c r="J253" s="16"/>
      <c r="K253" s="16"/>
      <c r="L253" s="16"/>
      <c r="M253" s="19" t="s">
        <v>5867</v>
      </c>
      <c r="N253" s="16"/>
      <c r="O253" s="16" t="s">
        <v>5868</v>
      </c>
      <c r="P253" s="16" t="str">
        <f>HYPERLINK("https://ceds.ed.gov/cedselementdetails.aspx?termid=26219")</f>
        <v>https://ceds.ed.gov/cedselementdetails.aspx?termid=26219</v>
      </c>
      <c r="Q253" s="16">
        <v>72211</v>
      </c>
    </row>
    <row r="254" spans="1:17" ht="57.6" x14ac:dyDescent="0.3">
      <c r="A254" s="16" t="s">
        <v>7596</v>
      </c>
      <c r="B254" s="16" t="s">
        <v>8866</v>
      </c>
      <c r="C254" s="16" t="s">
        <v>7604</v>
      </c>
      <c r="D254" s="16" t="s">
        <v>7597</v>
      </c>
      <c r="E254" s="16" t="s">
        <v>3175</v>
      </c>
      <c r="F254" s="16" t="s">
        <v>3176</v>
      </c>
      <c r="G254" s="16" t="s">
        <v>2987</v>
      </c>
      <c r="H254" s="16"/>
      <c r="I254" s="16"/>
      <c r="J254" s="16"/>
      <c r="K254" s="16"/>
      <c r="L254" s="16"/>
      <c r="M254" s="19" t="s">
        <v>3177</v>
      </c>
      <c r="N254" s="16"/>
      <c r="O254" s="16" t="s">
        <v>3178</v>
      </c>
      <c r="P254" s="16" t="str">
        <f>HYPERLINK("https://ceds.ed.gov/cedselementdetails.aspx?termid=27905")</f>
        <v>https://ceds.ed.gov/cedselementdetails.aspx?termid=27905</v>
      </c>
      <c r="Q254" s="16">
        <v>75264</v>
      </c>
    </row>
    <row r="255" spans="1:17" ht="57.6" x14ac:dyDescent="0.3">
      <c r="A255" s="16" t="s">
        <v>7596</v>
      </c>
      <c r="B255" s="16" t="s">
        <v>8866</v>
      </c>
      <c r="C255" s="16" t="s">
        <v>7604</v>
      </c>
      <c r="D255" s="16" t="s">
        <v>7597</v>
      </c>
      <c r="E255" s="16" t="s">
        <v>7058</v>
      </c>
      <c r="F255" s="16" t="s">
        <v>7059</v>
      </c>
      <c r="G255" s="16" t="s">
        <v>8848</v>
      </c>
      <c r="H255" s="16"/>
      <c r="I255" s="16"/>
      <c r="J255" s="16"/>
      <c r="K255" s="16"/>
      <c r="L255" s="16"/>
      <c r="M255" s="19" t="s">
        <v>7060</v>
      </c>
      <c r="N255" s="16"/>
      <c r="O255" s="16" t="s">
        <v>7061</v>
      </c>
      <c r="P255" s="16" t="str">
        <f>HYPERLINK("https://ceds.ed.gov/cedselementdetails.aspx?termid=27911")</f>
        <v>https://ceds.ed.gov/cedselementdetails.aspx?termid=27911</v>
      </c>
      <c r="Q255" s="16">
        <v>75265</v>
      </c>
    </row>
    <row r="256" spans="1:17" ht="72" x14ac:dyDescent="0.3">
      <c r="A256" s="16" t="s">
        <v>7596</v>
      </c>
      <c r="B256" s="16" t="s">
        <v>8866</v>
      </c>
      <c r="C256" s="16" t="s">
        <v>7605</v>
      </c>
      <c r="D256" s="16" t="s">
        <v>7597</v>
      </c>
      <c r="E256" s="16" t="s">
        <v>3406</v>
      </c>
      <c r="F256" s="16" t="s">
        <v>3407</v>
      </c>
      <c r="G256" s="16" t="s">
        <v>32</v>
      </c>
      <c r="H256" s="16" t="s">
        <v>64</v>
      </c>
      <c r="I256" s="16"/>
      <c r="J256" s="16" t="s">
        <v>3408</v>
      </c>
      <c r="K256" s="16"/>
      <c r="L256" s="16"/>
      <c r="M256" s="19" t="s">
        <v>3409</v>
      </c>
      <c r="N256" s="16" t="s">
        <v>3410</v>
      </c>
      <c r="O256" s="16" t="s">
        <v>3411</v>
      </c>
      <c r="P256" s="16" t="str">
        <f>HYPERLINK("https://ceds.ed.gov/cedselementdetails.aspx?termid=26088")</f>
        <v>https://ceds.ed.gov/cedselementdetails.aspx?termid=26088</v>
      </c>
      <c r="Q256" s="16">
        <v>75729</v>
      </c>
    </row>
    <row r="257" spans="1:17" ht="72" x14ac:dyDescent="0.3">
      <c r="A257" s="16" t="s">
        <v>7596</v>
      </c>
      <c r="B257" s="16" t="s">
        <v>8866</v>
      </c>
      <c r="C257" s="16" t="s">
        <v>7605</v>
      </c>
      <c r="D257" s="16" t="s">
        <v>7597</v>
      </c>
      <c r="E257" s="16" t="s">
        <v>3412</v>
      </c>
      <c r="F257" s="16" t="s">
        <v>3413</v>
      </c>
      <c r="G257" s="16" t="s">
        <v>9330</v>
      </c>
      <c r="H257" s="16" t="s">
        <v>64</v>
      </c>
      <c r="I257" s="16"/>
      <c r="J257" s="16"/>
      <c r="K257" s="16"/>
      <c r="L257" s="16"/>
      <c r="M257" s="19" t="s">
        <v>3414</v>
      </c>
      <c r="N257" s="16" t="s">
        <v>3415</v>
      </c>
      <c r="O257" s="16" t="s">
        <v>3416</v>
      </c>
      <c r="P257" s="16" t="str">
        <f>HYPERLINK("https://ceds.ed.gov/cedselementdetails.aspx?termid=26089")</f>
        <v>https://ceds.ed.gov/cedselementdetails.aspx?termid=26089</v>
      </c>
      <c r="Q257" s="16">
        <v>75730</v>
      </c>
    </row>
    <row r="258" spans="1:17" ht="201.6" x14ac:dyDescent="0.3">
      <c r="A258" s="16" t="s">
        <v>7596</v>
      </c>
      <c r="B258" s="16" t="s">
        <v>8866</v>
      </c>
      <c r="C258" s="16" t="s">
        <v>7628</v>
      </c>
      <c r="D258" s="16" t="s">
        <v>7597</v>
      </c>
      <c r="E258" s="16" t="s">
        <v>1507</v>
      </c>
      <c r="F258" s="16" t="s">
        <v>1508</v>
      </c>
      <c r="G258" s="16" t="s">
        <v>32</v>
      </c>
      <c r="H258" s="16" t="s">
        <v>1510</v>
      </c>
      <c r="I258" s="16"/>
      <c r="J258" s="16" t="s">
        <v>106</v>
      </c>
      <c r="K258" s="16"/>
      <c r="L258" s="16"/>
      <c r="M258" s="19" t="s">
        <v>1509</v>
      </c>
      <c r="N258" s="16"/>
      <c r="O258" s="16" t="s">
        <v>1507</v>
      </c>
      <c r="P258" s="16" t="str">
        <f>HYPERLINK("https://ceds.ed.gov/cedselementdetails.aspx?termid=26033")</f>
        <v>https://ceds.ed.gov/cedselementdetails.aspx?termid=26033</v>
      </c>
      <c r="Q258" s="16">
        <v>70617</v>
      </c>
    </row>
    <row r="259" spans="1:17" ht="216" x14ac:dyDescent="0.3">
      <c r="A259" s="16" t="s">
        <v>7596</v>
      </c>
      <c r="B259" s="16" t="s">
        <v>8866</v>
      </c>
      <c r="C259" s="16" t="s">
        <v>7628</v>
      </c>
      <c r="D259" s="16" t="s">
        <v>7597</v>
      </c>
      <c r="E259" s="16" t="s">
        <v>6662</v>
      </c>
      <c r="F259" s="16" t="s">
        <v>6663</v>
      </c>
      <c r="G259" s="16" t="s">
        <v>8831</v>
      </c>
      <c r="H259" s="16" t="s">
        <v>6666</v>
      </c>
      <c r="I259" s="16"/>
      <c r="J259" s="16"/>
      <c r="K259" s="16"/>
      <c r="L259" s="16" t="s">
        <v>6664</v>
      </c>
      <c r="M259" s="19" t="s">
        <v>6665</v>
      </c>
      <c r="N259" s="16"/>
      <c r="O259" s="16" t="s">
        <v>6662</v>
      </c>
      <c r="P259" s="16" t="str">
        <f>HYPERLINK("https://ceds.ed.gov/cedselementdetails.aspx?termid=26255")</f>
        <v>https://ceds.ed.gov/cedselementdetails.aspx?termid=26255</v>
      </c>
      <c r="Q259" s="16">
        <v>70632</v>
      </c>
    </row>
    <row r="260" spans="1:17" ht="201.6" x14ac:dyDescent="0.3">
      <c r="A260" s="16" t="s">
        <v>7596</v>
      </c>
      <c r="B260" s="16" t="s">
        <v>8866</v>
      </c>
      <c r="C260" s="16" t="s">
        <v>7628</v>
      </c>
      <c r="D260" s="16" t="s">
        <v>7597</v>
      </c>
      <c r="E260" s="16" t="s">
        <v>348</v>
      </c>
      <c r="F260" s="16" t="s">
        <v>349</v>
      </c>
      <c r="G260" s="16" t="s">
        <v>8319</v>
      </c>
      <c r="H260" s="16" t="s">
        <v>353</v>
      </c>
      <c r="I260" s="16"/>
      <c r="J260" s="16"/>
      <c r="K260" s="16"/>
      <c r="L260" s="16" t="s">
        <v>7828</v>
      </c>
      <c r="M260" s="19" t="s">
        <v>350</v>
      </c>
      <c r="N260" s="16" t="s">
        <v>351</v>
      </c>
      <c r="O260" s="16" t="s">
        <v>352</v>
      </c>
      <c r="P260" s="16" t="str">
        <f>HYPERLINK("https://ceds.ed.gov/cedselementdetails.aspx?termid=26655")</f>
        <v>https://ceds.ed.gov/cedselementdetails.aspx?termid=26655</v>
      </c>
      <c r="Q260" s="16">
        <v>70663</v>
      </c>
    </row>
    <row r="261" spans="1:17" ht="201.6" x14ac:dyDescent="0.3">
      <c r="A261" s="16" t="s">
        <v>7596</v>
      </c>
      <c r="B261" s="16" t="s">
        <v>8866</v>
      </c>
      <c r="C261" s="16" t="s">
        <v>7628</v>
      </c>
      <c r="D261" s="16" t="s">
        <v>7597</v>
      </c>
      <c r="E261" s="16" t="s">
        <v>373</v>
      </c>
      <c r="F261" s="16" t="s">
        <v>374</v>
      </c>
      <c r="G261" s="16" t="s">
        <v>8319</v>
      </c>
      <c r="H261" s="16" t="s">
        <v>353</v>
      </c>
      <c r="I261" s="16"/>
      <c r="J261" s="16"/>
      <c r="K261" s="16"/>
      <c r="L261" s="16" t="s">
        <v>7828</v>
      </c>
      <c r="M261" s="19" t="s">
        <v>375</v>
      </c>
      <c r="N261" s="16" t="s">
        <v>376</v>
      </c>
      <c r="O261" s="16" t="s">
        <v>373</v>
      </c>
      <c r="P261" s="16" t="str">
        <f>HYPERLINK("https://ceds.ed.gov/cedselementdetails.aspx?termid=26656")</f>
        <v>https://ceds.ed.gov/cedselementdetails.aspx?termid=26656</v>
      </c>
      <c r="Q261" s="16">
        <v>70664</v>
      </c>
    </row>
    <row r="262" spans="1:17" ht="201.6" x14ac:dyDescent="0.3">
      <c r="A262" s="16" t="s">
        <v>7596</v>
      </c>
      <c r="B262" s="16" t="s">
        <v>8866</v>
      </c>
      <c r="C262" s="16" t="s">
        <v>7628</v>
      </c>
      <c r="D262" s="16" t="s">
        <v>7597</v>
      </c>
      <c r="E262" s="16" t="s">
        <v>1517</v>
      </c>
      <c r="F262" s="16" t="s">
        <v>1518</v>
      </c>
      <c r="G262" s="16" t="s">
        <v>8319</v>
      </c>
      <c r="H262" s="16" t="s">
        <v>353</v>
      </c>
      <c r="I262" s="16"/>
      <c r="J262" s="16"/>
      <c r="K262" s="16"/>
      <c r="L262" s="16" t="s">
        <v>7828</v>
      </c>
      <c r="M262" s="19" t="s">
        <v>1519</v>
      </c>
      <c r="N262" s="16" t="s">
        <v>1520</v>
      </c>
      <c r="O262" s="16" t="s">
        <v>1521</v>
      </c>
      <c r="P262" s="16" t="str">
        <f>HYPERLINK("https://ceds.ed.gov/cedselementdetails.aspx?termid=26657")</f>
        <v>https://ceds.ed.gov/cedselementdetails.aspx?termid=26657</v>
      </c>
      <c r="Q262" s="16">
        <v>70665</v>
      </c>
    </row>
    <row r="263" spans="1:17" ht="201.6" x14ac:dyDescent="0.3">
      <c r="A263" s="16" t="s">
        <v>7596</v>
      </c>
      <c r="B263" s="16" t="s">
        <v>8866</v>
      </c>
      <c r="C263" s="16" t="s">
        <v>7628</v>
      </c>
      <c r="D263" s="16" t="s">
        <v>7597</v>
      </c>
      <c r="E263" s="16" t="s">
        <v>5454</v>
      </c>
      <c r="F263" s="16" t="s">
        <v>5455</v>
      </c>
      <c r="G263" s="16" t="s">
        <v>8319</v>
      </c>
      <c r="H263" s="16" t="s">
        <v>353</v>
      </c>
      <c r="I263" s="16"/>
      <c r="J263" s="16"/>
      <c r="K263" s="16"/>
      <c r="L263" s="16" t="s">
        <v>7828</v>
      </c>
      <c r="M263" s="19" t="s">
        <v>5456</v>
      </c>
      <c r="N263" s="16" t="s">
        <v>5457</v>
      </c>
      <c r="O263" s="16" t="s">
        <v>5458</v>
      </c>
      <c r="P263" s="16" t="str">
        <f>HYPERLINK("https://ceds.ed.gov/cedselementdetails.aspx?termid=26658")</f>
        <v>https://ceds.ed.gov/cedselementdetails.aspx?termid=26658</v>
      </c>
      <c r="Q263" s="16">
        <v>70666</v>
      </c>
    </row>
    <row r="264" spans="1:17" ht="201.6" x14ac:dyDescent="0.3">
      <c r="A264" s="16" t="s">
        <v>7596</v>
      </c>
      <c r="B264" s="16" t="s">
        <v>8866</v>
      </c>
      <c r="C264" s="16" t="s">
        <v>7628</v>
      </c>
      <c r="D264" s="16" t="s">
        <v>7597</v>
      </c>
      <c r="E264" s="16" t="s">
        <v>7282</v>
      </c>
      <c r="F264" s="16" t="s">
        <v>7283</v>
      </c>
      <c r="G264" s="16" t="s">
        <v>8319</v>
      </c>
      <c r="H264" s="16" t="s">
        <v>353</v>
      </c>
      <c r="I264" s="16"/>
      <c r="J264" s="16"/>
      <c r="K264" s="16"/>
      <c r="L264" s="16" t="s">
        <v>7828</v>
      </c>
      <c r="M264" s="19" t="s">
        <v>7284</v>
      </c>
      <c r="N264" s="16" t="s">
        <v>7285</v>
      </c>
      <c r="O264" s="16" t="s">
        <v>7282</v>
      </c>
      <c r="P264" s="16" t="str">
        <f>HYPERLINK("https://ceds.ed.gov/cedselementdetails.aspx?termid=26659")</f>
        <v>https://ceds.ed.gov/cedselementdetails.aspx?termid=26659</v>
      </c>
      <c r="Q264" s="16">
        <v>70667</v>
      </c>
    </row>
    <row r="265" spans="1:17" ht="72" x14ac:dyDescent="0.3">
      <c r="A265" s="16" t="s">
        <v>7596</v>
      </c>
      <c r="B265" s="16" t="s">
        <v>8866</v>
      </c>
      <c r="C265" s="16" t="s">
        <v>7628</v>
      </c>
      <c r="D265" s="16" t="s">
        <v>7597</v>
      </c>
      <c r="E265" s="16" t="s">
        <v>3038</v>
      </c>
      <c r="F265" s="16" t="s">
        <v>3039</v>
      </c>
      <c r="G265" s="16" t="s">
        <v>22</v>
      </c>
      <c r="H265" s="16"/>
      <c r="I265" s="16"/>
      <c r="J265" s="16"/>
      <c r="K265" s="16"/>
      <c r="L265" s="16" t="s">
        <v>3040</v>
      </c>
      <c r="M265" s="19" t="s">
        <v>3041</v>
      </c>
      <c r="N265" s="16"/>
      <c r="O265" s="16" t="s">
        <v>3042</v>
      </c>
      <c r="P265" s="16" t="str">
        <f>HYPERLINK("https://ceds.ed.gov/cedselementdetails.aspx?termid=26974")</f>
        <v>https://ceds.ed.gov/cedselementdetails.aspx?termid=26974</v>
      </c>
      <c r="Q265" s="16">
        <v>74132</v>
      </c>
    </row>
    <row r="266" spans="1:17" ht="43.2" x14ac:dyDescent="0.3">
      <c r="A266" s="16" t="s">
        <v>7596</v>
      </c>
      <c r="B266" s="16" t="s">
        <v>8866</v>
      </c>
      <c r="C266" s="16" t="s">
        <v>7628</v>
      </c>
      <c r="D266" s="16" t="s">
        <v>7597</v>
      </c>
      <c r="E266" s="16" t="s">
        <v>5655</v>
      </c>
      <c r="F266" s="16" t="s">
        <v>5656</v>
      </c>
      <c r="G266" s="16" t="s">
        <v>22</v>
      </c>
      <c r="H266" s="16"/>
      <c r="I266" s="16"/>
      <c r="J266" s="16"/>
      <c r="K266" s="16"/>
      <c r="L266" s="16" t="s">
        <v>5657</v>
      </c>
      <c r="M266" s="19" t="s">
        <v>5658</v>
      </c>
      <c r="N266" s="16"/>
      <c r="O266" s="16" t="s">
        <v>5659</v>
      </c>
      <c r="P266" s="16" t="str">
        <f>HYPERLINK("https://ceds.ed.gov/cedselementdetails.aspx?termid=27390")</f>
        <v>https://ceds.ed.gov/cedselementdetails.aspx?termid=27390</v>
      </c>
      <c r="Q266" s="16">
        <v>73305</v>
      </c>
    </row>
    <row r="267" spans="1:17" ht="201.6" x14ac:dyDescent="0.3">
      <c r="A267" s="16" t="s">
        <v>7596</v>
      </c>
      <c r="B267" s="16" t="s">
        <v>8866</v>
      </c>
      <c r="C267" s="16" t="s">
        <v>7628</v>
      </c>
      <c r="D267" s="16" t="s">
        <v>7597</v>
      </c>
      <c r="E267" s="16" t="s">
        <v>4283</v>
      </c>
      <c r="F267" s="16" t="s">
        <v>4284</v>
      </c>
      <c r="G267" s="16" t="s">
        <v>8319</v>
      </c>
      <c r="H267" s="16" t="s">
        <v>353</v>
      </c>
      <c r="I267" s="16"/>
      <c r="J267" s="16"/>
      <c r="K267" s="16"/>
      <c r="L267" s="16" t="s">
        <v>7828</v>
      </c>
      <c r="M267" s="19" t="s">
        <v>4285</v>
      </c>
      <c r="N267" s="16"/>
      <c r="O267" s="16" t="s">
        <v>4286</v>
      </c>
      <c r="P267" s="16" t="str">
        <f>HYPERLINK("https://ceds.ed.gov/cedselementdetails.aspx?termid=26144")</f>
        <v>https://ceds.ed.gov/cedselementdetails.aspx?termid=26144</v>
      </c>
      <c r="Q267" s="16">
        <v>70624</v>
      </c>
    </row>
    <row r="268" spans="1:17" ht="374.4" x14ac:dyDescent="0.3">
      <c r="A268" s="16" t="s">
        <v>7596</v>
      </c>
      <c r="B268" s="16" t="s">
        <v>8866</v>
      </c>
      <c r="C268" s="16" t="s">
        <v>7628</v>
      </c>
      <c r="D268" s="16" t="s">
        <v>7597</v>
      </c>
      <c r="E268" s="16" t="s">
        <v>4298</v>
      </c>
      <c r="F268" s="16" t="s">
        <v>4299</v>
      </c>
      <c r="G268" s="16" t="s">
        <v>22</v>
      </c>
      <c r="H268" s="16" t="s">
        <v>4302</v>
      </c>
      <c r="I268" s="16"/>
      <c r="J268" s="16"/>
      <c r="K268" s="16"/>
      <c r="L268" s="16" t="s">
        <v>9319</v>
      </c>
      <c r="M268" s="19" t="s">
        <v>4300</v>
      </c>
      <c r="N268" s="16"/>
      <c r="O268" s="16" t="s">
        <v>4301</v>
      </c>
      <c r="P268" s="16" t="str">
        <f>HYPERLINK("https://ceds.ed.gov/cedselementdetails.aspx?termid=26149")</f>
        <v>https://ceds.ed.gov/cedselementdetails.aspx?termid=26149</v>
      </c>
      <c r="Q268" s="16">
        <v>70625</v>
      </c>
    </row>
    <row r="269" spans="1:17" ht="230.4" x14ac:dyDescent="0.3">
      <c r="A269" s="16" t="s">
        <v>7596</v>
      </c>
      <c r="B269" s="16" t="s">
        <v>8866</v>
      </c>
      <c r="C269" s="16" t="s">
        <v>7628</v>
      </c>
      <c r="D269" s="16" t="s">
        <v>7597</v>
      </c>
      <c r="E269" s="16" t="s">
        <v>5387</v>
      </c>
      <c r="F269" s="16" t="s">
        <v>5388</v>
      </c>
      <c r="G269" s="16" t="s">
        <v>22</v>
      </c>
      <c r="H269" s="16" t="s">
        <v>1863</v>
      </c>
      <c r="I269" s="16"/>
      <c r="J269" s="16"/>
      <c r="K269" s="16"/>
      <c r="L269" s="16"/>
      <c r="M269" s="19" t="s">
        <v>5389</v>
      </c>
      <c r="N269" s="16"/>
      <c r="O269" s="16" t="s">
        <v>5390</v>
      </c>
      <c r="P269" s="16" t="str">
        <f>HYPERLINK("https://ceds.ed.gov/cedselementdetails.aspx?termid=26189")</f>
        <v>https://ceds.ed.gov/cedselementdetails.aspx?termid=26189</v>
      </c>
      <c r="Q269" s="16">
        <v>73291</v>
      </c>
    </row>
    <row r="270" spans="1:17" ht="409.6" x14ac:dyDescent="0.3">
      <c r="A270" s="16" t="s">
        <v>7596</v>
      </c>
      <c r="B270" s="16" t="s">
        <v>8866</v>
      </c>
      <c r="C270" s="16" t="s">
        <v>7628</v>
      </c>
      <c r="D270" s="16" t="s">
        <v>7597</v>
      </c>
      <c r="E270" s="16" t="s">
        <v>2488</v>
      </c>
      <c r="F270" s="16" t="s">
        <v>2489</v>
      </c>
      <c r="G270" s="16" t="s">
        <v>8454</v>
      </c>
      <c r="H270" s="16" t="s">
        <v>2492</v>
      </c>
      <c r="I270" s="16"/>
      <c r="J270" s="16"/>
      <c r="K270" s="16"/>
      <c r="L270" s="16" t="s">
        <v>7915</v>
      </c>
      <c r="M270" s="19" t="s">
        <v>2490</v>
      </c>
      <c r="N270" s="16"/>
      <c r="O270" s="16" t="s">
        <v>2491</v>
      </c>
      <c r="P270" s="16" t="str">
        <f>HYPERLINK("https://ceds.ed.gov/cedselementdetails.aspx?termid=26051")</f>
        <v>https://ceds.ed.gov/cedselementdetails.aspx?termid=26051</v>
      </c>
      <c r="Q270" s="16">
        <v>75266</v>
      </c>
    </row>
    <row r="271" spans="1:17" ht="57.6" x14ac:dyDescent="0.3">
      <c r="A271" s="16" t="s">
        <v>7596</v>
      </c>
      <c r="B271" s="16" t="s">
        <v>8866</v>
      </c>
      <c r="C271" s="16" t="s">
        <v>7628</v>
      </c>
      <c r="D271" s="16" t="s">
        <v>7597</v>
      </c>
      <c r="E271" s="16" t="s">
        <v>7181</v>
      </c>
      <c r="F271" s="16" t="s">
        <v>7182</v>
      </c>
      <c r="G271" s="16" t="s">
        <v>7313</v>
      </c>
      <c r="H271" s="16"/>
      <c r="I271" s="16"/>
      <c r="J271" s="16"/>
      <c r="K271" s="16"/>
      <c r="L271" s="16"/>
      <c r="M271" s="19" t="s">
        <v>7183</v>
      </c>
      <c r="N271" s="16"/>
      <c r="O271" s="16" t="s">
        <v>7184</v>
      </c>
      <c r="P271" s="16" t="str">
        <f>HYPERLINK("https://ceds.ed.gov/cedselementdetails.aspx?termid=27638")</f>
        <v>https://ceds.ed.gov/cedselementdetails.aspx?termid=27638</v>
      </c>
      <c r="Q271" s="16">
        <v>75267</v>
      </c>
    </row>
    <row r="272" spans="1:17" ht="57.6" x14ac:dyDescent="0.3">
      <c r="A272" s="16" t="s">
        <v>7596</v>
      </c>
      <c r="B272" s="16" t="s">
        <v>8866</v>
      </c>
      <c r="C272" s="16" t="s">
        <v>7628</v>
      </c>
      <c r="D272" s="16" t="s">
        <v>7597</v>
      </c>
      <c r="E272" s="16" t="s">
        <v>7418</v>
      </c>
      <c r="F272" s="16" t="s">
        <v>7419</v>
      </c>
      <c r="G272" s="16" t="s">
        <v>22</v>
      </c>
      <c r="H272" s="16"/>
      <c r="I272" s="16"/>
      <c r="J272" s="16"/>
      <c r="K272" s="16"/>
      <c r="L272" s="16"/>
      <c r="M272" s="19" t="s">
        <v>7420</v>
      </c>
      <c r="N272" s="16"/>
      <c r="O272" s="16" t="s">
        <v>7421</v>
      </c>
      <c r="P272" s="16" t="str">
        <f>HYPERLINK("https://ceds.ed.gov/cedselementdetails.aspx?termid=27932")</f>
        <v>https://ceds.ed.gov/cedselementdetails.aspx?termid=27932</v>
      </c>
      <c r="Q272" s="16">
        <v>75500</v>
      </c>
    </row>
    <row r="273" spans="1:17" ht="144" x14ac:dyDescent="0.3">
      <c r="A273" s="16" t="s">
        <v>7596</v>
      </c>
      <c r="B273" s="16" t="s">
        <v>8866</v>
      </c>
      <c r="C273" s="16" t="s">
        <v>7628</v>
      </c>
      <c r="D273" s="16" t="s">
        <v>7597</v>
      </c>
      <c r="E273" s="16" t="s">
        <v>7527</v>
      </c>
      <c r="F273" s="16" t="s">
        <v>7528</v>
      </c>
      <c r="G273" s="16" t="s">
        <v>8811</v>
      </c>
      <c r="H273" s="16"/>
      <c r="I273" s="16"/>
      <c r="J273" s="16"/>
      <c r="K273" s="16"/>
      <c r="L273" s="16" t="s">
        <v>7529</v>
      </c>
      <c r="M273" s="19" t="s">
        <v>7530</v>
      </c>
      <c r="N273" s="16"/>
      <c r="O273" s="16" t="s">
        <v>7527</v>
      </c>
      <c r="P273" s="16" t="str">
        <f>HYPERLINK("https://ceds.ed.gov/cedselementdetails.aspx?termid=27955")</f>
        <v>https://ceds.ed.gov/cedselementdetails.aspx?termid=27955</v>
      </c>
      <c r="Q273" s="16">
        <v>75501</v>
      </c>
    </row>
    <row r="274" spans="1:17" ht="72" x14ac:dyDescent="0.3">
      <c r="A274" s="16" t="s">
        <v>7596</v>
      </c>
      <c r="B274" s="16" t="s">
        <v>8866</v>
      </c>
      <c r="C274" s="16" t="s">
        <v>7628</v>
      </c>
      <c r="D274" s="16" t="s">
        <v>7597</v>
      </c>
      <c r="E274" s="16" t="s">
        <v>5398</v>
      </c>
      <c r="F274" s="16" t="s">
        <v>5399</v>
      </c>
      <c r="G274" s="16" t="s">
        <v>8245</v>
      </c>
      <c r="H274" s="16"/>
      <c r="I274" s="16"/>
      <c r="J274" s="16"/>
      <c r="K274" s="16"/>
      <c r="L274" s="16"/>
      <c r="M274" s="19" t="s">
        <v>5400</v>
      </c>
      <c r="N274" s="16"/>
      <c r="O274" s="16" t="s">
        <v>5401</v>
      </c>
      <c r="P274" s="16" t="str">
        <f>HYPERLINK("https://ceds.ed.gov/cedselementdetails.aspx?termid=27555")</f>
        <v>https://ceds.ed.gov/cedselementdetails.aspx?termid=27555</v>
      </c>
      <c r="Q274" s="16">
        <v>75731</v>
      </c>
    </row>
    <row r="275" spans="1:17" ht="129.6" x14ac:dyDescent="0.3">
      <c r="A275" s="16" t="s">
        <v>7596</v>
      </c>
      <c r="B275" s="16" t="s">
        <v>8866</v>
      </c>
      <c r="C275" s="16" t="s">
        <v>7628</v>
      </c>
      <c r="D275" s="16" t="s">
        <v>7597</v>
      </c>
      <c r="E275" s="16" t="s">
        <v>6179</v>
      </c>
      <c r="F275" s="16" t="s">
        <v>6180</v>
      </c>
      <c r="G275" s="16" t="s">
        <v>8256</v>
      </c>
      <c r="H275" s="16"/>
      <c r="I275" s="16"/>
      <c r="J275" s="16"/>
      <c r="K275" s="16"/>
      <c r="L275" s="16"/>
      <c r="M275" s="19" t="s">
        <v>6181</v>
      </c>
      <c r="N275" s="16"/>
      <c r="O275" s="16" t="s">
        <v>6182</v>
      </c>
      <c r="P275" s="16" t="str">
        <f>HYPERLINK("https://ceds.ed.gov/cedselementdetails.aspx?termid=26523")</f>
        <v>https://ceds.ed.gov/cedselementdetails.aspx?termid=26523</v>
      </c>
      <c r="Q275" s="16">
        <v>75732</v>
      </c>
    </row>
    <row r="276" spans="1:17" ht="409.6" x14ac:dyDescent="0.3">
      <c r="A276" s="16" t="s">
        <v>7596</v>
      </c>
      <c r="B276" s="16" t="s">
        <v>8866</v>
      </c>
      <c r="C276" s="16" t="s">
        <v>7628</v>
      </c>
      <c r="D276" s="16" t="s">
        <v>7597</v>
      </c>
      <c r="E276" s="16" t="s">
        <v>6886</v>
      </c>
      <c r="F276" s="16" t="s">
        <v>6887</v>
      </c>
      <c r="G276" s="16" t="s">
        <v>8270</v>
      </c>
      <c r="H276" s="16" t="s">
        <v>1516</v>
      </c>
      <c r="I276" s="16"/>
      <c r="J276" s="16"/>
      <c r="K276" s="16"/>
      <c r="L276" s="16"/>
      <c r="M276" s="19" t="s">
        <v>6888</v>
      </c>
      <c r="N276" s="16"/>
      <c r="O276" s="16" t="s">
        <v>6889</v>
      </c>
      <c r="P276" s="16" t="str">
        <f>HYPERLINK("https://ceds.ed.gov/cedselementdetails.aspx?termid=26417")</f>
        <v>https://ceds.ed.gov/cedselementdetails.aspx?termid=26417</v>
      </c>
      <c r="Q276" s="16">
        <v>75733</v>
      </c>
    </row>
    <row r="277" spans="1:17" ht="28.8" x14ac:dyDescent="0.3">
      <c r="A277" s="16" t="s">
        <v>7596</v>
      </c>
      <c r="B277" s="16" t="s">
        <v>8866</v>
      </c>
      <c r="C277" s="16" t="s">
        <v>7629</v>
      </c>
      <c r="D277" s="16" t="s">
        <v>7597</v>
      </c>
      <c r="E277" s="16" t="s">
        <v>6307</v>
      </c>
      <c r="F277" s="16" t="s">
        <v>6308</v>
      </c>
      <c r="G277" s="16" t="s">
        <v>32</v>
      </c>
      <c r="H277" s="16"/>
      <c r="I277" s="16"/>
      <c r="J277" s="16" t="s">
        <v>145</v>
      </c>
      <c r="K277" s="16"/>
      <c r="L277" s="16"/>
      <c r="M277" s="19" t="s">
        <v>6309</v>
      </c>
      <c r="N277" s="16"/>
      <c r="O277" s="16" t="s">
        <v>6310</v>
      </c>
      <c r="P277" s="16" t="str">
        <f>HYPERLINK("https://ceds.ed.gov/cedselementdetails.aspx?termid=27458")</f>
        <v>https://ceds.ed.gov/cedselementdetails.aspx?termid=27458</v>
      </c>
      <c r="Q277" s="16">
        <v>73418</v>
      </c>
    </row>
    <row r="278" spans="1:17" x14ac:dyDescent="0.3">
      <c r="A278" s="16" t="s">
        <v>7596</v>
      </c>
      <c r="B278" s="16" t="s">
        <v>8866</v>
      </c>
      <c r="C278" s="16" t="s">
        <v>7629</v>
      </c>
      <c r="D278" s="16" t="s">
        <v>7597</v>
      </c>
      <c r="E278" s="16" t="s">
        <v>6283</v>
      </c>
      <c r="F278" s="16" t="s">
        <v>6284</v>
      </c>
      <c r="G278" s="16" t="s">
        <v>32</v>
      </c>
      <c r="H278" s="16"/>
      <c r="I278" s="16"/>
      <c r="J278" s="16" t="s">
        <v>106</v>
      </c>
      <c r="K278" s="16"/>
      <c r="L278" s="16"/>
      <c r="M278" s="19" t="s">
        <v>6285</v>
      </c>
      <c r="N278" s="16"/>
      <c r="O278" s="16" t="s">
        <v>6286</v>
      </c>
      <c r="P278" s="16" t="str">
        <f>HYPERLINK("https://ceds.ed.gov/cedselementdetails.aspx?termid=27453")</f>
        <v>https://ceds.ed.gov/cedselementdetails.aspx?termid=27453</v>
      </c>
      <c r="Q278" s="16">
        <v>73411</v>
      </c>
    </row>
    <row r="279" spans="1:17" x14ac:dyDescent="0.3">
      <c r="A279" s="16" t="s">
        <v>7596</v>
      </c>
      <c r="B279" s="16" t="s">
        <v>8866</v>
      </c>
      <c r="C279" s="16" t="s">
        <v>7629</v>
      </c>
      <c r="D279" s="16" t="s">
        <v>7597</v>
      </c>
      <c r="E279" s="16" t="s">
        <v>6295</v>
      </c>
      <c r="F279" s="16" t="s">
        <v>6296</v>
      </c>
      <c r="G279" s="16" t="s">
        <v>32</v>
      </c>
      <c r="H279" s="16"/>
      <c r="I279" s="16"/>
      <c r="J279" s="16" t="s">
        <v>316</v>
      </c>
      <c r="K279" s="16"/>
      <c r="L279" s="16"/>
      <c r="M279" s="19" t="s">
        <v>6297</v>
      </c>
      <c r="N279" s="16"/>
      <c r="O279" s="16" t="s">
        <v>6298</v>
      </c>
      <c r="P279" s="16" t="str">
        <f>HYPERLINK("https://ceds.ed.gov/cedselementdetails.aspx?termid=27455")</f>
        <v>https://ceds.ed.gov/cedselementdetails.aspx?termid=27455</v>
      </c>
      <c r="Q279" s="16">
        <v>73413</v>
      </c>
    </row>
    <row r="280" spans="1:17" ht="28.8" x14ac:dyDescent="0.3">
      <c r="A280" s="16" t="s">
        <v>7596</v>
      </c>
      <c r="B280" s="16" t="s">
        <v>8866</v>
      </c>
      <c r="C280" s="16" t="s">
        <v>7629</v>
      </c>
      <c r="D280" s="16" t="s">
        <v>7597</v>
      </c>
      <c r="E280" s="16" t="s">
        <v>6299</v>
      </c>
      <c r="F280" s="16" t="s">
        <v>6300</v>
      </c>
      <c r="G280" s="16" t="s">
        <v>32</v>
      </c>
      <c r="H280" s="16"/>
      <c r="I280" s="16"/>
      <c r="J280" s="16" t="s">
        <v>145</v>
      </c>
      <c r="K280" s="16"/>
      <c r="L280" s="16"/>
      <c r="M280" s="19" t="s">
        <v>6301</v>
      </c>
      <c r="N280" s="16"/>
      <c r="O280" s="16" t="s">
        <v>6302</v>
      </c>
      <c r="P280" s="16" t="str">
        <f>HYPERLINK("https://ceds.ed.gov/cedselementdetails.aspx?termid=27456")</f>
        <v>https://ceds.ed.gov/cedselementdetails.aspx?termid=27456</v>
      </c>
      <c r="Q280" s="16">
        <v>73414</v>
      </c>
    </row>
    <row r="281" spans="1:17" ht="28.8" x14ac:dyDescent="0.3">
      <c r="A281" s="16" t="s">
        <v>7596</v>
      </c>
      <c r="B281" s="16" t="s">
        <v>8866</v>
      </c>
      <c r="C281" s="16" t="s">
        <v>7629</v>
      </c>
      <c r="D281" s="16" t="s">
        <v>7597</v>
      </c>
      <c r="E281" s="16" t="s">
        <v>6303</v>
      </c>
      <c r="F281" s="16" t="s">
        <v>6304</v>
      </c>
      <c r="G281" s="16" t="s">
        <v>32</v>
      </c>
      <c r="H281" s="16"/>
      <c r="I281" s="16"/>
      <c r="J281" s="16" t="s">
        <v>145</v>
      </c>
      <c r="K281" s="16"/>
      <c r="L281" s="16"/>
      <c r="M281" s="19" t="s">
        <v>6305</v>
      </c>
      <c r="N281" s="16"/>
      <c r="O281" s="16" t="s">
        <v>6306</v>
      </c>
      <c r="P281" s="16" t="str">
        <f>HYPERLINK("https://ceds.ed.gov/cedselementdetails.aspx?termid=27457")</f>
        <v>https://ceds.ed.gov/cedselementdetails.aspx?termid=27457</v>
      </c>
      <c r="Q281" s="16">
        <v>73417</v>
      </c>
    </row>
    <row r="282" spans="1:17" ht="100.8" x14ac:dyDescent="0.3">
      <c r="A282" s="16" t="s">
        <v>7596</v>
      </c>
      <c r="B282" s="16" t="s">
        <v>8866</v>
      </c>
      <c r="C282" s="16" t="s">
        <v>7629</v>
      </c>
      <c r="D282" s="16" t="s">
        <v>7597</v>
      </c>
      <c r="E282" s="16" t="s">
        <v>6287</v>
      </c>
      <c r="F282" s="16" t="s">
        <v>6288</v>
      </c>
      <c r="G282" s="16" t="s">
        <v>8819</v>
      </c>
      <c r="H282" s="16"/>
      <c r="I282" s="16"/>
      <c r="J282" s="16"/>
      <c r="K282" s="16"/>
      <c r="L282" s="16"/>
      <c r="M282" s="19" t="s">
        <v>6289</v>
      </c>
      <c r="N282" s="16"/>
      <c r="O282" s="16" t="s">
        <v>6290</v>
      </c>
      <c r="P282" s="16" t="str">
        <f>HYPERLINK("https://ceds.ed.gov/cedselementdetails.aspx?termid=27454")</f>
        <v>https://ceds.ed.gov/cedselementdetails.aspx?termid=27454</v>
      </c>
      <c r="Q282" s="16">
        <v>73412</v>
      </c>
    </row>
    <row r="283" spans="1:17" ht="57.6" x14ac:dyDescent="0.3">
      <c r="A283" s="16" t="s">
        <v>7596</v>
      </c>
      <c r="B283" s="16" t="s">
        <v>8866</v>
      </c>
      <c r="C283" s="16" t="s">
        <v>7630</v>
      </c>
      <c r="D283" s="16" t="s">
        <v>7597</v>
      </c>
      <c r="E283" s="16" t="s">
        <v>5305</v>
      </c>
      <c r="F283" s="16" t="s">
        <v>5306</v>
      </c>
      <c r="G283" s="16" t="s">
        <v>8718</v>
      </c>
      <c r="H283" s="16" t="s">
        <v>1516</v>
      </c>
      <c r="I283" s="16"/>
      <c r="J283" s="16"/>
      <c r="K283" s="16"/>
      <c r="L283" s="16"/>
      <c r="M283" s="19" t="s">
        <v>5307</v>
      </c>
      <c r="N283" s="16"/>
      <c r="O283" s="16" t="s">
        <v>5308</v>
      </c>
      <c r="P283" s="16" t="str">
        <f>HYPERLINK("https://ceds.ed.gov/cedselementdetails.aspx?termid=26429")</f>
        <v>https://ceds.ed.gov/cedselementdetails.aspx?termid=26429</v>
      </c>
      <c r="Q283" s="16">
        <v>74714</v>
      </c>
    </row>
    <row r="284" spans="1:17" ht="409.6" x14ac:dyDescent="0.3">
      <c r="A284" s="16" t="s">
        <v>7596</v>
      </c>
      <c r="B284" s="16" t="s">
        <v>8866</v>
      </c>
      <c r="C284" s="16" t="s">
        <v>7630</v>
      </c>
      <c r="D284" s="16" t="s">
        <v>7597</v>
      </c>
      <c r="E284" s="16" t="s">
        <v>323</v>
      </c>
      <c r="F284" s="16" t="s">
        <v>324</v>
      </c>
      <c r="G284" s="16" t="s">
        <v>8316</v>
      </c>
      <c r="H284" s="16"/>
      <c r="I284" s="16"/>
      <c r="J284" s="16"/>
      <c r="K284" s="16"/>
      <c r="L284" s="16" t="s">
        <v>325</v>
      </c>
      <c r="M284" s="19" t="s">
        <v>326</v>
      </c>
      <c r="N284" s="16"/>
      <c r="O284" s="16" t="s">
        <v>327</v>
      </c>
      <c r="P284" s="16" t="str">
        <f>HYPERLINK("https://ceds.ed.gov/cedselementdetails.aspx?termid=27249")</f>
        <v>https://ceds.ed.gov/cedselementdetails.aspx?termid=27249</v>
      </c>
      <c r="Q284" s="16">
        <v>73562</v>
      </c>
    </row>
    <row r="285" spans="1:17" ht="43.2" x14ac:dyDescent="0.3">
      <c r="A285" s="16" t="s">
        <v>7596</v>
      </c>
      <c r="B285" s="16" t="s">
        <v>8866</v>
      </c>
      <c r="C285" s="16" t="s">
        <v>7630</v>
      </c>
      <c r="D285" s="16" t="s">
        <v>7597</v>
      </c>
      <c r="E285" s="16" t="s">
        <v>319</v>
      </c>
      <c r="F285" s="16" t="s">
        <v>320</v>
      </c>
      <c r="G285" s="16" t="s">
        <v>8315</v>
      </c>
      <c r="H285" s="16"/>
      <c r="I285" s="16"/>
      <c r="J285" s="16"/>
      <c r="K285" s="16"/>
      <c r="L285" s="16"/>
      <c r="M285" s="19" t="s">
        <v>321</v>
      </c>
      <c r="N285" s="16"/>
      <c r="O285" s="16" t="s">
        <v>322</v>
      </c>
      <c r="P285" s="16" t="str">
        <f>HYPERLINK("https://ceds.ed.gov/cedselementdetails.aspx?termid=27248")</f>
        <v>https://ceds.ed.gov/cedselementdetails.aspx?termid=27248</v>
      </c>
      <c r="Q285" s="16">
        <v>73561</v>
      </c>
    </row>
    <row r="286" spans="1:17" ht="43.2" x14ac:dyDescent="0.3">
      <c r="A286" s="16" t="s">
        <v>7596</v>
      </c>
      <c r="B286" s="16" t="s">
        <v>8866</v>
      </c>
      <c r="C286" s="16" t="s">
        <v>7630</v>
      </c>
      <c r="D286" s="16" t="s">
        <v>7597</v>
      </c>
      <c r="E286" s="16" t="s">
        <v>314</v>
      </c>
      <c r="F286" s="16" t="s">
        <v>315</v>
      </c>
      <c r="G286" s="16" t="s">
        <v>32</v>
      </c>
      <c r="H286" s="16"/>
      <c r="I286" s="16"/>
      <c r="J286" s="16" t="s">
        <v>316</v>
      </c>
      <c r="K286" s="16"/>
      <c r="L286" s="16"/>
      <c r="M286" s="19" t="s">
        <v>317</v>
      </c>
      <c r="N286" s="16"/>
      <c r="O286" s="16" t="s">
        <v>318</v>
      </c>
      <c r="P286" s="16" t="str">
        <f>HYPERLINK("https://ceds.ed.gov/cedselementdetails.aspx?termid=27247")</f>
        <v>https://ceds.ed.gov/cedselementdetails.aspx?termid=27247</v>
      </c>
      <c r="Q286" s="16">
        <v>73560</v>
      </c>
    </row>
    <row r="287" spans="1:17" ht="43.2" x14ac:dyDescent="0.3">
      <c r="A287" s="16" t="s">
        <v>7596</v>
      </c>
      <c r="B287" s="16" t="s">
        <v>8866</v>
      </c>
      <c r="C287" s="16" t="s">
        <v>7630</v>
      </c>
      <c r="D287" s="16" t="s">
        <v>7597</v>
      </c>
      <c r="E287" s="16" t="s">
        <v>4217</v>
      </c>
      <c r="F287" s="16" t="s">
        <v>4218</v>
      </c>
      <c r="G287" s="16" t="s">
        <v>32</v>
      </c>
      <c r="H287" s="16"/>
      <c r="I287" s="16"/>
      <c r="J287" s="16" t="s">
        <v>101</v>
      </c>
      <c r="K287" s="16"/>
      <c r="L287" s="16"/>
      <c r="M287" s="19" t="s">
        <v>4219</v>
      </c>
      <c r="N287" s="16"/>
      <c r="O287" s="16" t="s">
        <v>4220</v>
      </c>
      <c r="P287" s="16" t="str">
        <f>HYPERLINK("https://ceds.ed.gov/cedselementdetails.aspx?termid=27325")</f>
        <v>https://ceds.ed.gov/cedselementdetails.aspx?termid=27325</v>
      </c>
      <c r="Q287" s="16">
        <v>73210</v>
      </c>
    </row>
    <row r="288" spans="1:17" ht="28.8" x14ac:dyDescent="0.3">
      <c r="A288" s="16" t="s">
        <v>7596</v>
      </c>
      <c r="B288" s="16" t="s">
        <v>8866</v>
      </c>
      <c r="C288" s="16" t="s">
        <v>7630</v>
      </c>
      <c r="D288" s="16" t="s">
        <v>7597</v>
      </c>
      <c r="E288" s="16" t="s">
        <v>4221</v>
      </c>
      <c r="F288" s="16" t="s">
        <v>4222</v>
      </c>
      <c r="G288" s="16" t="s">
        <v>32</v>
      </c>
      <c r="H288" s="16"/>
      <c r="I288" s="16"/>
      <c r="J288" s="16" t="s">
        <v>316</v>
      </c>
      <c r="K288" s="16"/>
      <c r="L288" s="16"/>
      <c r="M288" s="19" t="s">
        <v>4223</v>
      </c>
      <c r="N288" s="16"/>
      <c r="O288" s="16" t="s">
        <v>4224</v>
      </c>
      <c r="P288" s="16" t="str">
        <f>HYPERLINK("https://ceds.ed.gov/cedselementdetails.aspx?termid=27326")</f>
        <v>https://ceds.ed.gov/cedselementdetails.aspx?termid=27326</v>
      </c>
      <c r="Q288" s="16">
        <v>73211</v>
      </c>
    </row>
    <row r="289" spans="1:17" ht="72" x14ac:dyDescent="0.3">
      <c r="A289" s="16" t="s">
        <v>7596</v>
      </c>
      <c r="B289" s="16" t="s">
        <v>8866</v>
      </c>
      <c r="C289" s="16" t="s">
        <v>7631</v>
      </c>
      <c r="D289" s="16" t="s">
        <v>7597</v>
      </c>
      <c r="E289" s="16" t="s">
        <v>4445</v>
      </c>
      <c r="F289" s="16" t="s">
        <v>4446</v>
      </c>
      <c r="G289" s="16" t="s">
        <v>32</v>
      </c>
      <c r="H289" s="16" t="s">
        <v>4449</v>
      </c>
      <c r="I289" s="16"/>
      <c r="J289" s="16" t="s">
        <v>106</v>
      </c>
      <c r="K289" s="16"/>
      <c r="L289" s="16"/>
      <c r="M289" s="19" t="s">
        <v>4447</v>
      </c>
      <c r="N289" s="16"/>
      <c r="O289" s="16" t="s">
        <v>4448</v>
      </c>
      <c r="P289" s="16" t="str">
        <f>HYPERLINK("https://ceds.ed.gov/cedselementdetails.aspx?termid=26306")</f>
        <v>https://ceds.ed.gov/cedselementdetails.aspx?termid=26306</v>
      </c>
      <c r="Q289" s="16">
        <v>70636</v>
      </c>
    </row>
    <row r="290" spans="1:17" ht="288" x14ac:dyDescent="0.3">
      <c r="A290" s="16" t="s">
        <v>7596</v>
      </c>
      <c r="B290" s="16" t="s">
        <v>8866</v>
      </c>
      <c r="C290" s="16" t="s">
        <v>7631</v>
      </c>
      <c r="D290" s="16" t="s">
        <v>7597</v>
      </c>
      <c r="E290" s="16" t="s">
        <v>4458</v>
      </c>
      <c r="F290" s="16" t="s">
        <v>4459</v>
      </c>
      <c r="G290" s="16" t="s">
        <v>8641</v>
      </c>
      <c r="H290" s="16"/>
      <c r="I290" s="16"/>
      <c r="J290" s="16"/>
      <c r="K290" s="16"/>
      <c r="L290" s="16"/>
      <c r="M290" s="19" t="s">
        <v>4460</v>
      </c>
      <c r="N290" s="16"/>
      <c r="O290" s="16" t="s">
        <v>4461</v>
      </c>
      <c r="P290" s="16" t="str">
        <f>HYPERLINK("https://ceds.ed.gov/cedselementdetails.aspx?termid=27214")</f>
        <v>https://ceds.ed.gov/cedselementdetails.aspx?termid=27214</v>
      </c>
      <c r="Q290" s="16">
        <v>70637</v>
      </c>
    </row>
    <row r="291" spans="1:17" ht="28.8" x14ac:dyDescent="0.3">
      <c r="A291" s="16" t="s">
        <v>7596</v>
      </c>
      <c r="B291" s="16" t="s">
        <v>8866</v>
      </c>
      <c r="C291" s="16" t="s">
        <v>7632</v>
      </c>
      <c r="D291" s="16" t="s">
        <v>7597</v>
      </c>
      <c r="E291" s="16" t="s">
        <v>7237</v>
      </c>
      <c r="F291" s="16" t="s">
        <v>7238</v>
      </c>
      <c r="G291" s="16" t="s">
        <v>32</v>
      </c>
      <c r="H291" s="16"/>
      <c r="I291" s="16"/>
      <c r="J291" s="16" t="s">
        <v>106</v>
      </c>
      <c r="K291" s="16"/>
      <c r="L291" s="16"/>
      <c r="M291" s="19" t="s">
        <v>7239</v>
      </c>
      <c r="N291" s="16"/>
      <c r="O291" s="16" t="s">
        <v>7240</v>
      </c>
      <c r="P291" s="16" t="str">
        <f>HYPERLINK("https://ceds.ed.gov/cedselementdetails.aspx?termid=26680")</f>
        <v>https://ceds.ed.gov/cedselementdetails.aspx?termid=26680</v>
      </c>
      <c r="Q291" s="16">
        <v>70668</v>
      </c>
    </row>
    <row r="292" spans="1:17" ht="43.2" x14ac:dyDescent="0.3">
      <c r="A292" s="16" t="s">
        <v>7596</v>
      </c>
      <c r="B292" s="16" t="s">
        <v>8866</v>
      </c>
      <c r="C292" s="16" t="s">
        <v>7632</v>
      </c>
      <c r="D292" s="16" t="s">
        <v>7597</v>
      </c>
      <c r="E292" s="16" t="s">
        <v>7241</v>
      </c>
      <c r="F292" s="16" t="s">
        <v>7242</v>
      </c>
      <c r="G292" s="16" t="s">
        <v>8619</v>
      </c>
      <c r="H292" s="16" t="s">
        <v>1977</v>
      </c>
      <c r="I292" s="16"/>
      <c r="J292" s="16"/>
      <c r="K292" s="16"/>
      <c r="L292" s="16"/>
      <c r="M292" s="19" t="s">
        <v>7243</v>
      </c>
      <c r="N292" s="16"/>
      <c r="O292" s="16" t="s">
        <v>7244</v>
      </c>
      <c r="P292" s="16" t="str">
        <f>HYPERLINK("https://ceds.ed.gov/cedselementdetails.aspx?termid=26308")</f>
        <v>https://ceds.ed.gov/cedselementdetails.aspx?termid=26308</v>
      </c>
      <c r="Q292" s="16">
        <v>70638</v>
      </c>
    </row>
    <row r="293" spans="1:17" ht="28.8" x14ac:dyDescent="0.3">
      <c r="A293" s="16" t="s">
        <v>7596</v>
      </c>
      <c r="B293" s="16" t="s">
        <v>8866</v>
      </c>
      <c r="C293" s="16" t="s">
        <v>7633</v>
      </c>
      <c r="D293" s="16" t="s">
        <v>7597</v>
      </c>
      <c r="E293" s="16" t="s">
        <v>4225</v>
      </c>
      <c r="F293" s="16" t="s">
        <v>4226</v>
      </c>
      <c r="G293" s="16" t="s">
        <v>32</v>
      </c>
      <c r="H293" s="16"/>
      <c r="I293" s="16"/>
      <c r="J293" s="16" t="s">
        <v>106</v>
      </c>
      <c r="K293" s="16"/>
      <c r="L293" s="16"/>
      <c r="M293" s="19" t="s">
        <v>4227</v>
      </c>
      <c r="N293" s="16"/>
      <c r="O293" s="16" t="s">
        <v>4228</v>
      </c>
      <c r="P293" s="16" t="str">
        <f>HYPERLINK("https://ceds.ed.gov/cedselementdetails.aspx?termid=26681")</f>
        <v>https://ceds.ed.gov/cedselementdetails.aspx?termid=26681</v>
      </c>
      <c r="Q293" s="16">
        <v>70669</v>
      </c>
    </row>
    <row r="294" spans="1:17" ht="43.2" x14ac:dyDescent="0.3">
      <c r="A294" s="16" t="s">
        <v>7596</v>
      </c>
      <c r="B294" s="16" t="s">
        <v>8866</v>
      </c>
      <c r="C294" s="16" t="s">
        <v>7633</v>
      </c>
      <c r="D294" s="16" t="s">
        <v>7597</v>
      </c>
      <c r="E294" s="16" t="s">
        <v>4229</v>
      </c>
      <c r="F294" s="16" t="s">
        <v>4230</v>
      </c>
      <c r="G294" s="16" t="s">
        <v>8619</v>
      </c>
      <c r="H294" s="16" t="s">
        <v>1977</v>
      </c>
      <c r="I294" s="16"/>
      <c r="J294" s="16"/>
      <c r="K294" s="16"/>
      <c r="L294" s="16"/>
      <c r="M294" s="19" t="s">
        <v>4231</v>
      </c>
      <c r="N294" s="16"/>
      <c r="O294" s="16" t="s">
        <v>4232</v>
      </c>
      <c r="P294" s="16" t="str">
        <f>HYPERLINK("https://ceds.ed.gov/cedselementdetails.aspx?termid=26309")</f>
        <v>https://ceds.ed.gov/cedselementdetails.aspx?termid=26309</v>
      </c>
      <c r="Q294" s="16">
        <v>70639</v>
      </c>
    </row>
    <row r="295" spans="1:17" ht="28.8" x14ac:dyDescent="0.3">
      <c r="A295" s="16" t="s">
        <v>7596</v>
      </c>
      <c r="B295" s="16" t="s">
        <v>8866</v>
      </c>
      <c r="C295" s="16" t="s">
        <v>7634</v>
      </c>
      <c r="D295" s="16" t="s">
        <v>7597</v>
      </c>
      <c r="E295" s="16" t="s">
        <v>3048</v>
      </c>
      <c r="F295" s="16" t="s">
        <v>3049</v>
      </c>
      <c r="G295" s="16" t="s">
        <v>32</v>
      </c>
      <c r="H295" s="16"/>
      <c r="I295" s="16"/>
      <c r="J295" s="16" t="s">
        <v>106</v>
      </c>
      <c r="K295" s="16"/>
      <c r="L295" s="16"/>
      <c r="M295" s="19" t="s">
        <v>3050</v>
      </c>
      <c r="N295" s="16"/>
      <c r="O295" s="16" t="s">
        <v>3051</v>
      </c>
      <c r="P295" s="16" t="str">
        <f>HYPERLINK("https://ceds.ed.gov/cedselementdetails.aspx?termid=26682")</f>
        <v>https://ceds.ed.gov/cedselementdetails.aspx?termid=26682</v>
      </c>
      <c r="Q295" s="16">
        <v>70670</v>
      </c>
    </row>
    <row r="296" spans="1:17" ht="115.2" x14ac:dyDescent="0.3">
      <c r="A296" s="16" t="s">
        <v>7596</v>
      </c>
      <c r="B296" s="16" t="s">
        <v>8866</v>
      </c>
      <c r="C296" s="16" t="s">
        <v>7634</v>
      </c>
      <c r="D296" s="16" t="s">
        <v>7597</v>
      </c>
      <c r="E296" s="16" t="s">
        <v>3052</v>
      </c>
      <c r="F296" s="16" t="s">
        <v>3053</v>
      </c>
      <c r="G296" s="16" t="s">
        <v>8497</v>
      </c>
      <c r="H296" s="16" t="s">
        <v>1977</v>
      </c>
      <c r="I296" s="16"/>
      <c r="J296" s="16"/>
      <c r="K296" s="16"/>
      <c r="L296" s="16"/>
      <c r="M296" s="19" t="s">
        <v>3054</v>
      </c>
      <c r="N296" s="16"/>
      <c r="O296" s="16" t="s">
        <v>3055</v>
      </c>
      <c r="P296" s="16" t="str">
        <f>HYPERLINK("https://ceds.ed.gov/cedselementdetails.aspx?termid=26310")</f>
        <v>https://ceds.ed.gov/cedselementdetails.aspx?termid=26310</v>
      </c>
      <c r="Q296" s="16">
        <v>70640</v>
      </c>
    </row>
    <row r="297" spans="1:17" ht="158.4" x14ac:dyDescent="0.3">
      <c r="A297" s="16" t="s">
        <v>7596</v>
      </c>
      <c r="B297" s="16" t="s">
        <v>8866</v>
      </c>
      <c r="C297" s="16" t="s">
        <v>7635</v>
      </c>
      <c r="D297" s="16" t="s">
        <v>7597</v>
      </c>
      <c r="E297" s="16" t="s">
        <v>4753</v>
      </c>
      <c r="F297" s="16" t="s">
        <v>4754</v>
      </c>
      <c r="G297" s="16" t="s">
        <v>8494</v>
      </c>
      <c r="H297" s="16" t="s">
        <v>3047</v>
      </c>
      <c r="I297" s="16"/>
      <c r="J297" s="16"/>
      <c r="K297" s="16"/>
      <c r="L297" s="16" t="s">
        <v>7936</v>
      </c>
      <c r="M297" s="19" t="s">
        <v>4755</v>
      </c>
      <c r="N297" s="16"/>
      <c r="O297" s="16" t="s">
        <v>4756</v>
      </c>
      <c r="P297" s="16" t="str">
        <f>HYPERLINK("https://ceds.ed.gov/cedselementdetails.aspx?termid=26334")</f>
        <v>https://ceds.ed.gov/cedselementdetails.aspx?termid=26334</v>
      </c>
      <c r="Q297" s="16">
        <v>70657</v>
      </c>
    </row>
    <row r="298" spans="1:17" ht="158.4" x14ac:dyDescent="0.3">
      <c r="A298" s="16" t="s">
        <v>7596</v>
      </c>
      <c r="B298" s="16" t="s">
        <v>8866</v>
      </c>
      <c r="C298" s="16" t="s">
        <v>7635</v>
      </c>
      <c r="D298" s="16" t="s">
        <v>7597</v>
      </c>
      <c r="E298" s="16" t="s">
        <v>3043</v>
      </c>
      <c r="F298" s="16" t="s">
        <v>3044</v>
      </c>
      <c r="G298" s="16" t="s">
        <v>8494</v>
      </c>
      <c r="H298" s="16" t="s">
        <v>3047</v>
      </c>
      <c r="I298" s="16"/>
      <c r="J298" s="16"/>
      <c r="K298" s="16"/>
      <c r="L298" s="16" t="s">
        <v>7936</v>
      </c>
      <c r="M298" s="19" t="s">
        <v>3045</v>
      </c>
      <c r="N298" s="16"/>
      <c r="O298" s="16" t="s">
        <v>3046</v>
      </c>
      <c r="P298" s="16" t="str">
        <f>HYPERLINK("https://ceds.ed.gov/cedselementdetails.aspx?termid=26335")</f>
        <v>https://ceds.ed.gov/cedselementdetails.aspx?termid=26335</v>
      </c>
      <c r="Q298" s="16">
        <v>70658</v>
      </c>
    </row>
    <row r="299" spans="1:17" ht="28.8" x14ac:dyDescent="0.3">
      <c r="A299" s="16" t="s">
        <v>7596</v>
      </c>
      <c r="B299" s="16" t="s">
        <v>8866</v>
      </c>
      <c r="C299" s="16" t="s">
        <v>7636</v>
      </c>
      <c r="D299" s="16" t="s">
        <v>7597</v>
      </c>
      <c r="E299" s="16" t="s">
        <v>7274</v>
      </c>
      <c r="F299" s="16" t="s">
        <v>7275</v>
      </c>
      <c r="G299" s="16" t="s">
        <v>32</v>
      </c>
      <c r="H299" s="16" t="s">
        <v>1977</v>
      </c>
      <c r="I299" s="16"/>
      <c r="J299" s="16" t="s">
        <v>316</v>
      </c>
      <c r="K299" s="16"/>
      <c r="L299" s="16"/>
      <c r="M299" s="19" t="s">
        <v>7276</v>
      </c>
      <c r="N299" s="16"/>
      <c r="O299" s="16" t="s">
        <v>7277</v>
      </c>
      <c r="P299" s="16" t="str">
        <f>HYPERLINK("https://ceds.ed.gov/cedselementdetails.aspx?termid=26312")</f>
        <v>https://ceds.ed.gov/cedselementdetails.aspx?termid=26312</v>
      </c>
      <c r="Q299" s="16">
        <v>70641</v>
      </c>
    </row>
    <row r="300" spans="1:17" ht="28.8" x14ac:dyDescent="0.3">
      <c r="A300" s="16" t="s">
        <v>7596</v>
      </c>
      <c r="B300" s="16" t="s">
        <v>8866</v>
      </c>
      <c r="C300" s="16" t="s">
        <v>7636</v>
      </c>
      <c r="D300" s="16" t="s">
        <v>7597</v>
      </c>
      <c r="E300" s="16" t="s">
        <v>7270</v>
      </c>
      <c r="F300" s="16" t="s">
        <v>7271</v>
      </c>
      <c r="G300" s="16" t="s">
        <v>32</v>
      </c>
      <c r="H300" s="16" t="s">
        <v>1977</v>
      </c>
      <c r="I300" s="16"/>
      <c r="J300" s="16" t="s">
        <v>305</v>
      </c>
      <c r="K300" s="16"/>
      <c r="L300" s="16"/>
      <c r="M300" s="19" t="s">
        <v>7272</v>
      </c>
      <c r="N300" s="16"/>
      <c r="O300" s="16" t="s">
        <v>7273</v>
      </c>
      <c r="P300" s="16" t="str">
        <f>HYPERLINK("https://ceds.ed.gov/cedselementdetails.aspx?termid=26313")</f>
        <v>https://ceds.ed.gov/cedselementdetails.aspx?termid=26313</v>
      </c>
      <c r="Q300" s="16">
        <v>70642</v>
      </c>
    </row>
    <row r="301" spans="1:17" ht="72" x14ac:dyDescent="0.3">
      <c r="A301" s="16" t="s">
        <v>7596</v>
      </c>
      <c r="B301" s="16" t="s">
        <v>8866</v>
      </c>
      <c r="C301" s="16" t="s">
        <v>7636</v>
      </c>
      <c r="D301" s="16" t="s">
        <v>7597</v>
      </c>
      <c r="E301" s="16" t="s">
        <v>7185</v>
      </c>
      <c r="F301" s="16" t="s">
        <v>7186</v>
      </c>
      <c r="G301" s="16" t="s">
        <v>8858</v>
      </c>
      <c r="H301" s="16"/>
      <c r="I301" s="16"/>
      <c r="J301" s="16"/>
      <c r="K301" s="16"/>
      <c r="L301" s="16"/>
      <c r="M301" s="19" t="s">
        <v>7187</v>
      </c>
      <c r="N301" s="16"/>
      <c r="O301" s="16" t="s">
        <v>7188</v>
      </c>
      <c r="P301" s="16" t="str">
        <f>HYPERLINK("https://ceds.ed.gov/cedselementdetails.aspx?termid=27611")</f>
        <v>https://ceds.ed.gov/cedselementdetails.aspx?termid=27611</v>
      </c>
      <c r="Q301" s="16">
        <v>74112</v>
      </c>
    </row>
    <row r="302" spans="1:17" ht="230.4" x14ac:dyDescent="0.3">
      <c r="A302" s="16" t="s">
        <v>7596</v>
      </c>
      <c r="B302" s="16" t="s">
        <v>8866</v>
      </c>
      <c r="C302" s="16" t="s">
        <v>7637</v>
      </c>
      <c r="D302" s="16" t="s">
        <v>7597</v>
      </c>
      <c r="E302" s="16" t="s">
        <v>6472</v>
      </c>
      <c r="F302" s="16" t="s">
        <v>6473</v>
      </c>
      <c r="G302" s="16" t="s">
        <v>8823</v>
      </c>
      <c r="H302" s="16"/>
      <c r="I302" s="16"/>
      <c r="J302" s="16"/>
      <c r="K302" s="16"/>
      <c r="L302" s="16"/>
      <c r="M302" s="19" t="s">
        <v>6474</v>
      </c>
      <c r="N302" s="16"/>
      <c r="O302" s="16" t="s">
        <v>6475</v>
      </c>
      <c r="P302" s="16" t="str">
        <f>HYPERLINK("https://ceds.ed.gov/cedselementdetails.aspx?termid=27602")</f>
        <v>https://ceds.ed.gov/cedselementdetails.aspx?termid=27602</v>
      </c>
      <c r="Q302" s="16">
        <v>74101</v>
      </c>
    </row>
    <row r="303" spans="1:17" ht="28.8" x14ac:dyDescent="0.3">
      <c r="A303" s="16" t="s">
        <v>7596</v>
      </c>
      <c r="B303" s="16" t="s">
        <v>8866</v>
      </c>
      <c r="C303" s="16" t="s">
        <v>7637</v>
      </c>
      <c r="D303" s="16" t="s">
        <v>7597</v>
      </c>
      <c r="E303" s="16" t="s">
        <v>7278</v>
      </c>
      <c r="F303" s="16" t="s">
        <v>7279</v>
      </c>
      <c r="G303" s="16" t="s">
        <v>32</v>
      </c>
      <c r="H303" s="16"/>
      <c r="I303" s="16"/>
      <c r="J303" s="16" t="s">
        <v>106</v>
      </c>
      <c r="K303" s="16"/>
      <c r="L303" s="16"/>
      <c r="M303" s="19" t="s">
        <v>7280</v>
      </c>
      <c r="N303" s="16"/>
      <c r="O303" s="16" t="s">
        <v>7281</v>
      </c>
      <c r="P303" s="16" t="str">
        <f>HYPERLINK("https://ceds.ed.gov/cedselementdetails.aspx?termid=27612")</f>
        <v>https://ceds.ed.gov/cedselementdetails.aspx?termid=27612</v>
      </c>
      <c r="Q303" s="16">
        <v>74113</v>
      </c>
    </row>
    <row r="304" spans="1:17" ht="100.8" x14ac:dyDescent="0.3">
      <c r="A304" s="16" t="s">
        <v>7596</v>
      </c>
      <c r="B304" s="16" t="s">
        <v>8866</v>
      </c>
      <c r="C304" s="16" t="s">
        <v>7638</v>
      </c>
      <c r="D304" s="16" t="s">
        <v>7597</v>
      </c>
      <c r="E304" s="16" t="s">
        <v>1973</v>
      </c>
      <c r="F304" s="16" t="s">
        <v>1974</v>
      </c>
      <c r="G304" s="16" t="s">
        <v>8434</v>
      </c>
      <c r="H304" s="16" t="s">
        <v>1977</v>
      </c>
      <c r="I304" s="16"/>
      <c r="J304" s="16"/>
      <c r="K304" s="16"/>
      <c r="L304" s="16"/>
      <c r="M304" s="19" t="s">
        <v>1975</v>
      </c>
      <c r="N304" s="16"/>
      <c r="O304" s="16" t="s">
        <v>1976</v>
      </c>
      <c r="P304" s="16" t="str">
        <f>HYPERLINK("https://ceds.ed.gov/cedselementdetails.aspx?termid=26314")</f>
        <v>https://ceds.ed.gov/cedselementdetails.aspx?termid=26314</v>
      </c>
      <c r="Q304" s="16">
        <v>70643</v>
      </c>
    </row>
    <row r="305" spans="1:17" ht="172.8" x14ac:dyDescent="0.3">
      <c r="A305" s="16" t="s">
        <v>7596</v>
      </c>
      <c r="B305" s="16" t="s">
        <v>8866</v>
      </c>
      <c r="C305" s="16" t="s">
        <v>7638</v>
      </c>
      <c r="D305" s="16" t="s">
        <v>7597</v>
      </c>
      <c r="E305" s="16" t="s">
        <v>3078</v>
      </c>
      <c r="F305" s="16" t="s">
        <v>3079</v>
      </c>
      <c r="G305" s="16" t="s">
        <v>8501</v>
      </c>
      <c r="H305" s="16" t="s">
        <v>1977</v>
      </c>
      <c r="I305" s="16"/>
      <c r="J305" s="16"/>
      <c r="K305" s="16"/>
      <c r="L305" s="16"/>
      <c r="M305" s="19" t="s">
        <v>3080</v>
      </c>
      <c r="N305" s="16"/>
      <c r="O305" s="16" t="s">
        <v>3081</v>
      </c>
      <c r="P305" s="16" t="str">
        <f>HYPERLINK("https://ceds.ed.gov/cedselementdetails.aspx?termid=26315")</f>
        <v>https://ceds.ed.gov/cedselementdetails.aspx?termid=26315</v>
      </c>
      <c r="Q305" s="16">
        <v>70644</v>
      </c>
    </row>
    <row r="306" spans="1:17" ht="273.60000000000002" x14ac:dyDescent="0.3">
      <c r="A306" s="16" t="s">
        <v>7596</v>
      </c>
      <c r="B306" s="16" t="s">
        <v>8866</v>
      </c>
      <c r="C306" s="16" t="s">
        <v>7638</v>
      </c>
      <c r="D306" s="16" t="s">
        <v>7597</v>
      </c>
      <c r="E306" s="16" t="s">
        <v>472</v>
      </c>
      <c r="F306" s="16" t="s">
        <v>473</v>
      </c>
      <c r="G306" s="16" t="s">
        <v>8327</v>
      </c>
      <c r="H306" s="16" t="s">
        <v>476</v>
      </c>
      <c r="I306" s="16"/>
      <c r="J306" s="16"/>
      <c r="K306" s="16"/>
      <c r="L306" s="16" t="s">
        <v>7834</v>
      </c>
      <c r="M306" s="19" t="s">
        <v>474</v>
      </c>
      <c r="N306" s="16"/>
      <c r="O306" s="16" t="s">
        <v>475</v>
      </c>
      <c r="P306" s="16" t="str">
        <f>HYPERLINK("https://ceds.ed.gov/cedselementdetails.aspx?termid=27003")</f>
        <v>https://ceds.ed.gov/cedselementdetails.aspx?termid=27003</v>
      </c>
      <c r="Q306" s="16">
        <v>71419</v>
      </c>
    </row>
    <row r="307" spans="1:17" ht="360" x14ac:dyDescent="0.3">
      <c r="A307" s="16" t="s">
        <v>7596</v>
      </c>
      <c r="B307" s="16" t="s">
        <v>8866</v>
      </c>
      <c r="C307" s="16" t="s">
        <v>7638</v>
      </c>
      <c r="D307" s="16" t="s">
        <v>7597</v>
      </c>
      <c r="E307" s="16" t="s">
        <v>936</v>
      </c>
      <c r="F307" s="16" t="s">
        <v>937</v>
      </c>
      <c r="G307" s="16" t="s">
        <v>8207</v>
      </c>
      <c r="H307" s="16" t="s">
        <v>940</v>
      </c>
      <c r="I307" s="16"/>
      <c r="J307" s="16"/>
      <c r="K307" s="16"/>
      <c r="L307" s="16"/>
      <c r="M307" s="19" t="s">
        <v>938</v>
      </c>
      <c r="N307" s="16"/>
      <c r="O307" s="16" t="s">
        <v>939</v>
      </c>
      <c r="P307" s="16" t="str">
        <f>HYPERLINK("https://ceds.ed.gov/cedselementdetails.aspx?termid=26177")</f>
        <v>https://ceds.ed.gov/cedselementdetails.aspx?termid=26177</v>
      </c>
      <c r="Q307" s="16">
        <v>71505</v>
      </c>
    </row>
    <row r="308" spans="1:17" ht="216" x14ac:dyDescent="0.3">
      <c r="A308" s="16" t="s">
        <v>7596</v>
      </c>
      <c r="B308" s="16" t="s">
        <v>8866</v>
      </c>
      <c r="C308" s="16" t="s">
        <v>7639</v>
      </c>
      <c r="D308" s="16" t="s">
        <v>7597</v>
      </c>
      <c r="E308" s="16" t="s">
        <v>3334</v>
      </c>
      <c r="F308" s="16" t="s">
        <v>3335</v>
      </c>
      <c r="G308" s="16" t="s">
        <v>8531</v>
      </c>
      <c r="H308" s="16" t="s">
        <v>3047</v>
      </c>
      <c r="I308" s="16"/>
      <c r="J308" s="16"/>
      <c r="K308" s="16"/>
      <c r="L308" s="16"/>
      <c r="M308" s="19" t="s">
        <v>3336</v>
      </c>
      <c r="N308" s="16"/>
      <c r="O308" s="16" t="s">
        <v>3337</v>
      </c>
      <c r="P308" s="16" t="str">
        <f>HYPERLINK("https://ceds.ed.gov/cedselementdetails.aspx?termid=26304")</f>
        <v>https://ceds.ed.gov/cedselementdetails.aspx?termid=26304</v>
      </c>
      <c r="Q308" s="16">
        <v>70635</v>
      </c>
    </row>
    <row r="309" spans="1:17" ht="72" x14ac:dyDescent="0.3">
      <c r="A309" s="16" t="s">
        <v>7596</v>
      </c>
      <c r="B309" s="16" t="s">
        <v>8866</v>
      </c>
      <c r="C309" s="16" t="s">
        <v>7639</v>
      </c>
      <c r="D309" s="16" t="s">
        <v>7597</v>
      </c>
      <c r="E309" s="16" t="s">
        <v>3341</v>
      </c>
      <c r="F309" s="16" t="s">
        <v>3342</v>
      </c>
      <c r="G309" s="16" t="s">
        <v>8532</v>
      </c>
      <c r="H309" s="16"/>
      <c r="I309" s="16"/>
      <c r="J309" s="16"/>
      <c r="K309" s="16"/>
      <c r="L309" s="16"/>
      <c r="M309" s="19" t="s">
        <v>3343</v>
      </c>
      <c r="N309" s="16"/>
      <c r="O309" s="16" t="s">
        <v>3344</v>
      </c>
      <c r="P309" s="16" t="str">
        <f>HYPERLINK("https://ceds.ed.gov/cedselementdetails.aspx?termid=27306")</f>
        <v>https://ceds.ed.gov/cedselementdetails.aspx?termid=27306</v>
      </c>
      <c r="Q309" s="16">
        <v>73146</v>
      </c>
    </row>
    <row r="310" spans="1:17" ht="28.8" x14ac:dyDescent="0.3">
      <c r="A310" s="16" t="s">
        <v>7596</v>
      </c>
      <c r="B310" s="16" t="s">
        <v>8866</v>
      </c>
      <c r="C310" s="16" t="s">
        <v>7639</v>
      </c>
      <c r="D310" s="16" t="s">
        <v>7597</v>
      </c>
      <c r="E310" s="16" t="s">
        <v>3345</v>
      </c>
      <c r="F310" s="16" t="s">
        <v>3346</v>
      </c>
      <c r="G310" s="16" t="s">
        <v>32</v>
      </c>
      <c r="H310" s="16"/>
      <c r="I310" s="16"/>
      <c r="J310" s="16" t="s">
        <v>106</v>
      </c>
      <c r="K310" s="16"/>
      <c r="L310" s="16"/>
      <c r="M310" s="19" t="s">
        <v>3347</v>
      </c>
      <c r="N310" s="16"/>
      <c r="O310" s="16" t="s">
        <v>3348</v>
      </c>
      <c r="P310" s="16" t="str">
        <f>HYPERLINK("https://ceds.ed.gov/cedselementdetails.aspx?termid=27307")</f>
        <v>https://ceds.ed.gov/cedselementdetails.aspx?termid=27307</v>
      </c>
      <c r="Q310" s="16">
        <v>73147</v>
      </c>
    </row>
    <row r="311" spans="1:17" ht="28.8" x14ac:dyDescent="0.3">
      <c r="A311" s="16" t="s">
        <v>7596</v>
      </c>
      <c r="B311" s="16" t="s">
        <v>8866</v>
      </c>
      <c r="C311" s="16" t="s">
        <v>7639</v>
      </c>
      <c r="D311" s="16" t="s">
        <v>7597</v>
      </c>
      <c r="E311" s="16" t="s">
        <v>3338</v>
      </c>
      <c r="F311" s="16" t="s">
        <v>7957</v>
      </c>
      <c r="G311" s="16" t="s">
        <v>32</v>
      </c>
      <c r="H311" s="16"/>
      <c r="I311" s="16"/>
      <c r="J311" s="16" t="s">
        <v>106</v>
      </c>
      <c r="K311" s="16"/>
      <c r="L311" s="16"/>
      <c r="M311" s="19" t="s">
        <v>3339</v>
      </c>
      <c r="N311" s="16"/>
      <c r="O311" s="16" t="s">
        <v>3340</v>
      </c>
      <c r="P311" s="16" t="str">
        <f>HYPERLINK("https://ceds.ed.gov/cedselementdetails.aspx?termid=27305")</f>
        <v>https://ceds.ed.gov/cedselementdetails.aspx?termid=27305</v>
      </c>
      <c r="Q311" s="16">
        <v>73144</v>
      </c>
    </row>
    <row r="312" spans="1:17" ht="43.2" x14ac:dyDescent="0.3">
      <c r="A312" s="16" t="s">
        <v>7596</v>
      </c>
      <c r="B312" s="16" t="s">
        <v>8866</v>
      </c>
      <c r="C312" s="16" t="s">
        <v>7640</v>
      </c>
      <c r="D312" s="16" t="s">
        <v>7597</v>
      </c>
      <c r="E312" s="16" t="s">
        <v>4886</v>
      </c>
      <c r="F312" s="16" t="s">
        <v>4887</v>
      </c>
      <c r="G312" s="16" t="s">
        <v>13005</v>
      </c>
      <c r="H312" s="16"/>
      <c r="I312" s="16"/>
      <c r="J312" s="16"/>
      <c r="K312" s="16"/>
      <c r="L312" s="16"/>
      <c r="M312" s="19"/>
      <c r="N312" s="16"/>
      <c r="O312" s="16"/>
      <c r="P312" s="16"/>
      <c r="Q312" s="16"/>
    </row>
    <row r="313" spans="1:17" x14ac:dyDescent="0.3">
      <c r="A313" s="16"/>
      <c r="B313" s="16"/>
      <c r="C313" s="16"/>
      <c r="D313" s="16"/>
      <c r="E313" s="16"/>
      <c r="F313" s="16"/>
      <c r="G313" s="16"/>
      <c r="H313" s="16"/>
      <c r="I313" s="16"/>
      <c r="J313" s="16"/>
      <c r="K313" s="16"/>
      <c r="L313" s="16"/>
      <c r="M313" s="19"/>
      <c r="N313" s="16"/>
      <c r="O313" s="16"/>
      <c r="P313" s="16"/>
      <c r="Q313" s="16"/>
    </row>
    <row r="314" spans="1:17" ht="144" x14ac:dyDescent="0.3">
      <c r="A314" s="16"/>
      <c r="B314" s="16" t="s">
        <v>13051</v>
      </c>
      <c r="C314" s="16" t="s">
        <v>4851</v>
      </c>
      <c r="D314" s="16"/>
      <c r="E314" s="16"/>
      <c r="F314" s="16"/>
      <c r="G314" s="16"/>
      <c r="H314" s="16">
        <v>316</v>
      </c>
      <c r="I314" s="16"/>
      <c r="J314" s="16" t="s">
        <v>4888</v>
      </c>
      <c r="K314" s="16" t="str">
        <f>HYPERLINK("https://ceds.ed.gov/cedselementdetails.aspx?termid=26316")</f>
        <v>https://ceds.ed.gov/cedselementdetails.aspx?termid=26316</v>
      </c>
      <c r="L314" s="16">
        <v>70645</v>
      </c>
      <c r="M314" s="19"/>
      <c r="N314" s="16"/>
      <c r="O314" s="16"/>
      <c r="P314" s="16"/>
      <c r="Q314" s="16"/>
    </row>
    <row r="315" spans="1:17" ht="100.8" x14ac:dyDescent="0.3">
      <c r="A315" s="16" t="s">
        <v>7596</v>
      </c>
      <c r="B315" s="16" t="s">
        <v>8866</v>
      </c>
      <c r="C315" s="16" t="s">
        <v>7640</v>
      </c>
      <c r="D315" s="16" t="s">
        <v>7597</v>
      </c>
      <c r="E315" s="16" t="s">
        <v>4849</v>
      </c>
      <c r="F315" s="16" t="s">
        <v>13082</v>
      </c>
      <c r="G315" s="16" t="s">
        <v>7313</v>
      </c>
      <c r="H315" s="16" t="s">
        <v>4851</v>
      </c>
      <c r="I315" s="16" t="s">
        <v>160</v>
      </c>
      <c r="J315" s="16"/>
      <c r="K315" s="16" t="s">
        <v>12946</v>
      </c>
      <c r="L315" s="16"/>
      <c r="M315" s="19" t="s">
        <v>4850</v>
      </c>
      <c r="N315" s="16"/>
      <c r="O315" s="16"/>
      <c r="P315" s="16" t="str">
        <f>HYPERLINK("https://ceds.ed.gov/cedselementdetails.aspx?termid=26317")</f>
        <v>https://ceds.ed.gov/cedselementdetails.aspx?termid=26317</v>
      </c>
      <c r="Q315" s="16">
        <v>70646</v>
      </c>
    </row>
    <row r="316" spans="1:17" ht="129.6" x14ac:dyDescent="0.3">
      <c r="A316" s="16" t="s">
        <v>7596</v>
      </c>
      <c r="B316" s="16" t="s">
        <v>8866</v>
      </c>
      <c r="C316" s="16" t="s">
        <v>7640</v>
      </c>
      <c r="D316" s="16" t="s">
        <v>7597</v>
      </c>
      <c r="E316" s="16" t="s">
        <v>4852</v>
      </c>
      <c r="F316" s="16" t="s">
        <v>13083</v>
      </c>
      <c r="G316" s="16" t="s">
        <v>7313</v>
      </c>
      <c r="H316" s="16"/>
      <c r="I316" s="16" t="s">
        <v>160</v>
      </c>
      <c r="J316" s="16"/>
      <c r="K316" s="16" t="s">
        <v>12947</v>
      </c>
      <c r="L316" s="16" t="s">
        <v>13084</v>
      </c>
      <c r="M316" s="19" t="s">
        <v>4853</v>
      </c>
      <c r="N316" s="16"/>
      <c r="O316" s="16"/>
      <c r="P316" s="16" t="str">
        <f>HYPERLINK("https://ceds.ed.gov/cedselementdetails.aspx?termid=27618")</f>
        <v>https://ceds.ed.gov/cedselementdetails.aspx?termid=27618</v>
      </c>
      <c r="Q316" s="16">
        <v>74219</v>
      </c>
    </row>
    <row r="317" spans="1:17" ht="409.6" x14ac:dyDescent="0.3">
      <c r="A317" s="16" t="s">
        <v>7596</v>
      </c>
      <c r="B317" s="16" t="s">
        <v>8866</v>
      </c>
      <c r="C317" s="16" t="s">
        <v>7640</v>
      </c>
      <c r="D317" s="16" t="s">
        <v>7597</v>
      </c>
      <c r="E317" s="16" t="s">
        <v>4854</v>
      </c>
      <c r="F317" s="16" t="s">
        <v>13085</v>
      </c>
      <c r="G317" s="16" t="s">
        <v>8683</v>
      </c>
      <c r="H317" s="16"/>
      <c r="I317" s="16" t="s">
        <v>160</v>
      </c>
      <c r="J317" s="16"/>
      <c r="K317" s="16" t="s">
        <v>12948</v>
      </c>
      <c r="L317" s="16" t="s">
        <v>13086</v>
      </c>
      <c r="M317" s="19" t="s">
        <v>4855</v>
      </c>
      <c r="N317" s="16"/>
      <c r="O317" s="16"/>
      <c r="P317" s="16" t="str">
        <f>HYPERLINK("https://ceds.ed.gov/cedselementdetails.aspx?termid=27619")</f>
        <v>https://ceds.ed.gov/cedselementdetails.aspx?termid=27619</v>
      </c>
      <c r="Q317" s="16">
        <v>74226</v>
      </c>
    </row>
    <row r="318" spans="1:17" ht="43.2" x14ac:dyDescent="0.3">
      <c r="A318" s="16" t="s">
        <v>7596</v>
      </c>
      <c r="B318" s="16" t="s">
        <v>8866</v>
      </c>
      <c r="C318" s="16" t="s">
        <v>7641</v>
      </c>
      <c r="D318" s="16" t="s">
        <v>7597</v>
      </c>
      <c r="E318" s="16" t="s">
        <v>369</v>
      </c>
      <c r="F318" s="16" t="s">
        <v>7829</v>
      </c>
      <c r="G318" s="16" t="s">
        <v>32</v>
      </c>
      <c r="H318" s="16" t="s">
        <v>372</v>
      </c>
      <c r="I318" s="16"/>
      <c r="J318" s="16" t="s">
        <v>106</v>
      </c>
      <c r="K318" s="16"/>
      <c r="L318" s="16"/>
      <c r="M318" s="19" t="s">
        <v>370</v>
      </c>
      <c r="N318" s="16"/>
      <c r="O318" s="16" t="s">
        <v>371</v>
      </c>
      <c r="P318" s="16" t="str">
        <f>HYPERLINK("https://ceds.ed.gov/cedselementdetails.aspx?termid=26323")</f>
        <v>https://ceds.ed.gov/cedselementdetails.aspx?termid=26323</v>
      </c>
      <c r="Q318" s="16">
        <v>70652</v>
      </c>
    </row>
    <row r="319" spans="1:17" ht="201.6" x14ac:dyDescent="0.3">
      <c r="A319" s="16" t="s">
        <v>7596</v>
      </c>
      <c r="B319" s="16" t="s">
        <v>8866</v>
      </c>
      <c r="C319" s="16" t="s">
        <v>7641</v>
      </c>
      <c r="D319" s="16" t="s">
        <v>7597</v>
      </c>
      <c r="E319" s="16" t="s">
        <v>4329</v>
      </c>
      <c r="F319" s="16" t="s">
        <v>4330</v>
      </c>
      <c r="G319" s="16" t="s">
        <v>8629</v>
      </c>
      <c r="H319" s="16" t="s">
        <v>214</v>
      </c>
      <c r="I319" s="16"/>
      <c r="J319" s="16"/>
      <c r="K319" s="16"/>
      <c r="L319" s="16"/>
      <c r="M319" s="19" t="s">
        <v>4331</v>
      </c>
      <c r="N319" s="16"/>
      <c r="O319" s="16" t="s">
        <v>4332</v>
      </c>
      <c r="P319" s="16" t="str">
        <f>HYPERLINK("https://ceds.ed.gov/cedselementdetails.aspx?termid=26550")</f>
        <v>https://ceds.ed.gov/cedselementdetails.aspx?termid=26550</v>
      </c>
      <c r="Q319" s="16">
        <v>70660</v>
      </c>
    </row>
    <row r="320" spans="1:17" ht="43.2" x14ac:dyDescent="0.3">
      <c r="A320" s="16" t="s">
        <v>7596</v>
      </c>
      <c r="B320" s="16" t="s">
        <v>8866</v>
      </c>
      <c r="C320" s="16" t="s">
        <v>7641</v>
      </c>
      <c r="D320" s="16" t="s">
        <v>7597</v>
      </c>
      <c r="E320" s="16" t="s">
        <v>3522</v>
      </c>
      <c r="F320" s="16" t="s">
        <v>3523</v>
      </c>
      <c r="G320" s="16" t="s">
        <v>32</v>
      </c>
      <c r="H320" s="16" t="s">
        <v>372</v>
      </c>
      <c r="I320" s="16"/>
      <c r="J320" s="16" t="s">
        <v>106</v>
      </c>
      <c r="K320" s="16"/>
      <c r="L320" s="16"/>
      <c r="M320" s="19" t="s">
        <v>3524</v>
      </c>
      <c r="N320" s="16"/>
      <c r="O320" s="16" t="s">
        <v>3525</v>
      </c>
      <c r="P320" s="16" t="str">
        <f>HYPERLINK("https://ceds.ed.gov/cedselementdetails.aspx?termid=26324")</f>
        <v>https://ceds.ed.gov/cedselementdetails.aspx?termid=26324</v>
      </c>
      <c r="Q320" s="16">
        <v>70653</v>
      </c>
    </row>
    <row r="321" spans="1:17" ht="172.8" x14ac:dyDescent="0.3">
      <c r="A321" s="16" t="s">
        <v>7596</v>
      </c>
      <c r="B321" s="16" t="s">
        <v>8866</v>
      </c>
      <c r="C321" s="16" t="s">
        <v>7641</v>
      </c>
      <c r="D321" s="16" t="s">
        <v>7597</v>
      </c>
      <c r="E321" s="16" t="s">
        <v>3526</v>
      </c>
      <c r="F321" s="16" t="s">
        <v>3527</v>
      </c>
      <c r="G321" s="16" t="s">
        <v>32</v>
      </c>
      <c r="H321" s="16" t="s">
        <v>3530</v>
      </c>
      <c r="I321" s="16"/>
      <c r="J321" s="16" t="s">
        <v>106</v>
      </c>
      <c r="K321" s="16"/>
      <c r="L321" s="16"/>
      <c r="M321" s="19" t="s">
        <v>3528</v>
      </c>
      <c r="N321" s="16"/>
      <c r="O321" s="16" t="s">
        <v>3529</v>
      </c>
      <c r="P321" s="16" t="str">
        <f>HYPERLINK("https://ceds.ed.gov/cedselementdetails.aspx?termid=26097")</f>
        <v>https://ceds.ed.gov/cedselementdetails.aspx?termid=26097</v>
      </c>
      <c r="Q321" s="16">
        <v>70620</v>
      </c>
    </row>
    <row r="322" spans="1:17" ht="57.6" x14ac:dyDescent="0.3">
      <c r="A322" s="16" t="s">
        <v>7596</v>
      </c>
      <c r="B322" s="16" t="s">
        <v>8866</v>
      </c>
      <c r="C322" s="16" t="s">
        <v>7641</v>
      </c>
      <c r="D322" s="16" t="s">
        <v>7597</v>
      </c>
      <c r="E322" s="16" t="s">
        <v>3531</v>
      </c>
      <c r="F322" s="16" t="s">
        <v>3532</v>
      </c>
      <c r="G322" s="16" t="s">
        <v>32</v>
      </c>
      <c r="H322" s="16" t="s">
        <v>58</v>
      </c>
      <c r="I322" s="16"/>
      <c r="J322" s="16" t="s">
        <v>106</v>
      </c>
      <c r="K322" s="16"/>
      <c r="L322" s="16" t="s">
        <v>131</v>
      </c>
      <c r="M322" s="19" t="s">
        <v>3533</v>
      </c>
      <c r="N322" s="16"/>
      <c r="O322" s="16" t="s">
        <v>3534</v>
      </c>
      <c r="P322" s="16" t="str">
        <f>HYPERLINK("https://ceds.ed.gov/cedselementdetails.aspx?termid=26107")</f>
        <v>https://ceds.ed.gov/cedselementdetails.aspx?termid=26107</v>
      </c>
      <c r="Q322" s="16">
        <v>70621</v>
      </c>
    </row>
    <row r="323" spans="1:17" ht="409.6" x14ac:dyDescent="0.3">
      <c r="A323" s="16" t="s">
        <v>7596</v>
      </c>
      <c r="B323" s="16" t="s">
        <v>8866</v>
      </c>
      <c r="C323" s="16" t="s">
        <v>7641</v>
      </c>
      <c r="D323" s="16" t="s">
        <v>7597</v>
      </c>
      <c r="E323" s="16" t="s">
        <v>3569</v>
      </c>
      <c r="F323" s="16" t="s">
        <v>3570</v>
      </c>
      <c r="G323" s="16" t="s">
        <v>8561</v>
      </c>
      <c r="H323" s="16"/>
      <c r="I323" s="16" t="s">
        <v>160</v>
      </c>
      <c r="J323" s="16"/>
      <c r="K323" s="16" t="s">
        <v>12935</v>
      </c>
      <c r="L323" s="16"/>
      <c r="M323" s="19" t="s">
        <v>3571</v>
      </c>
      <c r="N323" s="16"/>
      <c r="O323" s="16" t="s">
        <v>3572</v>
      </c>
      <c r="P323" s="16" t="str">
        <f>HYPERLINK("https://ceds.ed.gov/cedselementdetails.aspx?termid=26222")</f>
        <v>https://ceds.ed.gov/cedselementdetails.aspx?termid=26222</v>
      </c>
      <c r="Q323" s="16">
        <v>73457</v>
      </c>
    </row>
    <row r="324" spans="1:17" ht="230.4" x14ac:dyDescent="0.3">
      <c r="A324" s="16" t="s">
        <v>7596</v>
      </c>
      <c r="B324" s="16" t="s">
        <v>8866</v>
      </c>
      <c r="C324" s="16" t="s">
        <v>7641</v>
      </c>
      <c r="D324" s="16" t="s">
        <v>7597</v>
      </c>
      <c r="E324" s="16" t="s">
        <v>5516</v>
      </c>
      <c r="F324" s="16" t="s">
        <v>5517</v>
      </c>
      <c r="G324" s="16" t="s">
        <v>32</v>
      </c>
      <c r="H324" s="16" t="s">
        <v>5520</v>
      </c>
      <c r="I324" s="16"/>
      <c r="J324" s="16" t="s">
        <v>1481</v>
      </c>
      <c r="K324" s="16"/>
      <c r="L324" s="16" t="s">
        <v>8095</v>
      </c>
      <c r="M324" s="19" t="s">
        <v>5518</v>
      </c>
      <c r="N324" s="16"/>
      <c r="O324" s="16" t="s">
        <v>5519</v>
      </c>
      <c r="P324" s="16" t="str">
        <f>HYPERLINK("https://ceds.ed.gov/cedselementdetails.aspx?termid=26202")</f>
        <v>https://ceds.ed.gov/cedselementdetails.aspx?termid=26202</v>
      </c>
      <c r="Q324" s="16">
        <v>70629</v>
      </c>
    </row>
    <row r="325" spans="1:17" ht="230.4" x14ac:dyDescent="0.3">
      <c r="A325" s="16" t="s">
        <v>7596</v>
      </c>
      <c r="B325" s="16" t="s">
        <v>8866</v>
      </c>
      <c r="C325" s="16" t="s">
        <v>7641</v>
      </c>
      <c r="D325" s="16" t="s">
        <v>7597</v>
      </c>
      <c r="E325" s="16" t="s">
        <v>5684</v>
      </c>
      <c r="F325" s="16" t="s">
        <v>5685</v>
      </c>
      <c r="G325" s="16" t="s">
        <v>8750</v>
      </c>
      <c r="H325" s="16" t="s">
        <v>372</v>
      </c>
      <c r="I325" s="16"/>
      <c r="J325" s="16"/>
      <c r="K325" s="16"/>
      <c r="L325" s="16"/>
      <c r="M325" s="19" t="s">
        <v>5686</v>
      </c>
      <c r="N325" s="16"/>
      <c r="O325" s="16" t="s">
        <v>5687</v>
      </c>
      <c r="P325" s="16" t="str">
        <f>HYPERLINK("https://ceds.ed.gov/cedselementdetails.aspx?termid=26325")</f>
        <v>https://ceds.ed.gov/cedselementdetails.aspx?termid=26325</v>
      </c>
      <c r="Q325" s="16">
        <v>70654</v>
      </c>
    </row>
    <row r="326" spans="1:17" ht="187.2" x14ac:dyDescent="0.3">
      <c r="A326" s="16" t="s">
        <v>7596</v>
      </c>
      <c r="B326" s="16" t="s">
        <v>8866</v>
      </c>
      <c r="C326" s="16" t="s">
        <v>7641</v>
      </c>
      <c r="D326" s="16" t="s">
        <v>7597</v>
      </c>
      <c r="E326" s="16" t="s">
        <v>5582</v>
      </c>
      <c r="F326" s="16" t="s">
        <v>5583</v>
      </c>
      <c r="G326" s="16" t="s">
        <v>8247</v>
      </c>
      <c r="H326" s="16" t="s">
        <v>98</v>
      </c>
      <c r="I326" s="16"/>
      <c r="J326" s="16"/>
      <c r="K326" s="16"/>
      <c r="L326" s="16"/>
      <c r="M326" s="19" t="s">
        <v>5584</v>
      </c>
      <c r="N326" s="16"/>
      <c r="O326" s="16" t="s">
        <v>5585</v>
      </c>
      <c r="P326" s="16" t="str">
        <f>HYPERLINK("https://ceds.ed.gov/cedselementdetails.aspx?termid=26827")</f>
        <v>https://ceds.ed.gov/cedselementdetails.aspx?termid=26827</v>
      </c>
      <c r="Q326" s="16">
        <v>74377</v>
      </c>
    </row>
    <row r="327" spans="1:17" ht="230.4" x14ac:dyDescent="0.3">
      <c r="A327" s="16" t="s">
        <v>7596</v>
      </c>
      <c r="B327" s="16" t="s">
        <v>8866</v>
      </c>
      <c r="C327" s="16" t="s">
        <v>7641</v>
      </c>
      <c r="D327" s="16" t="s">
        <v>7597</v>
      </c>
      <c r="E327" s="16" t="s">
        <v>6351</v>
      </c>
      <c r="F327" s="16" t="s">
        <v>8127</v>
      </c>
      <c r="G327" s="16" t="s">
        <v>32</v>
      </c>
      <c r="H327" s="16"/>
      <c r="I327" s="16"/>
      <c r="J327" s="16" t="s">
        <v>120</v>
      </c>
      <c r="K327" s="16"/>
      <c r="L327" s="16" t="s">
        <v>8128</v>
      </c>
      <c r="M327" s="19" t="s">
        <v>6353</v>
      </c>
      <c r="N327" s="16"/>
      <c r="O327" s="16" t="s">
        <v>6354</v>
      </c>
      <c r="P327" s="16" t="str">
        <f>HYPERLINK("https://ceds.ed.gov/cedselementdetails.aspx?termid=27438")</f>
        <v>https://ceds.ed.gov/cedselementdetails.aspx?termid=27438</v>
      </c>
      <c r="Q327" s="16">
        <v>74381</v>
      </c>
    </row>
    <row r="328" spans="1:17" ht="187.2" x14ac:dyDescent="0.3">
      <c r="A328" s="16" t="s">
        <v>7596</v>
      </c>
      <c r="B328" s="16" t="s">
        <v>8866</v>
      </c>
      <c r="C328" s="16" t="s">
        <v>7641</v>
      </c>
      <c r="D328" s="16" t="s">
        <v>7597</v>
      </c>
      <c r="E328" s="16" t="s">
        <v>6355</v>
      </c>
      <c r="F328" s="16" t="s">
        <v>6356</v>
      </c>
      <c r="G328" s="16" t="s">
        <v>9339</v>
      </c>
      <c r="H328" s="16"/>
      <c r="I328" s="16"/>
      <c r="J328" s="16"/>
      <c r="K328" s="16"/>
      <c r="L328" s="16" t="s">
        <v>6352</v>
      </c>
      <c r="M328" s="19" t="s">
        <v>6357</v>
      </c>
      <c r="N328" s="16"/>
      <c r="O328" s="16" t="s">
        <v>6358</v>
      </c>
      <c r="P328" s="16" t="str">
        <f>HYPERLINK("https://ceds.ed.gov/cedselementdetails.aspx?termid=27439")</f>
        <v>https://ceds.ed.gov/cedselementdetails.aspx?termid=27439</v>
      </c>
      <c r="Q328" s="16">
        <v>74384</v>
      </c>
    </row>
    <row r="329" spans="1:17" ht="230.4" x14ac:dyDescent="0.3">
      <c r="A329" s="16" t="s">
        <v>7596</v>
      </c>
      <c r="B329" s="16" t="s">
        <v>8866</v>
      </c>
      <c r="C329" s="16" t="s">
        <v>7641</v>
      </c>
      <c r="D329" s="16" t="s">
        <v>7597</v>
      </c>
      <c r="E329" s="16" t="s">
        <v>7543</v>
      </c>
      <c r="F329" s="16" t="s">
        <v>7544</v>
      </c>
      <c r="G329" s="16" t="s">
        <v>13093</v>
      </c>
      <c r="H329" s="16"/>
      <c r="I329" s="16" t="s">
        <v>160</v>
      </c>
      <c r="J329" s="16"/>
      <c r="K329" s="16" t="s">
        <v>12951</v>
      </c>
      <c r="L329" s="16"/>
      <c r="M329" s="19" t="s">
        <v>7545</v>
      </c>
      <c r="N329" s="16"/>
      <c r="O329" s="16" t="s">
        <v>7543</v>
      </c>
      <c r="P329" s="16" t="str">
        <f>HYPERLINK("https://ceds.ed.gov/cedselementdetails.aspx?termid=27959")</f>
        <v>https://ceds.ed.gov/cedselementdetails.aspx?termid=27959</v>
      </c>
      <c r="Q329" s="16">
        <v>75505</v>
      </c>
    </row>
    <row r="330" spans="1:17" ht="100.8" x14ac:dyDescent="0.3">
      <c r="A330" s="16" t="s">
        <v>7596</v>
      </c>
      <c r="B330" s="16" t="s">
        <v>8866</v>
      </c>
      <c r="C330" s="16" t="s">
        <v>7641</v>
      </c>
      <c r="D330" s="16" t="s">
        <v>7597</v>
      </c>
      <c r="E330" s="16" t="s">
        <v>5507</v>
      </c>
      <c r="F330" s="16" t="s">
        <v>5508</v>
      </c>
      <c r="G330" s="16" t="s">
        <v>32</v>
      </c>
      <c r="H330" s="16" t="s">
        <v>5511</v>
      </c>
      <c r="I330" s="16"/>
      <c r="J330" s="16" t="s">
        <v>1481</v>
      </c>
      <c r="K330" s="16"/>
      <c r="L330" s="16"/>
      <c r="M330" s="19" t="s">
        <v>5509</v>
      </c>
      <c r="N330" s="16"/>
      <c r="O330" s="16" t="s">
        <v>5510</v>
      </c>
      <c r="P330" s="16" t="str">
        <f>HYPERLINK("https://ceds.ed.gov/cedselementdetails.aspx?termid=26201")</f>
        <v>https://ceds.ed.gov/cedselementdetails.aspx?termid=26201</v>
      </c>
      <c r="Q330" s="16">
        <v>75735</v>
      </c>
    </row>
    <row r="331" spans="1:17" ht="187.2" x14ac:dyDescent="0.3">
      <c r="A331" s="16" t="s">
        <v>7596</v>
      </c>
      <c r="B331" s="16" t="s">
        <v>8866</v>
      </c>
      <c r="C331" s="16" t="s">
        <v>7641</v>
      </c>
      <c r="D331" s="16" t="s">
        <v>7597</v>
      </c>
      <c r="E331" s="16" t="s">
        <v>6363</v>
      </c>
      <c r="F331" s="16" t="s">
        <v>6364</v>
      </c>
      <c r="G331" s="16" t="s">
        <v>9339</v>
      </c>
      <c r="H331" s="16" t="s">
        <v>214</v>
      </c>
      <c r="I331" s="16"/>
      <c r="J331" s="16"/>
      <c r="K331" s="16"/>
      <c r="L331" s="16"/>
      <c r="M331" s="19" t="s">
        <v>6365</v>
      </c>
      <c r="N331" s="16"/>
      <c r="O331" s="16" t="s">
        <v>6366</v>
      </c>
      <c r="P331" s="16" t="str">
        <f>HYPERLINK("https://ceds.ed.gov/cedselementdetails.aspx?termid=26588")</f>
        <v>https://ceds.ed.gov/cedselementdetails.aspx?termid=26588</v>
      </c>
      <c r="Q331" s="16">
        <v>75737</v>
      </c>
    </row>
    <row r="332" spans="1:17" ht="403.2" x14ac:dyDescent="0.3">
      <c r="A332" s="16" t="s">
        <v>7596</v>
      </c>
      <c r="B332" s="16" t="s">
        <v>8866</v>
      </c>
      <c r="C332" s="16" t="s">
        <v>7641</v>
      </c>
      <c r="D332" s="16" t="s">
        <v>7597</v>
      </c>
      <c r="E332" s="16" t="s">
        <v>8950</v>
      </c>
      <c r="F332" s="16" t="s">
        <v>8951</v>
      </c>
      <c r="G332" s="16" t="s">
        <v>9424</v>
      </c>
      <c r="H332" s="16"/>
      <c r="I332" s="16"/>
      <c r="J332" s="16" t="s">
        <v>2</v>
      </c>
      <c r="K332" s="16"/>
      <c r="L332" s="16"/>
      <c r="M332" s="19" t="s">
        <v>8952</v>
      </c>
      <c r="N332" s="16"/>
      <c r="O332" s="16" t="s">
        <v>8953</v>
      </c>
      <c r="P332" s="16" t="str">
        <f>HYPERLINK("https://ceds.ed.gov/cedselementdetails.aspx?termid=28014")</f>
        <v>https://ceds.ed.gov/cedselementdetails.aspx?termid=28014</v>
      </c>
      <c r="Q332" s="16">
        <v>76030</v>
      </c>
    </row>
    <row r="333" spans="1:17" ht="57.6" x14ac:dyDescent="0.3">
      <c r="A333" s="16" t="s">
        <v>7596</v>
      </c>
      <c r="B333" s="16" t="s">
        <v>8866</v>
      </c>
      <c r="C333" s="16" t="s">
        <v>7641</v>
      </c>
      <c r="D333" s="16" t="s">
        <v>7597</v>
      </c>
      <c r="E333" s="16" t="s">
        <v>9259</v>
      </c>
      <c r="F333" s="16" t="s">
        <v>9260</v>
      </c>
      <c r="G333" s="16" t="s">
        <v>9308</v>
      </c>
      <c r="H333" s="16"/>
      <c r="I333" s="16"/>
      <c r="J333" s="16" t="s">
        <v>2</v>
      </c>
      <c r="K333" s="16"/>
      <c r="L333" s="16"/>
      <c r="M333" s="19" t="s">
        <v>9261</v>
      </c>
      <c r="N333" s="16"/>
      <c r="O333" s="16" t="s">
        <v>9262</v>
      </c>
      <c r="P333" s="16" t="str">
        <f>HYPERLINK("https://ceds.ed.gov/cedselementdetails.aspx?termid=28088")</f>
        <v>https://ceds.ed.gov/cedselementdetails.aspx?termid=28088</v>
      </c>
      <c r="Q333" s="16">
        <v>76031</v>
      </c>
    </row>
    <row r="334" spans="1:17" ht="403.2" x14ac:dyDescent="0.3">
      <c r="A334" s="16" t="s">
        <v>7596</v>
      </c>
      <c r="B334" s="16" t="s">
        <v>8866</v>
      </c>
      <c r="C334" s="16" t="s">
        <v>7617</v>
      </c>
      <c r="D334" s="16" t="s">
        <v>7597</v>
      </c>
      <c r="E334" s="16" t="s">
        <v>3289</v>
      </c>
      <c r="F334" s="16" t="s">
        <v>3290</v>
      </c>
      <c r="G334" s="16" t="s">
        <v>8219</v>
      </c>
      <c r="H334" s="16"/>
      <c r="I334" s="16"/>
      <c r="J334" s="16"/>
      <c r="K334" s="16"/>
      <c r="L334" s="16"/>
      <c r="M334" s="19" t="s">
        <v>3291</v>
      </c>
      <c r="N334" s="16"/>
      <c r="O334" s="16" t="s">
        <v>3292</v>
      </c>
      <c r="P334" s="16" t="str">
        <f>HYPERLINK("https://ceds.ed.gov/cedselementdetails.aspx?termid=27294")</f>
        <v>https://ceds.ed.gov/cedselementdetails.aspx?termid=27294</v>
      </c>
      <c r="Q334" s="16">
        <v>73134</v>
      </c>
    </row>
    <row r="335" spans="1:17" ht="100.8" x14ac:dyDescent="0.3">
      <c r="A335" s="16" t="s">
        <v>7596</v>
      </c>
      <c r="B335" s="16" t="s">
        <v>8866</v>
      </c>
      <c r="C335" s="16" t="s">
        <v>7617</v>
      </c>
      <c r="D335" s="16" t="s">
        <v>7597</v>
      </c>
      <c r="E335" s="16" t="s">
        <v>3309</v>
      </c>
      <c r="F335" s="16" t="s">
        <v>3310</v>
      </c>
      <c r="G335" s="16" t="s">
        <v>8526</v>
      </c>
      <c r="H335" s="16"/>
      <c r="I335" s="16"/>
      <c r="J335" s="16"/>
      <c r="K335" s="16"/>
      <c r="L335" s="16"/>
      <c r="M335" s="19" t="s">
        <v>3311</v>
      </c>
      <c r="N335" s="16"/>
      <c r="O335" s="16" t="s">
        <v>3312</v>
      </c>
      <c r="P335" s="16" t="str">
        <f>HYPERLINK("https://ceds.ed.gov/cedselementdetails.aspx?termid=27302")</f>
        <v>https://ceds.ed.gov/cedselementdetails.aspx?termid=27302</v>
      </c>
      <c r="Q335" s="16">
        <v>73141</v>
      </c>
    </row>
    <row r="336" spans="1:17" ht="72" x14ac:dyDescent="0.3">
      <c r="A336" s="16" t="s">
        <v>7596</v>
      </c>
      <c r="B336" s="16" t="s">
        <v>8866</v>
      </c>
      <c r="C336" s="16" t="s">
        <v>7617</v>
      </c>
      <c r="D336" s="16" t="s">
        <v>7597</v>
      </c>
      <c r="E336" s="16" t="s">
        <v>3856</v>
      </c>
      <c r="F336" s="16" t="s">
        <v>7976</v>
      </c>
      <c r="G336" s="16" t="s">
        <v>32</v>
      </c>
      <c r="H336" s="16" t="s">
        <v>214</v>
      </c>
      <c r="I336" s="16"/>
      <c r="J336" s="16" t="s">
        <v>3857</v>
      </c>
      <c r="K336" s="16"/>
      <c r="L336" s="16"/>
      <c r="M336" s="19" t="s">
        <v>3858</v>
      </c>
      <c r="N336" s="16"/>
      <c r="O336" s="16" t="s">
        <v>3859</v>
      </c>
      <c r="P336" s="16" t="str">
        <f>HYPERLINK("https://ceds.ed.gov/cedselementdetails.aspx?termid=26538")</f>
        <v>https://ceds.ed.gov/cedselementdetails.aspx?termid=26538</v>
      </c>
      <c r="Q336" s="16">
        <v>73161</v>
      </c>
    </row>
    <row r="337" spans="1:17" ht="57.6" x14ac:dyDescent="0.3">
      <c r="A337" s="16" t="s">
        <v>7596</v>
      </c>
      <c r="B337" s="16" t="s">
        <v>8866</v>
      </c>
      <c r="C337" s="16" t="s">
        <v>7642</v>
      </c>
      <c r="D337" s="16" t="s">
        <v>7597</v>
      </c>
      <c r="E337" s="16" t="s">
        <v>1494</v>
      </c>
      <c r="F337" s="16" t="s">
        <v>7893</v>
      </c>
      <c r="G337" s="16" t="s">
        <v>22</v>
      </c>
      <c r="H337" s="16" t="s">
        <v>25</v>
      </c>
      <c r="I337" s="16"/>
      <c r="J337" s="16"/>
      <c r="K337" s="16"/>
      <c r="L337" s="16"/>
      <c r="M337" s="19" t="s">
        <v>1495</v>
      </c>
      <c r="N337" s="16"/>
      <c r="O337" s="16" t="s">
        <v>1496</v>
      </c>
      <c r="P337" s="16" t="str">
        <f>HYPERLINK("https://ceds.ed.gov/cedselementdetails.aspx?termid=26031")</f>
        <v>https://ceds.ed.gov/cedselementdetails.aspx?termid=26031</v>
      </c>
      <c r="Q337" s="16">
        <v>74715</v>
      </c>
    </row>
    <row r="338" spans="1:17" ht="230.4" x14ac:dyDescent="0.3">
      <c r="A338" s="16" t="s">
        <v>7596</v>
      </c>
      <c r="B338" s="16" t="s">
        <v>8866</v>
      </c>
      <c r="C338" s="16" t="s">
        <v>7642</v>
      </c>
      <c r="D338" s="16" t="s">
        <v>7597</v>
      </c>
      <c r="E338" s="16" t="s">
        <v>4346</v>
      </c>
      <c r="F338" s="16" t="s">
        <v>4347</v>
      </c>
      <c r="G338" s="16" t="s">
        <v>22</v>
      </c>
      <c r="H338" s="16" t="s">
        <v>4350</v>
      </c>
      <c r="I338" s="16"/>
      <c r="J338" s="16"/>
      <c r="K338" s="16"/>
      <c r="L338" s="16"/>
      <c r="M338" s="19" t="s">
        <v>4348</v>
      </c>
      <c r="N338" s="16"/>
      <c r="O338" s="16" t="s">
        <v>4349</v>
      </c>
      <c r="P338" s="16" t="str">
        <f>HYPERLINK("https://ceds.ed.gov/cedselementdetails.aspx?termid=26151")</f>
        <v>https://ceds.ed.gov/cedselementdetails.aspx?termid=26151</v>
      </c>
      <c r="Q338" s="16">
        <v>74716</v>
      </c>
    </row>
    <row r="339" spans="1:17" ht="43.2" x14ac:dyDescent="0.3">
      <c r="A339" s="16" t="s">
        <v>7596</v>
      </c>
      <c r="B339" s="16" t="s">
        <v>8866</v>
      </c>
      <c r="C339" s="16" t="s">
        <v>7642</v>
      </c>
      <c r="D339" s="16" t="s">
        <v>7597</v>
      </c>
      <c r="E339" s="16" t="s">
        <v>3117</v>
      </c>
      <c r="F339" s="16" t="s">
        <v>3118</v>
      </c>
      <c r="G339" s="16" t="s">
        <v>22</v>
      </c>
      <c r="H339" s="16" t="s">
        <v>214</v>
      </c>
      <c r="I339" s="16"/>
      <c r="J339" s="16"/>
      <c r="K339" s="16"/>
      <c r="L339" s="16"/>
      <c r="M339" s="19" t="s">
        <v>3119</v>
      </c>
      <c r="N339" s="16"/>
      <c r="O339" s="16" t="s">
        <v>3120</v>
      </c>
      <c r="P339" s="16" t="str">
        <f>HYPERLINK("https://ceds.ed.gov/cedselementdetails.aspx?termid=26569")</f>
        <v>https://ceds.ed.gov/cedselementdetails.aspx?termid=26569</v>
      </c>
      <c r="Q339" s="16">
        <v>74718</v>
      </c>
    </row>
    <row r="340" spans="1:17" ht="86.4" x14ac:dyDescent="0.3">
      <c r="A340" s="16" t="s">
        <v>7596</v>
      </c>
      <c r="B340" s="16" t="s">
        <v>8866</v>
      </c>
      <c r="C340" s="16" t="s">
        <v>7642</v>
      </c>
      <c r="D340" s="16" t="s">
        <v>7597</v>
      </c>
      <c r="E340" s="16" t="s">
        <v>6575</v>
      </c>
      <c r="F340" s="16" t="s">
        <v>6576</v>
      </c>
      <c r="G340" s="16" t="s">
        <v>22</v>
      </c>
      <c r="H340" s="16" t="s">
        <v>4350</v>
      </c>
      <c r="I340" s="16"/>
      <c r="J340" s="16"/>
      <c r="K340" s="16"/>
      <c r="L340" s="16"/>
      <c r="M340" s="19" t="s">
        <v>6577</v>
      </c>
      <c r="N340" s="16"/>
      <c r="O340" s="16" t="s">
        <v>6578</v>
      </c>
      <c r="P340" s="16" t="str">
        <f>HYPERLINK("https://ceds.ed.gov/cedselementdetails.aspx?termid=26249")</f>
        <v>https://ceds.ed.gov/cedselementdetails.aspx?termid=26249</v>
      </c>
      <c r="Q340" s="16">
        <v>74717</v>
      </c>
    </row>
    <row r="341" spans="1:17" ht="201.6" x14ac:dyDescent="0.3">
      <c r="A341" s="16" t="s">
        <v>7596</v>
      </c>
      <c r="B341" s="16" t="s">
        <v>8866</v>
      </c>
      <c r="C341" s="16" t="s">
        <v>7642</v>
      </c>
      <c r="D341" s="16" t="s">
        <v>7597</v>
      </c>
      <c r="E341" s="16" t="s">
        <v>5859</v>
      </c>
      <c r="F341" s="16" t="s">
        <v>5860</v>
      </c>
      <c r="G341" s="16" t="s">
        <v>8767</v>
      </c>
      <c r="H341" s="16" t="s">
        <v>5864</v>
      </c>
      <c r="I341" s="16"/>
      <c r="J341" s="16"/>
      <c r="K341" s="16"/>
      <c r="L341" s="16" t="s">
        <v>5861</v>
      </c>
      <c r="M341" s="19" t="s">
        <v>5862</v>
      </c>
      <c r="N341" s="16"/>
      <c r="O341" s="16" t="s">
        <v>5863</v>
      </c>
      <c r="P341" s="16" t="str">
        <f>HYPERLINK("https://ceds.ed.gov/cedselementdetails.aspx?termid=26218")</f>
        <v>https://ceds.ed.gov/cedselementdetails.aspx?termid=26218</v>
      </c>
      <c r="Q341" s="16">
        <v>70631</v>
      </c>
    </row>
    <row r="342" spans="1:17" ht="216" x14ac:dyDescent="0.3">
      <c r="A342" s="16" t="s">
        <v>7596</v>
      </c>
      <c r="B342" s="16" t="s">
        <v>8866</v>
      </c>
      <c r="C342" s="16" t="s">
        <v>7642</v>
      </c>
      <c r="D342" s="16" t="s">
        <v>7597</v>
      </c>
      <c r="E342" s="16" t="s">
        <v>3108</v>
      </c>
      <c r="F342" s="16" t="s">
        <v>3109</v>
      </c>
      <c r="G342" s="16" t="s">
        <v>8504</v>
      </c>
      <c r="H342" s="16"/>
      <c r="I342" s="16"/>
      <c r="J342" s="16"/>
      <c r="K342" s="16"/>
      <c r="L342" s="16" t="s">
        <v>3110</v>
      </c>
      <c r="M342" s="19" t="s">
        <v>3111</v>
      </c>
      <c r="N342" s="16"/>
      <c r="O342" s="16" t="s">
        <v>3112</v>
      </c>
      <c r="P342" s="16" t="str">
        <f>HYPERLINK("https://ceds.ed.gov/cedselementdetails.aspx?termid=27286")</f>
        <v>https://ceds.ed.gov/cedselementdetails.aspx?termid=27286</v>
      </c>
      <c r="Q342" s="16">
        <v>73661</v>
      </c>
    </row>
    <row r="343" spans="1:17" ht="144" x14ac:dyDescent="0.3">
      <c r="A343" s="16" t="s">
        <v>7596</v>
      </c>
      <c r="B343" s="16" t="s">
        <v>8866</v>
      </c>
      <c r="C343" s="16" t="s">
        <v>7642</v>
      </c>
      <c r="D343" s="16" t="s">
        <v>7597</v>
      </c>
      <c r="E343" s="16" t="s">
        <v>3113</v>
      </c>
      <c r="F343" s="16" t="s">
        <v>3114</v>
      </c>
      <c r="G343" s="16" t="s">
        <v>8506</v>
      </c>
      <c r="H343" s="16"/>
      <c r="I343" s="16"/>
      <c r="J343" s="16"/>
      <c r="K343" s="16"/>
      <c r="L343" s="16" t="s">
        <v>3110</v>
      </c>
      <c r="M343" s="19" t="s">
        <v>3115</v>
      </c>
      <c r="N343" s="16"/>
      <c r="O343" s="16" t="s">
        <v>3116</v>
      </c>
      <c r="P343" s="16" t="str">
        <f>HYPERLINK("https://ceds.ed.gov/cedselementdetails.aspx?termid=27287")</f>
        <v>https://ceds.ed.gov/cedselementdetails.aspx?termid=27287</v>
      </c>
      <c r="Q343" s="16">
        <v>73663</v>
      </c>
    </row>
    <row r="344" spans="1:17" ht="201.6" x14ac:dyDescent="0.3">
      <c r="A344" s="16" t="s">
        <v>7596</v>
      </c>
      <c r="B344" s="16" t="s">
        <v>8866</v>
      </c>
      <c r="C344" s="16" t="s">
        <v>7642</v>
      </c>
      <c r="D344" s="16" t="s">
        <v>7597</v>
      </c>
      <c r="E344" s="16" t="s">
        <v>4329</v>
      </c>
      <c r="F344" s="16" t="s">
        <v>4330</v>
      </c>
      <c r="G344" s="16" t="s">
        <v>8629</v>
      </c>
      <c r="H344" s="16" t="s">
        <v>214</v>
      </c>
      <c r="I344" s="16"/>
      <c r="J344" s="16"/>
      <c r="K344" s="16"/>
      <c r="L344" s="16"/>
      <c r="M344" s="19" t="s">
        <v>4331</v>
      </c>
      <c r="N344" s="16"/>
      <c r="O344" s="16" t="s">
        <v>4332</v>
      </c>
      <c r="P344" s="16" t="str">
        <f>HYPERLINK("https://ceds.ed.gov/cedselementdetails.aspx?termid=26550")</f>
        <v>https://ceds.ed.gov/cedselementdetails.aspx?termid=26550</v>
      </c>
      <c r="Q344" s="16">
        <v>74453</v>
      </c>
    </row>
    <row r="345" spans="1:17" ht="57.6" x14ac:dyDescent="0.3">
      <c r="A345" s="16" t="s">
        <v>7596</v>
      </c>
      <c r="B345" s="16" t="s">
        <v>8866</v>
      </c>
      <c r="C345" s="16" t="s">
        <v>7642</v>
      </c>
      <c r="D345" s="16" t="s">
        <v>7597</v>
      </c>
      <c r="E345" s="16" t="s">
        <v>12736</v>
      </c>
      <c r="F345" s="16" t="s">
        <v>12737</v>
      </c>
      <c r="G345" s="16" t="s">
        <v>12904</v>
      </c>
      <c r="H345" s="16"/>
      <c r="I345" s="16" t="s">
        <v>155</v>
      </c>
      <c r="J345" s="16" t="s">
        <v>2</v>
      </c>
      <c r="K345" s="16" t="s">
        <v>12636</v>
      </c>
      <c r="L345" s="16"/>
      <c r="M345" s="19" t="s">
        <v>12738</v>
      </c>
      <c r="N345" s="16"/>
      <c r="O345" s="16" t="s">
        <v>12739</v>
      </c>
      <c r="P345" s="16" t="str">
        <f>HYPERLINK("https://ceds.ed.gov/cedselementdetails.aspx?termid=28112")</f>
        <v>https://ceds.ed.gov/cedselementdetails.aspx?termid=28112</v>
      </c>
      <c r="Q345" s="16">
        <v>76594</v>
      </c>
    </row>
    <row r="346" spans="1:17" ht="86.4" x14ac:dyDescent="0.3">
      <c r="A346" s="16" t="s">
        <v>7596</v>
      </c>
      <c r="B346" s="16" t="s">
        <v>8866</v>
      </c>
      <c r="C346" s="16" t="s">
        <v>7642</v>
      </c>
      <c r="D346" s="16" t="s">
        <v>7597</v>
      </c>
      <c r="E346" s="16" t="s">
        <v>12877</v>
      </c>
      <c r="F346" s="16" t="s">
        <v>12878</v>
      </c>
      <c r="G346" s="16" t="s">
        <v>12927</v>
      </c>
      <c r="H346" s="16"/>
      <c r="I346" s="16" t="s">
        <v>155</v>
      </c>
      <c r="J346" s="16" t="s">
        <v>2</v>
      </c>
      <c r="K346" s="16" t="s">
        <v>12636</v>
      </c>
      <c r="L346" s="16"/>
      <c r="M346" s="19" t="s">
        <v>12879</v>
      </c>
      <c r="N346" s="16"/>
      <c r="O346" s="16" t="s">
        <v>12880</v>
      </c>
      <c r="P346" s="16" t="str">
        <f>HYPERLINK("https://ceds.ed.gov/cedselementdetails.aspx?termid=28113")</f>
        <v>https://ceds.ed.gov/cedselementdetails.aspx?termid=28113</v>
      </c>
      <c r="Q346" s="16">
        <v>76598</v>
      </c>
    </row>
    <row r="347" spans="1:17" ht="86.4" x14ac:dyDescent="0.3">
      <c r="A347" s="16" t="s">
        <v>7596</v>
      </c>
      <c r="B347" s="16" t="s">
        <v>8866</v>
      </c>
      <c r="C347" s="16" t="s">
        <v>7643</v>
      </c>
      <c r="D347" s="16" t="s">
        <v>7597</v>
      </c>
      <c r="E347" s="16" t="s">
        <v>6717</v>
      </c>
      <c r="F347" s="16" t="s">
        <v>6718</v>
      </c>
      <c r="G347" s="16" t="s">
        <v>32</v>
      </c>
      <c r="H347" s="16"/>
      <c r="I347" s="16"/>
      <c r="J347" s="16" t="s">
        <v>4081</v>
      </c>
      <c r="K347" s="16"/>
      <c r="L347" s="16"/>
      <c r="M347" s="19" t="s">
        <v>6719</v>
      </c>
      <c r="N347" s="16" t="s">
        <v>6720</v>
      </c>
      <c r="O347" s="16" t="s">
        <v>6721</v>
      </c>
      <c r="P347" s="16" t="str">
        <f>HYPERLINK("https://ceds.ed.gov/cedselementdetails.aspx?termid=27208")</f>
        <v>https://ceds.ed.gov/cedselementdetails.aspx?termid=27208</v>
      </c>
      <c r="Q347" s="16">
        <v>71707</v>
      </c>
    </row>
    <row r="348" spans="1:17" ht="43.2" x14ac:dyDescent="0.3">
      <c r="A348" s="16" t="s">
        <v>7596</v>
      </c>
      <c r="B348" s="16" t="s">
        <v>8866</v>
      </c>
      <c r="C348" s="16" t="s">
        <v>7643</v>
      </c>
      <c r="D348" s="16" t="s">
        <v>7597</v>
      </c>
      <c r="E348" s="16" t="s">
        <v>6587</v>
      </c>
      <c r="F348" s="16" t="s">
        <v>6588</v>
      </c>
      <c r="G348" s="16" t="s">
        <v>32</v>
      </c>
      <c r="H348" s="16"/>
      <c r="I348" s="16"/>
      <c r="J348" s="16" t="s">
        <v>106</v>
      </c>
      <c r="K348" s="16"/>
      <c r="L348" s="16"/>
      <c r="M348" s="19" t="s">
        <v>6589</v>
      </c>
      <c r="N348" s="16"/>
      <c r="O348" s="16" t="s">
        <v>6590</v>
      </c>
      <c r="P348" s="16" t="str">
        <f>HYPERLINK("https://ceds.ed.gov/cedselementdetails.aspx?termid=26326")</f>
        <v>https://ceds.ed.gov/cedselementdetails.aspx?termid=26326</v>
      </c>
      <c r="Q348" s="16">
        <v>70655</v>
      </c>
    </row>
    <row r="349" spans="1:17" ht="57.6" x14ac:dyDescent="0.3">
      <c r="A349" s="16" t="s">
        <v>7596</v>
      </c>
      <c r="B349" s="16" t="s">
        <v>8866</v>
      </c>
      <c r="C349" s="16" t="s">
        <v>7643</v>
      </c>
      <c r="D349" s="16" t="s">
        <v>7597</v>
      </c>
      <c r="E349" s="16" t="s">
        <v>6591</v>
      </c>
      <c r="F349" s="16" t="s">
        <v>6592</v>
      </c>
      <c r="G349" s="16" t="s">
        <v>32</v>
      </c>
      <c r="H349" s="16"/>
      <c r="I349" s="16"/>
      <c r="J349" s="16" t="s">
        <v>106</v>
      </c>
      <c r="K349" s="16"/>
      <c r="L349" s="16" t="s">
        <v>131</v>
      </c>
      <c r="M349" s="19" t="s">
        <v>6593</v>
      </c>
      <c r="N349" s="16"/>
      <c r="O349" s="16" t="s">
        <v>6594</v>
      </c>
      <c r="P349" s="16" t="str">
        <f>HYPERLINK("https://ceds.ed.gov/cedselementdetails.aspx?termid=26327")</f>
        <v>https://ceds.ed.gov/cedselementdetails.aspx?termid=26327</v>
      </c>
      <c r="Q349" s="16">
        <v>70656</v>
      </c>
    </row>
    <row r="350" spans="1:17" ht="57.6" x14ac:dyDescent="0.3">
      <c r="A350" s="16" t="s">
        <v>7596</v>
      </c>
      <c r="B350" s="16" t="s">
        <v>8866</v>
      </c>
      <c r="C350" s="16" t="s">
        <v>7643</v>
      </c>
      <c r="D350" s="16" t="s">
        <v>7597</v>
      </c>
      <c r="E350" s="16" t="s">
        <v>3219</v>
      </c>
      <c r="F350" s="16" t="s">
        <v>3220</v>
      </c>
      <c r="G350" s="16" t="s">
        <v>22</v>
      </c>
      <c r="H350" s="16"/>
      <c r="I350" s="16"/>
      <c r="J350" s="16"/>
      <c r="K350" s="16"/>
      <c r="L350" s="16"/>
      <c r="M350" s="19" t="s">
        <v>3221</v>
      </c>
      <c r="N350" s="16"/>
      <c r="O350" s="16" t="s">
        <v>3222</v>
      </c>
      <c r="P350" s="16" t="str">
        <f>HYPERLINK("https://ceds.ed.gov/cedselementdetails.aspx?termid=27570")</f>
        <v>https://ceds.ed.gov/cedselementdetails.aspx?termid=27570</v>
      </c>
      <c r="Q350" s="16">
        <v>74060</v>
      </c>
    </row>
    <row r="351" spans="1:17" ht="302.39999999999998" x14ac:dyDescent="0.3">
      <c r="A351" s="16" t="s">
        <v>7596</v>
      </c>
      <c r="B351" s="16" t="s">
        <v>8866</v>
      </c>
      <c r="C351" s="16" t="s">
        <v>7643</v>
      </c>
      <c r="D351" s="16" t="s">
        <v>7597</v>
      </c>
      <c r="E351" s="16" t="s">
        <v>3227</v>
      </c>
      <c r="F351" s="16" t="s">
        <v>3228</v>
      </c>
      <c r="G351" s="16" t="s">
        <v>8518</v>
      </c>
      <c r="H351" s="16"/>
      <c r="I351" s="16"/>
      <c r="J351" s="16"/>
      <c r="K351" s="16"/>
      <c r="L351" s="16"/>
      <c r="M351" s="19" t="s">
        <v>3229</v>
      </c>
      <c r="N351" s="16"/>
      <c r="O351" s="16" t="s">
        <v>3230</v>
      </c>
      <c r="P351" s="16" t="str">
        <f>HYPERLINK("https://ceds.ed.gov/cedselementdetails.aspx?termid=27529")</f>
        <v>https://ceds.ed.gov/cedselementdetails.aspx?termid=27529</v>
      </c>
      <c r="Q351" s="16">
        <v>73840</v>
      </c>
    </row>
    <row r="352" spans="1:17" ht="302.39999999999998" x14ac:dyDescent="0.3">
      <c r="A352" s="16" t="s">
        <v>7596</v>
      </c>
      <c r="B352" s="16" t="s">
        <v>8866</v>
      </c>
      <c r="C352" s="16" t="s">
        <v>7643</v>
      </c>
      <c r="D352" s="16" t="s">
        <v>7597</v>
      </c>
      <c r="E352" s="16" t="s">
        <v>3231</v>
      </c>
      <c r="F352" s="16" t="s">
        <v>3232</v>
      </c>
      <c r="G352" s="16" t="s">
        <v>8518</v>
      </c>
      <c r="H352" s="16" t="s">
        <v>1977</v>
      </c>
      <c r="I352" s="16"/>
      <c r="J352" s="16"/>
      <c r="K352" s="16"/>
      <c r="L352" s="16"/>
      <c r="M352" s="19" t="s">
        <v>3233</v>
      </c>
      <c r="N352" s="16"/>
      <c r="O352" s="16" t="s">
        <v>3234</v>
      </c>
      <c r="P352" s="16" t="str">
        <f>HYPERLINK("https://ceds.ed.gov/cedselementdetails.aspx?termid=26321")</f>
        <v>https://ceds.ed.gov/cedselementdetails.aspx?termid=26321</v>
      </c>
      <c r="Q352" s="16">
        <v>70650</v>
      </c>
    </row>
    <row r="353" spans="1:17" ht="28.8" x14ac:dyDescent="0.3">
      <c r="A353" s="16" t="s">
        <v>7596</v>
      </c>
      <c r="B353" s="16" t="s">
        <v>8866</v>
      </c>
      <c r="C353" s="16" t="s">
        <v>7643</v>
      </c>
      <c r="D353" s="16" t="s">
        <v>7597</v>
      </c>
      <c r="E353" s="16" t="s">
        <v>6249</v>
      </c>
      <c r="F353" s="16" t="s">
        <v>6250</v>
      </c>
      <c r="G353" s="16" t="s">
        <v>32</v>
      </c>
      <c r="H353" s="16"/>
      <c r="I353" s="16"/>
      <c r="J353" s="16" t="s">
        <v>316</v>
      </c>
      <c r="K353" s="16"/>
      <c r="L353" s="16"/>
      <c r="M353" s="19" t="s">
        <v>6251</v>
      </c>
      <c r="N353" s="16"/>
      <c r="O353" s="16" t="s">
        <v>6252</v>
      </c>
      <c r="P353" s="16" t="str">
        <f>HYPERLINK("https://ceds.ed.gov/cedselementdetails.aspx?termid=27460")</f>
        <v>https://ceds.ed.gov/cedselementdetails.aspx?termid=27460</v>
      </c>
      <c r="Q353" s="16">
        <v>73426</v>
      </c>
    </row>
    <row r="354" spans="1:17" ht="100.8" x14ac:dyDescent="0.3">
      <c r="A354" s="16" t="s">
        <v>7596</v>
      </c>
      <c r="B354" s="16" t="s">
        <v>8866</v>
      </c>
      <c r="C354" s="16" t="s">
        <v>7643</v>
      </c>
      <c r="D354" s="16" t="s">
        <v>7597</v>
      </c>
      <c r="E354" s="16" t="s">
        <v>3369</v>
      </c>
      <c r="F354" s="16" t="s">
        <v>3370</v>
      </c>
      <c r="G354" s="16" t="s">
        <v>8535</v>
      </c>
      <c r="H354" s="16"/>
      <c r="I354" s="16"/>
      <c r="J354" s="16"/>
      <c r="K354" s="16"/>
      <c r="L354" s="16"/>
      <c r="M354" s="19" t="s">
        <v>3371</v>
      </c>
      <c r="N354" s="16"/>
      <c r="O354" s="16" t="s">
        <v>3372</v>
      </c>
      <c r="P354" s="16" t="str">
        <f>HYPERLINK("https://ceds.ed.gov/cedselementdetails.aspx?termid=27583")</f>
        <v>https://ceds.ed.gov/cedselementdetails.aspx?termid=27583</v>
      </c>
      <c r="Q354" s="16">
        <v>74073</v>
      </c>
    </row>
    <row r="355" spans="1:17" ht="28.8" x14ac:dyDescent="0.3">
      <c r="A355" s="16" t="s">
        <v>7596</v>
      </c>
      <c r="B355" s="16" t="s">
        <v>8866</v>
      </c>
      <c r="C355" s="16" t="s">
        <v>7643</v>
      </c>
      <c r="D355" s="16" t="s">
        <v>7597</v>
      </c>
      <c r="E355" s="16" t="s">
        <v>3433</v>
      </c>
      <c r="F355" s="16" t="s">
        <v>3434</v>
      </c>
      <c r="G355" s="16" t="s">
        <v>32</v>
      </c>
      <c r="H355" s="16"/>
      <c r="I355" s="16"/>
      <c r="J355" s="16" t="s">
        <v>747</v>
      </c>
      <c r="K355" s="16"/>
      <c r="L355" s="16"/>
      <c r="M355" s="19" t="s">
        <v>3435</v>
      </c>
      <c r="N355" s="16"/>
      <c r="O355" s="16" t="s">
        <v>3436</v>
      </c>
      <c r="P355" s="16" t="str">
        <f>HYPERLINK("https://ceds.ed.gov/cedselementdetails.aspx?termid=27597")</f>
        <v>https://ceds.ed.gov/cedselementdetails.aspx?termid=27597</v>
      </c>
      <c r="Q355" s="16">
        <v>74096</v>
      </c>
    </row>
    <row r="356" spans="1:17" ht="28.8" x14ac:dyDescent="0.3">
      <c r="A356" s="16" t="s">
        <v>7596</v>
      </c>
      <c r="B356" s="16" t="s">
        <v>8866</v>
      </c>
      <c r="C356" s="16" t="s">
        <v>7643</v>
      </c>
      <c r="D356" s="16" t="s">
        <v>7597</v>
      </c>
      <c r="E356" s="16" t="s">
        <v>6583</v>
      </c>
      <c r="F356" s="16" t="s">
        <v>6584</v>
      </c>
      <c r="G356" s="16" t="s">
        <v>32</v>
      </c>
      <c r="H356" s="16"/>
      <c r="I356" s="16"/>
      <c r="J356" s="16" t="s">
        <v>106</v>
      </c>
      <c r="K356" s="16"/>
      <c r="L356" s="16"/>
      <c r="M356" s="19" t="s">
        <v>6585</v>
      </c>
      <c r="N356" s="16"/>
      <c r="O356" s="16" t="s">
        <v>6586</v>
      </c>
      <c r="P356" s="16" t="str">
        <f>HYPERLINK("https://ceds.ed.gov/cedselementdetails.aspx?termid=27616")</f>
        <v>https://ceds.ed.gov/cedselementdetails.aspx?termid=27616</v>
      </c>
      <c r="Q356" s="16">
        <v>74141</v>
      </c>
    </row>
    <row r="357" spans="1:17" ht="100.8" x14ac:dyDescent="0.3">
      <c r="A357" s="16" t="s">
        <v>7596</v>
      </c>
      <c r="B357" s="16" t="s">
        <v>8866</v>
      </c>
      <c r="C357" s="16" t="s">
        <v>7643</v>
      </c>
      <c r="D357" s="16" t="s">
        <v>7597</v>
      </c>
      <c r="E357" s="16" t="s">
        <v>4021</v>
      </c>
      <c r="F357" s="16" t="s">
        <v>8050</v>
      </c>
      <c r="G357" s="16" t="s">
        <v>8231</v>
      </c>
      <c r="H357" s="16"/>
      <c r="I357" s="16" t="s">
        <v>160</v>
      </c>
      <c r="J357" s="16"/>
      <c r="K357" s="16" t="s">
        <v>12935</v>
      </c>
      <c r="L357" s="16" t="s">
        <v>8051</v>
      </c>
      <c r="M357" s="19" t="s">
        <v>4022</v>
      </c>
      <c r="N357" s="16"/>
      <c r="O357" s="16" t="s">
        <v>4023</v>
      </c>
      <c r="P357" s="16" t="str">
        <f>HYPERLINK("https://ceds.ed.gov/cedselementdetails.aspx?termid=27323")</f>
        <v>https://ceds.ed.gov/cedselementdetails.aspx?termid=27323</v>
      </c>
      <c r="Q357" s="16">
        <v>73208</v>
      </c>
    </row>
    <row r="358" spans="1:17" ht="187.2" x14ac:dyDescent="0.3">
      <c r="A358" s="16" t="s">
        <v>7596</v>
      </c>
      <c r="B358" s="16" t="s">
        <v>8866</v>
      </c>
      <c r="C358" s="16" t="s">
        <v>7643</v>
      </c>
      <c r="D358" s="16" t="s">
        <v>7597</v>
      </c>
      <c r="E358" s="16" t="s">
        <v>4671</v>
      </c>
      <c r="F358" s="16" t="s">
        <v>4672</v>
      </c>
      <c r="G358" s="16" t="s">
        <v>13091</v>
      </c>
      <c r="H358" s="16" t="s">
        <v>372</v>
      </c>
      <c r="I358" s="16" t="s">
        <v>160</v>
      </c>
      <c r="J358" s="16"/>
      <c r="K358" s="16" t="s">
        <v>12944</v>
      </c>
      <c r="L358" s="16"/>
      <c r="M358" s="19" t="s">
        <v>4673</v>
      </c>
      <c r="N358" s="16"/>
      <c r="O358" s="16" t="s">
        <v>4674</v>
      </c>
      <c r="P358" s="16" t="str">
        <f>HYPERLINK("https://ceds.ed.gov/cedselementdetails.aspx?termid=26320")</f>
        <v>https://ceds.ed.gov/cedselementdetails.aspx?termid=26320</v>
      </c>
      <c r="Q358" s="16">
        <v>74140</v>
      </c>
    </row>
    <row r="359" spans="1:17" ht="28.8" x14ac:dyDescent="0.3">
      <c r="A359" s="16" t="s">
        <v>7596</v>
      </c>
      <c r="B359" s="16" t="s">
        <v>8866</v>
      </c>
      <c r="C359" s="16" t="s">
        <v>7643</v>
      </c>
      <c r="D359" s="16" t="s">
        <v>7597</v>
      </c>
      <c r="E359" s="16" t="s">
        <v>4595</v>
      </c>
      <c r="F359" s="16" t="s">
        <v>4596</v>
      </c>
      <c r="G359" s="16" t="s">
        <v>32</v>
      </c>
      <c r="H359" s="16"/>
      <c r="I359" s="16"/>
      <c r="J359" s="16" t="s">
        <v>106</v>
      </c>
      <c r="K359" s="16"/>
      <c r="L359" s="16" t="s">
        <v>4597</v>
      </c>
      <c r="M359" s="19" t="s">
        <v>4598</v>
      </c>
      <c r="N359" s="16"/>
      <c r="O359" s="16" t="s">
        <v>4599</v>
      </c>
      <c r="P359" s="16" t="str">
        <f>HYPERLINK("https://ceds.ed.gov/cedselementdetails.aspx?termid=27350")</f>
        <v>https://ceds.ed.gov/cedselementdetails.aspx?termid=27350</v>
      </c>
      <c r="Q359" s="16">
        <v>73227</v>
      </c>
    </row>
    <row r="360" spans="1:17" ht="28.8" x14ac:dyDescent="0.3">
      <c r="A360" s="16" t="s">
        <v>7596</v>
      </c>
      <c r="B360" s="16" t="s">
        <v>8866</v>
      </c>
      <c r="C360" s="16" t="s">
        <v>7643</v>
      </c>
      <c r="D360" s="16" t="s">
        <v>7597</v>
      </c>
      <c r="E360" s="16" t="s">
        <v>4587</v>
      </c>
      <c r="F360" s="16" t="s">
        <v>4588</v>
      </c>
      <c r="G360" s="16" t="s">
        <v>32</v>
      </c>
      <c r="H360" s="16"/>
      <c r="I360" s="16"/>
      <c r="J360" s="16" t="s">
        <v>1481</v>
      </c>
      <c r="K360" s="16"/>
      <c r="L360" s="16"/>
      <c r="M360" s="19" t="s">
        <v>4589</v>
      </c>
      <c r="N360" s="16"/>
      <c r="O360" s="16" t="s">
        <v>4590</v>
      </c>
      <c r="P360" s="16" t="str">
        <f>HYPERLINK("https://ceds.ed.gov/cedselementdetails.aspx?termid=27493")</f>
        <v>https://ceds.ed.gov/cedselementdetails.aspx?termid=27493</v>
      </c>
      <c r="Q360" s="16">
        <v>73673</v>
      </c>
    </row>
    <row r="361" spans="1:17" ht="144" x14ac:dyDescent="0.3">
      <c r="A361" s="16" t="s">
        <v>7596</v>
      </c>
      <c r="B361" s="16" t="s">
        <v>8866</v>
      </c>
      <c r="C361" s="16" t="s">
        <v>7643</v>
      </c>
      <c r="D361" s="16" t="s">
        <v>7597</v>
      </c>
      <c r="E361" s="16" t="s">
        <v>4591</v>
      </c>
      <c r="F361" s="16" t="s">
        <v>4592</v>
      </c>
      <c r="G361" s="16" t="s">
        <v>8655</v>
      </c>
      <c r="H361" s="16"/>
      <c r="I361" s="16"/>
      <c r="J361" s="16"/>
      <c r="K361" s="16"/>
      <c r="L361" s="16"/>
      <c r="M361" s="19" t="s">
        <v>4593</v>
      </c>
      <c r="N361" s="16"/>
      <c r="O361" s="16" t="s">
        <v>4594</v>
      </c>
      <c r="P361" s="16" t="str">
        <f>HYPERLINK("https://ceds.ed.gov/cedselementdetails.aspx?termid=27492")</f>
        <v>https://ceds.ed.gov/cedselementdetails.aspx?termid=27492</v>
      </c>
      <c r="Q361" s="16">
        <v>73672</v>
      </c>
    </row>
    <row r="362" spans="1:17" ht="259.2" x14ac:dyDescent="0.3">
      <c r="A362" s="16" t="s">
        <v>7596</v>
      </c>
      <c r="B362" s="16" t="s">
        <v>8866</v>
      </c>
      <c r="C362" s="16" t="s">
        <v>7643</v>
      </c>
      <c r="D362" s="16" t="s">
        <v>7597</v>
      </c>
      <c r="E362" s="16" t="s">
        <v>4600</v>
      </c>
      <c r="F362" s="16" t="s">
        <v>4601</v>
      </c>
      <c r="G362" s="16" t="s">
        <v>8656</v>
      </c>
      <c r="H362" s="16"/>
      <c r="I362" s="16"/>
      <c r="J362" s="16"/>
      <c r="K362" s="16"/>
      <c r="L362" s="16"/>
      <c r="M362" s="19" t="s">
        <v>4602</v>
      </c>
      <c r="N362" s="16"/>
      <c r="O362" s="16" t="s">
        <v>4603</v>
      </c>
      <c r="P362" s="16" t="str">
        <f>HYPERLINK("https://ceds.ed.gov/cedselementdetails.aspx?termid=27352")</f>
        <v>https://ceds.ed.gov/cedselementdetails.aspx?termid=27352</v>
      </c>
      <c r="Q362" s="16">
        <v>73229</v>
      </c>
    </row>
    <row r="363" spans="1:17" ht="345.6" x14ac:dyDescent="0.3">
      <c r="A363" s="16" t="s">
        <v>7596</v>
      </c>
      <c r="B363" s="16" t="s">
        <v>8866</v>
      </c>
      <c r="C363" s="16" t="s">
        <v>7643</v>
      </c>
      <c r="D363" s="16" t="s">
        <v>7597</v>
      </c>
      <c r="E363" s="16" t="s">
        <v>6713</v>
      </c>
      <c r="F363" s="16" t="s">
        <v>6714</v>
      </c>
      <c r="G363" s="16" t="s">
        <v>9341</v>
      </c>
      <c r="H363" s="16" t="s">
        <v>214</v>
      </c>
      <c r="I363" s="16"/>
      <c r="J363" s="16"/>
      <c r="K363" s="16"/>
      <c r="L363" s="16"/>
      <c r="M363" s="19" t="s">
        <v>6715</v>
      </c>
      <c r="N363" s="16"/>
      <c r="O363" s="16" t="s">
        <v>6716</v>
      </c>
      <c r="P363" s="16" t="str">
        <f>HYPERLINK("https://ceds.ed.gov/cedselementdetails.aspx?termid=26260")</f>
        <v>https://ceds.ed.gov/cedselementdetails.aspx?termid=26260</v>
      </c>
      <c r="Q363" s="16">
        <v>73459</v>
      </c>
    </row>
    <row r="364" spans="1:17" x14ac:dyDescent="0.3">
      <c r="A364" s="16" t="s">
        <v>7596</v>
      </c>
      <c r="B364" s="16" t="s">
        <v>8866</v>
      </c>
      <c r="C364" s="16" t="s">
        <v>7643</v>
      </c>
      <c r="D364" s="16" t="s">
        <v>7597</v>
      </c>
      <c r="E364" s="16" t="s">
        <v>4013</v>
      </c>
      <c r="F364" s="16" t="s">
        <v>4014</v>
      </c>
      <c r="G364" s="16" t="s">
        <v>32</v>
      </c>
      <c r="H364" s="16"/>
      <c r="I364" s="16"/>
      <c r="J364" s="16" t="s">
        <v>1662</v>
      </c>
      <c r="K364" s="16"/>
      <c r="L364" s="16"/>
      <c r="M364" s="19" t="s">
        <v>4015</v>
      </c>
      <c r="N364" s="16"/>
      <c r="O364" s="16" t="s">
        <v>4016</v>
      </c>
      <c r="P364" s="16" t="str">
        <f>HYPERLINK("https://ceds.ed.gov/cedselementdetails.aspx?termid=27695")</f>
        <v>https://ceds.ed.gov/cedselementdetails.aspx?termid=27695</v>
      </c>
      <c r="Q364" s="16">
        <v>75739</v>
      </c>
    </row>
    <row r="365" spans="1:17" ht="86.4" x14ac:dyDescent="0.3">
      <c r="A365" s="16" t="s">
        <v>7596</v>
      </c>
      <c r="B365" s="16" t="s">
        <v>8866</v>
      </c>
      <c r="C365" s="16" t="s">
        <v>7643</v>
      </c>
      <c r="D365" s="16" t="s">
        <v>7597</v>
      </c>
      <c r="E365" s="16" t="s">
        <v>4017</v>
      </c>
      <c r="F365" s="16" t="s">
        <v>4018</v>
      </c>
      <c r="G365" s="16" t="s">
        <v>32</v>
      </c>
      <c r="H365" s="16"/>
      <c r="I365" s="16"/>
      <c r="J365" s="16" t="s">
        <v>1662</v>
      </c>
      <c r="K365" s="16"/>
      <c r="L365" s="16"/>
      <c r="M365" s="19" t="s">
        <v>4019</v>
      </c>
      <c r="N365" s="16"/>
      <c r="O365" s="16" t="s">
        <v>4020</v>
      </c>
      <c r="P365" s="16" t="str">
        <f>HYPERLINK("https://ceds.ed.gov/cedselementdetails.aspx?termid=27696")</f>
        <v>https://ceds.ed.gov/cedselementdetails.aspx?termid=27696</v>
      </c>
      <c r="Q365" s="16">
        <v>75740</v>
      </c>
    </row>
    <row r="366" spans="1:17" ht="100.8" x14ac:dyDescent="0.3">
      <c r="A366" s="16" t="s">
        <v>7596</v>
      </c>
      <c r="B366" s="16" t="s">
        <v>8866</v>
      </c>
      <c r="C366" s="16" t="s">
        <v>7643</v>
      </c>
      <c r="D366" s="16" t="s">
        <v>7597</v>
      </c>
      <c r="E366" s="16" t="s">
        <v>4024</v>
      </c>
      <c r="F366" s="16" t="s">
        <v>4025</v>
      </c>
      <c r="G366" s="16" t="s">
        <v>8232</v>
      </c>
      <c r="H366" s="16"/>
      <c r="I366" s="16"/>
      <c r="J366" s="16"/>
      <c r="K366" s="16"/>
      <c r="L366" s="16"/>
      <c r="M366" s="19" t="s">
        <v>4026</v>
      </c>
      <c r="N366" s="16"/>
      <c r="O366" s="16" t="s">
        <v>4027</v>
      </c>
      <c r="P366" s="16" t="str">
        <f>HYPERLINK("https://ceds.ed.gov/cedselementdetails.aspx?termid=27694")</f>
        <v>https://ceds.ed.gov/cedselementdetails.aspx?termid=27694</v>
      </c>
      <c r="Q366" s="16">
        <v>75741</v>
      </c>
    </row>
    <row r="367" spans="1:17" ht="43.2" x14ac:dyDescent="0.3">
      <c r="A367" s="16" t="s">
        <v>7596</v>
      </c>
      <c r="B367" s="16" t="s">
        <v>8866</v>
      </c>
      <c r="C367" s="16" t="s">
        <v>7644</v>
      </c>
      <c r="D367" s="16" t="s">
        <v>7597</v>
      </c>
      <c r="E367" s="16" t="s">
        <v>369</v>
      </c>
      <c r="F367" s="16" t="s">
        <v>7829</v>
      </c>
      <c r="G367" s="16" t="s">
        <v>32</v>
      </c>
      <c r="H367" s="16" t="s">
        <v>372</v>
      </c>
      <c r="I367" s="16"/>
      <c r="J367" s="16" t="s">
        <v>106</v>
      </c>
      <c r="K367" s="16"/>
      <c r="L367" s="16"/>
      <c r="M367" s="19" t="s">
        <v>370</v>
      </c>
      <c r="N367" s="16"/>
      <c r="O367" s="16" t="s">
        <v>371</v>
      </c>
      <c r="P367" s="16" t="str">
        <f>HYPERLINK("https://ceds.ed.gov/cedselementdetails.aspx?termid=26323")</f>
        <v>https://ceds.ed.gov/cedselementdetails.aspx?termid=26323</v>
      </c>
      <c r="Q367" s="16">
        <v>74000</v>
      </c>
    </row>
    <row r="368" spans="1:17" ht="172.8" x14ac:dyDescent="0.3">
      <c r="A368" s="16" t="s">
        <v>7596</v>
      </c>
      <c r="B368" s="16" t="s">
        <v>8866</v>
      </c>
      <c r="C368" s="16" t="s">
        <v>7644</v>
      </c>
      <c r="D368" s="16" t="s">
        <v>7597</v>
      </c>
      <c r="E368" s="16" t="s">
        <v>3238</v>
      </c>
      <c r="F368" s="16" t="s">
        <v>3239</v>
      </c>
      <c r="G368" s="16" t="s">
        <v>32</v>
      </c>
      <c r="H368" s="16"/>
      <c r="I368" s="16"/>
      <c r="J368" s="16" t="s">
        <v>120</v>
      </c>
      <c r="K368" s="16"/>
      <c r="L368" s="16" t="s">
        <v>7817</v>
      </c>
      <c r="M368" s="19" t="s">
        <v>3240</v>
      </c>
      <c r="N368" s="16"/>
      <c r="O368" s="16" t="s">
        <v>3241</v>
      </c>
      <c r="P368" s="16" t="str">
        <f>HYPERLINK("https://ceds.ed.gov/cedselementdetails.aspx?termid=27576")</f>
        <v>https://ceds.ed.gov/cedselementdetails.aspx?termid=27576</v>
      </c>
      <c r="Q368" s="16">
        <v>74066</v>
      </c>
    </row>
    <row r="369" spans="1:17" ht="43.2" x14ac:dyDescent="0.3">
      <c r="A369" s="16" t="s">
        <v>7596</v>
      </c>
      <c r="B369" s="16" t="s">
        <v>8866</v>
      </c>
      <c r="C369" s="16" t="s">
        <v>7644</v>
      </c>
      <c r="D369" s="16" t="s">
        <v>7597</v>
      </c>
      <c r="E369" s="16" t="s">
        <v>3242</v>
      </c>
      <c r="F369" s="16" t="s">
        <v>3243</v>
      </c>
      <c r="G369" s="16" t="s">
        <v>22</v>
      </c>
      <c r="H369" s="16"/>
      <c r="I369" s="16"/>
      <c r="J369" s="16"/>
      <c r="K369" s="16"/>
      <c r="L369" s="16"/>
      <c r="M369" s="19" t="s">
        <v>3244</v>
      </c>
      <c r="N369" s="16"/>
      <c r="O369" s="16" t="s">
        <v>3245</v>
      </c>
      <c r="P369" s="16" t="str">
        <f>HYPERLINK("https://ceds.ed.gov/cedselementdetails.aspx?termid=27578")</f>
        <v>https://ceds.ed.gov/cedselementdetails.aspx?termid=27578</v>
      </c>
      <c r="Q369" s="16">
        <v>74068</v>
      </c>
    </row>
    <row r="370" spans="1:17" ht="172.8" x14ac:dyDescent="0.3">
      <c r="A370" s="16" t="s">
        <v>7596</v>
      </c>
      <c r="B370" s="16" t="s">
        <v>8866</v>
      </c>
      <c r="C370" s="16" t="s">
        <v>7644</v>
      </c>
      <c r="D370" s="16" t="s">
        <v>7597</v>
      </c>
      <c r="E370" s="16" t="s">
        <v>3269</v>
      </c>
      <c r="F370" s="16" t="s">
        <v>3270</v>
      </c>
      <c r="G370" s="16" t="s">
        <v>32</v>
      </c>
      <c r="H370" s="16"/>
      <c r="I370" s="16"/>
      <c r="J370" s="16" t="s">
        <v>120</v>
      </c>
      <c r="K370" s="16"/>
      <c r="L370" s="16" t="s">
        <v>7817</v>
      </c>
      <c r="M370" s="19" t="s">
        <v>3271</v>
      </c>
      <c r="N370" s="16"/>
      <c r="O370" s="16" t="s">
        <v>3272</v>
      </c>
      <c r="P370" s="16" t="str">
        <f>HYPERLINK("https://ceds.ed.gov/cedselementdetails.aspx?termid=27572")</f>
        <v>https://ceds.ed.gov/cedselementdetails.aspx?termid=27572</v>
      </c>
      <c r="Q370" s="16">
        <v>74062</v>
      </c>
    </row>
    <row r="371" spans="1:17" ht="28.8" x14ac:dyDescent="0.3">
      <c r="A371" s="16" t="s">
        <v>7596</v>
      </c>
      <c r="B371" s="16" t="s">
        <v>8866</v>
      </c>
      <c r="C371" s="16" t="s">
        <v>7644</v>
      </c>
      <c r="D371" s="16" t="s">
        <v>7597</v>
      </c>
      <c r="E371" s="16" t="s">
        <v>3273</v>
      </c>
      <c r="F371" s="16" t="s">
        <v>3274</v>
      </c>
      <c r="G371" s="16" t="s">
        <v>32</v>
      </c>
      <c r="H371" s="16"/>
      <c r="I371" s="16"/>
      <c r="J371" s="16" t="s">
        <v>145</v>
      </c>
      <c r="K371" s="16"/>
      <c r="L371" s="16"/>
      <c r="M371" s="19" t="s">
        <v>3275</v>
      </c>
      <c r="N371" s="16"/>
      <c r="O371" s="16" t="s">
        <v>3276</v>
      </c>
      <c r="P371" s="16" t="str">
        <f>HYPERLINK("https://ceds.ed.gov/cedselementdetails.aspx?termid=27573")</f>
        <v>https://ceds.ed.gov/cedselementdetails.aspx?termid=27573</v>
      </c>
      <c r="Q371" s="16">
        <v>74063</v>
      </c>
    </row>
    <row r="372" spans="1:17" ht="28.8" x14ac:dyDescent="0.3">
      <c r="A372" s="16" t="s">
        <v>7596</v>
      </c>
      <c r="B372" s="16" t="s">
        <v>8866</v>
      </c>
      <c r="C372" s="16" t="s">
        <v>7644</v>
      </c>
      <c r="D372" s="16" t="s">
        <v>7597</v>
      </c>
      <c r="E372" s="16" t="s">
        <v>3277</v>
      </c>
      <c r="F372" s="16" t="s">
        <v>3278</v>
      </c>
      <c r="G372" s="16" t="s">
        <v>32</v>
      </c>
      <c r="H372" s="16"/>
      <c r="I372" s="16"/>
      <c r="J372" s="16" t="s">
        <v>747</v>
      </c>
      <c r="K372" s="16"/>
      <c r="L372" s="16"/>
      <c r="M372" s="19" t="s">
        <v>3279</v>
      </c>
      <c r="N372" s="16"/>
      <c r="O372" s="16" t="s">
        <v>3280</v>
      </c>
      <c r="P372" s="16" t="str">
        <f>HYPERLINK("https://ceds.ed.gov/cedselementdetails.aspx?termid=27574")</f>
        <v>https://ceds.ed.gov/cedselementdetails.aspx?termid=27574</v>
      </c>
      <c r="Q372" s="16">
        <v>74064</v>
      </c>
    </row>
    <row r="373" spans="1:17" ht="28.8" x14ac:dyDescent="0.3">
      <c r="A373" s="16" t="s">
        <v>7596</v>
      </c>
      <c r="B373" s="16" t="s">
        <v>8866</v>
      </c>
      <c r="C373" s="16" t="s">
        <v>7644</v>
      </c>
      <c r="D373" s="16" t="s">
        <v>7597</v>
      </c>
      <c r="E373" s="16" t="s">
        <v>3281</v>
      </c>
      <c r="F373" s="16" t="s">
        <v>3282</v>
      </c>
      <c r="G373" s="16" t="s">
        <v>32</v>
      </c>
      <c r="H373" s="16"/>
      <c r="I373" s="16"/>
      <c r="J373" s="16" t="s">
        <v>106</v>
      </c>
      <c r="K373" s="16"/>
      <c r="L373" s="16"/>
      <c r="M373" s="19" t="s">
        <v>3283</v>
      </c>
      <c r="N373" s="16"/>
      <c r="O373" s="16" t="s">
        <v>3284</v>
      </c>
      <c r="P373" s="16" t="str">
        <f>HYPERLINK("https://ceds.ed.gov/cedselementdetails.aspx?termid=27571")</f>
        <v>https://ceds.ed.gov/cedselementdetails.aspx?termid=27571</v>
      </c>
      <c r="Q373" s="16">
        <v>74061</v>
      </c>
    </row>
    <row r="374" spans="1:17" ht="28.8" x14ac:dyDescent="0.3">
      <c r="A374" s="16" t="s">
        <v>7596</v>
      </c>
      <c r="B374" s="16" t="s">
        <v>8866</v>
      </c>
      <c r="C374" s="16" t="s">
        <v>7644</v>
      </c>
      <c r="D374" s="16" t="s">
        <v>7597</v>
      </c>
      <c r="E374" s="16" t="s">
        <v>3285</v>
      </c>
      <c r="F374" s="16" t="s">
        <v>3286</v>
      </c>
      <c r="G374" s="16" t="s">
        <v>32</v>
      </c>
      <c r="H374" s="16"/>
      <c r="I374" s="16"/>
      <c r="J374" s="16" t="s">
        <v>747</v>
      </c>
      <c r="K374" s="16"/>
      <c r="L374" s="16"/>
      <c r="M374" s="19" t="s">
        <v>3287</v>
      </c>
      <c r="N374" s="16"/>
      <c r="O374" s="16" t="s">
        <v>3288</v>
      </c>
      <c r="P374" s="16" t="str">
        <f>HYPERLINK("https://ceds.ed.gov/cedselementdetails.aspx?termid=27579")</f>
        <v>https://ceds.ed.gov/cedselementdetails.aspx?termid=27579</v>
      </c>
      <c r="Q374" s="16">
        <v>74069</v>
      </c>
    </row>
    <row r="375" spans="1:17" ht="28.8" x14ac:dyDescent="0.3">
      <c r="A375" s="16" t="s">
        <v>7596</v>
      </c>
      <c r="B375" s="16" t="s">
        <v>8866</v>
      </c>
      <c r="C375" s="16" t="s">
        <v>7644</v>
      </c>
      <c r="D375" s="16" t="s">
        <v>7597</v>
      </c>
      <c r="E375" s="16" t="s">
        <v>6689</v>
      </c>
      <c r="F375" s="16" t="s">
        <v>6690</v>
      </c>
      <c r="G375" s="16" t="s">
        <v>32</v>
      </c>
      <c r="H375" s="16"/>
      <c r="I375" s="16"/>
      <c r="J375" s="16" t="s">
        <v>101</v>
      </c>
      <c r="K375" s="16"/>
      <c r="L375" s="16"/>
      <c r="M375" s="19" t="s">
        <v>6691</v>
      </c>
      <c r="N375" s="16"/>
      <c r="O375" s="16" t="s">
        <v>6692</v>
      </c>
      <c r="P375" s="16" t="str">
        <f>HYPERLINK("https://ceds.ed.gov/cedselementdetails.aspx?termid=27608")</f>
        <v>https://ceds.ed.gov/cedselementdetails.aspx?termid=27608</v>
      </c>
      <c r="Q375" s="16">
        <v>74108</v>
      </c>
    </row>
    <row r="376" spans="1:17" ht="72" x14ac:dyDescent="0.3">
      <c r="A376" s="16" t="s">
        <v>7596</v>
      </c>
      <c r="B376" s="16" t="s">
        <v>8866</v>
      </c>
      <c r="C376" s="16" t="s">
        <v>7645</v>
      </c>
      <c r="D376" s="16" t="s">
        <v>7597</v>
      </c>
      <c r="E376" s="16" t="s">
        <v>6607</v>
      </c>
      <c r="F376" s="16" t="s">
        <v>6608</v>
      </c>
      <c r="G376" s="16" t="s">
        <v>32</v>
      </c>
      <c r="H376" s="16"/>
      <c r="I376" s="16"/>
      <c r="J376" s="16" t="s">
        <v>747</v>
      </c>
      <c r="K376" s="16"/>
      <c r="L376" s="16"/>
      <c r="M376" s="19" t="s">
        <v>6609</v>
      </c>
      <c r="N376" s="16"/>
      <c r="O376" s="16" t="s">
        <v>6610</v>
      </c>
      <c r="P376" s="16" t="str">
        <f>HYPERLINK("https://ceds.ed.gov/cedselementdetails.aspx?termid=27606")</f>
        <v>https://ceds.ed.gov/cedselementdetails.aspx?termid=27606</v>
      </c>
      <c r="Q376" s="16">
        <v>74105</v>
      </c>
    </row>
    <row r="377" spans="1:17" ht="28.8" x14ac:dyDescent="0.3">
      <c r="A377" s="16" t="s">
        <v>7596</v>
      </c>
      <c r="B377" s="16" t="s">
        <v>8866</v>
      </c>
      <c r="C377" s="16" t="s">
        <v>7645</v>
      </c>
      <c r="D377" s="16" t="s">
        <v>7597</v>
      </c>
      <c r="E377" s="16" t="s">
        <v>6603</v>
      </c>
      <c r="F377" s="16" t="s">
        <v>6604</v>
      </c>
      <c r="G377" s="16" t="s">
        <v>32</v>
      </c>
      <c r="H377" s="16"/>
      <c r="I377" s="16"/>
      <c r="J377" s="16" t="s">
        <v>101</v>
      </c>
      <c r="K377" s="16"/>
      <c r="L377" s="16"/>
      <c r="M377" s="19" t="s">
        <v>6605</v>
      </c>
      <c r="N377" s="16"/>
      <c r="O377" s="16" t="s">
        <v>6606</v>
      </c>
      <c r="P377" s="16" t="str">
        <f>HYPERLINK("https://ceds.ed.gov/cedselementdetails.aspx?termid=27603")</f>
        <v>https://ceds.ed.gov/cedselementdetails.aspx?termid=27603</v>
      </c>
      <c r="Q377" s="16">
        <v>74102</v>
      </c>
    </row>
    <row r="378" spans="1:17" ht="187.2" x14ac:dyDescent="0.3">
      <c r="A378" s="16" t="s">
        <v>7596</v>
      </c>
      <c r="B378" s="16" t="s">
        <v>8866</v>
      </c>
      <c r="C378" s="16" t="s">
        <v>7646</v>
      </c>
      <c r="D378" s="16" t="s">
        <v>7597</v>
      </c>
      <c r="E378" s="16" t="s">
        <v>4671</v>
      </c>
      <c r="F378" s="16" t="s">
        <v>4672</v>
      </c>
      <c r="G378" s="16" t="s">
        <v>13091</v>
      </c>
      <c r="H378" s="16" t="s">
        <v>372</v>
      </c>
      <c r="I378" s="16" t="s">
        <v>160</v>
      </c>
      <c r="J378" s="16"/>
      <c r="K378" s="16" t="s">
        <v>12944</v>
      </c>
      <c r="L378" s="16"/>
      <c r="M378" s="19" t="s">
        <v>4673</v>
      </c>
      <c r="N378" s="16"/>
      <c r="O378" s="16" t="s">
        <v>4674</v>
      </c>
      <c r="P378" s="16" t="str">
        <f>HYPERLINK("https://ceds.ed.gov/cedselementdetails.aspx?termid=26320")</f>
        <v>https://ceds.ed.gov/cedselementdetails.aspx?termid=26320</v>
      </c>
      <c r="Q378" s="16">
        <v>70649</v>
      </c>
    </row>
    <row r="379" spans="1:17" ht="86.4" x14ac:dyDescent="0.3">
      <c r="A379" s="16" t="s">
        <v>7596</v>
      </c>
      <c r="B379" s="16" t="s">
        <v>8866</v>
      </c>
      <c r="C379" s="16" t="s">
        <v>7646</v>
      </c>
      <c r="D379" s="16" t="s">
        <v>7597</v>
      </c>
      <c r="E379" s="16" t="s">
        <v>4617</v>
      </c>
      <c r="F379" s="16" t="s">
        <v>4618</v>
      </c>
      <c r="G379" s="16" t="s">
        <v>8657</v>
      </c>
      <c r="H379" s="16"/>
      <c r="I379" s="16"/>
      <c r="J379" s="16"/>
      <c r="K379" s="16"/>
      <c r="L379" s="16"/>
      <c r="M379" s="19" t="s">
        <v>4619</v>
      </c>
      <c r="N379" s="16"/>
      <c r="O379" s="16" t="s">
        <v>4620</v>
      </c>
      <c r="P379" s="16" t="str">
        <f>HYPERLINK("https://ceds.ed.gov/cedselementdetails.aspx?termid=27196")</f>
        <v>https://ceds.ed.gov/cedselementdetails.aspx?termid=27196</v>
      </c>
      <c r="Q379" s="16">
        <v>71684</v>
      </c>
    </row>
    <row r="380" spans="1:17" ht="43.2" x14ac:dyDescent="0.3">
      <c r="A380" s="16" t="s">
        <v>7596</v>
      </c>
      <c r="B380" s="16" t="s">
        <v>8866</v>
      </c>
      <c r="C380" s="16" t="s">
        <v>7646</v>
      </c>
      <c r="D380" s="16" t="s">
        <v>7597</v>
      </c>
      <c r="E380" s="16" t="s">
        <v>4613</v>
      </c>
      <c r="F380" s="16" t="s">
        <v>4614</v>
      </c>
      <c r="G380" s="16" t="s">
        <v>32</v>
      </c>
      <c r="H380" s="16"/>
      <c r="I380" s="16"/>
      <c r="J380" s="16" t="s">
        <v>106</v>
      </c>
      <c r="K380" s="16"/>
      <c r="L380" s="16"/>
      <c r="M380" s="19" t="s">
        <v>4615</v>
      </c>
      <c r="N380" s="16"/>
      <c r="O380" s="16" t="s">
        <v>4616</v>
      </c>
      <c r="P380" s="16" t="str">
        <f>HYPERLINK("https://ceds.ed.gov/cedselementdetails.aspx?termid=27201")</f>
        <v>https://ceds.ed.gov/cedselementdetails.aspx?termid=27201</v>
      </c>
      <c r="Q380" s="16">
        <v>71694</v>
      </c>
    </row>
    <row r="381" spans="1:17" ht="43.2" x14ac:dyDescent="0.3">
      <c r="A381" s="16" t="s">
        <v>7596</v>
      </c>
      <c r="B381" s="16" t="s">
        <v>8866</v>
      </c>
      <c r="C381" s="16" t="s">
        <v>7646</v>
      </c>
      <c r="D381" s="16" t="s">
        <v>7597</v>
      </c>
      <c r="E381" s="16" t="s">
        <v>4575</v>
      </c>
      <c r="F381" s="16" t="s">
        <v>4576</v>
      </c>
      <c r="G381" s="16" t="s">
        <v>32</v>
      </c>
      <c r="H381" s="16"/>
      <c r="I381" s="16"/>
      <c r="J381" s="16" t="s">
        <v>106</v>
      </c>
      <c r="K381" s="16"/>
      <c r="L381" s="16"/>
      <c r="M381" s="19" t="s">
        <v>4577</v>
      </c>
      <c r="N381" s="16"/>
      <c r="O381" s="16" t="s">
        <v>4578</v>
      </c>
      <c r="P381" s="16" t="str">
        <f>HYPERLINK("https://ceds.ed.gov/cedselementdetails.aspx?termid=27197")</f>
        <v>https://ceds.ed.gov/cedselementdetails.aspx?termid=27197</v>
      </c>
      <c r="Q381" s="16">
        <v>71686</v>
      </c>
    </row>
    <row r="382" spans="1:17" ht="216" x14ac:dyDescent="0.3">
      <c r="A382" s="16" t="s">
        <v>7596</v>
      </c>
      <c r="B382" s="16" t="s">
        <v>8866</v>
      </c>
      <c r="C382" s="16" t="s">
        <v>7646</v>
      </c>
      <c r="D382" s="16" t="s">
        <v>7597</v>
      </c>
      <c r="E382" s="16" t="s">
        <v>4629</v>
      </c>
      <c r="F382" s="16" t="s">
        <v>4630</v>
      </c>
      <c r="G382" s="16" t="s">
        <v>13090</v>
      </c>
      <c r="H382" s="16"/>
      <c r="I382" s="16" t="s">
        <v>160</v>
      </c>
      <c r="J382" s="16"/>
      <c r="K382" s="16" t="s">
        <v>12943</v>
      </c>
      <c r="L382" s="16"/>
      <c r="M382" s="19" t="s">
        <v>4631</v>
      </c>
      <c r="N382" s="16"/>
      <c r="O382" s="16" t="s">
        <v>4632</v>
      </c>
      <c r="P382" s="16" t="str">
        <f>HYPERLINK("https://ceds.ed.gov/cedselementdetails.aspx?termid=27202")</f>
        <v>https://ceds.ed.gov/cedselementdetails.aspx?termid=27202</v>
      </c>
      <c r="Q382" s="16">
        <v>71696</v>
      </c>
    </row>
    <row r="383" spans="1:17" ht="28.8" x14ac:dyDescent="0.3">
      <c r="A383" s="16" t="s">
        <v>7596</v>
      </c>
      <c r="B383" s="16" t="s">
        <v>8866</v>
      </c>
      <c r="C383" s="16" t="s">
        <v>7646</v>
      </c>
      <c r="D383" s="16" t="s">
        <v>7597</v>
      </c>
      <c r="E383" s="16" t="s">
        <v>4633</v>
      </c>
      <c r="F383" s="16" t="s">
        <v>4634</v>
      </c>
      <c r="G383" s="16" t="s">
        <v>32</v>
      </c>
      <c r="H383" s="16"/>
      <c r="I383" s="16"/>
      <c r="J383" s="16" t="s">
        <v>316</v>
      </c>
      <c r="K383" s="16"/>
      <c r="L383" s="16"/>
      <c r="M383" s="19" t="s">
        <v>4635</v>
      </c>
      <c r="N383" s="16"/>
      <c r="O383" s="16" t="s">
        <v>4636</v>
      </c>
      <c r="P383" s="16" t="str">
        <f>HYPERLINK("https://ceds.ed.gov/cedselementdetails.aspx?termid=27203")</f>
        <v>https://ceds.ed.gov/cedselementdetails.aspx?termid=27203</v>
      </c>
      <c r="Q383" s="16">
        <v>71698</v>
      </c>
    </row>
    <row r="384" spans="1:17" ht="28.8" x14ac:dyDescent="0.3">
      <c r="A384" s="16" t="s">
        <v>7596</v>
      </c>
      <c r="B384" s="16" t="s">
        <v>8866</v>
      </c>
      <c r="C384" s="16" t="s">
        <v>7646</v>
      </c>
      <c r="D384" s="16" t="s">
        <v>7597</v>
      </c>
      <c r="E384" s="16" t="s">
        <v>4663</v>
      </c>
      <c r="F384" s="16" t="s">
        <v>4664</v>
      </c>
      <c r="G384" s="16" t="s">
        <v>32</v>
      </c>
      <c r="H384" s="16"/>
      <c r="I384" s="16"/>
      <c r="J384" s="16" t="s">
        <v>316</v>
      </c>
      <c r="K384" s="16"/>
      <c r="L384" s="16"/>
      <c r="M384" s="19" t="s">
        <v>4665</v>
      </c>
      <c r="N384" s="16"/>
      <c r="O384" s="16" t="s">
        <v>4666</v>
      </c>
      <c r="P384" s="16" t="str">
        <f>HYPERLINK("https://ceds.ed.gov/cedselementdetails.aspx?termid=27204")</f>
        <v>https://ceds.ed.gov/cedselementdetails.aspx?termid=27204</v>
      </c>
      <c r="Q384" s="16">
        <v>71700</v>
      </c>
    </row>
    <row r="385" spans="1:17" ht="28.8" x14ac:dyDescent="0.3">
      <c r="A385" s="16" t="s">
        <v>7596</v>
      </c>
      <c r="B385" s="16" t="s">
        <v>8866</v>
      </c>
      <c r="C385" s="16" t="s">
        <v>7646</v>
      </c>
      <c r="D385" s="16" t="s">
        <v>7597</v>
      </c>
      <c r="E385" s="16" t="s">
        <v>4659</v>
      </c>
      <c r="F385" s="16" t="s">
        <v>4660</v>
      </c>
      <c r="G385" s="16" t="s">
        <v>32</v>
      </c>
      <c r="H385" s="16"/>
      <c r="I385" s="16"/>
      <c r="J385" s="16" t="s">
        <v>106</v>
      </c>
      <c r="K385" s="16"/>
      <c r="L385" s="16"/>
      <c r="M385" s="19" t="s">
        <v>4661</v>
      </c>
      <c r="N385" s="16"/>
      <c r="O385" s="16" t="s">
        <v>4662</v>
      </c>
      <c r="P385" s="16" t="str">
        <f>HYPERLINK("https://ceds.ed.gov/cedselementdetails.aspx?termid=27205")</f>
        <v>https://ceds.ed.gov/cedselementdetails.aspx?termid=27205</v>
      </c>
      <c r="Q385" s="16">
        <v>71702</v>
      </c>
    </row>
    <row r="386" spans="1:17" ht="43.2" x14ac:dyDescent="0.3">
      <c r="A386" s="16" t="s">
        <v>7596</v>
      </c>
      <c r="B386" s="16" t="s">
        <v>8866</v>
      </c>
      <c r="C386" s="16" t="s">
        <v>7646</v>
      </c>
      <c r="D386" s="16" t="s">
        <v>7597</v>
      </c>
      <c r="E386" s="16" t="s">
        <v>4655</v>
      </c>
      <c r="F386" s="16" t="s">
        <v>4656</v>
      </c>
      <c r="G386" s="16" t="s">
        <v>32</v>
      </c>
      <c r="H386" s="16"/>
      <c r="I386" s="16"/>
      <c r="J386" s="16" t="s">
        <v>106</v>
      </c>
      <c r="K386" s="16"/>
      <c r="L386" s="16"/>
      <c r="M386" s="19" t="s">
        <v>4657</v>
      </c>
      <c r="N386" s="16"/>
      <c r="O386" s="16" t="s">
        <v>4658</v>
      </c>
      <c r="P386" s="16" t="str">
        <f>HYPERLINK("https://ceds.ed.gov/cedselementdetails.aspx?termid=27207")</f>
        <v>https://ceds.ed.gov/cedselementdetails.aspx?termid=27207</v>
      </c>
      <c r="Q386" s="16">
        <v>71704</v>
      </c>
    </row>
    <row r="387" spans="1:17" ht="43.2" x14ac:dyDescent="0.3">
      <c r="A387" s="16" t="s">
        <v>7596</v>
      </c>
      <c r="B387" s="16" t="s">
        <v>8866</v>
      </c>
      <c r="C387" s="16" t="s">
        <v>7646</v>
      </c>
      <c r="D387" s="16" t="s">
        <v>7597</v>
      </c>
      <c r="E387" s="16" t="s">
        <v>5320</v>
      </c>
      <c r="F387" s="16" t="s">
        <v>5321</v>
      </c>
      <c r="G387" s="16" t="s">
        <v>8719</v>
      </c>
      <c r="H387" s="16"/>
      <c r="I387" s="16"/>
      <c r="J387" s="16" t="s">
        <v>145</v>
      </c>
      <c r="K387" s="16"/>
      <c r="L387" s="16"/>
      <c r="M387" s="19" t="s">
        <v>5322</v>
      </c>
      <c r="N387" s="16"/>
      <c r="O387" s="16" t="s">
        <v>5323</v>
      </c>
      <c r="P387" s="16" t="str">
        <f>HYPERLINK("https://ceds.ed.gov/cedselementdetails.aspx?termid=27482")</f>
        <v>https://ceds.ed.gov/cedselementdetails.aspx?termid=27482</v>
      </c>
      <c r="Q387" s="16">
        <v>73688</v>
      </c>
    </row>
    <row r="388" spans="1:17" ht="57.6" x14ac:dyDescent="0.3">
      <c r="A388" s="16" t="s">
        <v>7596</v>
      </c>
      <c r="B388" s="16" t="s">
        <v>8866</v>
      </c>
      <c r="C388" s="16" t="s">
        <v>7646</v>
      </c>
      <c r="D388" s="16" t="s">
        <v>7597</v>
      </c>
      <c r="E388" s="16" t="s">
        <v>4583</v>
      </c>
      <c r="F388" s="16" t="s">
        <v>4580</v>
      </c>
      <c r="G388" s="16" t="s">
        <v>32</v>
      </c>
      <c r="H388" s="16"/>
      <c r="I388" s="16"/>
      <c r="J388" s="16" t="s">
        <v>305</v>
      </c>
      <c r="K388" s="16"/>
      <c r="L388" s="16"/>
      <c r="M388" s="19" t="s">
        <v>4585</v>
      </c>
      <c r="N388" s="16"/>
      <c r="O388" s="16" t="s">
        <v>4586</v>
      </c>
      <c r="P388" s="16" t="str">
        <f>HYPERLINK("https://ceds.ed.gov/cedselementdetails.aspx?termid=27198")</f>
        <v>https://ceds.ed.gov/cedselementdetails.aspx?termid=27198</v>
      </c>
      <c r="Q388" s="16">
        <v>71688</v>
      </c>
    </row>
    <row r="389" spans="1:17" ht="57.6" x14ac:dyDescent="0.3">
      <c r="A389" s="16" t="s">
        <v>7596</v>
      </c>
      <c r="B389" s="16" t="s">
        <v>8866</v>
      </c>
      <c r="C389" s="16" t="s">
        <v>7646</v>
      </c>
      <c r="D389" s="16" t="s">
        <v>7597</v>
      </c>
      <c r="E389" s="16" t="s">
        <v>4579</v>
      </c>
      <c r="F389" s="16" t="s">
        <v>4584</v>
      </c>
      <c r="G389" s="16" t="s">
        <v>32</v>
      </c>
      <c r="H389" s="16"/>
      <c r="I389" s="16"/>
      <c r="J389" s="16" t="s">
        <v>305</v>
      </c>
      <c r="K389" s="16"/>
      <c r="L389" s="16"/>
      <c r="M389" s="19" t="s">
        <v>4581</v>
      </c>
      <c r="N389" s="16"/>
      <c r="O389" s="16" t="s">
        <v>4582</v>
      </c>
      <c r="P389" s="16" t="str">
        <f>HYPERLINK("https://ceds.ed.gov/cedselementdetails.aspx?termid=27199")</f>
        <v>https://ceds.ed.gov/cedselementdetails.aspx?termid=27199</v>
      </c>
      <c r="Q389" s="16">
        <v>71690</v>
      </c>
    </row>
    <row r="390" spans="1:17" ht="57.6" x14ac:dyDescent="0.3">
      <c r="A390" s="16" t="s">
        <v>7596</v>
      </c>
      <c r="B390" s="16" t="s">
        <v>8866</v>
      </c>
      <c r="C390" s="16" t="s">
        <v>7646</v>
      </c>
      <c r="D390" s="16" t="s">
        <v>7597</v>
      </c>
      <c r="E390" s="16" t="s">
        <v>4342</v>
      </c>
      <c r="F390" s="16" t="s">
        <v>4343</v>
      </c>
      <c r="G390" s="16" t="s">
        <v>8633</v>
      </c>
      <c r="H390" s="16"/>
      <c r="I390" s="16"/>
      <c r="J390" s="16"/>
      <c r="K390" s="16"/>
      <c r="L390" s="16"/>
      <c r="M390" s="19" t="s">
        <v>4344</v>
      </c>
      <c r="N390" s="16"/>
      <c r="O390" s="16" t="s">
        <v>4345</v>
      </c>
      <c r="P390" s="16" t="str">
        <f>HYPERLINK("https://ceds.ed.gov/cedselementdetails.aspx?termid=27473")</f>
        <v>https://ceds.ed.gov/cedselementdetails.aspx?termid=27473</v>
      </c>
      <c r="Q390" s="16">
        <v>73461</v>
      </c>
    </row>
    <row r="391" spans="1:17" ht="57.6" x14ac:dyDescent="0.3">
      <c r="A391" s="16" t="s">
        <v>7596</v>
      </c>
      <c r="B391" s="16" t="s">
        <v>8866</v>
      </c>
      <c r="C391" s="16" t="s">
        <v>7646</v>
      </c>
      <c r="D391" s="16" t="s">
        <v>7597</v>
      </c>
      <c r="E391" s="16" t="s">
        <v>4363</v>
      </c>
      <c r="F391" s="16" t="s">
        <v>4364</v>
      </c>
      <c r="G391" s="16" t="s">
        <v>8636</v>
      </c>
      <c r="H391" s="16"/>
      <c r="I391" s="16"/>
      <c r="J391" s="16"/>
      <c r="K391" s="16"/>
      <c r="L391" s="16" t="s">
        <v>8060</v>
      </c>
      <c r="M391" s="19" t="s">
        <v>4365</v>
      </c>
      <c r="N391" s="16"/>
      <c r="O391" s="16" t="s">
        <v>4366</v>
      </c>
      <c r="P391" s="16" t="str">
        <f>HYPERLINK("https://ceds.ed.gov/cedselementdetails.aspx?termid=27637")</f>
        <v>https://ceds.ed.gov/cedselementdetails.aspx?termid=27637</v>
      </c>
      <c r="Q391" s="16">
        <v>74354</v>
      </c>
    </row>
    <row r="392" spans="1:17" ht="43.2" x14ac:dyDescent="0.3">
      <c r="A392" s="16" t="s">
        <v>7596</v>
      </c>
      <c r="B392" s="16" t="s">
        <v>8866</v>
      </c>
      <c r="C392" s="16" t="s">
        <v>7646</v>
      </c>
      <c r="D392" s="16" t="s">
        <v>7597</v>
      </c>
      <c r="E392" s="16" t="s">
        <v>1891</v>
      </c>
      <c r="F392" s="16" t="s">
        <v>1892</v>
      </c>
      <c r="G392" s="16" t="s">
        <v>32</v>
      </c>
      <c r="H392" s="16"/>
      <c r="I392" s="16"/>
      <c r="J392" s="16" t="s">
        <v>106</v>
      </c>
      <c r="K392" s="16"/>
      <c r="L392" s="16"/>
      <c r="M392" s="19" t="s">
        <v>1893</v>
      </c>
      <c r="N392" s="16"/>
      <c r="O392" s="16" t="s">
        <v>1894</v>
      </c>
      <c r="P392" s="16" t="str">
        <f>HYPERLINK("https://ceds.ed.gov/cedselementdetails.aspx?termid=27255")</f>
        <v>https://ceds.ed.gov/cedselementdetails.aspx?termid=27255</v>
      </c>
      <c r="Q392" s="16">
        <v>73826</v>
      </c>
    </row>
    <row r="393" spans="1:17" ht="72" x14ac:dyDescent="0.3">
      <c r="A393" s="16" t="s">
        <v>7596</v>
      </c>
      <c r="B393" s="16" t="s">
        <v>8866</v>
      </c>
      <c r="C393" s="16" t="s">
        <v>7646</v>
      </c>
      <c r="D393" s="16" t="s">
        <v>7597</v>
      </c>
      <c r="E393" s="16" t="s">
        <v>1895</v>
      </c>
      <c r="F393" s="16" t="s">
        <v>1896</v>
      </c>
      <c r="G393" s="16" t="s">
        <v>8426</v>
      </c>
      <c r="H393" s="16"/>
      <c r="I393" s="16"/>
      <c r="J393" s="16"/>
      <c r="K393" s="16"/>
      <c r="L393" s="16"/>
      <c r="M393" s="19" t="s">
        <v>1897</v>
      </c>
      <c r="N393" s="16"/>
      <c r="O393" s="16" t="s">
        <v>1898</v>
      </c>
      <c r="P393" s="16" t="str">
        <f>HYPERLINK("https://ceds.ed.gov/cedselementdetails.aspx?termid=27256")</f>
        <v>https://ceds.ed.gov/cedselementdetails.aspx?termid=27256</v>
      </c>
      <c r="Q393" s="16">
        <v>73829</v>
      </c>
    </row>
    <row r="394" spans="1:17" ht="230.4" x14ac:dyDescent="0.3">
      <c r="A394" s="16" t="s">
        <v>7596</v>
      </c>
      <c r="B394" s="16" t="s">
        <v>8866</v>
      </c>
      <c r="C394" s="16" t="s">
        <v>7646</v>
      </c>
      <c r="D394" s="16" t="s">
        <v>7597</v>
      </c>
      <c r="E394" s="16" t="s">
        <v>7543</v>
      </c>
      <c r="F394" s="16" t="s">
        <v>7544</v>
      </c>
      <c r="G394" s="16" t="s">
        <v>13093</v>
      </c>
      <c r="H394" s="16"/>
      <c r="I394" s="16" t="s">
        <v>160</v>
      </c>
      <c r="J394" s="16"/>
      <c r="K394" s="16" t="s">
        <v>12951</v>
      </c>
      <c r="L394" s="16"/>
      <c r="M394" s="19" t="s">
        <v>7545</v>
      </c>
      <c r="N394" s="16"/>
      <c r="O394" s="16" t="s">
        <v>7543</v>
      </c>
      <c r="P394" s="16" t="str">
        <f>HYPERLINK("https://ceds.ed.gov/cedselementdetails.aspx?termid=27959")</f>
        <v>https://ceds.ed.gov/cedselementdetails.aspx?termid=27959</v>
      </c>
      <c r="Q394" s="16">
        <v>75507</v>
      </c>
    </row>
    <row r="395" spans="1:17" ht="409.6" x14ac:dyDescent="0.3">
      <c r="A395" s="16" t="s">
        <v>7596</v>
      </c>
      <c r="B395" s="16" t="s">
        <v>8866</v>
      </c>
      <c r="C395" s="16" t="s">
        <v>7646</v>
      </c>
      <c r="D395" s="16" t="s">
        <v>7597</v>
      </c>
      <c r="E395" s="16" t="s">
        <v>6945</v>
      </c>
      <c r="F395" s="16" t="s">
        <v>6946</v>
      </c>
      <c r="G395" s="16" t="s">
        <v>9421</v>
      </c>
      <c r="H395" s="16"/>
      <c r="I395" s="16"/>
      <c r="J395" s="16"/>
      <c r="K395" s="16"/>
      <c r="L395" s="16" t="s">
        <v>6947</v>
      </c>
      <c r="M395" s="19" t="s">
        <v>6948</v>
      </c>
      <c r="N395" s="16"/>
      <c r="O395" s="16" t="s">
        <v>6949</v>
      </c>
      <c r="P395" s="16" t="str">
        <f>HYPERLINK("https://ceds.ed.gov/cedselementdetails.aspx?termid=26273")</f>
        <v>https://ceds.ed.gov/cedselementdetails.aspx?termid=26273</v>
      </c>
      <c r="Q395" s="16">
        <v>75738</v>
      </c>
    </row>
    <row r="396" spans="1:17" ht="28.8" x14ac:dyDescent="0.3">
      <c r="A396" s="16" t="s">
        <v>7596</v>
      </c>
      <c r="B396" s="16" t="s">
        <v>8866</v>
      </c>
      <c r="C396" s="16" t="s">
        <v>7647</v>
      </c>
      <c r="D396" s="16" t="s">
        <v>7597</v>
      </c>
      <c r="E396" s="16" t="s">
        <v>4108</v>
      </c>
      <c r="F396" s="16" t="s">
        <v>4109</v>
      </c>
      <c r="G396" s="16" t="s">
        <v>32</v>
      </c>
      <c r="H396" s="16"/>
      <c r="I396" s="16"/>
      <c r="J396" s="16" t="s">
        <v>106</v>
      </c>
      <c r="K396" s="16"/>
      <c r="L396" s="16"/>
      <c r="M396" s="19" t="s">
        <v>4110</v>
      </c>
      <c r="N396" s="16"/>
      <c r="O396" s="16" t="s">
        <v>4111</v>
      </c>
      <c r="P396" s="16" t="str">
        <f>HYPERLINK("https://ceds.ed.gov/cedselementdetails.aspx?termid=27169")</f>
        <v>https://ceds.ed.gov/cedselementdetails.aspx?termid=27169</v>
      </c>
      <c r="Q396" s="16">
        <v>73889</v>
      </c>
    </row>
    <row r="397" spans="1:17" ht="100.8" x14ac:dyDescent="0.3">
      <c r="A397" s="16" t="s">
        <v>7596</v>
      </c>
      <c r="B397" s="16" t="s">
        <v>8866</v>
      </c>
      <c r="C397" s="16" t="s">
        <v>7647</v>
      </c>
      <c r="D397" s="16" t="s">
        <v>7597</v>
      </c>
      <c r="E397" s="16" t="s">
        <v>4073</v>
      </c>
      <c r="F397" s="16" t="s">
        <v>4074</v>
      </c>
      <c r="G397" s="16" t="s">
        <v>32</v>
      </c>
      <c r="H397" s="16"/>
      <c r="I397" s="16"/>
      <c r="J397" s="16" t="s">
        <v>106</v>
      </c>
      <c r="K397" s="16"/>
      <c r="L397" s="16" t="s">
        <v>4075</v>
      </c>
      <c r="M397" s="19" t="s">
        <v>4076</v>
      </c>
      <c r="N397" s="16"/>
      <c r="O397" s="16" t="s">
        <v>4077</v>
      </c>
      <c r="P397" s="16" t="str">
        <f>HYPERLINK("https://ceds.ed.gov/cedselementdetails.aspx?termid=27170")</f>
        <v>https://ceds.ed.gov/cedselementdetails.aspx?termid=27170</v>
      </c>
      <c r="Q397" s="16">
        <v>74817</v>
      </c>
    </row>
    <row r="398" spans="1:17" ht="28.8" x14ac:dyDescent="0.3">
      <c r="A398" s="16" t="s">
        <v>7596</v>
      </c>
      <c r="B398" s="16" t="s">
        <v>8866</v>
      </c>
      <c r="C398" s="16" t="s">
        <v>7647</v>
      </c>
      <c r="D398" s="16" t="s">
        <v>7597</v>
      </c>
      <c r="E398" s="16" t="s">
        <v>4069</v>
      </c>
      <c r="F398" s="16" t="s">
        <v>4070</v>
      </c>
      <c r="G398" s="16" t="s">
        <v>32</v>
      </c>
      <c r="H398" s="16"/>
      <c r="I398" s="16"/>
      <c r="J398" s="16" t="s">
        <v>101</v>
      </c>
      <c r="K398" s="16"/>
      <c r="L398" s="16"/>
      <c r="M398" s="19" t="s">
        <v>4071</v>
      </c>
      <c r="N398" s="16"/>
      <c r="O398" s="16" t="s">
        <v>4072</v>
      </c>
      <c r="P398" s="16" t="str">
        <f>HYPERLINK("https://ceds.ed.gov/cedselementdetails.aspx?termid=26903")</f>
        <v>https://ceds.ed.gov/cedselementdetails.aspx?termid=26903</v>
      </c>
      <c r="Q398" s="16">
        <v>73881</v>
      </c>
    </row>
    <row r="399" spans="1:17" ht="43.2" x14ac:dyDescent="0.3">
      <c r="A399" s="16" t="s">
        <v>7596</v>
      </c>
      <c r="B399" s="16" t="s">
        <v>8866</v>
      </c>
      <c r="C399" s="16" t="s">
        <v>7647</v>
      </c>
      <c r="D399" s="16" t="s">
        <v>7597</v>
      </c>
      <c r="E399" s="16" t="s">
        <v>4121</v>
      </c>
      <c r="F399" s="16" t="s">
        <v>4122</v>
      </c>
      <c r="G399" s="16" t="s">
        <v>32</v>
      </c>
      <c r="H399" s="16"/>
      <c r="I399" s="16"/>
      <c r="J399" s="16" t="s">
        <v>101</v>
      </c>
      <c r="K399" s="16"/>
      <c r="L399" s="16"/>
      <c r="M399" s="19" t="s">
        <v>4123</v>
      </c>
      <c r="N399" s="16"/>
      <c r="O399" s="16" t="s">
        <v>4124</v>
      </c>
      <c r="P399" s="16" t="str">
        <f>HYPERLINK("https://ceds.ed.gov/cedselementdetails.aspx?termid=26902")</f>
        <v>https://ceds.ed.gov/cedselementdetails.aspx?termid=26902</v>
      </c>
      <c r="Q399" s="16">
        <v>73891</v>
      </c>
    </row>
    <row r="400" spans="1:17" ht="28.8" x14ac:dyDescent="0.3">
      <c r="A400" s="16" t="s">
        <v>7596</v>
      </c>
      <c r="B400" s="16" t="s">
        <v>8866</v>
      </c>
      <c r="C400" s="16" t="s">
        <v>7648</v>
      </c>
      <c r="D400" s="16" t="s">
        <v>7597</v>
      </c>
      <c r="E400" s="16" t="s">
        <v>2990</v>
      </c>
      <c r="F400" s="16" t="s">
        <v>2991</v>
      </c>
      <c r="G400" s="16" t="s">
        <v>32</v>
      </c>
      <c r="H400" s="16"/>
      <c r="I400" s="16"/>
      <c r="J400" s="16" t="s">
        <v>106</v>
      </c>
      <c r="K400" s="16"/>
      <c r="L400" s="16"/>
      <c r="M400" s="19" t="s">
        <v>2992</v>
      </c>
      <c r="N400" s="16"/>
      <c r="O400" s="16" t="s">
        <v>2993</v>
      </c>
      <c r="P400" s="16" t="str">
        <f>HYPERLINK("https://ceds.ed.gov/cedselementdetails.aspx?termid=27335")</f>
        <v>https://ceds.ed.gov/cedselementdetails.aspx?termid=27335</v>
      </c>
      <c r="Q400" s="16">
        <v>73222</v>
      </c>
    </row>
    <row r="401" spans="1:17" ht="43.2" x14ac:dyDescent="0.3">
      <c r="A401" s="16" t="s">
        <v>7596</v>
      </c>
      <c r="B401" s="16" t="s">
        <v>8866</v>
      </c>
      <c r="C401" s="16" t="s">
        <v>7648</v>
      </c>
      <c r="D401" s="16" t="s">
        <v>7597</v>
      </c>
      <c r="E401" s="16" t="s">
        <v>4359</v>
      </c>
      <c r="F401" s="16" t="s">
        <v>4360</v>
      </c>
      <c r="G401" s="16" t="s">
        <v>22</v>
      </c>
      <c r="H401" s="16"/>
      <c r="I401" s="16"/>
      <c r="J401" s="16"/>
      <c r="K401" s="16"/>
      <c r="L401" s="16"/>
      <c r="M401" s="19" t="s">
        <v>4361</v>
      </c>
      <c r="N401" s="16"/>
      <c r="O401" s="16" t="s">
        <v>4362</v>
      </c>
      <c r="P401" s="16" t="str">
        <f>HYPERLINK("https://ceds.ed.gov/cedselementdetails.aspx?termid=27327")</f>
        <v>https://ceds.ed.gov/cedselementdetails.aspx?termid=27327</v>
      </c>
      <c r="Q401" s="16">
        <v>73215</v>
      </c>
    </row>
    <row r="402" spans="1:17" ht="72" x14ac:dyDescent="0.3">
      <c r="A402" s="16" t="s">
        <v>7596</v>
      </c>
      <c r="B402" s="16" t="s">
        <v>8866</v>
      </c>
      <c r="C402" s="16" t="s">
        <v>7648</v>
      </c>
      <c r="D402" s="16" t="s">
        <v>7597</v>
      </c>
      <c r="E402" s="16" t="s">
        <v>4367</v>
      </c>
      <c r="F402" s="16" t="s">
        <v>4368</v>
      </c>
      <c r="G402" s="16" t="s">
        <v>32</v>
      </c>
      <c r="H402" s="16"/>
      <c r="I402" s="16"/>
      <c r="J402" s="16" t="s">
        <v>106</v>
      </c>
      <c r="K402" s="16"/>
      <c r="L402" s="16"/>
      <c r="M402" s="19" t="s">
        <v>4369</v>
      </c>
      <c r="N402" s="16"/>
      <c r="O402" s="16" t="s">
        <v>4370</v>
      </c>
      <c r="P402" s="16" t="str">
        <f>HYPERLINK("https://ceds.ed.gov/cedselementdetails.aspx?termid=27472")</f>
        <v>https://ceds.ed.gov/cedselementdetails.aspx?termid=27472</v>
      </c>
      <c r="Q402" s="16">
        <v>73458</v>
      </c>
    </row>
    <row r="403" spans="1:17" ht="57.6" x14ac:dyDescent="0.3">
      <c r="A403" s="16" t="s">
        <v>7596</v>
      </c>
      <c r="B403" s="16" t="s">
        <v>8866</v>
      </c>
      <c r="C403" s="16" t="s">
        <v>7648</v>
      </c>
      <c r="D403" s="16" t="s">
        <v>7597</v>
      </c>
      <c r="E403" s="16" t="s">
        <v>4375</v>
      </c>
      <c r="F403" s="16" t="s">
        <v>4376</v>
      </c>
      <c r="G403" s="16" t="s">
        <v>22</v>
      </c>
      <c r="H403" s="16"/>
      <c r="I403" s="16"/>
      <c r="J403" s="16"/>
      <c r="K403" s="16"/>
      <c r="L403" s="16"/>
      <c r="M403" s="19" t="s">
        <v>4377</v>
      </c>
      <c r="N403" s="16"/>
      <c r="O403" s="16" t="s">
        <v>4378</v>
      </c>
      <c r="P403" s="16" t="str">
        <f>HYPERLINK("https://ceds.ed.gov/cedselementdetails.aspx?termid=27330")</f>
        <v>https://ceds.ed.gov/cedselementdetails.aspx?termid=27330</v>
      </c>
      <c r="Q403" s="16">
        <v>73218</v>
      </c>
    </row>
    <row r="404" spans="1:17" ht="57.6" x14ac:dyDescent="0.3">
      <c r="A404" s="16" t="s">
        <v>7596</v>
      </c>
      <c r="B404" s="16" t="s">
        <v>8866</v>
      </c>
      <c r="C404" s="16" t="s">
        <v>7648</v>
      </c>
      <c r="D404" s="16" t="s">
        <v>7597</v>
      </c>
      <c r="E404" s="16" t="s">
        <v>4371</v>
      </c>
      <c r="F404" s="16" t="s">
        <v>4372</v>
      </c>
      <c r="G404" s="16" t="s">
        <v>32</v>
      </c>
      <c r="H404" s="16"/>
      <c r="I404" s="16"/>
      <c r="J404" s="16" t="s">
        <v>106</v>
      </c>
      <c r="K404" s="16"/>
      <c r="L404" s="16"/>
      <c r="M404" s="19" t="s">
        <v>4373</v>
      </c>
      <c r="N404" s="16"/>
      <c r="O404" s="16" t="s">
        <v>4374</v>
      </c>
      <c r="P404" s="16" t="str">
        <f>HYPERLINK("https://ceds.ed.gov/cedselementdetails.aspx?termid=27331")</f>
        <v>https://ceds.ed.gov/cedselementdetails.aspx?termid=27331</v>
      </c>
      <c r="Q404" s="16">
        <v>73219</v>
      </c>
    </row>
    <row r="405" spans="1:17" ht="43.2" x14ac:dyDescent="0.3">
      <c r="A405" s="16" t="s">
        <v>7596</v>
      </c>
      <c r="B405" s="16" t="s">
        <v>8866</v>
      </c>
      <c r="C405" s="16" t="s">
        <v>7648</v>
      </c>
      <c r="D405" s="16" t="s">
        <v>7597</v>
      </c>
      <c r="E405" s="16" t="s">
        <v>7173</v>
      </c>
      <c r="F405" s="16" t="s">
        <v>7174</v>
      </c>
      <c r="G405" s="16" t="s">
        <v>32</v>
      </c>
      <c r="H405" s="16"/>
      <c r="I405" s="16"/>
      <c r="J405" s="16" t="s">
        <v>106</v>
      </c>
      <c r="K405" s="16"/>
      <c r="L405" s="16"/>
      <c r="M405" s="19" t="s">
        <v>7175</v>
      </c>
      <c r="N405" s="16"/>
      <c r="O405" s="16" t="s">
        <v>7176</v>
      </c>
      <c r="P405" s="16" t="str">
        <f>HYPERLINK("https://ceds.ed.gov/cedselementdetails.aspx?termid=27333")</f>
        <v>https://ceds.ed.gov/cedselementdetails.aspx?termid=27333</v>
      </c>
      <c r="Q405" s="16">
        <v>73220</v>
      </c>
    </row>
    <row r="406" spans="1:17" ht="86.4" x14ac:dyDescent="0.3">
      <c r="A406" s="16" t="s">
        <v>7596</v>
      </c>
      <c r="B406" s="16" t="s">
        <v>8866</v>
      </c>
      <c r="C406" s="16" t="s">
        <v>7648</v>
      </c>
      <c r="D406" s="16" t="s">
        <v>7597</v>
      </c>
      <c r="E406" s="16" t="s">
        <v>6253</v>
      </c>
      <c r="F406" s="16" t="s">
        <v>6254</v>
      </c>
      <c r="G406" s="16" t="s">
        <v>8813</v>
      </c>
      <c r="H406" s="16"/>
      <c r="I406" s="16"/>
      <c r="J406" s="16"/>
      <c r="K406" s="16"/>
      <c r="L406" s="16"/>
      <c r="M406" s="19" t="s">
        <v>6255</v>
      </c>
      <c r="N406" s="16"/>
      <c r="O406" s="16" t="s">
        <v>6256</v>
      </c>
      <c r="P406" s="16" t="str">
        <f>HYPERLINK("https://ceds.ed.gov/cedselementdetails.aspx?termid=27494")</f>
        <v>https://ceds.ed.gov/cedselementdetails.aspx?termid=27494</v>
      </c>
      <c r="Q406" s="16">
        <v>73674</v>
      </c>
    </row>
    <row r="407" spans="1:17" ht="57.6" x14ac:dyDescent="0.3">
      <c r="A407" s="16" t="s">
        <v>7596</v>
      </c>
      <c r="B407" s="16" t="s">
        <v>8866</v>
      </c>
      <c r="C407" s="16" t="s">
        <v>7648</v>
      </c>
      <c r="D407" s="16" t="s">
        <v>7597</v>
      </c>
      <c r="E407" s="16" t="s">
        <v>7177</v>
      </c>
      <c r="F407" s="16" t="s">
        <v>7178</v>
      </c>
      <c r="G407" s="16" t="s">
        <v>32</v>
      </c>
      <c r="H407" s="16"/>
      <c r="I407" s="16"/>
      <c r="J407" s="16" t="s">
        <v>106</v>
      </c>
      <c r="K407" s="16"/>
      <c r="L407" s="16"/>
      <c r="M407" s="19" t="s">
        <v>7179</v>
      </c>
      <c r="N407" s="16"/>
      <c r="O407" s="16" t="s">
        <v>7180</v>
      </c>
      <c r="P407" s="16" t="str">
        <f>HYPERLINK("https://ceds.ed.gov/cedselementdetails.aspx?termid=27334")</f>
        <v>https://ceds.ed.gov/cedselementdetails.aspx?termid=27334</v>
      </c>
      <c r="Q407" s="16">
        <v>73221</v>
      </c>
    </row>
    <row r="408" spans="1:17" ht="57.6" x14ac:dyDescent="0.3">
      <c r="A408" s="16" t="s">
        <v>7596</v>
      </c>
      <c r="B408" s="16" t="s">
        <v>8866</v>
      </c>
      <c r="C408" s="16" t="s">
        <v>7648</v>
      </c>
      <c r="D408" s="16" t="s">
        <v>7597</v>
      </c>
      <c r="E408" s="16" t="s">
        <v>12684</v>
      </c>
      <c r="F408" s="16" t="s">
        <v>12685</v>
      </c>
      <c r="G408" s="16" t="s">
        <v>32</v>
      </c>
      <c r="H408" s="16"/>
      <c r="I408" s="16" t="s">
        <v>155</v>
      </c>
      <c r="J408" s="16" t="s">
        <v>106</v>
      </c>
      <c r="K408" s="16" t="s">
        <v>12636</v>
      </c>
      <c r="L408" s="16"/>
      <c r="M408" s="19" t="s">
        <v>12686</v>
      </c>
      <c r="N408" s="16"/>
      <c r="O408" s="16" t="s">
        <v>12687</v>
      </c>
      <c r="P408" s="16" t="str">
        <f>HYPERLINK("https://ceds.ed.gov/cedselementdetails.aspx?termid=28106")</f>
        <v>https://ceds.ed.gov/cedselementdetails.aspx?termid=28106</v>
      </c>
      <c r="Q408" s="16">
        <v>76583</v>
      </c>
    </row>
    <row r="409" spans="1:17" ht="230.4" x14ac:dyDescent="0.3">
      <c r="A409" s="16" t="s">
        <v>7596</v>
      </c>
      <c r="B409" s="16" t="s">
        <v>8866</v>
      </c>
      <c r="C409" s="16" t="s">
        <v>7648</v>
      </c>
      <c r="D409" s="16" t="s">
        <v>7597</v>
      </c>
      <c r="E409" s="16" t="s">
        <v>12773</v>
      </c>
      <c r="F409" s="16" t="s">
        <v>12774</v>
      </c>
      <c r="G409" s="16" t="s">
        <v>12907</v>
      </c>
      <c r="H409" s="16"/>
      <c r="I409" s="16" t="s">
        <v>155</v>
      </c>
      <c r="J409" s="16" t="s">
        <v>2</v>
      </c>
      <c r="K409" s="16" t="s">
        <v>12636</v>
      </c>
      <c r="L409" s="16" t="s">
        <v>12775</v>
      </c>
      <c r="M409" s="19" t="s">
        <v>12776</v>
      </c>
      <c r="N409" s="16"/>
      <c r="O409" s="16" t="s">
        <v>12777</v>
      </c>
      <c r="P409" s="16" t="str">
        <f>HYPERLINK("https://ceds.ed.gov/cedselementdetails.aspx?termid=28098")</f>
        <v>https://ceds.ed.gov/cedselementdetails.aspx?termid=28098</v>
      </c>
      <c r="Q409" s="16">
        <v>76573</v>
      </c>
    </row>
    <row r="410" spans="1:17" ht="43.2" x14ac:dyDescent="0.3">
      <c r="A410" s="16" t="s">
        <v>7596</v>
      </c>
      <c r="B410" s="16" t="s">
        <v>8866</v>
      </c>
      <c r="C410" s="16" t="s">
        <v>7649</v>
      </c>
      <c r="D410" s="16" t="s">
        <v>7597</v>
      </c>
      <c r="E410" s="16" t="s">
        <v>1987</v>
      </c>
      <c r="F410" s="16" t="s">
        <v>1988</v>
      </c>
      <c r="G410" s="16" t="s">
        <v>22</v>
      </c>
      <c r="H410" s="16"/>
      <c r="I410" s="16"/>
      <c r="J410" s="16"/>
      <c r="K410" s="16"/>
      <c r="L410" s="16"/>
      <c r="M410" s="19" t="s">
        <v>1989</v>
      </c>
      <c r="N410" s="16" t="s">
        <v>1990</v>
      </c>
      <c r="O410" s="16" t="s">
        <v>1991</v>
      </c>
      <c r="P410" s="16" t="str">
        <f>HYPERLINK("https://ceds.ed.gov/cedselementdetails.aspx?termid=27476")</f>
        <v>https://ceds.ed.gov/cedselementdetails.aspx?termid=27476</v>
      </c>
      <c r="Q410" s="16">
        <v>73694</v>
      </c>
    </row>
    <row r="411" spans="1:17" ht="57.6" x14ac:dyDescent="0.3">
      <c r="A411" s="16" t="s">
        <v>7596</v>
      </c>
      <c r="B411" s="16" t="s">
        <v>8866</v>
      </c>
      <c r="C411" s="16" t="s">
        <v>7649</v>
      </c>
      <c r="D411" s="16" t="s">
        <v>7597</v>
      </c>
      <c r="E411" s="16" t="s">
        <v>1992</v>
      </c>
      <c r="F411" s="16" t="s">
        <v>1993</v>
      </c>
      <c r="G411" s="16" t="s">
        <v>22</v>
      </c>
      <c r="H411" s="16"/>
      <c r="I411" s="16"/>
      <c r="J411" s="16"/>
      <c r="K411" s="16"/>
      <c r="L411" s="16"/>
      <c r="M411" s="19" t="s">
        <v>1994</v>
      </c>
      <c r="N411" s="16" t="s">
        <v>1995</v>
      </c>
      <c r="O411" s="16" t="s">
        <v>1996</v>
      </c>
      <c r="P411" s="16" t="str">
        <f>HYPERLINK("https://ceds.ed.gov/cedselementdetails.aspx?termid=27477")</f>
        <v>https://ceds.ed.gov/cedselementdetails.aspx?termid=27477</v>
      </c>
      <c r="Q411" s="16">
        <v>73693</v>
      </c>
    </row>
    <row r="412" spans="1:17" ht="43.2" x14ac:dyDescent="0.3">
      <c r="A412" s="16" t="s">
        <v>7596</v>
      </c>
      <c r="B412" s="16" t="s">
        <v>8866</v>
      </c>
      <c r="C412" s="16" t="s">
        <v>7649</v>
      </c>
      <c r="D412" s="16" t="s">
        <v>7597</v>
      </c>
      <c r="E412" s="16" t="s">
        <v>1997</v>
      </c>
      <c r="F412" s="16" t="s">
        <v>1998</v>
      </c>
      <c r="G412" s="16" t="s">
        <v>22</v>
      </c>
      <c r="H412" s="16"/>
      <c r="I412" s="16"/>
      <c r="J412" s="16"/>
      <c r="K412" s="16"/>
      <c r="L412" s="16"/>
      <c r="M412" s="19" t="s">
        <v>1999</v>
      </c>
      <c r="N412" s="16" t="s">
        <v>2000</v>
      </c>
      <c r="O412" s="16" t="s">
        <v>2001</v>
      </c>
      <c r="P412" s="16" t="str">
        <f>HYPERLINK("https://ceds.ed.gov/cedselementdetails.aspx?termid=27478")</f>
        <v>https://ceds.ed.gov/cedselementdetails.aspx?termid=27478</v>
      </c>
      <c r="Q412" s="16">
        <v>73692</v>
      </c>
    </row>
    <row r="413" spans="1:17" ht="216" x14ac:dyDescent="0.3">
      <c r="A413" s="16" t="s">
        <v>7596</v>
      </c>
      <c r="B413" s="16" t="s">
        <v>8866</v>
      </c>
      <c r="C413" s="16" t="s">
        <v>7649</v>
      </c>
      <c r="D413" s="16" t="s">
        <v>7597</v>
      </c>
      <c r="E413" s="16" t="s">
        <v>2002</v>
      </c>
      <c r="F413" s="16" t="s">
        <v>2003</v>
      </c>
      <c r="G413" s="16" t="s">
        <v>8436</v>
      </c>
      <c r="H413" s="16"/>
      <c r="I413" s="16"/>
      <c r="J413" s="16"/>
      <c r="K413" s="16"/>
      <c r="L413" s="16"/>
      <c r="M413" s="19" t="s">
        <v>2004</v>
      </c>
      <c r="N413" s="16" t="s">
        <v>2005</v>
      </c>
      <c r="O413" s="16" t="s">
        <v>2006</v>
      </c>
      <c r="P413" s="16" t="str">
        <f>HYPERLINK("https://ceds.ed.gov/cedselementdetails.aspx?termid=27479")</f>
        <v>https://ceds.ed.gov/cedselementdetails.aspx?termid=27479</v>
      </c>
      <c r="Q413" s="16">
        <v>73689</v>
      </c>
    </row>
    <row r="414" spans="1:17" ht="216" x14ac:dyDescent="0.3">
      <c r="A414" s="16" t="s">
        <v>7596</v>
      </c>
      <c r="B414" s="16" t="s">
        <v>8866</v>
      </c>
      <c r="C414" s="16" t="s">
        <v>7649</v>
      </c>
      <c r="D414" s="16" t="s">
        <v>7597</v>
      </c>
      <c r="E414" s="16" t="s">
        <v>2007</v>
      </c>
      <c r="F414" s="16" t="s">
        <v>2008</v>
      </c>
      <c r="G414" s="16" t="s">
        <v>8436</v>
      </c>
      <c r="H414" s="16"/>
      <c r="I414" s="16"/>
      <c r="J414" s="16"/>
      <c r="K414" s="16"/>
      <c r="L414" s="16"/>
      <c r="M414" s="19" t="s">
        <v>2009</v>
      </c>
      <c r="N414" s="16" t="s">
        <v>2010</v>
      </c>
      <c r="O414" s="16" t="s">
        <v>2011</v>
      </c>
      <c r="P414" s="16" t="str">
        <f>HYPERLINK("https://ceds.ed.gov/cedselementdetails.aspx?termid=27480")</f>
        <v>https://ceds.ed.gov/cedselementdetails.aspx?termid=27480</v>
      </c>
      <c r="Q414" s="16">
        <v>73690</v>
      </c>
    </row>
    <row r="415" spans="1:17" ht="216" x14ac:dyDescent="0.3">
      <c r="A415" s="16" t="s">
        <v>7596</v>
      </c>
      <c r="B415" s="16" t="s">
        <v>8866</v>
      </c>
      <c r="C415" s="16" t="s">
        <v>7649</v>
      </c>
      <c r="D415" s="16" t="s">
        <v>7597</v>
      </c>
      <c r="E415" s="16" t="s">
        <v>2012</v>
      </c>
      <c r="F415" s="16" t="s">
        <v>2013</v>
      </c>
      <c r="G415" s="16" t="s">
        <v>8436</v>
      </c>
      <c r="H415" s="16"/>
      <c r="I415" s="16"/>
      <c r="J415" s="16"/>
      <c r="K415" s="16"/>
      <c r="L415" s="16"/>
      <c r="M415" s="19" t="s">
        <v>2014</v>
      </c>
      <c r="N415" s="16" t="s">
        <v>2015</v>
      </c>
      <c r="O415" s="16" t="s">
        <v>2016</v>
      </c>
      <c r="P415" s="16" t="str">
        <f>HYPERLINK("https://ceds.ed.gov/cedselementdetails.aspx?termid=27481")</f>
        <v>https://ceds.ed.gov/cedselementdetails.aspx?termid=27481</v>
      </c>
      <c r="Q415" s="16">
        <v>73691</v>
      </c>
    </row>
    <row r="416" spans="1:17" ht="72" x14ac:dyDescent="0.3">
      <c r="A416" s="16" t="s">
        <v>7596</v>
      </c>
      <c r="B416" s="16" t="s">
        <v>8866</v>
      </c>
      <c r="C416" s="16" t="s">
        <v>7649</v>
      </c>
      <c r="D416" s="16" t="s">
        <v>7597</v>
      </c>
      <c r="E416" s="16" t="s">
        <v>3313</v>
      </c>
      <c r="F416" s="16" t="s">
        <v>3314</v>
      </c>
      <c r="G416" s="16" t="s">
        <v>8527</v>
      </c>
      <c r="H416" s="16"/>
      <c r="I416" s="16"/>
      <c r="J416" s="16"/>
      <c r="K416" s="16"/>
      <c r="L416" s="16"/>
      <c r="M416" s="19" t="s">
        <v>3315</v>
      </c>
      <c r="N416" s="16"/>
      <c r="O416" s="16" t="s">
        <v>3316</v>
      </c>
      <c r="P416" s="16" t="str">
        <f>HYPERLINK("https://ceds.ed.gov/cedselementdetails.aspx?termid=27303")</f>
        <v>https://ceds.ed.gov/cedselementdetails.aspx?termid=27303</v>
      </c>
      <c r="Q416" s="16">
        <v>74375</v>
      </c>
    </row>
    <row r="417" spans="1:17" ht="72" x14ac:dyDescent="0.3">
      <c r="A417" s="16" t="s">
        <v>7596</v>
      </c>
      <c r="B417" s="16" t="s">
        <v>8866</v>
      </c>
      <c r="C417" s="16" t="s">
        <v>7649</v>
      </c>
      <c r="D417" s="16" t="s">
        <v>7597</v>
      </c>
      <c r="E417" s="16" t="s">
        <v>3317</v>
      </c>
      <c r="F417" s="16" t="s">
        <v>3318</v>
      </c>
      <c r="G417" s="16" t="s">
        <v>8528</v>
      </c>
      <c r="H417" s="16"/>
      <c r="I417" s="16"/>
      <c r="J417" s="16"/>
      <c r="K417" s="16"/>
      <c r="L417" s="16"/>
      <c r="M417" s="19" t="s">
        <v>3319</v>
      </c>
      <c r="N417" s="16"/>
      <c r="O417" s="16" t="s">
        <v>3320</v>
      </c>
      <c r="P417" s="16" t="str">
        <f>HYPERLINK("https://ceds.ed.gov/cedselementdetails.aspx?termid=27475")</f>
        <v>https://ceds.ed.gov/cedselementdetails.aspx?termid=27475</v>
      </c>
      <c r="Q417" s="16">
        <v>74376</v>
      </c>
    </row>
    <row r="418" spans="1:17" ht="28.8" x14ac:dyDescent="0.3">
      <c r="A418" s="16" t="s">
        <v>7596</v>
      </c>
      <c r="B418" s="16" t="s">
        <v>8866</v>
      </c>
      <c r="C418" s="16" t="s">
        <v>7649</v>
      </c>
      <c r="D418" s="16" t="s">
        <v>7597</v>
      </c>
      <c r="E418" s="16" t="s">
        <v>12744</v>
      </c>
      <c r="F418" s="16" t="s">
        <v>12745</v>
      </c>
      <c r="G418" s="16" t="s">
        <v>32</v>
      </c>
      <c r="H418" s="16"/>
      <c r="I418" s="16" t="s">
        <v>155</v>
      </c>
      <c r="J418" s="16" t="s">
        <v>106</v>
      </c>
      <c r="K418" s="16" t="s">
        <v>12636</v>
      </c>
      <c r="L418" s="16"/>
      <c r="M418" s="19" t="s">
        <v>12746</v>
      </c>
      <c r="N418" s="16"/>
      <c r="O418" s="16" t="s">
        <v>12747</v>
      </c>
      <c r="P418" s="16" t="str">
        <f>HYPERLINK("https://ceds.ed.gov/cedselementdetails.aspx?termid=28107")</f>
        <v>https://ceds.ed.gov/cedselementdetails.aspx?termid=28107</v>
      </c>
      <c r="Q418" s="16">
        <v>76584</v>
      </c>
    </row>
    <row r="419" spans="1:17" ht="409.6" x14ac:dyDescent="0.3">
      <c r="A419" s="16" t="s">
        <v>7596</v>
      </c>
      <c r="B419" s="16" t="s">
        <v>8866</v>
      </c>
      <c r="C419" s="16" t="s">
        <v>7650</v>
      </c>
      <c r="D419" s="16" t="s">
        <v>7597</v>
      </c>
      <c r="E419" s="16" t="s">
        <v>6130</v>
      </c>
      <c r="F419" s="16" t="s">
        <v>6131</v>
      </c>
      <c r="G419" s="16" t="s">
        <v>9420</v>
      </c>
      <c r="H419" s="16" t="s">
        <v>64</v>
      </c>
      <c r="I419" s="16"/>
      <c r="J419" s="16"/>
      <c r="K419" s="16"/>
      <c r="L419" s="16"/>
      <c r="M419" s="19" t="s">
        <v>6132</v>
      </c>
      <c r="N419" s="16"/>
      <c r="O419" s="16" t="s">
        <v>6133</v>
      </c>
      <c r="P419" s="16" t="str">
        <f>HYPERLINK("https://ceds.ed.gov/cedselementdetails.aspx?termid=26225")</f>
        <v>https://ceds.ed.gov/cedselementdetails.aspx?termid=26225</v>
      </c>
      <c r="Q419" s="16">
        <v>74446</v>
      </c>
    </row>
    <row r="420" spans="1:17" ht="259.2" x14ac:dyDescent="0.3">
      <c r="A420" s="16" t="s">
        <v>7596</v>
      </c>
      <c r="B420" s="16" t="s">
        <v>8866</v>
      </c>
      <c r="C420" s="16" t="s">
        <v>7650</v>
      </c>
      <c r="D420" s="16" t="s">
        <v>7597</v>
      </c>
      <c r="E420" s="16" t="s">
        <v>3223</v>
      </c>
      <c r="F420" s="16" t="s">
        <v>3224</v>
      </c>
      <c r="G420" s="16" t="s">
        <v>9329</v>
      </c>
      <c r="H420" s="16" t="s">
        <v>98</v>
      </c>
      <c r="I420" s="16"/>
      <c r="J420" s="16"/>
      <c r="K420" s="16"/>
      <c r="L420" s="16"/>
      <c r="M420" s="19" t="s">
        <v>3225</v>
      </c>
      <c r="N420" s="16"/>
      <c r="O420" s="16" t="s">
        <v>3226</v>
      </c>
      <c r="P420" s="16" t="str">
        <f>HYPERLINK("https://ceds.ed.gov/cedselementdetails.aspx?termid=26829")</f>
        <v>https://ceds.ed.gov/cedselementdetails.aspx?termid=26829</v>
      </c>
      <c r="Q420" s="16">
        <v>74133</v>
      </c>
    </row>
    <row r="421" spans="1:17" ht="115.2" x14ac:dyDescent="0.3">
      <c r="A421" s="16" t="s">
        <v>7596</v>
      </c>
      <c r="B421" s="16" t="s">
        <v>8866</v>
      </c>
      <c r="C421" s="16" t="s">
        <v>7650</v>
      </c>
      <c r="D421" s="16" t="s">
        <v>7597</v>
      </c>
      <c r="E421" s="16" t="s">
        <v>6102</v>
      </c>
      <c r="F421" s="16" t="s">
        <v>6103</v>
      </c>
      <c r="G421" s="16" t="s">
        <v>8799</v>
      </c>
      <c r="H421" s="16" t="s">
        <v>2564</v>
      </c>
      <c r="I421" s="16"/>
      <c r="J421" s="16"/>
      <c r="K421" s="16"/>
      <c r="L421" s="16"/>
      <c r="M421" s="19" t="s">
        <v>6104</v>
      </c>
      <c r="N421" s="16"/>
      <c r="O421" s="16" t="s">
        <v>6105</v>
      </c>
      <c r="P421" s="16" t="str">
        <f>HYPERLINK("https://ceds.ed.gov/cedselementdetails.aspx?termid=27209")</f>
        <v>https://ceds.ed.gov/cedselementdetails.aspx?termid=27209</v>
      </c>
      <c r="Q421" s="16">
        <v>74447</v>
      </c>
    </row>
    <row r="422" spans="1:17" ht="57.6" x14ac:dyDescent="0.3">
      <c r="A422" s="16" t="s">
        <v>7596</v>
      </c>
      <c r="B422" s="16" t="s">
        <v>8866</v>
      </c>
      <c r="C422" s="16" t="s">
        <v>7650</v>
      </c>
      <c r="D422" s="16" t="s">
        <v>7597</v>
      </c>
      <c r="E422" s="16" t="s">
        <v>6097</v>
      </c>
      <c r="F422" s="16" t="s">
        <v>6098</v>
      </c>
      <c r="G422" s="16" t="s">
        <v>32</v>
      </c>
      <c r="H422" s="16" t="s">
        <v>6101</v>
      </c>
      <c r="I422" s="16"/>
      <c r="J422" s="16" t="s">
        <v>106</v>
      </c>
      <c r="K422" s="16"/>
      <c r="L422" s="16"/>
      <c r="M422" s="19" t="s">
        <v>6099</v>
      </c>
      <c r="N422" s="16"/>
      <c r="O422" s="16" t="s">
        <v>6100</v>
      </c>
      <c r="P422" s="16" t="str">
        <f>HYPERLINK("https://ceds.ed.gov/cedselementdetails.aspx?termid=26583")</f>
        <v>https://ceds.ed.gov/cedselementdetails.aspx?termid=26583</v>
      </c>
      <c r="Q422" s="16">
        <v>70661</v>
      </c>
    </row>
    <row r="423" spans="1:17" ht="57.6" x14ac:dyDescent="0.3">
      <c r="A423" s="16" t="s">
        <v>7596</v>
      </c>
      <c r="B423" s="16" t="s">
        <v>8866</v>
      </c>
      <c r="C423" s="16" t="s">
        <v>7650</v>
      </c>
      <c r="D423" s="16" t="s">
        <v>7597</v>
      </c>
      <c r="E423" s="16" t="s">
        <v>6093</v>
      </c>
      <c r="F423" s="16" t="s">
        <v>1900</v>
      </c>
      <c r="G423" s="16" t="s">
        <v>32</v>
      </c>
      <c r="H423" s="16" t="s">
        <v>6096</v>
      </c>
      <c r="I423" s="16"/>
      <c r="J423" s="16" t="s">
        <v>106</v>
      </c>
      <c r="K423" s="16"/>
      <c r="L423" s="16" t="s">
        <v>131</v>
      </c>
      <c r="M423" s="19" t="s">
        <v>6094</v>
      </c>
      <c r="N423" s="16"/>
      <c r="O423" s="16" t="s">
        <v>6095</v>
      </c>
      <c r="P423" s="16" t="str">
        <f>HYPERLINK("https://ceds.ed.gov/cedselementdetails.aspx?termid=26584")</f>
        <v>https://ceds.ed.gov/cedselementdetails.aspx?termid=26584</v>
      </c>
      <c r="Q423" s="16">
        <v>70662</v>
      </c>
    </row>
    <row r="424" spans="1:17" ht="409.6" x14ac:dyDescent="0.3">
      <c r="A424" s="16" t="s">
        <v>7596</v>
      </c>
      <c r="B424" s="16" t="s">
        <v>8866</v>
      </c>
      <c r="C424" s="16" t="s">
        <v>7650</v>
      </c>
      <c r="D424" s="16" t="s">
        <v>7597</v>
      </c>
      <c r="E424" s="16" t="s">
        <v>3569</v>
      </c>
      <c r="F424" s="16" t="s">
        <v>3570</v>
      </c>
      <c r="G424" s="16" t="s">
        <v>8561</v>
      </c>
      <c r="H424" s="16"/>
      <c r="I424" s="16" t="s">
        <v>160</v>
      </c>
      <c r="J424" s="16"/>
      <c r="K424" s="16" t="s">
        <v>12935</v>
      </c>
      <c r="L424" s="16"/>
      <c r="M424" s="19" t="s">
        <v>3571</v>
      </c>
      <c r="N424" s="16"/>
      <c r="O424" s="16" t="s">
        <v>3572</v>
      </c>
      <c r="P424" s="16" t="str">
        <f>HYPERLINK("https://ceds.ed.gov/cedselementdetails.aspx?termid=26222")</f>
        <v>https://ceds.ed.gov/cedselementdetails.aspx?termid=26222</v>
      </c>
      <c r="Q424" s="16">
        <v>74450</v>
      </c>
    </row>
    <row r="425" spans="1:17" ht="115.2" x14ac:dyDescent="0.3">
      <c r="A425" s="16" t="s">
        <v>7596</v>
      </c>
      <c r="B425" s="16" t="s">
        <v>8866</v>
      </c>
      <c r="C425" s="16" t="s">
        <v>7650</v>
      </c>
      <c r="D425" s="16" t="s">
        <v>7597</v>
      </c>
      <c r="E425" s="16" t="s">
        <v>2086</v>
      </c>
      <c r="F425" s="16" t="s">
        <v>2087</v>
      </c>
      <c r="G425" s="16" t="s">
        <v>8441</v>
      </c>
      <c r="H425" s="16"/>
      <c r="I425" s="16"/>
      <c r="J425" s="16"/>
      <c r="K425" s="16"/>
      <c r="L425" s="16"/>
      <c r="M425" s="19" t="s">
        <v>2088</v>
      </c>
      <c r="N425" s="16"/>
      <c r="O425" s="16" t="s">
        <v>2089</v>
      </c>
      <c r="P425" s="16" t="str">
        <f>HYPERLINK("https://ceds.ed.gov/cedselementdetails.aspx?termid=27614")</f>
        <v>https://ceds.ed.gov/cedselementdetails.aspx?termid=27614</v>
      </c>
      <c r="Q425" s="16">
        <v>74130</v>
      </c>
    </row>
    <row r="426" spans="1:17" ht="43.2" x14ac:dyDescent="0.3">
      <c r="A426" s="16" t="s">
        <v>7596</v>
      </c>
      <c r="B426" s="16" t="s">
        <v>8866</v>
      </c>
      <c r="C426" s="16" t="s">
        <v>7650</v>
      </c>
      <c r="D426" s="16" t="s">
        <v>7597</v>
      </c>
      <c r="E426" s="16" t="s">
        <v>4550</v>
      </c>
      <c r="F426" s="16" t="s">
        <v>4551</v>
      </c>
      <c r="G426" s="16" t="s">
        <v>22</v>
      </c>
      <c r="H426" s="16"/>
      <c r="I426" s="16"/>
      <c r="J426" s="16"/>
      <c r="K426" s="16"/>
      <c r="L426" s="16"/>
      <c r="M426" s="19" t="s">
        <v>4552</v>
      </c>
      <c r="N426" s="16"/>
      <c r="O426" s="16" t="s">
        <v>4553</v>
      </c>
      <c r="P426" s="16" t="str">
        <f>HYPERLINK("https://ceds.ed.gov/cedselementdetails.aspx?termid=27615")</f>
        <v>https://ceds.ed.gov/cedselementdetails.aspx?termid=27615</v>
      </c>
      <c r="Q426" s="16">
        <v>74139</v>
      </c>
    </row>
    <row r="427" spans="1:17" ht="187.2" x14ac:dyDescent="0.3">
      <c r="A427" s="16" t="s">
        <v>7596</v>
      </c>
      <c r="B427" s="16" t="s">
        <v>8866</v>
      </c>
      <c r="C427" s="16" t="s">
        <v>7650</v>
      </c>
      <c r="D427" s="16" t="s">
        <v>7597</v>
      </c>
      <c r="E427" s="16" t="s">
        <v>5582</v>
      </c>
      <c r="F427" s="16" t="s">
        <v>5583</v>
      </c>
      <c r="G427" s="16" t="s">
        <v>8247</v>
      </c>
      <c r="H427" s="16" t="s">
        <v>98</v>
      </c>
      <c r="I427" s="16"/>
      <c r="J427" s="16"/>
      <c r="K427" s="16"/>
      <c r="L427" s="16"/>
      <c r="M427" s="19" t="s">
        <v>5584</v>
      </c>
      <c r="N427" s="16"/>
      <c r="O427" s="16" t="s">
        <v>5585</v>
      </c>
      <c r="P427" s="16" t="str">
        <f>HYPERLINK("https://ceds.ed.gov/cedselementdetails.aspx?termid=26827")</f>
        <v>https://ceds.ed.gov/cedselementdetails.aspx?termid=26827</v>
      </c>
      <c r="Q427" s="16">
        <v>74379</v>
      </c>
    </row>
    <row r="428" spans="1:17" ht="230.4" x14ac:dyDescent="0.3">
      <c r="A428" s="16" t="s">
        <v>7596</v>
      </c>
      <c r="B428" s="16" t="s">
        <v>8866</v>
      </c>
      <c r="C428" s="16" t="s">
        <v>7650</v>
      </c>
      <c r="D428" s="16" t="s">
        <v>7597</v>
      </c>
      <c r="E428" s="16" t="s">
        <v>6351</v>
      </c>
      <c r="F428" s="16" t="s">
        <v>8127</v>
      </c>
      <c r="G428" s="16" t="s">
        <v>32</v>
      </c>
      <c r="H428" s="16"/>
      <c r="I428" s="16"/>
      <c r="J428" s="16" t="s">
        <v>120</v>
      </c>
      <c r="K428" s="16"/>
      <c r="L428" s="16" t="s">
        <v>8128</v>
      </c>
      <c r="M428" s="19" t="s">
        <v>6353</v>
      </c>
      <c r="N428" s="16"/>
      <c r="O428" s="16" t="s">
        <v>6354</v>
      </c>
      <c r="P428" s="16" t="str">
        <f>HYPERLINK("https://ceds.ed.gov/cedselementdetails.aspx?termid=27438")</f>
        <v>https://ceds.ed.gov/cedselementdetails.aspx?termid=27438</v>
      </c>
      <c r="Q428" s="16">
        <v>74383</v>
      </c>
    </row>
    <row r="429" spans="1:17" ht="187.2" x14ac:dyDescent="0.3">
      <c r="A429" s="16" t="s">
        <v>7596</v>
      </c>
      <c r="B429" s="16" t="s">
        <v>8866</v>
      </c>
      <c r="C429" s="16" t="s">
        <v>7650</v>
      </c>
      <c r="D429" s="16" t="s">
        <v>7597</v>
      </c>
      <c r="E429" s="16" t="s">
        <v>6355</v>
      </c>
      <c r="F429" s="16" t="s">
        <v>6356</v>
      </c>
      <c r="G429" s="16" t="s">
        <v>9339</v>
      </c>
      <c r="H429" s="16"/>
      <c r="I429" s="16"/>
      <c r="J429" s="16"/>
      <c r="K429" s="16"/>
      <c r="L429" s="16" t="s">
        <v>6352</v>
      </c>
      <c r="M429" s="19" t="s">
        <v>6357</v>
      </c>
      <c r="N429" s="16"/>
      <c r="O429" s="16" t="s">
        <v>6358</v>
      </c>
      <c r="P429" s="16" t="str">
        <f>HYPERLINK("https://ceds.ed.gov/cedselementdetails.aspx?termid=27439")</f>
        <v>https://ceds.ed.gov/cedselementdetails.aspx?termid=27439</v>
      </c>
      <c r="Q429" s="16">
        <v>74386</v>
      </c>
    </row>
    <row r="430" spans="1:17" ht="172.8" x14ac:dyDescent="0.3">
      <c r="A430" s="16" t="s">
        <v>7596</v>
      </c>
      <c r="B430" s="16" t="s">
        <v>8866</v>
      </c>
      <c r="C430" s="16" t="s">
        <v>7650</v>
      </c>
      <c r="D430" s="16" t="s">
        <v>7597</v>
      </c>
      <c r="E430" s="16" t="s">
        <v>6074</v>
      </c>
      <c r="F430" s="16" t="s">
        <v>6075</v>
      </c>
      <c r="G430" s="16" t="s">
        <v>32</v>
      </c>
      <c r="H430" s="16" t="s">
        <v>2564</v>
      </c>
      <c r="I430" s="16"/>
      <c r="J430" s="16" t="s">
        <v>120</v>
      </c>
      <c r="K430" s="16"/>
      <c r="L430" s="16" t="s">
        <v>7817</v>
      </c>
      <c r="M430" s="19" t="s">
        <v>6076</v>
      </c>
      <c r="N430" s="16"/>
      <c r="O430" s="16" t="s">
        <v>6077</v>
      </c>
      <c r="P430" s="16" t="str">
        <f>HYPERLINK("https://ceds.ed.gov/cedselementdetails.aspx?termid=26618")</f>
        <v>https://ceds.ed.gov/cedselementdetails.aspx?termid=26618</v>
      </c>
      <c r="Q430" s="16">
        <v>74451</v>
      </c>
    </row>
    <row r="431" spans="1:17" ht="43.2" x14ac:dyDescent="0.3">
      <c r="A431" s="16" t="s">
        <v>7596</v>
      </c>
      <c r="B431" s="16" t="s">
        <v>8866</v>
      </c>
      <c r="C431" s="16" t="s">
        <v>7650</v>
      </c>
      <c r="D431" s="16" t="s">
        <v>7597</v>
      </c>
      <c r="E431" s="16" t="s">
        <v>6089</v>
      </c>
      <c r="F431" s="16" t="s">
        <v>6090</v>
      </c>
      <c r="G431" s="16" t="s">
        <v>32</v>
      </c>
      <c r="H431" s="16" t="s">
        <v>2564</v>
      </c>
      <c r="I431" s="16"/>
      <c r="J431" s="16" t="s">
        <v>145</v>
      </c>
      <c r="K431" s="16"/>
      <c r="L431" s="16"/>
      <c r="M431" s="19" t="s">
        <v>6091</v>
      </c>
      <c r="N431" s="16"/>
      <c r="O431" s="16" t="s">
        <v>6092</v>
      </c>
      <c r="P431" s="16" t="str">
        <f>HYPERLINK("https://ceds.ed.gov/cedselementdetails.aspx?termid=26619")</f>
        <v>https://ceds.ed.gov/cedselementdetails.aspx?termid=26619</v>
      </c>
      <c r="Q431" s="16">
        <v>74452</v>
      </c>
    </row>
    <row r="432" spans="1:17" ht="28.8" x14ac:dyDescent="0.3">
      <c r="A432" s="16" t="s">
        <v>7596</v>
      </c>
      <c r="B432" s="16" t="s">
        <v>8866</v>
      </c>
      <c r="C432" s="16" t="s">
        <v>7650</v>
      </c>
      <c r="D432" s="16" t="s">
        <v>7597</v>
      </c>
      <c r="E432" s="16" t="s">
        <v>6057</v>
      </c>
      <c r="F432" s="16" t="s">
        <v>6058</v>
      </c>
      <c r="G432" s="16" t="s">
        <v>32</v>
      </c>
      <c r="H432" s="16"/>
      <c r="I432" s="16" t="s">
        <v>160</v>
      </c>
      <c r="J432" s="16" t="s">
        <v>101</v>
      </c>
      <c r="K432" s="16" t="s">
        <v>12935</v>
      </c>
      <c r="L432" s="16"/>
      <c r="M432" s="19" t="s">
        <v>6059</v>
      </c>
      <c r="N432" s="16"/>
      <c r="O432" s="16" t="s">
        <v>6060</v>
      </c>
      <c r="P432" s="16" t="str">
        <f>HYPERLINK("https://ceds.ed.gov/cedselementdetails.aspx?termid=27909")</f>
        <v>https://ceds.ed.gov/cedselementdetails.aspx?termid=27909</v>
      </c>
      <c r="Q432" s="16">
        <v>75269</v>
      </c>
    </row>
    <row r="433" spans="1:17" ht="230.4" x14ac:dyDescent="0.3">
      <c r="A433" s="16" t="s">
        <v>7596</v>
      </c>
      <c r="B433" s="16" t="s">
        <v>8866</v>
      </c>
      <c r="C433" s="16" t="s">
        <v>7650</v>
      </c>
      <c r="D433" s="16" t="s">
        <v>7597</v>
      </c>
      <c r="E433" s="16" t="s">
        <v>7543</v>
      </c>
      <c r="F433" s="16" t="s">
        <v>7544</v>
      </c>
      <c r="G433" s="16" t="s">
        <v>13093</v>
      </c>
      <c r="H433" s="16"/>
      <c r="I433" s="16" t="s">
        <v>160</v>
      </c>
      <c r="J433" s="16"/>
      <c r="K433" s="16" t="s">
        <v>12951</v>
      </c>
      <c r="L433" s="16"/>
      <c r="M433" s="19" t="s">
        <v>7545</v>
      </c>
      <c r="N433" s="16"/>
      <c r="O433" s="16" t="s">
        <v>7543</v>
      </c>
      <c r="P433" s="16" t="str">
        <f>HYPERLINK("https://ceds.ed.gov/cedselementdetails.aspx?termid=27959")</f>
        <v>https://ceds.ed.gov/cedselementdetails.aspx?termid=27959</v>
      </c>
      <c r="Q433" s="16">
        <v>75508</v>
      </c>
    </row>
    <row r="434" spans="1:17" ht="43.2" x14ac:dyDescent="0.3">
      <c r="A434" s="16" t="s">
        <v>7596</v>
      </c>
      <c r="B434" s="16" t="s">
        <v>8866</v>
      </c>
      <c r="C434" s="16" t="s">
        <v>7651</v>
      </c>
      <c r="D434" s="16" t="s">
        <v>7597</v>
      </c>
      <c r="E434" s="16" t="s">
        <v>4291</v>
      </c>
      <c r="F434" s="16" t="s">
        <v>8058</v>
      </c>
      <c r="G434" s="16" t="s">
        <v>22</v>
      </c>
      <c r="H434" s="16"/>
      <c r="I434" s="16"/>
      <c r="J434" s="16"/>
      <c r="K434" s="16"/>
      <c r="L434" s="16"/>
      <c r="M434" s="19" t="s">
        <v>4292</v>
      </c>
      <c r="N434" s="16"/>
      <c r="O434" s="16" t="s">
        <v>4293</v>
      </c>
      <c r="P434" s="16" t="str">
        <f>HYPERLINK("https://ceds.ed.gov/cedselementdetails.aspx?termid=26147")</f>
        <v>https://ceds.ed.gov/cedselementdetails.aspx?termid=26147</v>
      </c>
      <c r="Q434" s="16">
        <v>75165</v>
      </c>
    </row>
    <row r="435" spans="1:17" ht="100.8" x14ac:dyDescent="0.3">
      <c r="A435" s="16" t="s">
        <v>7596</v>
      </c>
      <c r="B435" s="16" t="s">
        <v>8866</v>
      </c>
      <c r="C435" s="16" t="s">
        <v>7651</v>
      </c>
      <c r="D435" s="16" t="s">
        <v>7597</v>
      </c>
      <c r="E435" s="16" t="s">
        <v>4287</v>
      </c>
      <c r="F435" s="16" t="s">
        <v>4288</v>
      </c>
      <c r="G435" s="16" t="s">
        <v>8624</v>
      </c>
      <c r="H435" s="16" t="s">
        <v>214</v>
      </c>
      <c r="I435" s="16"/>
      <c r="J435" s="16"/>
      <c r="K435" s="16"/>
      <c r="L435" s="16"/>
      <c r="M435" s="19" t="s">
        <v>4289</v>
      </c>
      <c r="N435" s="16"/>
      <c r="O435" s="16" t="s">
        <v>4290</v>
      </c>
      <c r="P435" s="16" t="str">
        <f>HYPERLINK("https://ceds.ed.gov/cedselementdetails.aspx?termid=26146")</f>
        <v>https://ceds.ed.gov/cedselementdetails.aspx?termid=26146</v>
      </c>
      <c r="Q435" s="16">
        <v>75268</v>
      </c>
    </row>
    <row r="436" spans="1:17" ht="409.6" x14ac:dyDescent="0.3">
      <c r="A436" s="16" t="s">
        <v>7596</v>
      </c>
      <c r="B436" s="16" t="s">
        <v>8866</v>
      </c>
      <c r="C436" s="16" t="s">
        <v>7652</v>
      </c>
      <c r="D436" s="16" t="s">
        <v>7597</v>
      </c>
      <c r="E436" s="16" t="s">
        <v>5751</v>
      </c>
      <c r="F436" s="16" t="s">
        <v>5752</v>
      </c>
      <c r="G436" s="16" t="s">
        <v>8753</v>
      </c>
      <c r="H436" s="16" t="s">
        <v>1516</v>
      </c>
      <c r="I436" s="16"/>
      <c r="J436" s="16"/>
      <c r="K436" s="16"/>
      <c r="L436" s="16" t="s">
        <v>5753</v>
      </c>
      <c r="M436" s="19" t="s">
        <v>5754</v>
      </c>
      <c r="N436" s="16"/>
      <c r="O436" s="16" t="s">
        <v>5755</v>
      </c>
      <c r="P436" s="16" t="str">
        <f>HYPERLINK("https://ceds.ed.gov/cedselementdetails.aspx?termid=26415")</f>
        <v>https://ceds.ed.gov/cedselementdetails.aspx?termid=26415</v>
      </c>
      <c r="Q436" s="16">
        <v>75270</v>
      </c>
    </row>
    <row r="437" spans="1:17" ht="43.2" x14ac:dyDescent="0.3">
      <c r="A437" s="16" t="s">
        <v>7596</v>
      </c>
      <c r="B437" s="16" t="s">
        <v>8866</v>
      </c>
      <c r="C437" s="16" t="s">
        <v>4</v>
      </c>
      <c r="D437" s="16" t="s">
        <v>7597</v>
      </c>
      <c r="E437" s="16" t="s">
        <v>1490</v>
      </c>
      <c r="F437" s="16" t="s">
        <v>1491</v>
      </c>
      <c r="G437" s="16" t="s">
        <v>22</v>
      </c>
      <c r="H437" s="16"/>
      <c r="I437" s="16"/>
      <c r="J437" s="16"/>
      <c r="K437" s="16"/>
      <c r="L437" s="16"/>
      <c r="M437" s="19" t="s">
        <v>1492</v>
      </c>
      <c r="N437" s="16"/>
      <c r="O437" s="16" t="s">
        <v>1493</v>
      </c>
      <c r="P437" s="16" t="str">
        <f>HYPERLINK("https://ceds.ed.gov/cedselementdetails.aspx?termid=27903")</f>
        <v>https://ceds.ed.gov/cedselementdetails.aspx?termid=27903</v>
      </c>
      <c r="Q437" s="16">
        <v>75271</v>
      </c>
    </row>
    <row r="438" spans="1:17" ht="57.6" x14ac:dyDescent="0.3">
      <c r="A438" s="16" t="s">
        <v>7596</v>
      </c>
      <c r="B438" s="16" t="s">
        <v>8866</v>
      </c>
      <c r="C438" s="16" t="s">
        <v>4</v>
      </c>
      <c r="D438" s="16" t="s">
        <v>7597</v>
      </c>
      <c r="E438" s="16" t="s">
        <v>6162</v>
      </c>
      <c r="F438" s="16" t="s">
        <v>6163</v>
      </c>
      <c r="G438" s="16" t="s">
        <v>22</v>
      </c>
      <c r="H438" s="16"/>
      <c r="I438" s="16"/>
      <c r="J438" s="16"/>
      <c r="K438" s="16"/>
      <c r="L438" s="16"/>
      <c r="M438" s="19" t="s">
        <v>6164</v>
      </c>
      <c r="N438" s="16"/>
      <c r="O438" s="16" t="s">
        <v>6165</v>
      </c>
      <c r="P438" s="16" t="str">
        <f>HYPERLINK("https://ceds.ed.gov/cedselementdetails.aspx?termid=26760")</f>
        <v>https://ceds.ed.gov/cedselementdetails.aspx?termid=26760</v>
      </c>
      <c r="Q438" s="16">
        <v>75272</v>
      </c>
    </row>
    <row r="439" spans="1:17" ht="57.6" x14ac:dyDescent="0.3">
      <c r="A439" s="16" t="s">
        <v>7596</v>
      </c>
      <c r="B439" s="16" t="s">
        <v>8866</v>
      </c>
      <c r="C439" s="16" t="s">
        <v>7653</v>
      </c>
      <c r="D439" s="16" t="s">
        <v>7597</v>
      </c>
      <c r="E439" s="16" t="s">
        <v>7446</v>
      </c>
      <c r="F439" s="16" t="s">
        <v>7447</v>
      </c>
      <c r="G439" s="16" t="s">
        <v>32</v>
      </c>
      <c r="H439" s="16"/>
      <c r="I439" s="16"/>
      <c r="J439" s="16" t="s">
        <v>136</v>
      </c>
      <c r="K439" s="16"/>
      <c r="L439" s="16" t="s">
        <v>7448</v>
      </c>
      <c r="M439" s="19" t="s">
        <v>7449</v>
      </c>
      <c r="N439" s="16"/>
      <c r="O439" s="16" t="s">
        <v>7450</v>
      </c>
      <c r="P439" s="16" t="str">
        <f>HYPERLINK("https://ceds.ed.gov/cedselementdetails.aspx?termid=27938")</f>
        <v>https://ceds.ed.gov/cedselementdetails.aspx?termid=27938</v>
      </c>
      <c r="Q439" s="16">
        <v>75502</v>
      </c>
    </row>
    <row r="440" spans="1:17" ht="43.2" x14ac:dyDescent="0.3">
      <c r="A440" s="16" t="s">
        <v>7596</v>
      </c>
      <c r="B440" s="16" t="s">
        <v>8866</v>
      </c>
      <c r="C440" s="16" t="s">
        <v>7653</v>
      </c>
      <c r="D440" s="16" t="s">
        <v>7597</v>
      </c>
      <c r="E440" s="16" t="s">
        <v>7456</v>
      </c>
      <c r="F440" s="16" t="s">
        <v>7457</v>
      </c>
      <c r="G440" s="16" t="s">
        <v>32</v>
      </c>
      <c r="H440" s="16"/>
      <c r="I440" s="16"/>
      <c r="J440" s="16" t="s">
        <v>812</v>
      </c>
      <c r="K440" s="16"/>
      <c r="L440" s="16" t="s">
        <v>7458</v>
      </c>
      <c r="M440" s="19" t="s">
        <v>7459</v>
      </c>
      <c r="N440" s="16"/>
      <c r="O440" s="16" t="s">
        <v>7460</v>
      </c>
      <c r="P440" s="16" t="str">
        <f>HYPERLINK("https://ceds.ed.gov/cedselementdetails.aspx?termid=27940")</f>
        <v>https://ceds.ed.gov/cedselementdetails.aspx?termid=27940</v>
      </c>
      <c r="Q440" s="16">
        <v>75503</v>
      </c>
    </row>
    <row r="441" spans="1:17" ht="57.6" x14ac:dyDescent="0.3">
      <c r="A441" s="16" t="s">
        <v>7596</v>
      </c>
      <c r="B441" s="16" t="s">
        <v>8866</v>
      </c>
      <c r="C441" s="16" t="s">
        <v>7653</v>
      </c>
      <c r="D441" s="16" t="s">
        <v>7597</v>
      </c>
      <c r="E441" s="16" t="s">
        <v>7461</v>
      </c>
      <c r="F441" s="16" t="s">
        <v>7462</v>
      </c>
      <c r="G441" s="16" t="s">
        <v>32</v>
      </c>
      <c r="H441" s="16"/>
      <c r="I441" s="16"/>
      <c r="J441" s="16" t="s">
        <v>136</v>
      </c>
      <c r="K441" s="16"/>
      <c r="L441" s="16" t="s">
        <v>7463</v>
      </c>
      <c r="M441" s="19" t="s">
        <v>7464</v>
      </c>
      <c r="N441" s="16"/>
      <c r="O441" s="16" t="s">
        <v>7465</v>
      </c>
      <c r="P441" s="16" t="str">
        <f>HYPERLINK("https://ceds.ed.gov/cedselementdetails.aspx?termid=27941")</f>
        <v>https://ceds.ed.gov/cedselementdetails.aspx?termid=27941</v>
      </c>
      <c r="Q441" s="16">
        <v>75504</v>
      </c>
    </row>
    <row r="442" spans="1:17" ht="72" x14ac:dyDescent="0.3">
      <c r="A442" s="16" t="s">
        <v>7596</v>
      </c>
      <c r="B442" s="16" t="s">
        <v>8866</v>
      </c>
      <c r="C442" s="16" t="s">
        <v>7707</v>
      </c>
      <c r="D442" s="16" t="s">
        <v>7597</v>
      </c>
      <c r="E442" s="16" t="s">
        <v>3519</v>
      </c>
      <c r="F442" s="16" t="s">
        <v>12980</v>
      </c>
      <c r="G442" s="16"/>
      <c r="H442" s="16"/>
      <c r="I442" s="16"/>
      <c r="J442" s="16"/>
      <c r="K442" s="16"/>
      <c r="L442" s="16"/>
      <c r="M442" s="19"/>
      <c r="N442" s="16"/>
      <c r="O442" s="16"/>
      <c r="P442" s="16"/>
      <c r="Q442" s="16"/>
    </row>
    <row r="443" spans="1:17" x14ac:dyDescent="0.3">
      <c r="A443" s="16" t="s">
        <v>12981</v>
      </c>
      <c r="B443" s="16"/>
      <c r="C443" s="16"/>
      <c r="D443" s="16"/>
      <c r="E443" s="16"/>
      <c r="F443" s="16"/>
      <c r="G443" s="16"/>
      <c r="H443" s="16"/>
      <c r="I443" s="16"/>
      <c r="J443" s="16"/>
      <c r="K443" s="16"/>
      <c r="L443" s="16"/>
      <c r="M443" s="19"/>
      <c r="N443" s="16"/>
      <c r="O443" s="16"/>
      <c r="P443" s="16"/>
      <c r="Q443" s="16"/>
    </row>
    <row r="444" spans="1:17" ht="43.2" x14ac:dyDescent="0.3">
      <c r="A444" s="16" t="s">
        <v>12982</v>
      </c>
      <c r="B444" s="16"/>
      <c r="C444" s="16"/>
      <c r="D444" s="16"/>
      <c r="E444" s="16"/>
      <c r="F444" s="16"/>
      <c r="G444" s="16"/>
      <c r="H444" s="16"/>
      <c r="I444" s="16"/>
      <c r="J444" s="16"/>
      <c r="K444" s="16"/>
      <c r="L444" s="16"/>
      <c r="M444" s="19"/>
      <c r="N444" s="16"/>
      <c r="O444" s="16"/>
      <c r="P444" s="16"/>
      <c r="Q444" s="16"/>
    </row>
    <row r="445" spans="1:17" x14ac:dyDescent="0.3">
      <c r="A445" s="16" t="s">
        <v>12983</v>
      </c>
      <c r="B445" s="16"/>
      <c r="C445" s="16"/>
      <c r="D445" s="16"/>
      <c r="E445" s="16"/>
      <c r="F445" s="16"/>
      <c r="G445" s="16"/>
      <c r="H445" s="16"/>
      <c r="I445" s="16"/>
      <c r="J445" s="16"/>
      <c r="K445" s="16"/>
      <c r="L445" s="16"/>
      <c r="M445" s="19"/>
      <c r="N445" s="16"/>
      <c r="O445" s="16"/>
      <c r="P445" s="16"/>
      <c r="Q445" s="16"/>
    </row>
    <row r="446" spans="1:17" ht="43.2" x14ac:dyDescent="0.3">
      <c r="A446" s="16" t="s">
        <v>12984</v>
      </c>
      <c r="B446" s="16"/>
      <c r="C446" s="16"/>
      <c r="D446" s="16"/>
      <c r="E446" s="16"/>
      <c r="F446" s="16"/>
      <c r="G446" s="16"/>
      <c r="H446" s="16"/>
      <c r="I446" s="16"/>
      <c r="J446" s="16"/>
      <c r="K446" s="16"/>
      <c r="L446" s="16"/>
      <c r="M446" s="19"/>
      <c r="N446" s="16"/>
      <c r="O446" s="16"/>
      <c r="P446" s="16"/>
      <c r="Q446" s="16"/>
    </row>
    <row r="447" spans="1:17" x14ac:dyDescent="0.3">
      <c r="A447" s="16" t="s">
        <v>12985</v>
      </c>
      <c r="B447" s="16"/>
      <c r="C447" s="16"/>
      <c r="D447" s="16"/>
      <c r="E447" s="16"/>
      <c r="F447" s="16"/>
      <c r="G447" s="16"/>
      <c r="H447" s="16"/>
      <c r="I447" s="16"/>
      <c r="J447" s="16"/>
      <c r="K447" s="16"/>
      <c r="L447" s="16"/>
      <c r="M447" s="19"/>
      <c r="N447" s="16"/>
      <c r="O447" s="16"/>
      <c r="P447" s="16"/>
      <c r="Q447" s="16"/>
    </row>
    <row r="448" spans="1:17" ht="43.2" x14ac:dyDescent="0.3">
      <c r="A448" s="16" t="s">
        <v>12986</v>
      </c>
      <c r="B448" s="16"/>
      <c r="C448" s="16"/>
      <c r="D448" s="16"/>
      <c r="E448" s="16"/>
      <c r="F448" s="16"/>
      <c r="G448" s="16"/>
      <c r="H448" s="16"/>
      <c r="I448" s="16"/>
      <c r="J448" s="16"/>
      <c r="K448" s="16"/>
      <c r="L448" s="16"/>
      <c r="M448" s="19"/>
      <c r="N448" s="16"/>
      <c r="O448" s="16"/>
      <c r="P448" s="16"/>
      <c r="Q448" s="16"/>
    </row>
    <row r="449" spans="1:17" ht="72" x14ac:dyDescent="0.3">
      <c r="A449" s="16" t="s">
        <v>12987</v>
      </c>
      <c r="B449" s="16"/>
      <c r="C449" s="16"/>
      <c r="D449" s="16"/>
      <c r="E449" s="16"/>
      <c r="F449" s="16"/>
      <c r="G449" s="16"/>
      <c r="H449" s="16"/>
      <c r="I449" s="16"/>
      <c r="J449" s="16"/>
      <c r="K449" s="16"/>
      <c r="L449" s="16"/>
      <c r="M449" s="19"/>
      <c r="N449" s="16"/>
      <c r="O449" s="16"/>
      <c r="P449" s="16"/>
      <c r="Q449" s="16"/>
    </row>
    <row r="450" spans="1:17" ht="72" x14ac:dyDescent="0.3">
      <c r="A450" s="16" t="s">
        <v>12988</v>
      </c>
      <c r="B450" s="16"/>
      <c r="C450" s="16"/>
      <c r="D450" s="16"/>
      <c r="E450" s="16"/>
      <c r="F450" s="16"/>
      <c r="G450" s="16"/>
      <c r="H450" s="16"/>
      <c r="I450" s="16"/>
      <c r="J450" s="16"/>
      <c r="K450" s="16"/>
      <c r="L450" s="16"/>
      <c r="M450" s="19"/>
      <c r="N450" s="16"/>
      <c r="O450" s="16"/>
      <c r="P450" s="16"/>
      <c r="Q450" s="16"/>
    </row>
    <row r="451" spans="1:17" ht="57.6" x14ac:dyDescent="0.3">
      <c r="A451" s="16" t="s">
        <v>12989</v>
      </c>
      <c r="B451" s="16"/>
      <c r="C451" s="16"/>
      <c r="D451" s="16"/>
      <c r="E451" s="16"/>
      <c r="F451" s="16"/>
      <c r="G451" s="16"/>
      <c r="H451" s="16"/>
      <c r="I451" s="16"/>
      <c r="J451" s="16"/>
      <c r="K451" s="16"/>
      <c r="L451" s="16"/>
      <c r="M451" s="19"/>
      <c r="N451" s="16"/>
      <c r="O451" s="16"/>
      <c r="P451" s="16"/>
      <c r="Q451" s="16"/>
    </row>
    <row r="452" spans="1:17" ht="28.8" x14ac:dyDescent="0.3">
      <c r="A452" s="16" t="s">
        <v>12990</v>
      </c>
      <c r="B452" s="16"/>
      <c r="C452" s="16"/>
      <c r="D452" s="16"/>
      <c r="E452" s="16"/>
      <c r="F452" s="16"/>
      <c r="G452" s="16"/>
      <c r="H452" s="16"/>
      <c r="I452" s="16"/>
      <c r="J452" s="16"/>
      <c r="K452" s="16"/>
      <c r="L452" s="16"/>
      <c r="M452" s="19"/>
      <c r="N452" s="16"/>
      <c r="O452" s="16"/>
      <c r="P452" s="16"/>
      <c r="Q452" s="16"/>
    </row>
    <row r="453" spans="1:17" ht="43.2" x14ac:dyDescent="0.3">
      <c r="A453" s="16" t="s">
        <v>12991</v>
      </c>
      <c r="B453" s="16"/>
      <c r="C453" s="16"/>
      <c r="D453" s="16"/>
      <c r="E453" s="16"/>
      <c r="F453" s="16"/>
      <c r="G453" s="16"/>
      <c r="H453" s="16"/>
      <c r="I453" s="16"/>
      <c r="J453" s="16"/>
      <c r="K453" s="16"/>
      <c r="L453" s="16"/>
      <c r="M453" s="19"/>
      <c r="N453" s="16"/>
      <c r="O453" s="16"/>
      <c r="P453" s="16"/>
      <c r="Q453" s="16"/>
    </row>
    <row r="454" spans="1:17" ht="86.4" x14ac:dyDescent="0.3">
      <c r="A454" s="16" t="s">
        <v>12992</v>
      </c>
      <c r="B454" s="16" t="s">
        <v>22</v>
      </c>
      <c r="C454" s="16" t="s">
        <v>1863</v>
      </c>
      <c r="D454" s="16"/>
      <c r="E454" s="16"/>
      <c r="F454" s="16"/>
      <c r="G454" s="16" t="s">
        <v>3520</v>
      </c>
      <c r="H454" s="16">
        <v>180</v>
      </c>
      <c r="I454" s="16"/>
      <c r="J454" s="16" t="s">
        <v>3521</v>
      </c>
      <c r="K454" s="16" t="str">
        <f>HYPERLINK("https://ceds.ed.gov/cedselementdetails.aspx?termid=26180")</f>
        <v>https://ceds.ed.gov/cedselementdetails.aspx?termid=26180</v>
      </c>
      <c r="L454" s="16">
        <v>75734</v>
      </c>
      <c r="M454" s="19"/>
      <c r="N454" s="16"/>
      <c r="O454" s="16"/>
      <c r="P454" s="16"/>
      <c r="Q454" s="16"/>
    </row>
    <row r="455" spans="1:17" ht="43.2" x14ac:dyDescent="0.3">
      <c r="A455" s="16" t="s">
        <v>7596</v>
      </c>
      <c r="B455" s="16" t="s">
        <v>7654</v>
      </c>
      <c r="C455" s="16"/>
      <c r="D455" s="16" t="s">
        <v>7597</v>
      </c>
      <c r="E455" s="16" t="s">
        <v>4546</v>
      </c>
      <c r="F455" s="16" t="s">
        <v>4547</v>
      </c>
      <c r="G455" s="16" t="s">
        <v>22</v>
      </c>
      <c r="H455" s="16"/>
      <c r="I455" s="16"/>
      <c r="J455" s="16"/>
      <c r="K455" s="16"/>
      <c r="L455" s="16"/>
      <c r="M455" s="19" t="s">
        <v>4548</v>
      </c>
      <c r="N455" s="16"/>
      <c r="O455" s="16" t="s">
        <v>4549</v>
      </c>
      <c r="P455" s="16" t="str">
        <f>HYPERLINK("https://ceds.ed.gov/cedselementdetails.aspx?termid=27591")</f>
        <v>https://ceds.ed.gov/cedselementdetails.aspx?termid=27591</v>
      </c>
      <c r="Q455" s="16">
        <v>74083</v>
      </c>
    </row>
    <row r="456" spans="1:17" ht="158.4" x14ac:dyDescent="0.3">
      <c r="A456" s="16" t="s">
        <v>7596</v>
      </c>
      <c r="B456" s="16" t="s">
        <v>7654</v>
      </c>
      <c r="C456" s="16" t="s">
        <v>7625</v>
      </c>
      <c r="D456" s="16" t="s">
        <v>7597</v>
      </c>
      <c r="E456" s="16" t="s">
        <v>3990</v>
      </c>
      <c r="F456" s="16" t="s">
        <v>3991</v>
      </c>
      <c r="G456" s="16" t="s">
        <v>32</v>
      </c>
      <c r="H456" s="16" t="s">
        <v>3994</v>
      </c>
      <c r="I456" s="16"/>
      <c r="J456" s="16" t="s">
        <v>7426</v>
      </c>
      <c r="K456" s="16"/>
      <c r="L456" s="16" t="s">
        <v>8047</v>
      </c>
      <c r="M456" s="19" t="s">
        <v>3992</v>
      </c>
      <c r="N456" s="16"/>
      <c r="O456" s="16" t="s">
        <v>3993</v>
      </c>
      <c r="P456" s="16" t="str">
        <f>HYPERLINK("https://ceds.ed.gov/cedselementdetails.aspx?termid=26115")</f>
        <v>https://ceds.ed.gov/cedselementdetails.aspx?termid=26115</v>
      </c>
      <c r="Q456" s="16">
        <v>71150</v>
      </c>
    </row>
    <row r="457" spans="1:17" ht="158.4" x14ac:dyDescent="0.3">
      <c r="A457" s="16" t="s">
        <v>7596</v>
      </c>
      <c r="B457" s="16" t="s">
        <v>7654</v>
      </c>
      <c r="C457" s="16" t="s">
        <v>7625</v>
      </c>
      <c r="D457" s="16" t="s">
        <v>7597</v>
      </c>
      <c r="E457" s="16" t="s">
        <v>5328</v>
      </c>
      <c r="F457" s="16" t="s">
        <v>5329</v>
      </c>
      <c r="G457" s="16" t="s">
        <v>32</v>
      </c>
      <c r="H457" s="16" t="s">
        <v>3994</v>
      </c>
      <c r="I457" s="16"/>
      <c r="J457" s="16" t="s">
        <v>7426</v>
      </c>
      <c r="K457" s="16"/>
      <c r="L457" s="16" t="s">
        <v>8053</v>
      </c>
      <c r="M457" s="19" t="s">
        <v>5330</v>
      </c>
      <c r="N457" s="16"/>
      <c r="O457" s="16" t="s">
        <v>5331</v>
      </c>
      <c r="P457" s="16" t="str">
        <f>HYPERLINK("https://ceds.ed.gov/cedselementdetails.aspx?termid=26184")</f>
        <v>https://ceds.ed.gov/cedselementdetails.aspx?termid=26184</v>
      </c>
      <c r="Q457" s="16">
        <v>71154</v>
      </c>
    </row>
    <row r="458" spans="1:17" ht="158.4" x14ac:dyDescent="0.3">
      <c r="A458" s="16" t="s">
        <v>7596</v>
      </c>
      <c r="B458" s="16" t="s">
        <v>7654</v>
      </c>
      <c r="C458" s="16" t="s">
        <v>7625</v>
      </c>
      <c r="D458" s="16" t="s">
        <v>7597</v>
      </c>
      <c r="E458" s="16" t="s">
        <v>4893</v>
      </c>
      <c r="F458" s="16" t="s">
        <v>4894</v>
      </c>
      <c r="G458" s="16" t="s">
        <v>32</v>
      </c>
      <c r="H458" s="16" t="s">
        <v>3994</v>
      </c>
      <c r="I458" s="16"/>
      <c r="J458" s="16" t="s">
        <v>7426</v>
      </c>
      <c r="K458" s="16"/>
      <c r="L458" s="16" t="s">
        <v>8053</v>
      </c>
      <c r="M458" s="19" t="s">
        <v>4895</v>
      </c>
      <c r="N458" s="16" t="s">
        <v>4896</v>
      </c>
      <c r="O458" s="16" t="s">
        <v>4897</v>
      </c>
      <c r="P458" s="16" t="str">
        <f>HYPERLINK("https://ceds.ed.gov/cedselementdetails.aspx?termid=26172")</f>
        <v>https://ceds.ed.gov/cedselementdetails.aspx?termid=26172</v>
      </c>
      <c r="Q458" s="16">
        <v>71153</v>
      </c>
    </row>
    <row r="459" spans="1:17" ht="129.6" x14ac:dyDescent="0.3">
      <c r="A459" s="16" t="s">
        <v>7596</v>
      </c>
      <c r="B459" s="16" t="s">
        <v>7654</v>
      </c>
      <c r="C459" s="16" t="s">
        <v>7625</v>
      </c>
      <c r="D459" s="16" t="s">
        <v>7597</v>
      </c>
      <c r="E459" s="16" t="s">
        <v>4054</v>
      </c>
      <c r="F459" s="16" t="s">
        <v>4055</v>
      </c>
      <c r="G459" s="16" t="s">
        <v>32</v>
      </c>
      <c r="H459" s="16" t="s">
        <v>4059</v>
      </c>
      <c r="I459" s="16"/>
      <c r="J459" s="16" t="s">
        <v>2697</v>
      </c>
      <c r="K459" s="16"/>
      <c r="L459" s="16" t="s">
        <v>8053</v>
      </c>
      <c r="M459" s="19" t="s">
        <v>4057</v>
      </c>
      <c r="N459" s="16"/>
      <c r="O459" s="16" t="s">
        <v>4058</v>
      </c>
      <c r="P459" s="16" t="str">
        <f>HYPERLINK("https://ceds.ed.gov/cedselementdetails.aspx?termid=26121")</f>
        <v>https://ceds.ed.gov/cedselementdetails.aspx?termid=26121</v>
      </c>
      <c r="Q459" s="16">
        <v>71151</v>
      </c>
    </row>
    <row r="460" spans="1:17" ht="86.4" x14ac:dyDescent="0.3">
      <c r="A460" s="16" t="s">
        <v>7596</v>
      </c>
      <c r="B460" s="16" t="s">
        <v>7654</v>
      </c>
      <c r="C460" s="16" t="s">
        <v>7625</v>
      </c>
      <c r="D460" s="16" t="s">
        <v>7597</v>
      </c>
      <c r="E460" s="16" t="s">
        <v>5760</v>
      </c>
      <c r="F460" s="16" t="s">
        <v>5761</v>
      </c>
      <c r="G460" s="16" t="s">
        <v>32</v>
      </c>
      <c r="H460" s="16" t="s">
        <v>5765</v>
      </c>
      <c r="I460" s="16"/>
      <c r="J460" s="16" t="s">
        <v>81</v>
      </c>
      <c r="K460" s="16"/>
      <c r="L460" s="16"/>
      <c r="M460" s="19" t="s">
        <v>5762</v>
      </c>
      <c r="N460" s="16" t="s">
        <v>5763</v>
      </c>
      <c r="O460" s="16" t="s">
        <v>5764</v>
      </c>
      <c r="P460" s="16" t="str">
        <f>HYPERLINK("https://ceds.ed.gov/cedselementdetails.aspx?termid=26212")</f>
        <v>https://ceds.ed.gov/cedselementdetails.aspx?termid=26212</v>
      </c>
      <c r="Q460" s="16">
        <v>71155</v>
      </c>
    </row>
    <row r="461" spans="1:17" ht="115.2" x14ac:dyDescent="0.3">
      <c r="A461" s="16" t="s">
        <v>7596</v>
      </c>
      <c r="B461" s="16" t="s">
        <v>7654</v>
      </c>
      <c r="C461" s="16" t="s">
        <v>7626</v>
      </c>
      <c r="D461" s="16" t="s">
        <v>7597</v>
      </c>
      <c r="E461" s="16" t="s">
        <v>5650</v>
      </c>
      <c r="F461" s="16" t="s">
        <v>5651</v>
      </c>
      <c r="G461" s="16" t="s">
        <v>8746</v>
      </c>
      <c r="H461" s="16" t="s">
        <v>5654</v>
      </c>
      <c r="I461" s="16"/>
      <c r="J461" s="16" t="s">
        <v>81</v>
      </c>
      <c r="K461" s="16"/>
      <c r="L461" s="16"/>
      <c r="M461" s="19" t="s">
        <v>5652</v>
      </c>
      <c r="N461" s="16"/>
      <c r="O461" s="16" t="s">
        <v>5653</v>
      </c>
      <c r="P461" s="16" t="str">
        <f>HYPERLINK("https://ceds.ed.gov/cedselementdetails.aspx?termid=26627")</f>
        <v>https://ceds.ed.gov/cedselementdetails.aspx?termid=26627</v>
      </c>
      <c r="Q461" s="16">
        <v>71967</v>
      </c>
    </row>
    <row r="462" spans="1:17" ht="28.8" x14ac:dyDescent="0.3">
      <c r="A462" s="16" t="s">
        <v>7596</v>
      </c>
      <c r="B462" s="16" t="s">
        <v>7654</v>
      </c>
      <c r="C462" s="16" t="s">
        <v>7626</v>
      </c>
      <c r="D462" s="16" t="s">
        <v>7597</v>
      </c>
      <c r="E462" s="16" t="s">
        <v>5631</v>
      </c>
      <c r="F462" s="16" t="s">
        <v>5632</v>
      </c>
      <c r="G462" s="16" t="s">
        <v>32</v>
      </c>
      <c r="H462" s="16"/>
      <c r="I462" s="16"/>
      <c r="J462" s="16" t="s">
        <v>1266</v>
      </c>
      <c r="K462" s="16"/>
      <c r="L462" s="16" t="s">
        <v>5633</v>
      </c>
      <c r="M462" s="19" t="s">
        <v>5634</v>
      </c>
      <c r="N462" s="16"/>
      <c r="O462" s="16" t="s">
        <v>5635</v>
      </c>
      <c r="P462" s="16" t="str">
        <f>HYPERLINK("https://ceds.ed.gov/cedselementdetails.aspx?termid=27486")</f>
        <v>https://ceds.ed.gov/cedselementdetails.aspx?termid=27486</v>
      </c>
      <c r="Q462" s="16">
        <v>73628</v>
      </c>
    </row>
    <row r="463" spans="1:17" ht="28.8" x14ac:dyDescent="0.3">
      <c r="A463" s="16" t="s">
        <v>7596</v>
      </c>
      <c r="B463" s="16" t="s">
        <v>7654</v>
      </c>
      <c r="C463" s="16" t="s">
        <v>7626</v>
      </c>
      <c r="D463" s="16" t="s">
        <v>7597</v>
      </c>
      <c r="E463" s="16" t="s">
        <v>5641</v>
      </c>
      <c r="F463" s="16" t="s">
        <v>5642</v>
      </c>
      <c r="G463" s="16" t="s">
        <v>32</v>
      </c>
      <c r="H463" s="16"/>
      <c r="I463" s="16"/>
      <c r="J463" s="16" t="s">
        <v>1266</v>
      </c>
      <c r="K463" s="16"/>
      <c r="L463" s="16" t="s">
        <v>5643</v>
      </c>
      <c r="M463" s="19" t="s">
        <v>5644</v>
      </c>
      <c r="N463" s="16"/>
      <c r="O463" s="16" t="s">
        <v>5645</v>
      </c>
      <c r="P463" s="16" t="str">
        <f>HYPERLINK("https://ceds.ed.gov/cedselementdetails.aspx?termid=27487")</f>
        <v>https://ceds.ed.gov/cedselementdetails.aspx?termid=27487</v>
      </c>
      <c r="Q463" s="16">
        <v>73644</v>
      </c>
    </row>
    <row r="464" spans="1:17" ht="28.8" x14ac:dyDescent="0.3">
      <c r="A464" s="16" t="s">
        <v>7596</v>
      </c>
      <c r="B464" s="16" t="s">
        <v>7654</v>
      </c>
      <c r="C464" s="16" t="s">
        <v>7626</v>
      </c>
      <c r="D464" s="16" t="s">
        <v>7597</v>
      </c>
      <c r="E464" s="16" t="s">
        <v>5636</v>
      </c>
      <c r="F464" s="16" t="s">
        <v>5637</v>
      </c>
      <c r="G464" s="16" t="s">
        <v>32</v>
      </c>
      <c r="H464" s="16"/>
      <c r="I464" s="16"/>
      <c r="J464" s="16" t="s">
        <v>1266</v>
      </c>
      <c r="K464" s="16"/>
      <c r="L464" s="16" t="s">
        <v>5638</v>
      </c>
      <c r="M464" s="19" t="s">
        <v>5639</v>
      </c>
      <c r="N464" s="16"/>
      <c r="O464" s="16" t="s">
        <v>5640</v>
      </c>
      <c r="P464" s="16" t="str">
        <f>HYPERLINK("https://ceds.ed.gov/cedselementdetails.aspx?termid=27485")</f>
        <v>https://ceds.ed.gov/cedselementdetails.aspx?termid=27485</v>
      </c>
      <c r="Q464" s="16">
        <v>73612</v>
      </c>
    </row>
    <row r="465" spans="1:17" ht="129.6" x14ac:dyDescent="0.3">
      <c r="A465" s="16" t="s">
        <v>7596</v>
      </c>
      <c r="B465" s="16" t="s">
        <v>7654</v>
      </c>
      <c r="C465" s="16" t="s">
        <v>7626</v>
      </c>
      <c r="D465" s="16" t="s">
        <v>7597</v>
      </c>
      <c r="E465" s="16" t="s">
        <v>5646</v>
      </c>
      <c r="F465" s="16" t="s">
        <v>5647</v>
      </c>
      <c r="G465" s="16" t="s">
        <v>32</v>
      </c>
      <c r="H465" s="16" t="s">
        <v>4059</v>
      </c>
      <c r="I465" s="16"/>
      <c r="J465" s="16" t="s">
        <v>120</v>
      </c>
      <c r="K465" s="16"/>
      <c r="L465" s="16"/>
      <c r="M465" s="19" t="s">
        <v>5648</v>
      </c>
      <c r="N465" s="16"/>
      <c r="O465" s="16" t="s">
        <v>5649</v>
      </c>
      <c r="P465" s="16" t="str">
        <f>HYPERLINK("https://ceds.ed.gov/cedselementdetails.aspx?termid=26206")</f>
        <v>https://ceds.ed.gov/cedselementdetails.aspx?termid=26206</v>
      </c>
      <c r="Q465" s="16">
        <v>71968</v>
      </c>
    </row>
    <row r="466" spans="1:17" ht="172.8" x14ac:dyDescent="0.3">
      <c r="A466" s="16" t="s">
        <v>7596</v>
      </c>
      <c r="B466" s="16" t="s">
        <v>7654</v>
      </c>
      <c r="C466" s="16" t="s">
        <v>7627</v>
      </c>
      <c r="D466" s="16" t="s">
        <v>7597</v>
      </c>
      <c r="E466" s="16" t="s">
        <v>5738</v>
      </c>
      <c r="F466" s="16" t="s">
        <v>5739</v>
      </c>
      <c r="G466" s="16" t="s">
        <v>32</v>
      </c>
      <c r="H466" s="16"/>
      <c r="I466" s="16"/>
      <c r="J466" s="16" t="s">
        <v>120</v>
      </c>
      <c r="K466" s="16"/>
      <c r="L466" s="16" t="s">
        <v>7905</v>
      </c>
      <c r="M466" s="19" t="s">
        <v>5740</v>
      </c>
      <c r="N466" s="16"/>
      <c r="O466" s="16" t="s">
        <v>5741</v>
      </c>
      <c r="P466" s="16" t="str">
        <f>HYPERLINK("https://ceds.ed.gov/cedselementdetails.aspx?termid=27551")</f>
        <v>https://ceds.ed.gov/cedselementdetails.aspx?termid=27551</v>
      </c>
      <c r="Q466" s="16">
        <v>73908</v>
      </c>
    </row>
    <row r="467" spans="1:17" ht="273.60000000000002" x14ac:dyDescent="0.3">
      <c r="A467" s="16" t="s">
        <v>7596</v>
      </c>
      <c r="B467" s="16" t="s">
        <v>7654</v>
      </c>
      <c r="C467" s="16" t="s">
        <v>7627</v>
      </c>
      <c r="D467" s="16" t="s">
        <v>7597</v>
      </c>
      <c r="E467" s="16" t="s">
        <v>5734</v>
      </c>
      <c r="F467" s="16" t="s">
        <v>5735</v>
      </c>
      <c r="G467" s="16" t="s">
        <v>9336</v>
      </c>
      <c r="H467" s="16"/>
      <c r="I467" s="16"/>
      <c r="J467" s="16"/>
      <c r="K467" s="16"/>
      <c r="L467" s="16"/>
      <c r="M467" s="19" t="s">
        <v>5736</v>
      </c>
      <c r="N467" s="16"/>
      <c r="O467" s="16" t="s">
        <v>5737</v>
      </c>
      <c r="P467" s="16" t="str">
        <f>HYPERLINK("https://ceds.ed.gov/cedselementdetails.aspx?termid=27550")</f>
        <v>https://ceds.ed.gov/cedselementdetails.aspx?termid=27550</v>
      </c>
      <c r="Q467" s="16">
        <v>73903</v>
      </c>
    </row>
    <row r="468" spans="1:17" ht="72" x14ac:dyDescent="0.3">
      <c r="A468" s="16" t="s">
        <v>7596</v>
      </c>
      <c r="B468" s="16" t="s">
        <v>7654</v>
      </c>
      <c r="C468" s="16" t="s">
        <v>7627</v>
      </c>
      <c r="D468" s="16" t="s">
        <v>7597</v>
      </c>
      <c r="E468" s="16" t="s">
        <v>7508</v>
      </c>
      <c r="F468" s="16" t="s">
        <v>7509</v>
      </c>
      <c r="G468" s="16" t="s">
        <v>8251</v>
      </c>
      <c r="H468" s="16"/>
      <c r="I468" s="16"/>
      <c r="J468" s="16"/>
      <c r="K468" s="16"/>
      <c r="L468" s="16"/>
      <c r="M468" s="19" t="s">
        <v>7510</v>
      </c>
      <c r="N468" s="16"/>
      <c r="O468" s="16" t="s">
        <v>7511</v>
      </c>
      <c r="P468" s="16" t="str">
        <f>HYPERLINK("https://ceds.ed.gov/cedselementdetails.aspx?termid=27951")</f>
        <v>https://ceds.ed.gov/cedselementdetails.aspx?termid=27951</v>
      </c>
      <c r="Q468" s="16">
        <v>75869</v>
      </c>
    </row>
    <row r="469" spans="1:17" ht="403.2" x14ac:dyDescent="0.3">
      <c r="A469" s="16" t="s">
        <v>7596</v>
      </c>
      <c r="B469" s="16" t="s">
        <v>7654</v>
      </c>
      <c r="C469" s="16" t="s">
        <v>7627</v>
      </c>
      <c r="D469" s="16" t="s">
        <v>7597</v>
      </c>
      <c r="E469" s="16" t="s">
        <v>5756</v>
      </c>
      <c r="F469" s="16" t="s">
        <v>5757</v>
      </c>
      <c r="G469" s="16" t="s">
        <v>8252</v>
      </c>
      <c r="H469" s="16"/>
      <c r="I469" s="16"/>
      <c r="J469" s="16"/>
      <c r="K469" s="16"/>
      <c r="L469" s="16"/>
      <c r="M469" s="19" t="s">
        <v>5758</v>
      </c>
      <c r="N469" s="16"/>
      <c r="O469" s="16" t="s">
        <v>5759</v>
      </c>
      <c r="P469" s="16" t="str">
        <f>HYPERLINK("https://ceds.ed.gov/cedselementdetails.aspx?termid=26611")</f>
        <v>https://ceds.ed.gov/cedselementdetails.aspx?termid=26611</v>
      </c>
      <c r="Q469" s="16">
        <v>75870</v>
      </c>
    </row>
    <row r="470" spans="1:17" ht="409.6" x14ac:dyDescent="0.3">
      <c r="A470" s="16" t="s">
        <v>7596</v>
      </c>
      <c r="B470" s="16" t="s">
        <v>7654</v>
      </c>
      <c r="C470" s="16" t="s">
        <v>7652</v>
      </c>
      <c r="D470" s="16" t="s">
        <v>7597</v>
      </c>
      <c r="E470" s="16" t="s">
        <v>5751</v>
      </c>
      <c r="F470" s="16" t="s">
        <v>5752</v>
      </c>
      <c r="G470" s="16" t="s">
        <v>8753</v>
      </c>
      <c r="H470" s="16" t="s">
        <v>1516</v>
      </c>
      <c r="I470" s="16"/>
      <c r="J470" s="16"/>
      <c r="K470" s="16"/>
      <c r="L470" s="16" t="s">
        <v>5753</v>
      </c>
      <c r="M470" s="19" t="s">
        <v>5754</v>
      </c>
      <c r="N470" s="16"/>
      <c r="O470" s="16" t="s">
        <v>5755</v>
      </c>
      <c r="P470" s="16" t="str">
        <f>HYPERLINK("https://ceds.ed.gov/cedselementdetails.aspx?termid=26415")</f>
        <v>https://ceds.ed.gov/cedselementdetails.aspx?termid=26415</v>
      </c>
      <c r="Q470" s="16">
        <v>71157</v>
      </c>
    </row>
    <row r="471" spans="1:17" ht="86.4" x14ac:dyDescent="0.3">
      <c r="A471" s="16" t="s">
        <v>7596</v>
      </c>
      <c r="B471" s="16" t="s">
        <v>7654</v>
      </c>
      <c r="C471" s="16" t="s">
        <v>7652</v>
      </c>
      <c r="D471" s="16" t="s">
        <v>7597</v>
      </c>
      <c r="E471" s="16" t="s">
        <v>5855</v>
      </c>
      <c r="F471" s="16" t="s">
        <v>5856</v>
      </c>
      <c r="G471" s="16" t="s">
        <v>22</v>
      </c>
      <c r="H471" s="16"/>
      <c r="I471" s="16"/>
      <c r="J471" s="16"/>
      <c r="K471" s="16"/>
      <c r="L471" s="16"/>
      <c r="M471" s="19" t="s">
        <v>5857</v>
      </c>
      <c r="N471" s="16"/>
      <c r="O471" s="16" t="s">
        <v>5858</v>
      </c>
      <c r="P471" s="16" t="str">
        <f>HYPERLINK("https://ceds.ed.gov/cedselementdetails.aspx?termid=27397")</f>
        <v>https://ceds.ed.gov/cedselementdetails.aspx?termid=27397</v>
      </c>
      <c r="Q471" s="16">
        <v>73322</v>
      </c>
    </row>
    <row r="472" spans="1:17" ht="57.6" x14ac:dyDescent="0.3">
      <c r="A472" s="16" t="s">
        <v>7596</v>
      </c>
      <c r="B472" s="16" t="s">
        <v>7654</v>
      </c>
      <c r="C472" s="16" t="s">
        <v>7652</v>
      </c>
      <c r="D472" s="16" t="s">
        <v>7597</v>
      </c>
      <c r="E472" s="16" t="s">
        <v>2985</v>
      </c>
      <c r="F472" s="16" t="s">
        <v>2986</v>
      </c>
      <c r="G472" s="16" t="s">
        <v>2987</v>
      </c>
      <c r="H472" s="16" t="s">
        <v>372</v>
      </c>
      <c r="I472" s="16"/>
      <c r="J472" s="16"/>
      <c r="K472" s="16"/>
      <c r="L472" s="16"/>
      <c r="M472" s="19" t="s">
        <v>2988</v>
      </c>
      <c r="N472" s="16"/>
      <c r="O472" s="16" t="s">
        <v>2989</v>
      </c>
      <c r="P472" s="16" t="str">
        <f>HYPERLINK("https://ceds.ed.gov/cedselementdetails.aspx?termid=26328")</f>
        <v>https://ceds.ed.gov/cedselementdetails.aspx?termid=26328</v>
      </c>
      <c r="Q472" s="16">
        <v>71156</v>
      </c>
    </row>
    <row r="473" spans="1:17" ht="172.8" x14ac:dyDescent="0.3">
      <c r="A473" s="16" t="s">
        <v>7596</v>
      </c>
      <c r="B473" s="16" t="s">
        <v>7654</v>
      </c>
      <c r="C473" s="16" t="s">
        <v>7652</v>
      </c>
      <c r="D473" s="16" t="s">
        <v>7597</v>
      </c>
      <c r="E473" s="16" t="s">
        <v>1978</v>
      </c>
      <c r="F473" s="16" t="s">
        <v>1979</v>
      </c>
      <c r="G473" s="16" t="s">
        <v>9327</v>
      </c>
      <c r="H473" s="16" t="s">
        <v>1982</v>
      </c>
      <c r="I473" s="16"/>
      <c r="J473" s="16"/>
      <c r="K473" s="16"/>
      <c r="L473" s="16"/>
      <c r="M473" s="19" t="s">
        <v>1980</v>
      </c>
      <c r="N473" s="16"/>
      <c r="O473" s="16" t="s">
        <v>1981</v>
      </c>
      <c r="P473" s="16" t="str">
        <f>HYPERLINK("https://ceds.ed.gov/cedselementdetails.aspx?termid=26782")</f>
        <v>https://ceds.ed.gov/cedselementdetails.aspx?termid=26782</v>
      </c>
      <c r="Q473" s="16">
        <v>74019</v>
      </c>
    </row>
    <row r="474" spans="1:17" ht="43.2" x14ac:dyDescent="0.3">
      <c r="A474" s="16" t="s">
        <v>7596</v>
      </c>
      <c r="B474" s="16" t="s">
        <v>7654</v>
      </c>
      <c r="C474" s="16" t="s">
        <v>7652</v>
      </c>
      <c r="D474" s="16" t="s">
        <v>7597</v>
      </c>
      <c r="E474" s="16" t="s">
        <v>3441</v>
      </c>
      <c r="F474" s="16" t="s">
        <v>13078</v>
      </c>
      <c r="G474" s="16" t="s">
        <v>22</v>
      </c>
      <c r="H474" s="16"/>
      <c r="I474" s="16" t="s">
        <v>160</v>
      </c>
      <c r="J474" s="16"/>
      <c r="K474" s="16" t="s">
        <v>12942</v>
      </c>
      <c r="L474" s="16"/>
      <c r="M474" s="19" t="s">
        <v>3443</v>
      </c>
      <c r="N474" s="16"/>
      <c r="O474" s="16"/>
      <c r="P474" s="16" t="str">
        <f>HYPERLINK("https://ceds.ed.gov/cedselementdetails.aspx?termid=27308")</f>
        <v>https://ceds.ed.gov/cedselementdetails.aspx?termid=27308</v>
      </c>
      <c r="Q474" s="16">
        <v>73150</v>
      </c>
    </row>
    <row r="475" spans="1:17" ht="43.2" x14ac:dyDescent="0.3">
      <c r="A475" s="16" t="s">
        <v>7596</v>
      </c>
      <c r="B475" s="16" t="s">
        <v>7654</v>
      </c>
      <c r="C475" s="16" t="s">
        <v>7652</v>
      </c>
      <c r="D475" s="16" t="s">
        <v>7597</v>
      </c>
      <c r="E475" s="16" t="s">
        <v>5742</v>
      </c>
      <c r="F475" s="16" t="s">
        <v>5743</v>
      </c>
      <c r="G475" s="16" t="s">
        <v>32</v>
      </c>
      <c r="H475" s="16"/>
      <c r="I475" s="16"/>
      <c r="J475" s="16" t="s">
        <v>305</v>
      </c>
      <c r="K475" s="16"/>
      <c r="L475" s="16"/>
      <c r="M475" s="19" t="s">
        <v>5744</v>
      </c>
      <c r="N475" s="16"/>
      <c r="O475" s="16" t="s">
        <v>5745</v>
      </c>
      <c r="P475" s="16" t="str">
        <f>HYPERLINK("https://ceds.ed.gov/cedselementdetails.aspx?termid=27392")</f>
        <v>https://ceds.ed.gov/cedselementdetails.aspx?termid=27392</v>
      </c>
      <c r="Q475" s="16">
        <v>73307</v>
      </c>
    </row>
    <row r="476" spans="1:17" ht="57.6" x14ac:dyDescent="0.3">
      <c r="A476" s="16" t="s">
        <v>7596</v>
      </c>
      <c r="B476" s="16" t="s">
        <v>7654</v>
      </c>
      <c r="C476" s="16" t="s">
        <v>7652</v>
      </c>
      <c r="D476" s="16" t="s">
        <v>7597</v>
      </c>
      <c r="E476" s="16" t="s">
        <v>5746</v>
      </c>
      <c r="F476" s="16" t="s">
        <v>5747</v>
      </c>
      <c r="G476" s="16" t="s">
        <v>32</v>
      </c>
      <c r="H476" s="16"/>
      <c r="I476" s="16"/>
      <c r="J476" s="16" t="s">
        <v>316</v>
      </c>
      <c r="K476" s="16"/>
      <c r="L476" s="16"/>
      <c r="M476" s="19" t="s">
        <v>5748</v>
      </c>
      <c r="N476" s="16"/>
      <c r="O476" s="16" t="s">
        <v>5749</v>
      </c>
      <c r="P476" s="16" t="str">
        <f>HYPERLINK("https://ceds.ed.gov/cedselementdetails.aspx?termid=27393")</f>
        <v>https://ceds.ed.gov/cedselementdetails.aspx?termid=27393</v>
      </c>
      <c r="Q476" s="16">
        <v>73309</v>
      </c>
    </row>
    <row r="477" spans="1:17" ht="43.2" x14ac:dyDescent="0.3">
      <c r="A477" s="16" t="s">
        <v>7596</v>
      </c>
      <c r="B477" s="16" t="s">
        <v>7654</v>
      </c>
      <c r="C477" s="16" t="s">
        <v>7652</v>
      </c>
      <c r="D477" s="16" t="s">
        <v>7597</v>
      </c>
      <c r="E477" s="16" t="s">
        <v>13087</v>
      </c>
      <c r="F477" s="16" t="s">
        <v>13088</v>
      </c>
      <c r="G477" s="16" t="s">
        <v>22</v>
      </c>
      <c r="H477" s="16"/>
      <c r="I477" s="16" t="s">
        <v>160</v>
      </c>
      <c r="J477" s="16"/>
      <c r="K477" s="16" t="s">
        <v>12950</v>
      </c>
      <c r="L477" s="16"/>
      <c r="M477" s="19" t="s">
        <v>5750</v>
      </c>
      <c r="N477" s="16"/>
      <c r="O477" s="16" t="s">
        <v>13089</v>
      </c>
      <c r="P477" s="16" t="str">
        <f>HYPERLINK("https://ceds.ed.gov/cedselementdetails.aspx?termid=27394")</f>
        <v>https://ceds.ed.gov/cedselementdetails.aspx?termid=27394</v>
      </c>
      <c r="Q477" s="16">
        <v>73311</v>
      </c>
    </row>
    <row r="478" spans="1:17" ht="43.2" x14ac:dyDescent="0.3">
      <c r="A478" s="16" t="s">
        <v>7596</v>
      </c>
      <c r="B478" s="16" t="s">
        <v>7654</v>
      </c>
      <c r="C478" s="16" t="s">
        <v>7652</v>
      </c>
      <c r="D478" s="16" t="s">
        <v>7597</v>
      </c>
      <c r="E478" s="16" t="s">
        <v>4546</v>
      </c>
      <c r="F478" s="16" t="s">
        <v>4547</v>
      </c>
      <c r="G478" s="16" t="s">
        <v>22</v>
      </c>
      <c r="H478" s="16"/>
      <c r="I478" s="16"/>
      <c r="J478" s="16"/>
      <c r="K478" s="16"/>
      <c r="L478" s="16"/>
      <c r="M478" s="19" t="s">
        <v>4548</v>
      </c>
      <c r="N478" s="16"/>
      <c r="O478" s="16" t="s">
        <v>4549</v>
      </c>
      <c r="P478" s="16" t="str">
        <f>HYPERLINK("https://ceds.ed.gov/cedselementdetails.aspx?termid=27591")</f>
        <v>https://ceds.ed.gov/cedselementdetails.aspx?termid=27591</v>
      </c>
      <c r="Q478" s="16">
        <v>74085</v>
      </c>
    </row>
    <row r="479" spans="1:17" ht="172.8" x14ac:dyDescent="0.3">
      <c r="A479" s="16" t="s">
        <v>7596</v>
      </c>
      <c r="B479" s="16" t="s">
        <v>7654</v>
      </c>
      <c r="C479" s="16" t="s">
        <v>7652</v>
      </c>
      <c r="D479" s="16" t="s">
        <v>7597</v>
      </c>
      <c r="E479" s="16" t="s">
        <v>1983</v>
      </c>
      <c r="F479" s="16" t="s">
        <v>1984</v>
      </c>
      <c r="G479" s="16" t="s">
        <v>32</v>
      </c>
      <c r="H479" s="16" t="s">
        <v>1982</v>
      </c>
      <c r="I479" s="16"/>
      <c r="J479" s="16" t="s">
        <v>120</v>
      </c>
      <c r="K479" s="16"/>
      <c r="L479" s="16" t="s">
        <v>7817</v>
      </c>
      <c r="M479" s="19" t="s">
        <v>1985</v>
      </c>
      <c r="N479" s="16"/>
      <c r="O479" s="16" t="s">
        <v>1986</v>
      </c>
      <c r="P479" s="16" t="str">
        <f>HYPERLINK("https://ceds.ed.gov/cedselementdetails.aspx?termid=26781")</f>
        <v>https://ceds.ed.gov/cedselementdetails.aspx?termid=26781</v>
      </c>
      <c r="Q479" s="16">
        <v>75871</v>
      </c>
    </row>
    <row r="480" spans="1:17" ht="273.60000000000002" x14ac:dyDescent="0.3">
      <c r="A480" s="16" t="s">
        <v>7596</v>
      </c>
      <c r="B480" s="16" t="s">
        <v>7654</v>
      </c>
      <c r="C480" s="16" t="s">
        <v>7652</v>
      </c>
      <c r="D480" s="16" t="s">
        <v>7597</v>
      </c>
      <c r="E480" s="16" t="s">
        <v>5734</v>
      </c>
      <c r="F480" s="16" t="s">
        <v>5735</v>
      </c>
      <c r="G480" s="16" t="s">
        <v>9336</v>
      </c>
      <c r="H480" s="16"/>
      <c r="I480" s="16"/>
      <c r="J480" s="16"/>
      <c r="K480" s="16"/>
      <c r="L480" s="16"/>
      <c r="M480" s="19" t="s">
        <v>5736</v>
      </c>
      <c r="N480" s="16"/>
      <c r="O480" s="16" t="s">
        <v>5737</v>
      </c>
      <c r="P480" s="16" t="str">
        <f>HYPERLINK("https://ceds.ed.gov/cedselementdetails.aspx?termid=27550")</f>
        <v>https://ceds.ed.gov/cedselementdetails.aspx?termid=27550</v>
      </c>
      <c r="Q480" s="16">
        <v>75872</v>
      </c>
    </row>
    <row r="481" spans="1:17" ht="172.8" x14ac:dyDescent="0.3">
      <c r="A481" s="16" t="s">
        <v>7596</v>
      </c>
      <c r="B481" s="16" t="s">
        <v>7654</v>
      </c>
      <c r="C481" s="16" t="s">
        <v>7652</v>
      </c>
      <c r="D481" s="16" t="s">
        <v>7597</v>
      </c>
      <c r="E481" s="16" t="s">
        <v>5738</v>
      </c>
      <c r="F481" s="16" t="s">
        <v>5739</v>
      </c>
      <c r="G481" s="16" t="s">
        <v>32</v>
      </c>
      <c r="H481" s="16"/>
      <c r="I481" s="16"/>
      <c r="J481" s="16" t="s">
        <v>120</v>
      </c>
      <c r="K481" s="16"/>
      <c r="L481" s="16" t="s">
        <v>7905</v>
      </c>
      <c r="M481" s="19" t="s">
        <v>5740</v>
      </c>
      <c r="N481" s="16"/>
      <c r="O481" s="16" t="s">
        <v>5741</v>
      </c>
      <c r="P481" s="16" t="str">
        <f>HYPERLINK("https://ceds.ed.gov/cedselementdetails.aspx?termid=27551")</f>
        <v>https://ceds.ed.gov/cedselementdetails.aspx?termid=27551</v>
      </c>
      <c r="Q481" s="16">
        <v>75873</v>
      </c>
    </row>
    <row r="482" spans="1:17" ht="158.4" x14ac:dyDescent="0.3">
      <c r="A482" s="16" t="s">
        <v>7596</v>
      </c>
      <c r="B482" s="16" t="s">
        <v>7654</v>
      </c>
      <c r="C482" s="16" t="s">
        <v>7652</v>
      </c>
      <c r="D482" s="16" t="s">
        <v>7597</v>
      </c>
      <c r="E482" s="16" t="s">
        <v>6932</v>
      </c>
      <c r="F482" s="16" t="s">
        <v>6933</v>
      </c>
      <c r="G482" s="16" t="s">
        <v>9344</v>
      </c>
      <c r="H482" s="16" t="s">
        <v>6936</v>
      </c>
      <c r="I482" s="16"/>
      <c r="J482" s="16"/>
      <c r="K482" s="16"/>
      <c r="L482" s="16"/>
      <c r="M482" s="19" t="s">
        <v>6934</v>
      </c>
      <c r="N482" s="16"/>
      <c r="O482" s="16" t="s">
        <v>6935</v>
      </c>
      <c r="P482" s="16" t="str">
        <f>HYPERLINK("https://ceds.ed.gov/cedselementdetails.aspx?termid=26163")</f>
        <v>https://ceds.ed.gov/cedselementdetails.aspx?termid=26163</v>
      </c>
      <c r="Q482" s="16">
        <v>75874</v>
      </c>
    </row>
    <row r="483" spans="1:17" ht="172.8" x14ac:dyDescent="0.3">
      <c r="A483" s="16" t="s">
        <v>7596</v>
      </c>
      <c r="B483" s="16" t="s">
        <v>7654</v>
      </c>
      <c r="C483" s="16" t="s">
        <v>7652</v>
      </c>
      <c r="D483" s="16" t="s">
        <v>7597</v>
      </c>
      <c r="E483" s="16" t="s">
        <v>6937</v>
      </c>
      <c r="F483" s="16" t="s">
        <v>6938</v>
      </c>
      <c r="G483" s="16" t="s">
        <v>32</v>
      </c>
      <c r="H483" s="16" t="s">
        <v>6936</v>
      </c>
      <c r="I483" s="16"/>
      <c r="J483" s="16" t="s">
        <v>120</v>
      </c>
      <c r="K483" s="16"/>
      <c r="L483" s="16" t="s">
        <v>7817</v>
      </c>
      <c r="M483" s="19" t="s">
        <v>6939</v>
      </c>
      <c r="N483" s="16"/>
      <c r="O483" s="16" t="s">
        <v>6940</v>
      </c>
      <c r="P483" s="16" t="str">
        <f>HYPERLINK("https://ceds.ed.gov/cedselementdetails.aspx?termid=26157")</f>
        <v>https://ceds.ed.gov/cedselementdetails.aspx?termid=26157</v>
      </c>
      <c r="Q483" s="16">
        <v>75875</v>
      </c>
    </row>
    <row r="484" spans="1:17" ht="172.8" x14ac:dyDescent="0.3">
      <c r="A484" s="16" t="s">
        <v>7596</v>
      </c>
      <c r="B484" s="16" t="s">
        <v>7654</v>
      </c>
      <c r="C484" s="16" t="s">
        <v>7603</v>
      </c>
      <c r="D484" s="16" t="s">
        <v>7597</v>
      </c>
      <c r="E484" s="16" t="s">
        <v>182</v>
      </c>
      <c r="F484" s="16" t="s">
        <v>183</v>
      </c>
      <c r="G484" s="16" t="s">
        <v>8293</v>
      </c>
      <c r="H484" s="16" t="s">
        <v>186</v>
      </c>
      <c r="I484" s="16"/>
      <c r="J484" s="16" t="s">
        <v>81</v>
      </c>
      <c r="K484" s="16"/>
      <c r="L484" s="16"/>
      <c r="M484" s="19" t="s">
        <v>184</v>
      </c>
      <c r="N484" s="16"/>
      <c r="O484" s="16" t="s">
        <v>185</v>
      </c>
      <c r="P484" s="16" t="str">
        <f>HYPERLINK("https://ceds.ed.gov/cedselementdetails.aspx?termid=26358")</f>
        <v>https://ceds.ed.gov/cedselementdetails.aspx?termid=26358</v>
      </c>
      <c r="Q484" s="16">
        <v>72129</v>
      </c>
    </row>
    <row r="485" spans="1:17" ht="187.2" x14ac:dyDescent="0.3">
      <c r="A485" s="16" t="s">
        <v>7596</v>
      </c>
      <c r="B485" s="16" t="s">
        <v>7654</v>
      </c>
      <c r="C485" s="16" t="s">
        <v>7603</v>
      </c>
      <c r="D485" s="16" t="s">
        <v>7597</v>
      </c>
      <c r="E485" s="16" t="s">
        <v>177</v>
      </c>
      <c r="F485" s="16" t="s">
        <v>178</v>
      </c>
      <c r="G485" s="16" t="s">
        <v>32</v>
      </c>
      <c r="H485" s="16" t="s">
        <v>163</v>
      </c>
      <c r="I485" s="16"/>
      <c r="J485" s="16" t="s">
        <v>179</v>
      </c>
      <c r="K485" s="16"/>
      <c r="L485" s="16"/>
      <c r="M485" s="19" t="s">
        <v>180</v>
      </c>
      <c r="N485" s="16"/>
      <c r="O485" s="16" t="s">
        <v>181</v>
      </c>
      <c r="P485" s="16" t="str">
        <f>HYPERLINK("https://ceds.ed.gov/cedselementdetails.aspx?termid=26269")</f>
        <v>https://ceds.ed.gov/cedselementdetails.aspx?termid=26269</v>
      </c>
      <c r="Q485" s="16">
        <v>71969</v>
      </c>
    </row>
    <row r="486" spans="1:17" ht="187.2" x14ac:dyDescent="0.3">
      <c r="A486" s="16" t="s">
        <v>7596</v>
      </c>
      <c r="B486" s="16" t="s">
        <v>7654</v>
      </c>
      <c r="C486" s="16" t="s">
        <v>7603</v>
      </c>
      <c r="D486" s="16" t="s">
        <v>7597</v>
      </c>
      <c r="E486" s="16" t="s">
        <v>158</v>
      </c>
      <c r="F486" s="16" t="s">
        <v>159</v>
      </c>
      <c r="G486" s="16" t="s">
        <v>32</v>
      </c>
      <c r="H486" s="16" t="s">
        <v>163</v>
      </c>
      <c r="I486" s="16"/>
      <c r="J486" s="16" t="s">
        <v>145</v>
      </c>
      <c r="K486" s="16"/>
      <c r="L486" s="16"/>
      <c r="M486" s="19" t="s">
        <v>161</v>
      </c>
      <c r="N486" s="16"/>
      <c r="O486" s="16" t="s">
        <v>162</v>
      </c>
      <c r="P486" s="16" t="str">
        <f>HYPERLINK("https://ceds.ed.gov/cedselementdetails.aspx?termid=26019")</f>
        <v>https://ceds.ed.gov/cedselementdetails.aspx?termid=26019</v>
      </c>
      <c r="Q486" s="16">
        <v>71970</v>
      </c>
    </row>
    <row r="487" spans="1:17" ht="187.2" x14ac:dyDescent="0.3">
      <c r="A487" s="16" t="s">
        <v>7596</v>
      </c>
      <c r="B487" s="16" t="s">
        <v>7654</v>
      </c>
      <c r="C487" s="16" t="s">
        <v>7603</v>
      </c>
      <c r="D487" s="16" t="s">
        <v>7597</v>
      </c>
      <c r="E487" s="16" t="s">
        <v>164</v>
      </c>
      <c r="F487" s="16" t="s">
        <v>165</v>
      </c>
      <c r="G487" s="16" t="s">
        <v>32</v>
      </c>
      <c r="H487" s="16" t="s">
        <v>163</v>
      </c>
      <c r="I487" s="16"/>
      <c r="J487" s="16" t="s">
        <v>81</v>
      </c>
      <c r="K487" s="16"/>
      <c r="L487" s="16"/>
      <c r="M487" s="19" t="s">
        <v>166</v>
      </c>
      <c r="N487" s="16"/>
      <c r="O487" s="16" t="s">
        <v>167</v>
      </c>
      <c r="P487" s="16" t="str">
        <f>HYPERLINK("https://ceds.ed.gov/cedselementdetails.aspx?termid=26040")</f>
        <v>https://ceds.ed.gov/cedselementdetails.aspx?termid=26040</v>
      </c>
      <c r="Q487" s="16">
        <v>71971</v>
      </c>
    </row>
    <row r="488" spans="1:17" ht="409.6" x14ac:dyDescent="0.3">
      <c r="A488" s="16" t="s">
        <v>7596</v>
      </c>
      <c r="B488" s="16" t="s">
        <v>7654</v>
      </c>
      <c r="C488" s="16" t="s">
        <v>7603</v>
      </c>
      <c r="D488" s="16" t="s">
        <v>7597</v>
      </c>
      <c r="E488" s="16" t="s">
        <v>6840</v>
      </c>
      <c r="F488" s="16" t="s">
        <v>6841</v>
      </c>
      <c r="G488" s="16" t="s">
        <v>8266</v>
      </c>
      <c r="H488" s="16" t="s">
        <v>6844</v>
      </c>
      <c r="I488" s="16"/>
      <c r="J488" s="16"/>
      <c r="K488" s="16"/>
      <c r="L488" s="16"/>
      <c r="M488" s="19" t="s">
        <v>6842</v>
      </c>
      <c r="N488" s="16"/>
      <c r="O488" s="16" t="s">
        <v>6843</v>
      </c>
      <c r="P488" s="16" t="str">
        <f>HYPERLINK("https://ceds.ed.gov/cedselementdetails.aspx?termid=26267")</f>
        <v>https://ceds.ed.gov/cedselementdetails.aspx?termid=26267</v>
      </c>
      <c r="Q488" s="16">
        <v>71972</v>
      </c>
    </row>
    <row r="489" spans="1:17" ht="187.2" x14ac:dyDescent="0.3">
      <c r="A489" s="16" t="s">
        <v>7596</v>
      </c>
      <c r="B489" s="16" t="s">
        <v>7654</v>
      </c>
      <c r="C489" s="16" t="s">
        <v>7603</v>
      </c>
      <c r="D489" s="16" t="s">
        <v>7597</v>
      </c>
      <c r="E489" s="16" t="s">
        <v>172</v>
      </c>
      <c r="F489" s="16" t="s">
        <v>173</v>
      </c>
      <c r="G489" s="16" t="s">
        <v>32</v>
      </c>
      <c r="H489" s="16" t="s">
        <v>163</v>
      </c>
      <c r="I489" s="16"/>
      <c r="J489" s="16" t="s">
        <v>174</v>
      </c>
      <c r="K489" s="16"/>
      <c r="L489" s="16"/>
      <c r="M489" s="19" t="s">
        <v>175</v>
      </c>
      <c r="N489" s="16"/>
      <c r="O489" s="16" t="s">
        <v>176</v>
      </c>
      <c r="P489" s="16" t="str">
        <f>HYPERLINK("https://ceds.ed.gov/cedselementdetails.aspx?termid=26214")</f>
        <v>https://ceds.ed.gov/cedselementdetails.aspx?termid=26214</v>
      </c>
      <c r="Q489" s="16">
        <v>71973</v>
      </c>
    </row>
    <row r="490" spans="1:17" ht="187.2" x14ac:dyDescent="0.3">
      <c r="A490" s="16" t="s">
        <v>7596</v>
      </c>
      <c r="B490" s="16" t="s">
        <v>7654</v>
      </c>
      <c r="C490" s="16" t="s">
        <v>7603</v>
      </c>
      <c r="D490" s="16" t="s">
        <v>7597</v>
      </c>
      <c r="E490" s="16" t="s">
        <v>168</v>
      </c>
      <c r="F490" s="16" t="s">
        <v>169</v>
      </c>
      <c r="G490" s="16" t="s">
        <v>32</v>
      </c>
      <c r="H490" s="16" t="s">
        <v>163</v>
      </c>
      <c r="I490" s="16"/>
      <c r="J490" s="16" t="s">
        <v>81</v>
      </c>
      <c r="K490" s="16"/>
      <c r="L490" s="16"/>
      <c r="M490" s="19" t="s">
        <v>170</v>
      </c>
      <c r="N490" s="16"/>
      <c r="O490" s="16" t="s">
        <v>171</v>
      </c>
      <c r="P490" s="16" t="str">
        <f>HYPERLINK("https://ceds.ed.gov/cedselementdetails.aspx?termid=26190")</f>
        <v>https://ceds.ed.gov/cedselementdetails.aspx?termid=26190</v>
      </c>
      <c r="Q490" s="16">
        <v>71974</v>
      </c>
    </row>
    <row r="491" spans="1:17" ht="409.6" x14ac:dyDescent="0.3">
      <c r="A491" s="16" t="s">
        <v>7596</v>
      </c>
      <c r="B491" s="16" t="s">
        <v>7654</v>
      </c>
      <c r="C491" s="16" t="s">
        <v>7603</v>
      </c>
      <c r="D491" s="16" t="s">
        <v>7597</v>
      </c>
      <c r="E491" s="16" t="s">
        <v>2483</v>
      </c>
      <c r="F491" s="16" t="s">
        <v>2484</v>
      </c>
      <c r="G491" s="16" t="s">
        <v>8454</v>
      </c>
      <c r="H491" s="16" t="s">
        <v>2487</v>
      </c>
      <c r="I491" s="16"/>
      <c r="J491" s="16"/>
      <c r="K491" s="16"/>
      <c r="L491" s="16" t="s">
        <v>7915</v>
      </c>
      <c r="M491" s="19" t="s">
        <v>2485</v>
      </c>
      <c r="N491" s="16"/>
      <c r="O491" s="16" t="s">
        <v>2486</v>
      </c>
      <c r="P491" s="16" t="str">
        <f>HYPERLINK("https://ceds.ed.gov/cedselementdetails.aspx?termid=26050")</f>
        <v>https://ceds.ed.gov/cedselementdetails.aspx?termid=26050</v>
      </c>
      <c r="Q491" s="16">
        <v>71975</v>
      </c>
    </row>
    <row r="492" spans="1:17" ht="57.6" x14ac:dyDescent="0.3">
      <c r="A492" s="16" t="s">
        <v>7596</v>
      </c>
      <c r="B492" s="16" t="s">
        <v>7654</v>
      </c>
      <c r="C492" s="16" t="s">
        <v>7603</v>
      </c>
      <c r="D492" s="16" t="s">
        <v>7597</v>
      </c>
      <c r="E492" s="16" t="s">
        <v>4902</v>
      </c>
      <c r="F492" s="16" t="s">
        <v>4903</v>
      </c>
      <c r="G492" s="16" t="s">
        <v>32</v>
      </c>
      <c r="H492" s="16"/>
      <c r="I492" s="16"/>
      <c r="J492" s="16" t="s">
        <v>1130</v>
      </c>
      <c r="K492" s="16"/>
      <c r="L492" s="16"/>
      <c r="M492" s="19" t="s">
        <v>4904</v>
      </c>
      <c r="N492" s="16"/>
      <c r="O492" s="16" t="s">
        <v>4902</v>
      </c>
      <c r="P492" s="16" t="str">
        <f>HYPERLINK("https://ceds.ed.gov/cedselementdetails.aspx?termid=26599")</f>
        <v>https://ceds.ed.gov/cedselementdetails.aspx?termid=26599</v>
      </c>
      <c r="Q492" s="16">
        <v>74256</v>
      </c>
    </row>
    <row r="493" spans="1:17" ht="57.6" x14ac:dyDescent="0.3">
      <c r="A493" s="16" t="s">
        <v>7596</v>
      </c>
      <c r="B493" s="16" t="s">
        <v>7654</v>
      </c>
      <c r="C493" s="16" t="s">
        <v>7603</v>
      </c>
      <c r="D493" s="16" t="s">
        <v>7597</v>
      </c>
      <c r="E493" s="16" t="s">
        <v>5285</v>
      </c>
      <c r="F493" s="16" t="s">
        <v>5286</v>
      </c>
      <c r="G493" s="16" t="s">
        <v>32</v>
      </c>
      <c r="H493" s="16"/>
      <c r="I493" s="16"/>
      <c r="J493" s="16" t="s">
        <v>1130</v>
      </c>
      <c r="K493" s="16"/>
      <c r="L493" s="16"/>
      <c r="M493" s="19" t="s">
        <v>5287</v>
      </c>
      <c r="N493" s="16"/>
      <c r="O493" s="16" t="s">
        <v>5285</v>
      </c>
      <c r="P493" s="16" t="str">
        <f>HYPERLINK("https://ceds.ed.gov/cedselementdetails.aspx?termid=26600")</f>
        <v>https://ceds.ed.gov/cedselementdetails.aspx?termid=26600</v>
      </c>
      <c r="Q493" s="16">
        <v>74279</v>
      </c>
    </row>
    <row r="494" spans="1:17" ht="158.4" x14ac:dyDescent="0.3">
      <c r="A494" s="16" t="s">
        <v>7596</v>
      </c>
      <c r="B494" s="16" t="s">
        <v>7654</v>
      </c>
      <c r="C494" s="16" t="s">
        <v>7603</v>
      </c>
      <c r="D494" s="16" t="s">
        <v>7597</v>
      </c>
      <c r="E494" s="16" t="s">
        <v>2493</v>
      </c>
      <c r="F494" s="16" t="s">
        <v>2494</v>
      </c>
      <c r="G494" s="16" t="s">
        <v>32</v>
      </c>
      <c r="H494" s="16"/>
      <c r="I494" s="16"/>
      <c r="J494" s="16" t="s">
        <v>2495</v>
      </c>
      <c r="K494" s="16"/>
      <c r="L494" s="16"/>
      <c r="M494" s="19" t="s">
        <v>2496</v>
      </c>
      <c r="N494" s="16"/>
      <c r="O494" s="16" t="s">
        <v>2497</v>
      </c>
      <c r="P494" s="16" t="str">
        <f>HYPERLINK("https://ceds.ed.gov/cedselementdetails.aspx?termid=27176")</f>
        <v>https://ceds.ed.gov/cedselementdetails.aspx?termid=27176</v>
      </c>
      <c r="Q494" s="16">
        <v>75297</v>
      </c>
    </row>
    <row r="495" spans="1:17" ht="57.6" x14ac:dyDescent="0.3">
      <c r="A495" s="16" t="s">
        <v>7596</v>
      </c>
      <c r="B495" s="16" t="s">
        <v>7654</v>
      </c>
      <c r="C495" s="16" t="s">
        <v>7603</v>
      </c>
      <c r="D495" s="16" t="s">
        <v>7597</v>
      </c>
      <c r="E495" s="16" t="s">
        <v>3175</v>
      </c>
      <c r="F495" s="16" t="s">
        <v>3176</v>
      </c>
      <c r="G495" s="16" t="s">
        <v>2987</v>
      </c>
      <c r="H495" s="16"/>
      <c r="I495" s="16"/>
      <c r="J495" s="16"/>
      <c r="K495" s="16"/>
      <c r="L495" s="16"/>
      <c r="M495" s="19" t="s">
        <v>3177</v>
      </c>
      <c r="N495" s="16"/>
      <c r="O495" s="16" t="s">
        <v>3178</v>
      </c>
      <c r="P495" s="16" t="str">
        <f>HYPERLINK("https://ceds.ed.gov/cedselementdetails.aspx?termid=27905")</f>
        <v>https://ceds.ed.gov/cedselementdetails.aspx?termid=27905</v>
      </c>
      <c r="Q495" s="16">
        <v>75298</v>
      </c>
    </row>
    <row r="496" spans="1:17" ht="72" x14ac:dyDescent="0.3">
      <c r="A496" s="16" t="s">
        <v>7596</v>
      </c>
      <c r="B496" s="16" t="s">
        <v>7654</v>
      </c>
      <c r="C496" s="16" t="s">
        <v>7604</v>
      </c>
      <c r="D496" s="16" t="s">
        <v>7597</v>
      </c>
      <c r="E496" s="16" t="s">
        <v>7053</v>
      </c>
      <c r="F496" s="16" t="s">
        <v>7054</v>
      </c>
      <c r="G496" s="16" t="s">
        <v>32</v>
      </c>
      <c r="H496" s="16" t="s">
        <v>64</v>
      </c>
      <c r="I496" s="16"/>
      <c r="J496" s="16" t="s">
        <v>7055</v>
      </c>
      <c r="K496" s="16"/>
      <c r="L496" s="16"/>
      <c r="M496" s="19" t="s">
        <v>7056</v>
      </c>
      <c r="N496" s="16"/>
      <c r="O496" s="16" t="s">
        <v>7057</v>
      </c>
      <c r="P496" s="16" t="str">
        <f>HYPERLINK("https://ceds.ed.gov/cedselementdetails.aspx?termid=26279")</f>
        <v>https://ceds.ed.gov/cedselementdetails.aspx?termid=26279</v>
      </c>
      <c r="Q496" s="16">
        <v>71977</v>
      </c>
    </row>
    <row r="497" spans="1:17" ht="86.4" x14ac:dyDescent="0.3">
      <c r="A497" s="16" t="s">
        <v>7596</v>
      </c>
      <c r="B497" s="16" t="s">
        <v>7654</v>
      </c>
      <c r="C497" s="16" t="s">
        <v>7604</v>
      </c>
      <c r="D497" s="16" t="s">
        <v>7597</v>
      </c>
      <c r="E497" s="16" t="s">
        <v>7062</v>
      </c>
      <c r="F497" s="16" t="s">
        <v>7063</v>
      </c>
      <c r="G497" s="16" t="s">
        <v>8849</v>
      </c>
      <c r="H497" s="16" t="s">
        <v>64</v>
      </c>
      <c r="I497" s="16"/>
      <c r="J497" s="16" t="s">
        <v>2500</v>
      </c>
      <c r="K497" s="16"/>
      <c r="L497" s="16"/>
      <c r="M497" s="19" t="s">
        <v>7064</v>
      </c>
      <c r="N497" s="16"/>
      <c r="O497" s="16" t="s">
        <v>7065</v>
      </c>
      <c r="P497" s="16" t="str">
        <f>HYPERLINK("https://ceds.ed.gov/cedselementdetails.aspx?termid=26280")</f>
        <v>https://ceds.ed.gov/cedselementdetails.aspx?termid=26280</v>
      </c>
      <c r="Q497" s="16">
        <v>71976</v>
      </c>
    </row>
    <row r="498" spans="1:17" ht="72" x14ac:dyDescent="0.3">
      <c r="A498" s="16" t="s">
        <v>7596</v>
      </c>
      <c r="B498" s="16" t="s">
        <v>7654</v>
      </c>
      <c r="C498" s="16" t="s">
        <v>7604</v>
      </c>
      <c r="D498" s="16" t="s">
        <v>7597</v>
      </c>
      <c r="E498" s="16" t="s">
        <v>5865</v>
      </c>
      <c r="F498" s="16" t="s">
        <v>5866</v>
      </c>
      <c r="G498" s="16" t="s">
        <v>22</v>
      </c>
      <c r="H498" s="16" t="s">
        <v>64</v>
      </c>
      <c r="I498" s="16"/>
      <c r="J498" s="16"/>
      <c r="K498" s="16"/>
      <c r="L498" s="16"/>
      <c r="M498" s="19" t="s">
        <v>5867</v>
      </c>
      <c r="N498" s="16"/>
      <c r="O498" s="16" t="s">
        <v>5868</v>
      </c>
      <c r="P498" s="16" t="str">
        <f>HYPERLINK("https://ceds.ed.gov/cedselementdetails.aspx?termid=26219")</f>
        <v>https://ceds.ed.gov/cedselementdetails.aspx?termid=26219</v>
      </c>
      <c r="Q498" s="16">
        <v>72212</v>
      </c>
    </row>
    <row r="499" spans="1:17" ht="57.6" x14ac:dyDescent="0.3">
      <c r="A499" s="16" t="s">
        <v>7596</v>
      </c>
      <c r="B499" s="16" t="s">
        <v>7654</v>
      </c>
      <c r="C499" s="16" t="s">
        <v>7604</v>
      </c>
      <c r="D499" s="16" t="s">
        <v>7597</v>
      </c>
      <c r="E499" s="16" t="s">
        <v>3175</v>
      </c>
      <c r="F499" s="16" t="s">
        <v>3176</v>
      </c>
      <c r="G499" s="16" t="s">
        <v>2987</v>
      </c>
      <c r="H499" s="16"/>
      <c r="I499" s="16"/>
      <c r="J499" s="16"/>
      <c r="K499" s="16"/>
      <c r="L499" s="16"/>
      <c r="M499" s="19" t="s">
        <v>3177</v>
      </c>
      <c r="N499" s="16"/>
      <c r="O499" s="16" t="s">
        <v>3178</v>
      </c>
      <c r="P499" s="16" t="str">
        <f>HYPERLINK("https://ceds.ed.gov/cedselementdetails.aspx?termid=27905")</f>
        <v>https://ceds.ed.gov/cedselementdetails.aspx?termid=27905</v>
      </c>
      <c r="Q499" s="16">
        <v>75300</v>
      </c>
    </row>
    <row r="500" spans="1:17" ht="57.6" x14ac:dyDescent="0.3">
      <c r="A500" s="16" t="s">
        <v>7596</v>
      </c>
      <c r="B500" s="16" t="s">
        <v>7654</v>
      </c>
      <c r="C500" s="16" t="s">
        <v>7604</v>
      </c>
      <c r="D500" s="16" t="s">
        <v>7597</v>
      </c>
      <c r="E500" s="16" t="s">
        <v>7058</v>
      </c>
      <c r="F500" s="16" t="s">
        <v>7059</v>
      </c>
      <c r="G500" s="16" t="s">
        <v>8848</v>
      </c>
      <c r="H500" s="16"/>
      <c r="I500" s="16"/>
      <c r="J500" s="16"/>
      <c r="K500" s="16"/>
      <c r="L500" s="16"/>
      <c r="M500" s="19" t="s">
        <v>7060</v>
      </c>
      <c r="N500" s="16"/>
      <c r="O500" s="16" t="s">
        <v>7061</v>
      </c>
      <c r="P500" s="16" t="str">
        <f>HYPERLINK("https://ceds.ed.gov/cedselementdetails.aspx?termid=27911")</f>
        <v>https://ceds.ed.gov/cedselementdetails.aspx?termid=27911</v>
      </c>
      <c r="Q500" s="16">
        <v>75301</v>
      </c>
    </row>
    <row r="501" spans="1:17" ht="72" x14ac:dyDescent="0.3">
      <c r="A501" s="16" t="s">
        <v>7596</v>
      </c>
      <c r="B501" s="16" t="s">
        <v>7654</v>
      </c>
      <c r="C501" s="16" t="s">
        <v>7605</v>
      </c>
      <c r="D501" s="16" t="s">
        <v>7597</v>
      </c>
      <c r="E501" s="16" t="s">
        <v>3406</v>
      </c>
      <c r="F501" s="16" t="s">
        <v>3407</v>
      </c>
      <c r="G501" s="16" t="s">
        <v>32</v>
      </c>
      <c r="H501" s="16" t="s">
        <v>64</v>
      </c>
      <c r="I501" s="16"/>
      <c r="J501" s="16" t="s">
        <v>3408</v>
      </c>
      <c r="K501" s="16"/>
      <c r="L501" s="16"/>
      <c r="M501" s="19" t="s">
        <v>3409</v>
      </c>
      <c r="N501" s="16" t="s">
        <v>3410</v>
      </c>
      <c r="O501" s="16" t="s">
        <v>3411</v>
      </c>
      <c r="P501" s="16" t="str">
        <f>HYPERLINK("https://ceds.ed.gov/cedselementdetails.aspx?termid=26088")</f>
        <v>https://ceds.ed.gov/cedselementdetails.aspx?termid=26088</v>
      </c>
      <c r="Q501" s="16">
        <v>71979</v>
      </c>
    </row>
    <row r="502" spans="1:17" ht="72" x14ac:dyDescent="0.3">
      <c r="A502" s="16" t="s">
        <v>7596</v>
      </c>
      <c r="B502" s="16" t="s">
        <v>7654</v>
      </c>
      <c r="C502" s="16" t="s">
        <v>7605</v>
      </c>
      <c r="D502" s="16" t="s">
        <v>7597</v>
      </c>
      <c r="E502" s="16" t="s">
        <v>3412</v>
      </c>
      <c r="F502" s="16" t="s">
        <v>3413</v>
      </c>
      <c r="G502" s="16" t="s">
        <v>9330</v>
      </c>
      <c r="H502" s="16" t="s">
        <v>64</v>
      </c>
      <c r="I502" s="16"/>
      <c r="J502" s="16"/>
      <c r="K502" s="16"/>
      <c r="L502" s="16"/>
      <c r="M502" s="19" t="s">
        <v>3414</v>
      </c>
      <c r="N502" s="16" t="s">
        <v>3415</v>
      </c>
      <c r="O502" s="16" t="s">
        <v>3416</v>
      </c>
      <c r="P502" s="16" t="str">
        <f>HYPERLINK("https://ceds.ed.gov/cedselementdetails.aspx?termid=26089")</f>
        <v>https://ceds.ed.gov/cedselementdetails.aspx?termid=26089</v>
      </c>
      <c r="Q502" s="16">
        <v>71978</v>
      </c>
    </row>
    <row r="503" spans="1:17" ht="57.6" x14ac:dyDescent="0.3">
      <c r="A503" s="16" t="s">
        <v>7596</v>
      </c>
      <c r="B503" s="16" t="s">
        <v>7654</v>
      </c>
      <c r="C503" s="16" t="s">
        <v>7605</v>
      </c>
      <c r="D503" s="16" t="s">
        <v>7597</v>
      </c>
      <c r="E503" s="16" t="s">
        <v>3175</v>
      </c>
      <c r="F503" s="16" t="s">
        <v>3176</v>
      </c>
      <c r="G503" s="16" t="s">
        <v>2987</v>
      </c>
      <c r="H503" s="16"/>
      <c r="I503" s="16"/>
      <c r="J503" s="16"/>
      <c r="K503" s="16"/>
      <c r="L503" s="16"/>
      <c r="M503" s="19" t="s">
        <v>3177</v>
      </c>
      <c r="N503" s="16"/>
      <c r="O503" s="16" t="s">
        <v>3178</v>
      </c>
      <c r="P503" s="16" t="str">
        <f>HYPERLINK("https://ceds.ed.gov/cedselementdetails.aspx?termid=27905")</f>
        <v>https://ceds.ed.gov/cedselementdetails.aspx?termid=27905</v>
      </c>
      <c r="Q503" s="16">
        <v>75299</v>
      </c>
    </row>
    <row r="504" spans="1:17" ht="201.6" x14ac:dyDescent="0.3">
      <c r="A504" s="16" t="s">
        <v>7596</v>
      </c>
      <c r="B504" s="16" t="s">
        <v>7654</v>
      </c>
      <c r="C504" s="16" t="s">
        <v>7628</v>
      </c>
      <c r="D504" s="16" t="s">
        <v>7597</v>
      </c>
      <c r="E504" s="16" t="s">
        <v>1507</v>
      </c>
      <c r="F504" s="16" t="s">
        <v>1508</v>
      </c>
      <c r="G504" s="16" t="s">
        <v>32</v>
      </c>
      <c r="H504" s="16" t="s">
        <v>1510</v>
      </c>
      <c r="I504" s="16"/>
      <c r="J504" s="16" t="s">
        <v>106</v>
      </c>
      <c r="K504" s="16"/>
      <c r="L504" s="16"/>
      <c r="M504" s="19" t="s">
        <v>1509</v>
      </c>
      <c r="N504" s="16"/>
      <c r="O504" s="16" t="s">
        <v>1507</v>
      </c>
      <c r="P504" s="16" t="str">
        <f>HYPERLINK("https://ceds.ed.gov/cedselementdetails.aspx?termid=26033")</f>
        <v>https://ceds.ed.gov/cedselementdetails.aspx?termid=26033</v>
      </c>
      <c r="Q504" s="16">
        <v>73660</v>
      </c>
    </row>
    <row r="505" spans="1:17" ht="216" x14ac:dyDescent="0.3">
      <c r="A505" s="16" t="s">
        <v>7596</v>
      </c>
      <c r="B505" s="16" t="s">
        <v>7654</v>
      </c>
      <c r="C505" s="16" t="s">
        <v>7628</v>
      </c>
      <c r="D505" s="16" t="s">
        <v>7597</v>
      </c>
      <c r="E505" s="16" t="s">
        <v>6662</v>
      </c>
      <c r="F505" s="16" t="s">
        <v>6663</v>
      </c>
      <c r="G505" s="16" t="s">
        <v>8831</v>
      </c>
      <c r="H505" s="16" t="s">
        <v>6666</v>
      </c>
      <c r="I505" s="16"/>
      <c r="J505" s="16"/>
      <c r="K505" s="16"/>
      <c r="L505" s="16" t="s">
        <v>6664</v>
      </c>
      <c r="M505" s="19" t="s">
        <v>6665</v>
      </c>
      <c r="N505" s="16"/>
      <c r="O505" s="16" t="s">
        <v>6662</v>
      </c>
      <c r="P505" s="16" t="str">
        <f>HYPERLINK("https://ceds.ed.gov/cedselementdetails.aspx?termid=26255")</f>
        <v>https://ceds.ed.gov/cedselementdetails.aspx?termid=26255</v>
      </c>
      <c r="Q505" s="16">
        <v>74470</v>
      </c>
    </row>
    <row r="506" spans="1:17" ht="115.2" x14ac:dyDescent="0.3">
      <c r="A506" s="16" t="s">
        <v>7596</v>
      </c>
      <c r="B506" s="16" t="s">
        <v>7654</v>
      </c>
      <c r="C506" s="16" t="s">
        <v>7628</v>
      </c>
      <c r="D506" s="16" t="s">
        <v>7597</v>
      </c>
      <c r="E506" s="16" t="s">
        <v>6823</v>
      </c>
      <c r="F506" s="16" t="s">
        <v>8155</v>
      </c>
      <c r="G506" s="16" t="s">
        <v>32</v>
      </c>
      <c r="H506" s="16" t="s">
        <v>69</v>
      </c>
      <c r="I506" s="16"/>
      <c r="J506" s="16" t="s">
        <v>6824</v>
      </c>
      <c r="K506" s="16"/>
      <c r="L506" s="16"/>
      <c r="M506" s="19" t="s">
        <v>6825</v>
      </c>
      <c r="N506" s="16"/>
      <c r="O506" s="16" t="s">
        <v>6826</v>
      </c>
      <c r="P506" s="16" t="str">
        <f>HYPERLINK("https://ceds.ed.gov/cedselementdetails.aspx?termid=26707")</f>
        <v>https://ceds.ed.gov/cedselementdetails.aspx?termid=26707</v>
      </c>
      <c r="Q506" s="16">
        <v>74471</v>
      </c>
    </row>
    <row r="507" spans="1:17" ht="409.6" x14ac:dyDescent="0.3">
      <c r="A507" s="16" t="s">
        <v>7596</v>
      </c>
      <c r="B507" s="16" t="s">
        <v>7654</v>
      </c>
      <c r="C507" s="16" t="s">
        <v>7628</v>
      </c>
      <c r="D507" s="16" t="s">
        <v>7597</v>
      </c>
      <c r="E507" s="16" t="s">
        <v>2488</v>
      </c>
      <c r="F507" s="16" t="s">
        <v>2489</v>
      </c>
      <c r="G507" s="16" t="s">
        <v>8454</v>
      </c>
      <c r="H507" s="16" t="s">
        <v>2492</v>
      </c>
      <c r="I507" s="16"/>
      <c r="J507" s="16"/>
      <c r="K507" s="16"/>
      <c r="L507" s="16" t="s">
        <v>7915</v>
      </c>
      <c r="M507" s="19" t="s">
        <v>2490</v>
      </c>
      <c r="N507" s="16"/>
      <c r="O507" s="16" t="s">
        <v>2491</v>
      </c>
      <c r="P507" s="16" t="str">
        <f>HYPERLINK("https://ceds.ed.gov/cedselementdetails.aspx?termid=26051")</f>
        <v>https://ceds.ed.gov/cedselementdetails.aspx?termid=26051</v>
      </c>
      <c r="Q507" s="16">
        <v>75302</v>
      </c>
    </row>
    <row r="508" spans="1:17" ht="100.8" x14ac:dyDescent="0.3">
      <c r="A508" s="16" t="s">
        <v>7596</v>
      </c>
      <c r="B508" s="16" t="s">
        <v>7654</v>
      </c>
      <c r="C508" s="16" t="s">
        <v>7628</v>
      </c>
      <c r="D508" s="16" t="s">
        <v>7597</v>
      </c>
      <c r="E508" s="16" t="s">
        <v>5395</v>
      </c>
      <c r="F508" s="16" t="s">
        <v>8092</v>
      </c>
      <c r="G508" s="16" t="s">
        <v>8728</v>
      </c>
      <c r="H508" s="16"/>
      <c r="I508" s="16"/>
      <c r="J508" s="16"/>
      <c r="K508" s="16"/>
      <c r="L508" s="16"/>
      <c r="M508" s="19" t="s">
        <v>5396</v>
      </c>
      <c r="N508" s="16"/>
      <c r="O508" s="16" t="s">
        <v>5397</v>
      </c>
      <c r="P508" s="16" t="str">
        <f>HYPERLINK("https://ceds.ed.gov/cedselementdetails.aspx?termid=27621")</f>
        <v>https://ceds.ed.gov/cedselementdetails.aspx?termid=27621</v>
      </c>
      <c r="Q508" s="16">
        <v>75303</v>
      </c>
    </row>
    <row r="509" spans="1:17" ht="57.6" x14ac:dyDescent="0.3">
      <c r="A509" s="16" t="s">
        <v>7596</v>
      </c>
      <c r="B509" s="16" t="s">
        <v>7654</v>
      </c>
      <c r="C509" s="16" t="s">
        <v>7628</v>
      </c>
      <c r="D509" s="16" t="s">
        <v>7597</v>
      </c>
      <c r="E509" s="16" t="s">
        <v>7181</v>
      </c>
      <c r="F509" s="16" t="s">
        <v>7182</v>
      </c>
      <c r="G509" s="16" t="s">
        <v>7313</v>
      </c>
      <c r="H509" s="16"/>
      <c r="I509" s="16"/>
      <c r="J509" s="16"/>
      <c r="K509" s="16"/>
      <c r="L509" s="16"/>
      <c r="M509" s="19" t="s">
        <v>7183</v>
      </c>
      <c r="N509" s="16"/>
      <c r="O509" s="16" t="s">
        <v>7184</v>
      </c>
      <c r="P509" s="16" t="str">
        <f>HYPERLINK("https://ceds.ed.gov/cedselementdetails.aspx?termid=27638")</f>
        <v>https://ceds.ed.gov/cedselementdetails.aspx?termid=27638</v>
      </c>
      <c r="Q509" s="16">
        <v>75304</v>
      </c>
    </row>
    <row r="510" spans="1:17" ht="144" x14ac:dyDescent="0.3">
      <c r="A510" s="16" t="s">
        <v>7596</v>
      </c>
      <c r="B510" s="16" t="s">
        <v>7654</v>
      </c>
      <c r="C510" s="16" t="s">
        <v>7628</v>
      </c>
      <c r="D510" s="16" t="s">
        <v>7597</v>
      </c>
      <c r="E510" s="16" t="s">
        <v>7527</v>
      </c>
      <c r="F510" s="16" t="s">
        <v>7528</v>
      </c>
      <c r="G510" s="16" t="s">
        <v>8811</v>
      </c>
      <c r="H510" s="16"/>
      <c r="I510" s="16"/>
      <c r="J510" s="16"/>
      <c r="K510" s="16"/>
      <c r="L510" s="16" t="s">
        <v>7529</v>
      </c>
      <c r="M510" s="19" t="s">
        <v>7530</v>
      </c>
      <c r="N510" s="16"/>
      <c r="O510" s="16" t="s">
        <v>7527</v>
      </c>
      <c r="P510" s="16" t="str">
        <f>HYPERLINK("https://ceds.ed.gov/cedselementdetails.aspx?termid=27955")</f>
        <v>https://ceds.ed.gov/cedselementdetails.aspx?termid=27955</v>
      </c>
      <c r="Q510" s="16">
        <v>75517</v>
      </c>
    </row>
    <row r="511" spans="1:17" ht="409.6" x14ac:dyDescent="0.3">
      <c r="A511" s="16" t="s">
        <v>7596</v>
      </c>
      <c r="B511" s="16" t="s">
        <v>7654</v>
      </c>
      <c r="C511" s="16" t="s">
        <v>7655</v>
      </c>
      <c r="D511" s="16" t="s">
        <v>7597</v>
      </c>
      <c r="E511" s="16" t="s">
        <v>4268</v>
      </c>
      <c r="F511" s="16" t="s">
        <v>4269</v>
      </c>
      <c r="G511" s="16" t="s">
        <v>8445</v>
      </c>
      <c r="H511" s="16" t="s">
        <v>4272</v>
      </c>
      <c r="I511" s="16"/>
      <c r="J511" s="16"/>
      <c r="K511" s="16"/>
      <c r="L511" s="16"/>
      <c r="M511" s="19" t="s">
        <v>4270</v>
      </c>
      <c r="N511" s="16"/>
      <c r="O511" s="16" t="s">
        <v>4271</v>
      </c>
      <c r="P511" s="16" t="str">
        <f>HYPERLINK("https://ceds.ed.gov/cedselementdetails.aspx?termid=26141")</f>
        <v>https://ceds.ed.gov/cedselementdetails.aspx?termid=26141</v>
      </c>
      <c r="Q511" s="16">
        <v>71152</v>
      </c>
    </row>
    <row r="512" spans="1:17" ht="158.4" x14ac:dyDescent="0.3">
      <c r="A512" s="16" t="s">
        <v>7596</v>
      </c>
      <c r="B512" s="16" t="s">
        <v>7654</v>
      </c>
      <c r="C512" s="16" t="s">
        <v>7656</v>
      </c>
      <c r="D512" s="16" t="s">
        <v>7597</v>
      </c>
      <c r="E512" s="16" t="s">
        <v>4753</v>
      </c>
      <c r="F512" s="16" t="s">
        <v>4754</v>
      </c>
      <c r="G512" s="16" t="s">
        <v>8494</v>
      </c>
      <c r="H512" s="16" t="s">
        <v>3047</v>
      </c>
      <c r="I512" s="16"/>
      <c r="J512" s="16"/>
      <c r="K512" s="16"/>
      <c r="L512" s="16" t="s">
        <v>7936</v>
      </c>
      <c r="M512" s="19" t="s">
        <v>4755</v>
      </c>
      <c r="N512" s="16"/>
      <c r="O512" s="16" t="s">
        <v>4756</v>
      </c>
      <c r="P512" s="16" t="str">
        <f>HYPERLINK("https://ceds.ed.gov/cedselementdetails.aspx?termid=26334")</f>
        <v>https://ceds.ed.gov/cedselementdetails.aspx?termid=26334</v>
      </c>
      <c r="Q512" s="16">
        <v>74001</v>
      </c>
    </row>
    <row r="513" spans="1:17" ht="158.4" x14ac:dyDescent="0.3">
      <c r="A513" s="16" t="s">
        <v>7596</v>
      </c>
      <c r="B513" s="16" t="s">
        <v>7654</v>
      </c>
      <c r="C513" s="16" t="s">
        <v>7656</v>
      </c>
      <c r="D513" s="16" t="s">
        <v>7597</v>
      </c>
      <c r="E513" s="16" t="s">
        <v>3043</v>
      </c>
      <c r="F513" s="16" t="s">
        <v>3044</v>
      </c>
      <c r="G513" s="16" t="s">
        <v>8494</v>
      </c>
      <c r="H513" s="16" t="s">
        <v>3047</v>
      </c>
      <c r="I513" s="16"/>
      <c r="J513" s="16"/>
      <c r="K513" s="16"/>
      <c r="L513" s="16" t="s">
        <v>7936</v>
      </c>
      <c r="M513" s="19" t="s">
        <v>3045</v>
      </c>
      <c r="N513" s="16"/>
      <c r="O513" s="16" t="s">
        <v>3046</v>
      </c>
      <c r="P513" s="16" t="str">
        <f>HYPERLINK("https://ceds.ed.gov/cedselementdetails.aspx?termid=26335")</f>
        <v>https://ceds.ed.gov/cedselementdetails.aspx?termid=26335</v>
      </c>
      <c r="Q513" s="16">
        <v>74002</v>
      </c>
    </row>
    <row r="514" spans="1:17" ht="100.8" x14ac:dyDescent="0.3">
      <c r="A514" s="16" t="s">
        <v>7596</v>
      </c>
      <c r="B514" s="16" t="s">
        <v>7654</v>
      </c>
      <c r="C514" s="16" t="s">
        <v>7640</v>
      </c>
      <c r="D514" s="16" t="s">
        <v>7597</v>
      </c>
      <c r="E514" s="16" t="s">
        <v>4849</v>
      </c>
      <c r="F514" s="16" t="s">
        <v>13082</v>
      </c>
      <c r="G514" s="16" t="s">
        <v>7313</v>
      </c>
      <c r="H514" s="16" t="s">
        <v>4851</v>
      </c>
      <c r="I514" s="16" t="s">
        <v>160</v>
      </c>
      <c r="J514" s="16"/>
      <c r="K514" s="16" t="s">
        <v>12946</v>
      </c>
      <c r="L514" s="16"/>
      <c r="M514" s="19" t="s">
        <v>4850</v>
      </c>
      <c r="N514" s="16"/>
      <c r="O514" s="16"/>
      <c r="P514" s="16" t="str">
        <f>HYPERLINK("https://ceds.ed.gov/cedselementdetails.aspx?termid=26317")</f>
        <v>https://ceds.ed.gov/cedselementdetails.aspx?termid=26317</v>
      </c>
      <c r="Q514" s="16">
        <v>75305</v>
      </c>
    </row>
    <row r="515" spans="1:17" ht="129.6" x14ac:dyDescent="0.3">
      <c r="A515" s="16" t="s">
        <v>7596</v>
      </c>
      <c r="B515" s="16" t="s">
        <v>7654</v>
      </c>
      <c r="C515" s="16" t="s">
        <v>7640</v>
      </c>
      <c r="D515" s="16" t="s">
        <v>7597</v>
      </c>
      <c r="E515" s="16" t="s">
        <v>4852</v>
      </c>
      <c r="F515" s="16" t="s">
        <v>13083</v>
      </c>
      <c r="G515" s="16" t="s">
        <v>7313</v>
      </c>
      <c r="H515" s="16"/>
      <c r="I515" s="16" t="s">
        <v>160</v>
      </c>
      <c r="J515" s="16"/>
      <c r="K515" s="16" t="s">
        <v>12947</v>
      </c>
      <c r="L515" s="16" t="s">
        <v>13084</v>
      </c>
      <c r="M515" s="19" t="s">
        <v>4853</v>
      </c>
      <c r="N515" s="16"/>
      <c r="O515" s="16"/>
      <c r="P515" s="16" t="str">
        <f>HYPERLINK("https://ceds.ed.gov/cedselementdetails.aspx?termid=27618")</f>
        <v>https://ceds.ed.gov/cedselementdetails.aspx?termid=27618</v>
      </c>
      <c r="Q515" s="16">
        <v>75306</v>
      </c>
    </row>
    <row r="516" spans="1:17" ht="409.6" x14ac:dyDescent="0.3">
      <c r="A516" s="16" t="s">
        <v>7596</v>
      </c>
      <c r="B516" s="16" t="s">
        <v>7654</v>
      </c>
      <c r="C516" s="16" t="s">
        <v>7640</v>
      </c>
      <c r="D516" s="16" t="s">
        <v>7597</v>
      </c>
      <c r="E516" s="16" t="s">
        <v>4854</v>
      </c>
      <c r="F516" s="16" t="s">
        <v>13085</v>
      </c>
      <c r="G516" s="16" t="s">
        <v>8683</v>
      </c>
      <c r="H516" s="16"/>
      <c r="I516" s="16" t="s">
        <v>160</v>
      </c>
      <c r="J516" s="16"/>
      <c r="K516" s="16" t="s">
        <v>12948</v>
      </c>
      <c r="L516" s="16" t="s">
        <v>13086</v>
      </c>
      <c r="M516" s="19" t="s">
        <v>4855</v>
      </c>
      <c r="N516" s="16"/>
      <c r="O516" s="16"/>
      <c r="P516" s="16" t="str">
        <f>HYPERLINK("https://ceds.ed.gov/cedselementdetails.aspx?termid=27619")</f>
        <v>https://ceds.ed.gov/cedselementdetails.aspx?termid=27619</v>
      </c>
      <c r="Q516" s="16">
        <v>75307</v>
      </c>
    </row>
    <row r="517" spans="1:17" ht="43.2" x14ac:dyDescent="0.3">
      <c r="A517" s="16" t="s">
        <v>7596</v>
      </c>
      <c r="B517" s="16" t="s">
        <v>7654</v>
      </c>
      <c r="C517" s="16" t="s">
        <v>7640</v>
      </c>
      <c r="D517" s="16" t="s">
        <v>7597</v>
      </c>
      <c r="E517" s="16" t="s">
        <v>4886</v>
      </c>
      <c r="F517" s="16" t="s">
        <v>4887</v>
      </c>
      <c r="G517" s="16" t="s">
        <v>13005</v>
      </c>
      <c r="H517" s="16"/>
      <c r="I517" s="16"/>
      <c r="J517" s="16"/>
      <c r="K517" s="16"/>
      <c r="L517" s="16"/>
      <c r="M517" s="19"/>
      <c r="N517" s="16"/>
      <c r="O517" s="16"/>
      <c r="P517" s="16"/>
      <c r="Q517" s="16"/>
    </row>
    <row r="518" spans="1:17" x14ac:dyDescent="0.3">
      <c r="A518" s="16"/>
      <c r="B518" s="16"/>
      <c r="C518" s="16"/>
      <c r="D518" s="16"/>
      <c r="E518" s="16"/>
      <c r="F518" s="16"/>
      <c r="G518" s="16"/>
      <c r="H518" s="16"/>
      <c r="I518" s="16"/>
      <c r="J518" s="16"/>
      <c r="K518" s="16"/>
      <c r="L518" s="16"/>
      <c r="M518" s="19"/>
      <c r="N518" s="16"/>
      <c r="O518" s="16"/>
      <c r="P518" s="16"/>
      <c r="Q518" s="16"/>
    </row>
    <row r="519" spans="1:17" ht="144" x14ac:dyDescent="0.3">
      <c r="A519" s="16"/>
      <c r="B519" s="16" t="s">
        <v>13051</v>
      </c>
      <c r="C519" s="16" t="s">
        <v>4851</v>
      </c>
      <c r="D519" s="16"/>
      <c r="E519" s="16"/>
      <c r="F519" s="16"/>
      <c r="G519" s="16"/>
      <c r="H519" s="16">
        <v>316</v>
      </c>
      <c r="I519" s="16"/>
      <c r="J519" s="16" t="s">
        <v>4888</v>
      </c>
      <c r="K519" s="16" t="str">
        <f>HYPERLINK("https://ceds.ed.gov/cedselementdetails.aspx?termid=26316")</f>
        <v>https://ceds.ed.gov/cedselementdetails.aspx?termid=26316</v>
      </c>
      <c r="L519" s="16">
        <v>75308</v>
      </c>
      <c r="M519" s="19"/>
      <c r="N519" s="16"/>
      <c r="O519" s="16"/>
      <c r="P519" s="16"/>
      <c r="Q519" s="16"/>
    </row>
    <row r="520" spans="1:17" ht="57.6" x14ac:dyDescent="0.3">
      <c r="A520" s="16" t="s">
        <v>7596</v>
      </c>
      <c r="B520" s="16" t="s">
        <v>7654</v>
      </c>
      <c r="C520" s="16" t="s">
        <v>4</v>
      </c>
      <c r="D520" s="16" t="s">
        <v>7597</v>
      </c>
      <c r="E520" s="16" t="s">
        <v>6162</v>
      </c>
      <c r="F520" s="16" t="s">
        <v>6163</v>
      </c>
      <c r="G520" s="16" t="s">
        <v>22</v>
      </c>
      <c r="H520" s="16"/>
      <c r="I520" s="16"/>
      <c r="J520" s="16"/>
      <c r="K520" s="16"/>
      <c r="L520" s="16"/>
      <c r="M520" s="19" t="s">
        <v>6164</v>
      </c>
      <c r="N520" s="16"/>
      <c r="O520" s="16" t="s">
        <v>6165</v>
      </c>
      <c r="P520" s="16" t="str">
        <f>HYPERLINK("https://ceds.ed.gov/cedselementdetails.aspx?termid=26760")</f>
        <v>https://ceds.ed.gov/cedselementdetails.aspx?termid=26760</v>
      </c>
      <c r="Q520" s="16">
        <v>75309</v>
      </c>
    </row>
    <row r="521" spans="1:17" ht="72" x14ac:dyDescent="0.3">
      <c r="A521" s="16" t="s">
        <v>7596</v>
      </c>
      <c r="B521" s="16" t="s">
        <v>7654</v>
      </c>
      <c r="C521" s="16" t="s">
        <v>9412</v>
      </c>
      <c r="D521" s="16" t="s">
        <v>7597</v>
      </c>
      <c r="E521" s="16" t="s">
        <v>9312</v>
      </c>
      <c r="F521" s="16" t="s">
        <v>9313</v>
      </c>
      <c r="G521" s="16" t="s">
        <v>9325</v>
      </c>
      <c r="H521" s="16"/>
      <c r="I521" s="16"/>
      <c r="J521" s="16"/>
      <c r="K521" s="16"/>
      <c r="L521" s="16"/>
      <c r="M521" s="19" t="s">
        <v>5394</v>
      </c>
      <c r="N521" s="16"/>
      <c r="O521" s="16" t="s">
        <v>9314</v>
      </c>
      <c r="P521" s="16" t="str">
        <f>HYPERLINK("https://ceds.ed.gov/cedselementdetails.aspx?termid=27556")</f>
        <v>https://ceds.ed.gov/cedselementdetails.aspx?termid=27556</v>
      </c>
      <c r="Q521" s="16">
        <v>76091</v>
      </c>
    </row>
    <row r="522" spans="1:17" ht="144" x14ac:dyDescent="0.3">
      <c r="A522" s="16" t="s">
        <v>7596</v>
      </c>
      <c r="B522" s="16" t="s">
        <v>7654</v>
      </c>
      <c r="C522" s="16" t="s">
        <v>9412</v>
      </c>
      <c r="D522" s="16" t="s">
        <v>7597</v>
      </c>
      <c r="E522" s="16" t="s">
        <v>9087</v>
      </c>
      <c r="F522" s="16" t="s">
        <v>9088</v>
      </c>
      <c r="G522" s="16" t="s">
        <v>9298</v>
      </c>
      <c r="H522" s="16"/>
      <c r="I522" s="16"/>
      <c r="J522" s="16" t="s">
        <v>2</v>
      </c>
      <c r="K522" s="16"/>
      <c r="L522" s="16" t="s">
        <v>9089</v>
      </c>
      <c r="M522" s="19" t="s">
        <v>9090</v>
      </c>
      <c r="N522" s="16"/>
      <c r="O522" s="16" t="s">
        <v>9091</v>
      </c>
      <c r="P522" s="16" t="str">
        <f>HYPERLINK("https://ceds.ed.gov/cedselementdetails.aspx?termid=28047")</f>
        <v>https://ceds.ed.gov/cedselementdetails.aspx?termid=28047</v>
      </c>
      <c r="Q522" s="16">
        <v>76092</v>
      </c>
    </row>
    <row r="523" spans="1:17" ht="409.6" x14ac:dyDescent="0.3">
      <c r="A523" s="16" t="s">
        <v>7596</v>
      </c>
      <c r="B523" s="16" t="s">
        <v>7654</v>
      </c>
      <c r="C523" s="16" t="s">
        <v>9412</v>
      </c>
      <c r="D523" s="16" t="s">
        <v>7597</v>
      </c>
      <c r="E523" s="16" t="s">
        <v>9092</v>
      </c>
      <c r="F523" s="16" t="s">
        <v>9093</v>
      </c>
      <c r="G523" s="16" t="s">
        <v>9299</v>
      </c>
      <c r="H523" s="16"/>
      <c r="I523" s="16"/>
      <c r="J523" s="16" t="s">
        <v>2</v>
      </c>
      <c r="K523" s="16"/>
      <c r="L523" s="16" t="s">
        <v>9094</v>
      </c>
      <c r="M523" s="19" t="s">
        <v>9095</v>
      </c>
      <c r="N523" s="16"/>
      <c r="O523" s="16" t="s">
        <v>9096</v>
      </c>
      <c r="P523" s="16" t="str">
        <f>HYPERLINK("https://ceds.ed.gov/cedselementdetails.aspx?termid=28048")</f>
        <v>https://ceds.ed.gov/cedselementdetails.aspx?termid=28048</v>
      </c>
      <c r="Q523" s="16">
        <v>76093</v>
      </c>
    </row>
    <row r="524" spans="1:17" ht="100.8" x14ac:dyDescent="0.3">
      <c r="A524" s="16" t="s">
        <v>7596</v>
      </c>
      <c r="B524" s="16" t="s">
        <v>7654</v>
      </c>
      <c r="C524" s="16" t="s">
        <v>9412</v>
      </c>
      <c r="D524" s="16" t="s">
        <v>7597</v>
      </c>
      <c r="E524" s="16" t="s">
        <v>9097</v>
      </c>
      <c r="F524" s="16" t="s">
        <v>9098</v>
      </c>
      <c r="G524" s="16" t="s">
        <v>32</v>
      </c>
      <c r="H524" s="16"/>
      <c r="I524" s="16"/>
      <c r="J524" s="16" t="s">
        <v>120</v>
      </c>
      <c r="K524" s="16"/>
      <c r="L524" s="16" t="s">
        <v>9089</v>
      </c>
      <c r="M524" s="19" t="s">
        <v>9099</v>
      </c>
      <c r="N524" s="16"/>
      <c r="O524" s="16" t="s">
        <v>9100</v>
      </c>
      <c r="P524" s="16" t="str">
        <f>HYPERLINK("https://ceds.ed.gov/cedselementdetails.aspx?termid=28049")</f>
        <v>https://ceds.ed.gov/cedselementdetails.aspx?termid=28049</v>
      </c>
      <c r="Q524" s="16">
        <v>76094</v>
      </c>
    </row>
    <row r="525" spans="1:17" ht="100.8" x14ac:dyDescent="0.3">
      <c r="A525" s="16" t="s">
        <v>7596</v>
      </c>
      <c r="B525" s="16" t="s">
        <v>7654</v>
      </c>
      <c r="C525" s="16" t="s">
        <v>9412</v>
      </c>
      <c r="D525" s="16" t="s">
        <v>7597</v>
      </c>
      <c r="E525" s="16" t="s">
        <v>9101</v>
      </c>
      <c r="F525" s="16" t="s">
        <v>9102</v>
      </c>
      <c r="G525" s="16" t="s">
        <v>32</v>
      </c>
      <c r="H525" s="16"/>
      <c r="I525" s="16"/>
      <c r="J525" s="16" t="s">
        <v>9103</v>
      </c>
      <c r="K525" s="16"/>
      <c r="L525" s="16" t="s">
        <v>9089</v>
      </c>
      <c r="M525" s="19" t="s">
        <v>9104</v>
      </c>
      <c r="N525" s="16"/>
      <c r="O525" s="16" t="s">
        <v>9105</v>
      </c>
      <c r="P525" s="16" t="str">
        <f>HYPERLINK("https://ceds.ed.gov/cedselementdetails.aspx?termid=28050")</f>
        <v>https://ceds.ed.gov/cedselementdetails.aspx?termid=28050</v>
      </c>
      <c r="Q525" s="16">
        <v>76095</v>
      </c>
    </row>
    <row r="526" spans="1:17" ht="100.8" x14ac:dyDescent="0.3">
      <c r="A526" s="16" t="s">
        <v>7596</v>
      </c>
      <c r="B526" s="16" t="s">
        <v>7654</v>
      </c>
      <c r="C526" s="16" t="s">
        <v>9412</v>
      </c>
      <c r="D526" s="16" t="s">
        <v>7597</v>
      </c>
      <c r="E526" s="16" t="s">
        <v>9106</v>
      </c>
      <c r="F526" s="16" t="s">
        <v>9107</v>
      </c>
      <c r="G526" s="16" t="s">
        <v>32</v>
      </c>
      <c r="H526" s="16"/>
      <c r="I526" s="16"/>
      <c r="J526" s="16" t="s">
        <v>9108</v>
      </c>
      <c r="K526" s="16"/>
      <c r="L526" s="16" t="s">
        <v>9089</v>
      </c>
      <c r="M526" s="19" t="s">
        <v>9109</v>
      </c>
      <c r="N526" s="16"/>
      <c r="O526" s="16" t="s">
        <v>9110</v>
      </c>
      <c r="P526" s="16" t="str">
        <f>HYPERLINK("https://ceds.ed.gov/cedselementdetails.aspx?termid=28051")</f>
        <v>https://ceds.ed.gov/cedselementdetails.aspx?termid=28051</v>
      </c>
      <c r="Q526" s="16">
        <v>76096</v>
      </c>
    </row>
    <row r="527" spans="1:17" ht="100.8" x14ac:dyDescent="0.3">
      <c r="A527" s="16" t="s">
        <v>7596</v>
      </c>
      <c r="B527" s="16" t="s">
        <v>7654</v>
      </c>
      <c r="C527" s="16" t="s">
        <v>9412</v>
      </c>
      <c r="D527" s="16" t="s">
        <v>7597</v>
      </c>
      <c r="E527" s="16" t="s">
        <v>9111</v>
      </c>
      <c r="F527" s="16" t="s">
        <v>9112</v>
      </c>
      <c r="G527" s="16" t="s">
        <v>32</v>
      </c>
      <c r="H527" s="16"/>
      <c r="I527" s="16"/>
      <c r="J527" s="16" t="s">
        <v>9103</v>
      </c>
      <c r="K527" s="16"/>
      <c r="L527" s="16" t="s">
        <v>9089</v>
      </c>
      <c r="M527" s="19" t="s">
        <v>9113</v>
      </c>
      <c r="N527" s="16"/>
      <c r="O527" s="16" t="s">
        <v>9114</v>
      </c>
      <c r="P527" s="16" t="str">
        <f>HYPERLINK("https://ceds.ed.gov/cedselementdetails.aspx?termid=28052")</f>
        <v>https://ceds.ed.gov/cedselementdetails.aspx?termid=28052</v>
      </c>
      <c r="Q527" s="16">
        <v>76097</v>
      </c>
    </row>
    <row r="528" spans="1:17" ht="100.8" x14ac:dyDescent="0.3">
      <c r="A528" s="16" t="s">
        <v>7596</v>
      </c>
      <c r="B528" s="16" t="s">
        <v>7654</v>
      </c>
      <c r="C528" s="16" t="s">
        <v>9412</v>
      </c>
      <c r="D528" s="16" t="s">
        <v>7597</v>
      </c>
      <c r="E528" s="16" t="s">
        <v>9115</v>
      </c>
      <c r="F528" s="16" t="s">
        <v>9116</v>
      </c>
      <c r="G528" s="16" t="s">
        <v>32</v>
      </c>
      <c r="H528" s="16"/>
      <c r="I528" s="16"/>
      <c r="J528" s="16" t="s">
        <v>34</v>
      </c>
      <c r="K528" s="16"/>
      <c r="L528" s="16" t="s">
        <v>9089</v>
      </c>
      <c r="M528" s="19" t="s">
        <v>9117</v>
      </c>
      <c r="N528" s="16"/>
      <c r="O528" s="16" t="s">
        <v>9118</v>
      </c>
      <c r="P528" s="16" t="str">
        <f>HYPERLINK("https://ceds.ed.gov/cedselementdetails.aspx?termid=28053")</f>
        <v>https://ceds.ed.gov/cedselementdetails.aspx?termid=28053</v>
      </c>
      <c r="Q528" s="16">
        <v>76098</v>
      </c>
    </row>
    <row r="529" spans="1:17" ht="100.8" x14ac:dyDescent="0.3">
      <c r="A529" s="16" t="s">
        <v>7596</v>
      </c>
      <c r="B529" s="16" t="s">
        <v>7654</v>
      </c>
      <c r="C529" s="16" t="s">
        <v>9412</v>
      </c>
      <c r="D529" s="16" t="s">
        <v>7597</v>
      </c>
      <c r="E529" s="16" t="s">
        <v>9119</v>
      </c>
      <c r="F529" s="16" t="s">
        <v>9120</v>
      </c>
      <c r="G529" s="16" t="s">
        <v>32</v>
      </c>
      <c r="H529" s="16"/>
      <c r="I529" s="16"/>
      <c r="J529" s="16" t="s">
        <v>9103</v>
      </c>
      <c r="K529" s="16"/>
      <c r="L529" s="16" t="s">
        <v>9089</v>
      </c>
      <c r="M529" s="19" t="s">
        <v>9121</v>
      </c>
      <c r="N529" s="16"/>
      <c r="O529" s="16" t="s">
        <v>9122</v>
      </c>
      <c r="P529" s="16" t="str">
        <f>HYPERLINK("https://ceds.ed.gov/cedselementdetails.aspx?termid=28054")</f>
        <v>https://ceds.ed.gov/cedselementdetails.aspx?termid=28054</v>
      </c>
      <c r="Q529" s="16">
        <v>76099</v>
      </c>
    </row>
    <row r="530" spans="1:17" ht="100.8" x14ac:dyDescent="0.3">
      <c r="A530" s="16" t="s">
        <v>7596</v>
      </c>
      <c r="B530" s="16" t="s">
        <v>7654</v>
      </c>
      <c r="C530" s="16" t="s">
        <v>9412</v>
      </c>
      <c r="D530" s="16" t="s">
        <v>7597</v>
      </c>
      <c r="E530" s="16" t="s">
        <v>9123</v>
      </c>
      <c r="F530" s="16" t="s">
        <v>9124</v>
      </c>
      <c r="G530" s="16" t="s">
        <v>32</v>
      </c>
      <c r="H530" s="16"/>
      <c r="I530" s="16"/>
      <c r="J530" s="16" t="s">
        <v>747</v>
      </c>
      <c r="K530" s="16"/>
      <c r="L530" s="16" t="s">
        <v>9089</v>
      </c>
      <c r="M530" s="19" t="s">
        <v>9125</v>
      </c>
      <c r="N530" s="16"/>
      <c r="O530" s="16" t="s">
        <v>9126</v>
      </c>
      <c r="P530" s="16" t="str">
        <f>HYPERLINK("https://ceds.ed.gov/cedselementdetails.aspx?termid=28055")</f>
        <v>https://ceds.ed.gov/cedselementdetails.aspx?termid=28055</v>
      </c>
      <c r="Q530" s="16">
        <v>76100</v>
      </c>
    </row>
    <row r="531" spans="1:17" ht="100.8" x14ac:dyDescent="0.3">
      <c r="A531" s="16" t="s">
        <v>7596</v>
      </c>
      <c r="B531" s="16" t="s">
        <v>7654</v>
      </c>
      <c r="C531" s="16" t="s">
        <v>9412</v>
      </c>
      <c r="D531" s="16" t="s">
        <v>7597</v>
      </c>
      <c r="E531" s="16" t="s">
        <v>9127</v>
      </c>
      <c r="F531" s="16" t="s">
        <v>9128</v>
      </c>
      <c r="G531" s="16" t="s">
        <v>32</v>
      </c>
      <c r="H531" s="16"/>
      <c r="I531" s="16"/>
      <c r="J531" s="16" t="s">
        <v>34</v>
      </c>
      <c r="K531" s="16"/>
      <c r="L531" s="16" t="s">
        <v>9089</v>
      </c>
      <c r="M531" s="19" t="s">
        <v>9129</v>
      </c>
      <c r="N531" s="16"/>
      <c r="O531" s="16" t="s">
        <v>9130</v>
      </c>
      <c r="P531" s="16" t="str">
        <f>HYPERLINK("https://ceds.ed.gov/cedselementdetails.aspx?termid=28056")</f>
        <v>https://ceds.ed.gov/cedselementdetails.aspx?termid=28056</v>
      </c>
      <c r="Q531" s="16">
        <v>76101</v>
      </c>
    </row>
    <row r="532" spans="1:17" ht="144" x14ac:dyDescent="0.3">
      <c r="A532" s="16" t="s">
        <v>7596</v>
      </c>
      <c r="B532" s="16" t="s">
        <v>7654</v>
      </c>
      <c r="C532" s="16" t="s">
        <v>9412</v>
      </c>
      <c r="D532" s="16" t="s">
        <v>7597</v>
      </c>
      <c r="E532" s="16" t="s">
        <v>9131</v>
      </c>
      <c r="F532" s="16" t="s">
        <v>9132</v>
      </c>
      <c r="G532" s="16" t="s">
        <v>9300</v>
      </c>
      <c r="H532" s="16"/>
      <c r="I532" s="16"/>
      <c r="J532" s="16" t="s">
        <v>2</v>
      </c>
      <c r="K532" s="16"/>
      <c r="L532" s="16" t="s">
        <v>9089</v>
      </c>
      <c r="M532" s="19" t="s">
        <v>9133</v>
      </c>
      <c r="N532" s="16"/>
      <c r="O532" s="16" t="s">
        <v>9134</v>
      </c>
      <c r="P532" s="16" t="str">
        <f>HYPERLINK("https://ceds.ed.gov/cedselementdetails.aspx?termid=28057")</f>
        <v>https://ceds.ed.gov/cedselementdetails.aspx?termid=28057</v>
      </c>
      <c r="Q532" s="16">
        <v>76102</v>
      </c>
    </row>
    <row r="533" spans="1:17" ht="158.4" x14ac:dyDescent="0.3">
      <c r="A533" s="16" t="s">
        <v>7596</v>
      </c>
      <c r="B533" s="16" t="s">
        <v>7654</v>
      </c>
      <c r="C533" s="16" t="s">
        <v>9412</v>
      </c>
      <c r="D533" s="16" t="s">
        <v>7597</v>
      </c>
      <c r="E533" s="16" t="s">
        <v>9135</v>
      </c>
      <c r="F533" s="16" t="s">
        <v>9136</v>
      </c>
      <c r="G533" s="16" t="s">
        <v>9301</v>
      </c>
      <c r="H533" s="16"/>
      <c r="I533" s="16"/>
      <c r="J533" s="16" t="s">
        <v>2</v>
      </c>
      <c r="K533" s="16"/>
      <c r="L533" s="16" t="s">
        <v>9089</v>
      </c>
      <c r="M533" s="19" t="s">
        <v>9137</v>
      </c>
      <c r="N533" s="16"/>
      <c r="O533" s="16" t="s">
        <v>9138</v>
      </c>
      <c r="P533" s="16" t="str">
        <f>HYPERLINK("https://ceds.ed.gov/cedselementdetails.aspx?termid=28058")</f>
        <v>https://ceds.ed.gov/cedselementdetails.aspx?termid=28058</v>
      </c>
      <c r="Q533" s="16">
        <v>76103</v>
      </c>
    </row>
    <row r="534" spans="1:17" ht="100.8" x14ac:dyDescent="0.3">
      <c r="A534" s="16" t="s">
        <v>7596</v>
      </c>
      <c r="B534" s="16" t="s">
        <v>7654</v>
      </c>
      <c r="C534" s="16" t="s">
        <v>9412</v>
      </c>
      <c r="D534" s="16" t="s">
        <v>7597</v>
      </c>
      <c r="E534" s="16" t="s">
        <v>9139</v>
      </c>
      <c r="F534" s="16" t="s">
        <v>9140</v>
      </c>
      <c r="G534" s="16" t="s">
        <v>32</v>
      </c>
      <c r="H534" s="16"/>
      <c r="I534" s="16"/>
      <c r="J534" s="16" t="s">
        <v>34</v>
      </c>
      <c r="K534" s="16"/>
      <c r="L534" s="16" t="s">
        <v>9089</v>
      </c>
      <c r="M534" s="19" t="s">
        <v>9141</v>
      </c>
      <c r="N534" s="16"/>
      <c r="O534" s="16" t="s">
        <v>9142</v>
      </c>
      <c r="P534" s="16" t="str">
        <f>HYPERLINK("https://ceds.ed.gov/cedselementdetails.aspx?termid=28059")</f>
        <v>https://ceds.ed.gov/cedselementdetails.aspx?termid=28059</v>
      </c>
      <c r="Q534" s="16">
        <v>76104</v>
      </c>
    </row>
    <row r="535" spans="1:17" ht="100.8" x14ac:dyDescent="0.3">
      <c r="A535" s="16" t="s">
        <v>7596</v>
      </c>
      <c r="B535" s="16" t="s">
        <v>7654</v>
      </c>
      <c r="C535" s="16" t="s">
        <v>9412</v>
      </c>
      <c r="D535" s="16" t="s">
        <v>7597</v>
      </c>
      <c r="E535" s="16" t="s">
        <v>9143</v>
      </c>
      <c r="F535" s="16" t="s">
        <v>9144</v>
      </c>
      <c r="G535" s="16" t="s">
        <v>32</v>
      </c>
      <c r="H535" s="16"/>
      <c r="I535" s="16"/>
      <c r="J535" s="16" t="s">
        <v>120</v>
      </c>
      <c r="K535" s="16"/>
      <c r="L535" s="16" t="s">
        <v>9089</v>
      </c>
      <c r="M535" s="19" t="s">
        <v>9145</v>
      </c>
      <c r="N535" s="16"/>
      <c r="O535" s="16" t="s">
        <v>9146</v>
      </c>
      <c r="P535" s="16" t="str">
        <f>HYPERLINK("https://ceds.ed.gov/cedselementdetails.aspx?termid=28060")</f>
        <v>https://ceds.ed.gov/cedselementdetails.aspx?termid=28060</v>
      </c>
      <c r="Q535" s="16">
        <v>76105</v>
      </c>
    </row>
    <row r="536" spans="1:17" ht="129.6" x14ac:dyDescent="0.3">
      <c r="A536" s="16" t="s">
        <v>7596</v>
      </c>
      <c r="B536" s="16" t="s">
        <v>7654</v>
      </c>
      <c r="C536" s="16" t="s">
        <v>9412</v>
      </c>
      <c r="D536" s="16" t="s">
        <v>7597</v>
      </c>
      <c r="E536" s="16" t="s">
        <v>9147</v>
      </c>
      <c r="F536" s="16" t="s">
        <v>9148</v>
      </c>
      <c r="G536" s="16" t="s">
        <v>9302</v>
      </c>
      <c r="H536" s="16"/>
      <c r="I536" s="16"/>
      <c r="J536" s="16" t="s">
        <v>2</v>
      </c>
      <c r="K536" s="16"/>
      <c r="L536" s="16" t="s">
        <v>9089</v>
      </c>
      <c r="M536" s="19" t="s">
        <v>9149</v>
      </c>
      <c r="N536" s="16"/>
      <c r="O536" s="16" t="s">
        <v>9150</v>
      </c>
      <c r="P536" s="16" t="str">
        <f>HYPERLINK("https://ceds.ed.gov/cedselementdetails.aspx?termid=28061")</f>
        <v>https://ceds.ed.gov/cedselementdetails.aspx?termid=28061</v>
      </c>
      <c r="Q536" s="16">
        <v>76106</v>
      </c>
    </row>
    <row r="537" spans="1:17" ht="115.2" x14ac:dyDescent="0.3">
      <c r="A537" s="16" t="s">
        <v>7596</v>
      </c>
      <c r="B537" s="16" t="s">
        <v>7654</v>
      </c>
      <c r="C537" s="16" t="s">
        <v>9412</v>
      </c>
      <c r="D537" s="16" t="s">
        <v>7597</v>
      </c>
      <c r="E537" s="16" t="s">
        <v>9151</v>
      </c>
      <c r="F537" s="16" t="s">
        <v>9152</v>
      </c>
      <c r="G537" s="16" t="s">
        <v>9303</v>
      </c>
      <c r="H537" s="16"/>
      <c r="I537" s="16"/>
      <c r="J537" s="16" t="s">
        <v>2</v>
      </c>
      <c r="K537" s="16"/>
      <c r="L537" s="16" t="s">
        <v>9089</v>
      </c>
      <c r="M537" s="19" t="s">
        <v>9153</v>
      </c>
      <c r="N537" s="16"/>
      <c r="O537" s="16" t="s">
        <v>9154</v>
      </c>
      <c r="P537" s="16" t="str">
        <f>HYPERLINK("https://ceds.ed.gov/cedselementdetails.aspx?termid=28062")</f>
        <v>https://ceds.ed.gov/cedselementdetails.aspx?termid=28062</v>
      </c>
      <c r="Q537" s="16">
        <v>76107</v>
      </c>
    </row>
    <row r="538" spans="1:17" ht="100.8" x14ac:dyDescent="0.3">
      <c r="A538" s="16" t="s">
        <v>7596</v>
      </c>
      <c r="B538" s="16" t="s">
        <v>7654</v>
      </c>
      <c r="C538" s="16" t="s">
        <v>9412</v>
      </c>
      <c r="D538" s="16" t="s">
        <v>7597</v>
      </c>
      <c r="E538" s="16" t="s">
        <v>9155</v>
      </c>
      <c r="F538" s="16" t="s">
        <v>9156</v>
      </c>
      <c r="G538" s="16" t="s">
        <v>32</v>
      </c>
      <c r="H538" s="16"/>
      <c r="I538" s="16"/>
      <c r="J538" s="16" t="s">
        <v>120</v>
      </c>
      <c r="K538" s="16"/>
      <c r="L538" s="16" t="s">
        <v>9089</v>
      </c>
      <c r="M538" s="19" t="s">
        <v>9157</v>
      </c>
      <c r="N538" s="16"/>
      <c r="O538" s="16" t="s">
        <v>9158</v>
      </c>
      <c r="P538" s="16" t="str">
        <f>HYPERLINK("https://ceds.ed.gov/cedselementdetails.aspx?termid=28063")</f>
        <v>https://ceds.ed.gov/cedselementdetails.aspx?termid=28063</v>
      </c>
      <c r="Q538" s="16">
        <v>76108</v>
      </c>
    </row>
    <row r="539" spans="1:17" ht="100.8" x14ac:dyDescent="0.3">
      <c r="A539" s="16" t="s">
        <v>7596</v>
      </c>
      <c r="B539" s="16" t="s">
        <v>7654</v>
      </c>
      <c r="C539" s="16" t="s">
        <v>9412</v>
      </c>
      <c r="D539" s="16" t="s">
        <v>7597</v>
      </c>
      <c r="E539" s="16" t="s">
        <v>9159</v>
      </c>
      <c r="F539" s="16" t="s">
        <v>9160</v>
      </c>
      <c r="G539" s="16" t="s">
        <v>32</v>
      </c>
      <c r="H539" s="16"/>
      <c r="I539" s="16"/>
      <c r="J539" s="16" t="s">
        <v>120</v>
      </c>
      <c r="K539" s="16"/>
      <c r="L539" s="16" t="s">
        <v>9089</v>
      </c>
      <c r="M539" s="19" t="s">
        <v>9161</v>
      </c>
      <c r="N539" s="16"/>
      <c r="O539" s="16" t="s">
        <v>9162</v>
      </c>
      <c r="P539" s="16" t="str">
        <f>HYPERLINK("https://ceds.ed.gov/cedselementdetails.aspx?termid=28064")</f>
        <v>https://ceds.ed.gov/cedselementdetails.aspx?termid=28064</v>
      </c>
      <c r="Q539" s="16">
        <v>76109</v>
      </c>
    </row>
    <row r="540" spans="1:17" ht="100.8" x14ac:dyDescent="0.3">
      <c r="A540" s="16" t="s">
        <v>7596</v>
      </c>
      <c r="B540" s="16" t="s">
        <v>7654</v>
      </c>
      <c r="C540" s="16" t="s">
        <v>9412</v>
      </c>
      <c r="D540" s="16" t="s">
        <v>7597</v>
      </c>
      <c r="E540" s="16" t="s">
        <v>9163</v>
      </c>
      <c r="F540" s="16" t="s">
        <v>9164</v>
      </c>
      <c r="G540" s="16" t="s">
        <v>32</v>
      </c>
      <c r="H540" s="16"/>
      <c r="I540" s="16"/>
      <c r="J540" s="16" t="s">
        <v>34</v>
      </c>
      <c r="K540" s="16"/>
      <c r="L540" s="16" t="s">
        <v>9089</v>
      </c>
      <c r="M540" s="19" t="s">
        <v>9165</v>
      </c>
      <c r="N540" s="16"/>
      <c r="O540" s="16" t="s">
        <v>9166</v>
      </c>
      <c r="P540" s="16" t="str">
        <f>HYPERLINK("https://ceds.ed.gov/cedselementdetails.aspx?termid=28065")</f>
        <v>https://ceds.ed.gov/cedselementdetails.aspx?termid=28065</v>
      </c>
      <c r="Q540" s="16">
        <v>76110</v>
      </c>
    </row>
    <row r="541" spans="1:17" ht="100.8" x14ac:dyDescent="0.3">
      <c r="A541" s="16" t="s">
        <v>7596</v>
      </c>
      <c r="B541" s="16" t="s">
        <v>7654</v>
      </c>
      <c r="C541" s="16" t="s">
        <v>9412</v>
      </c>
      <c r="D541" s="16" t="s">
        <v>7597</v>
      </c>
      <c r="E541" s="16" t="s">
        <v>9167</v>
      </c>
      <c r="F541" s="16" t="s">
        <v>9168</v>
      </c>
      <c r="G541" s="16" t="s">
        <v>32</v>
      </c>
      <c r="H541" s="16"/>
      <c r="I541" s="16"/>
      <c r="J541" s="16" t="s">
        <v>120</v>
      </c>
      <c r="K541" s="16"/>
      <c r="L541" s="16" t="s">
        <v>9089</v>
      </c>
      <c r="M541" s="19" t="s">
        <v>9169</v>
      </c>
      <c r="N541" s="16"/>
      <c r="O541" s="16" t="s">
        <v>9170</v>
      </c>
      <c r="P541" s="16" t="str">
        <f>HYPERLINK("https://ceds.ed.gov/cedselementdetails.aspx?termid=28066")</f>
        <v>https://ceds.ed.gov/cedselementdetails.aspx?termid=28066</v>
      </c>
      <c r="Q541" s="16">
        <v>76111</v>
      </c>
    </row>
    <row r="542" spans="1:17" ht="259.2" x14ac:dyDescent="0.3">
      <c r="A542" s="16" t="s">
        <v>7596</v>
      </c>
      <c r="B542" s="16" t="s">
        <v>7654</v>
      </c>
      <c r="C542" s="16" t="s">
        <v>9412</v>
      </c>
      <c r="D542" s="16" t="s">
        <v>7597</v>
      </c>
      <c r="E542" s="16" t="s">
        <v>9171</v>
      </c>
      <c r="F542" s="16" t="s">
        <v>9172</v>
      </c>
      <c r="G542" s="16" t="s">
        <v>32</v>
      </c>
      <c r="H542" s="16"/>
      <c r="I542" s="16"/>
      <c r="J542" s="16" t="s">
        <v>9103</v>
      </c>
      <c r="K542" s="16"/>
      <c r="L542" s="16" t="s">
        <v>9173</v>
      </c>
      <c r="M542" s="19" t="s">
        <v>9174</v>
      </c>
      <c r="N542" s="16"/>
      <c r="O542" s="16" t="s">
        <v>9175</v>
      </c>
      <c r="P542" s="16" t="str">
        <f>HYPERLINK("https://ceds.ed.gov/cedselementdetails.aspx?termid=28067")</f>
        <v>https://ceds.ed.gov/cedselementdetails.aspx?termid=28067</v>
      </c>
      <c r="Q542" s="16">
        <v>76112</v>
      </c>
    </row>
    <row r="543" spans="1:17" ht="100.8" x14ac:dyDescent="0.3">
      <c r="A543" s="16" t="s">
        <v>7596</v>
      </c>
      <c r="B543" s="16" t="s">
        <v>7654</v>
      </c>
      <c r="C543" s="16" t="s">
        <v>9412</v>
      </c>
      <c r="D543" s="16" t="s">
        <v>7597</v>
      </c>
      <c r="E543" s="16" t="s">
        <v>9176</v>
      </c>
      <c r="F543" s="16" t="s">
        <v>9177</v>
      </c>
      <c r="G543" s="16" t="s">
        <v>32</v>
      </c>
      <c r="H543" s="16"/>
      <c r="I543" s="16"/>
      <c r="J543" s="16" t="s">
        <v>34</v>
      </c>
      <c r="K543" s="16"/>
      <c r="L543" s="16" t="s">
        <v>9089</v>
      </c>
      <c r="M543" s="19" t="s">
        <v>9178</v>
      </c>
      <c r="N543" s="16"/>
      <c r="O543" s="16" t="s">
        <v>9179</v>
      </c>
      <c r="P543" s="16" t="str">
        <f>HYPERLINK("https://ceds.ed.gov/cedselementdetails.aspx?termid=28068")</f>
        <v>https://ceds.ed.gov/cedselementdetails.aspx?termid=28068</v>
      </c>
      <c r="Q543" s="16">
        <v>76113</v>
      </c>
    </row>
    <row r="544" spans="1:17" ht="100.8" x14ac:dyDescent="0.3">
      <c r="A544" s="16" t="s">
        <v>7596</v>
      </c>
      <c r="B544" s="16" t="s">
        <v>7654</v>
      </c>
      <c r="C544" s="16" t="s">
        <v>9412</v>
      </c>
      <c r="D544" s="16" t="s">
        <v>7597</v>
      </c>
      <c r="E544" s="16" t="s">
        <v>9180</v>
      </c>
      <c r="F544" s="16" t="s">
        <v>9181</v>
      </c>
      <c r="G544" s="16" t="s">
        <v>32</v>
      </c>
      <c r="H544" s="16"/>
      <c r="I544" s="16"/>
      <c r="J544" s="16" t="s">
        <v>316</v>
      </c>
      <c r="K544" s="16"/>
      <c r="L544" s="16" t="s">
        <v>9089</v>
      </c>
      <c r="M544" s="19" t="s">
        <v>9182</v>
      </c>
      <c r="N544" s="16"/>
      <c r="O544" s="16" t="s">
        <v>9183</v>
      </c>
      <c r="P544" s="16" t="str">
        <f>HYPERLINK("https://ceds.ed.gov/cedselementdetails.aspx?termid=28069")</f>
        <v>https://ceds.ed.gov/cedselementdetails.aspx?termid=28069</v>
      </c>
      <c r="Q544" s="16">
        <v>76114</v>
      </c>
    </row>
    <row r="545" spans="1:17" ht="100.8" x14ac:dyDescent="0.3">
      <c r="A545" s="16" t="s">
        <v>7596</v>
      </c>
      <c r="B545" s="16" t="s">
        <v>7654</v>
      </c>
      <c r="C545" s="16" t="s">
        <v>9412</v>
      </c>
      <c r="D545" s="16" t="s">
        <v>7597</v>
      </c>
      <c r="E545" s="16" t="s">
        <v>9184</v>
      </c>
      <c r="F545" s="16" t="s">
        <v>9185</v>
      </c>
      <c r="G545" s="16" t="s">
        <v>32</v>
      </c>
      <c r="H545" s="16"/>
      <c r="I545" s="16"/>
      <c r="J545" s="16" t="s">
        <v>120</v>
      </c>
      <c r="K545" s="16"/>
      <c r="L545" s="16" t="s">
        <v>9186</v>
      </c>
      <c r="M545" s="19" t="s">
        <v>9187</v>
      </c>
      <c r="N545" s="16"/>
      <c r="O545" s="16" t="s">
        <v>9188</v>
      </c>
      <c r="P545" s="16" t="str">
        <f>HYPERLINK("https://ceds.ed.gov/cedselementdetails.aspx?termid=28070")</f>
        <v>https://ceds.ed.gov/cedselementdetails.aspx?termid=28070</v>
      </c>
      <c r="Q545" s="16">
        <v>76115</v>
      </c>
    </row>
    <row r="546" spans="1:17" ht="57.6" x14ac:dyDescent="0.3">
      <c r="A546" s="16" t="s">
        <v>7596</v>
      </c>
      <c r="B546" s="16" t="s">
        <v>7654</v>
      </c>
      <c r="C546" s="16" t="s">
        <v>9412</v>
      </c>
      <c r="D546" s="16" t="s">
        <v>7597</v>
      </c>
      <c r="E546" s="16" t="s">
        <v>9320</v>
      </c>
      <c r="F546" s="16" t="s">
        <v>9321</v>
      </c>
      <c r="G546" s="16" t="s">
        <v>8730</v>
      </c>
      <c r="H546" s="16"/>
      <c r="I546" s="16"/>
      <c r="J546" s="16"/>
      <c r="K546" s="16"/>
      <c r="L546" s="16"/>
      <c r="M546" s="19" t="s">
        <v>5406</v>
      </c>
      <c r="N546" s="16"/>
      <c r="O546" s="16" t="s">
        <v>9322</v>
      </c>
      <c r="P546" s="16" t="str">
        <f>HYPERLINK("https://ceds.ed.gov/cedselementdetails.aspx?termid=27557")</f>
        <v>https://ceds.ed.gov/cedselementdetails.aspx?termid=27557</v>
      </c>
      <c r="Q546" s="16">
        <v>76116</v>
      </c>
    </row>
    <row r="547" spans="1:17" ht="100.8" x14ac:dyDescent="0.3">
      <c r="A547" s="16" t="s">
        <v>7596</v>
      </c>
      <c r="B547" s="16" t="s">
        <v>7654</v>
      </c>
      <c r="C547" s="16" t="s">
        <v>9412</v>
      </c>
      <c r="D547" s="16" t="s">
        <v>7597</v>
      </c>
      <c r="E547" s="16" t="s">
        <v>9193</v>
      </c>
      <c r="F547" s="16" t="s">
        <v>9194</v>
      </c>
      <c r="G547" s="16" t="s">
        <v>2987</v>
      </c>
      <c r="H547" s="16"/>
      <c r="I547" s="16"/>
      <c r="J547" s="16" t="s">
        <v>2</v>
      </c>
      <c r="K547" s="16"/>
      <c r="L547" s="16" t="s">
        <v>9089</v>
      </c>
      <c r="M547" s="19" t="s">
        <v>9195</v>
      </c>
      <c r="N547" s="16"/>
      <c r="O547" s="16" t="s">
        <v>9196</v>
      </c>
      <c r="P547" s="16" t="str">
        <f>HYPERLINK("https://ceds.ed.gov/cedselementdetails.aspx?termid=28072")</f>
        <v>https://ceds.ed.gov/cedselementdetails.aspx?termid=28072</v>
      </c>
      <c r="Q547" s="16">
        <v>76117</v>
      </c>
    </row>
    <row r="548" spans="1:17" ht="172.8" x14ac:dyDescent="0.3">
      <c r="A548" s="16" t="s">
        <v>7596</v>
      </c>
      <c r="B548" s="16" t="s">
        <v>8867</v>
      </c>
      <c r="C548" s="16" t="s">
        <v>7598</v>
      </c>
      <c r="D548" s="16" t="s">
        <v>7597</v>
      </c>
      <c r="E548" s="16" t="s">
        <v>3847</v>
      </c>
      <c r="F548" s="16" t="s">
        <v>3848</v>
      </c>
      <c r="G548" s="16" t="s">
        <v>32</v>
      </c>
      <c r="H548" s="16" t="s">
        <v>1982</v>
      </c>
      <c r="I548" s="16"/>
      <c r="J548" s="16" t="s">
        <v>120</v>
      </c>
      <c r="K548" s="16"/>
      <c r="L548" s="16" t="s">
        <v>7817</v>
      </c>
      <c r="M548" s="19" t="s">
        <v>3849</v>
      </c>
      <c r="N548" s="16"/>
      <c r="O548" s="16" t="s">
        <v>3850</v>
      </c>
      <c r="P548" s="16" t="str">
        <f>HYPERLINK("https://ceds.ed.gov/cedselementdetails.aspx?termid=26784")</f>
        <v>https://ceds.ed.gov/cedselementdetails.aspx?termid=26784</v>
      </c>
      <c r="Q548" s="16">
        <v>72224</v>
      </c>
    </row>
    <row r="549" spans="1:17" ht="129.6" x14ac:dyDescent="0.3">
      <c r="A549" s="16" t="s">
        <v>7596</v>
      </c>
      <c r="B549" s="16" t="s">
        <v>8867</v>
      </c>
      <c r="C549" s="16" t="s">
        <v>7657</v>
      </c>
      <c r="D549" s="16" t="s">
        <v>7597</v>
      </c>
      <c r="E549" s="16" t="s">
        <v>5536</v>
      </c>
      <c r="F549" s="16" t="s">
        <v>13013</v>
      </c>
      <c r="G549" s="16"/>
      <c r="H549" s="16"/>
      <c r="I549" s="16"/>
      <c r="J549" s="16"/>
      <c r="K549" s="16"/>
      <c r="L549" s="16"/>
      <c r="M549" s="19"/>
      <c r="N549" s="16"/>
      <c r="O549" s="16"/>
      <c r="P549" s="16"/>
      <c r="Q549" s="16"/>
    </row>
    <row r="550" spans="1:17" ht="57.6" x14ac:dyDescent="0.3">
      <c r="A550" s="16" t="s">
        <v>13014</v>
      </c>
      <c r="B550" s="16" t="s">
        <v>32</v>
      </c>
      <c r="C550" s="16" t="s">
        <v>3047</v>
      </c>
      <c r="D550" s="16"/>
      <c r="E550" s="16" t="s">
        <v>305</v>
      </c>
      <c r="F550" s="16"/>
      <c r="G550" s="16"/>
      <c r="H550" s="16">
        <v>330</v>
      </c>
      <c r="I550" s="16"/>
      <c r="J550" s="16" t="s">
        <v>5537</v>
      </c>
      <c r="K550" s="16" t="str">
        <f>HYPERLINK("https://ceds.ed.gov/cedselementdetails.aspx?termid=26329")</f>
        <v>https://ceds.ed.gov/cedselementdetails.aspx?termid=26329</v>
      </c>
      <c r="L550" s="16">
        <v>70672</v>
      </c>
      <c r="M550" s="19"/>
      <c r="N550" s="16"/>
      <c r="O550" s="16"/>
      <c r="P550" s="16"/>
      <c r="Q550" s="16"/>
    </row>
    <row r="551" spans="1:17" ht="86.4" x14ac:dyDescent="0.3">
      <c r="A551" s="16" t="s">
        <v>7596</v>
      </c>
      <c r="B551" s="16" t="s">
        <v>8867</v>
      </c>
      <c r="C551" s="16" t="s">
        <v>7657</v>
      </c>
      <c r="D551" s="16" t="s">
        <v>7597</v>
      </c>
      <c r="E551" s="16" t="s">
        <v>5538</v>
      </c>
      <c r="F551" s="16" t="s">
        <v>5539</v>
      </c>
      <c r="G551" s="16" t="s">
        <v>32</v>
      </c>
      <c r="H551" s="16" t="s">
        <v>3047</v>
      </c>
      <c r="I551" s="16"/>
      <c r="J551" s="16" t="s">
        <v>305</v>
      </c>
      <c r="K551" s="16"/>
      <c r="L551" s="16" t="s">
        <v>7507</v>
      </c>
      <c r="M551" s="19" t="s">
        <v>5540</v>
      </c>
      <c r="N551" s="16"/>
      <c r="O551" s="16" t="s">
        <v>5541</v>
      </c>
      <c r="P551" s="16" t="str">
        <f>HYPERLINK("https://ceds.ed.gov/cedselementdetails.aspx?termid=26330")</f>
        <v>https://ceds.ed.gov/cedselementdetails.aspx?termid=26330</v>
      </c>
      <c r="Q551" s="16">
        <v>70673</v>
      </c>
    </row>
    <row r="552" spans="1:17" ht="409.6" x14ac:dyDescent="0.3">
      <c r="A552" s="16" t="s">
        <v>7596</v>
      </c>
      <c r="B552" s="16" t="s">
        <v>8867</v>
      </c>
      <c r="C552" s="16" t="s">
        <v>7657</v>
      </c>
      <c r="D552" s="16" t="s">
        <v>7597</v>
      </c>
      <c r="E552" s="16" t="s">
        <v>3851</v>
      </c>
      <c r="F552" s="16" t="s">
        <v>3852</v>
      </c>
      <c r="G552" s="16" t="s">
        <v>32</v>
      </c>
      <c r="H552" s="16" t="s">
        <v>372</v>
      </c>
      <c r="I552" s="16"/>
      <c r="J552" s="16" t="s">
        <v>1481</v>
      </c>
      <c r="K552" s="16"/>
      <c r="L552" s="16" t="s">
        <v>3853</v>
      </c>
      <c r="M552" s="19" t="s">
        <v>3854</v>
      </c>
      <c r="N552" s="16"/>
      <c r="O552" s="16" t="s">
        <v>3855</v>
      </c>
      <c r="P552" s="16" t="str">
        <f>HYPERLINK("https://ceds.ed.gov/cedselementdetails.aspx?termid=26331")</f>
        <v>https://ceds.ed.gov/cedselementdetails.aspx?termid=26331</v>
      </c>
      <c r="Q552" s="16">
        <v>70674</v>
      </c>
    </row>
    <row r="553" spans="1:17" ht="144" x14ac:dyDescent="0.3">
      <c r="A553" s="16" t="s">
        <v>7596</v>
      </c>
      <c r="B553" s="16" t="s">
        <v>8867</v>
      </c>
      <c r="C553" s="16" t="s">
        <v>7657</v>
      </c>
      <c r="D553" s="16" t="s">
        <v>7597</v>
      </c>
      <c r="E553" s="16" t="s">
        <v>6701</v>
      </c>
      <c r="F553" s="16" t="s">
        <v>6702</v>
      </c>
      <c r="G553" s="16" t="s">
        <v>8833</v>
      </c>
      <c r="H553" s="16" t="s">
        <v>372</v>
      </c>
      <c r="I553" s="16"/>
      <c r="J553" s="16"/>
      <c r="K553" s="16"/>
      <c r="L553" s="16"/>
      <c r="M553" s="19" t="s">
        <v>6703</v>
      </c>
      <c r="N553" s="16"/>
      <c r="O553" s="16" t="s">
        <v>6704</v>
      </c>
      <c r="P553" s="16" t="str">
        <f>HYPERLINK("https://ceds.ed.gov/cedselementdetails.aspx?termid=26332")</f>
        <v>https://ceds.ed.gov/cedselementdetails.aspx?termid=26332</v>
      </c>
      <c r="Q553" s="16">
        <v>70675</v>
      </c>
    </row>
    <row r="554" spans="1:17" ht="43.2" x14ac:dyDescent="0.3">
      <c r="A554" s="16" t="s">
        <v>7596</v>
      </c>
      <c r="B554" s="16" t="s">
        <v>8867</v>
      </c>
      <c r="C554" s="16" t="s">
        <v>7657</v>
      </c>
      <c r="D554" s="16" t="s">
        <v>7597</v>
      </c>
      <c r="E554" s="16" t="s">
        <v>4554</v>
      </c>
      <c r="F554" s="16" t="s">
        <v>4555</v>
      </c>
      <c r="G554" s="16" t="s">
        <v>8651</v>
      </c>
      <c r="H554" s="16"/>
      <c r="I554" s="16"/>
      <c r="J554" s="16"/>
      <c r="K554" s="16"/>
      <c r="L554" s="16"/>
      <c r="M554" s="19" t="s">
        <v>4556</v>
      </c>
      <c r="N554" s="16"/>
      <c r="O554" s="16" t="s">
        <v>4557</v>
      </c>
      <c r="P554" s="16" t="str">
        <f>HYPERLINK("https://ceds.ed.gov/cedselementdetails.aspx?termid=26333")</f>
        <v>https://ceds.ed.gov/cedselementdetails.aspx?termid=26333</v>
      </c>
      <c r="Q554" s="16">
        <v>70676</v>
      </c>
    </row>
    <row r="555" spans="1:17" ht="72" x14ac:dyDescent="0.3">
      <c r="A555" s="16" t="s">
        <v>7596</v>
      </c>
      <c r="B555" s="16" t="s">
        <v>8867</v>
      </c>
      <c r="C555" s="16" t="s">
        <v>7657</v>
      </c>
      <c r="D555" s="16" t="s">
        <v>7597</v>
      </c>
      <c r="E555" s="16" t="s">
        <v>6154</v>
      </c>
      <c r="F555" s="16" t="s">
        <v>6155</v>
      </c>
      <c r="G555" s="16" t="s">
        <v>8805</v>
      </c>
      <c r="H555" s="16" t="s">
        <v>3047</v>
      </c>
      <c r="I555" s="16"/>
      <c r="J555" s="16"/>
      <c r="K555" s="16"/>
      <c r="L555" s="16"/>
      <c r="M555" s="19" t="s">
        <v>6156</v>
      </c>
      <c r="N555" s="16"/>
      <c r="O555" s="16" t="s">
        <v>6157</v>
      </c>
      <c r="P555" s="16" t="str">
        <f>HYPERLINK("https://ceds.ed.gov/cedselementdetails.aspx?termid=26305")</f>
        <v>https://ceds.ed.gov/cedselementdetails.aspx?termid=26305</v>
      </c>
      <c r="Q555" s="16">
        <v>70671</v>
      </c>
    </row>
    <row r="556" spans="1:17" ht="43.2" x14ac:dyDescent="0.3">
      <c r="A556" s="16" t="s">
        <v>7596</v>
      </c>
      <c r="B556" s="16" t="s">
        <v>8867</v>
      </c>
      <c r="C556" s="16" t="s">
        <v>7657</v>
      </c>
      <c r="D556" s="16" t="s">
        <v>7597</v>
      </c>
      <c r="E556" s="16" t="s">
        <v>4546</v>
      </c>
      <c r="F556" s="16" t="s">
        <v>4547</v>
      </c>
      <c r="G556" s="16" t="s">
        <v>22</v>
      </c>
      <c r="H556" s="16"/>
      <c r="I556" s="16"/>
      <c r="J556" s="16"/>
      <c r="K556" s="16"/>
      <c r="L556" s="16"/>
      <c r="M556" s="19" t="s">
        <v>4548</v>
      </c>
      <c r="N556" s="16"/>
      <c r="O556" s="16" t="s">
        <v>4549</v>
      </c>
      <c r="P556" s="16" t="str">
        <f>HYPERLINK("https://ceds.ed.gov/cedselementdetails.aspx?termid=27591")</f>
        <v>https://ceds.ed.gov/cedselementdetails.aspx?termid=27591</v>
      </c>
      <c r="Q556" s="16">
        <v>74082</v>
      </c>
    </row>
    <row r="557" spans="1:17" ht="86.4" x14ac:dyDescent="0.3">
      <c r="A557" s="16" t="s">
        <v>7596</v>
      </c>
      <c r="B557" s="16" t="s">
        <v>8867</v>
      </c>
      <c r="C557" s="16" t="s">
        <v>7657</v>
      </c>
      <c r="D557" s="16" t="s">
        <v>7597</v>
      </c>
      <c r="E557" s="16" t="s">
        <v>7466</v>
      </c>
      <c r="F557" s="16" t="s">
        <v>7467</v>
      </c>
      <c r="G557" s="16" t="s">
        <v>8715</v>
      </c>
      <c r="H557" s="16"/>
      <c r="I557" s="16"/>
      <c r="J557" s="16"/>
      <c r="K557" s="16"/>
      <c r="L557" s="16" t="s">
        <v>7468</v>
      </c>
      <c r="M557" s="19" t="s">
        <v>7469</v>
      </c>
      <c r="N557" s="16"/>
      <c r="O557" s="16" t="s">
        <v>7470</v>
      </c>
      <c r="P557" s="16" t="str">
        <f>HYPERLINK("https://ceds.ed.gov/cedselementdetails.aspx?termid=27942")</f>
        <v>https://ceds.ed.gov/cedselementdetails.aspx?termid=27942</v>
      </c>
      <c r="Q557" s="16">
        <v>75509</v>
      </c>
    </row>
    <row r="558" spans="1:17" ht="158.4" x14ac:dyDescent="0.3">
      <c r="A558" s="16" t="s">
        <v>7596</v>
      </c>
      <c r="B558" s="16" t="s">
        <v>8867</v>
      </c>
      <c r="C558" s="16" t="s">
        <v>7657</v>
      </c>
      <c r="D558" s="16" t="s">
        <v>7597</v>
      </c>
      <c r="E558" s="16" t="s">
        <v>5288</v>
      </c>
      <c r="F558" s="16" t="s">
        <v>5289</v>
      </c>
      <c r="G558" s="16" t="s">
        <v>22</v>
      </c>
      <c r="H558" s="16"/>
      <c r="I558" s="16" t="s">
        <v>160</v>
      </c>
      <c r="J558" s="16"/>
      <c r="K558" s="16" t="s">
        <v>12935</v>
      </c>
      <c r="L558" s="16"/>
      <c r="M558" s="19" t="s">
        <v>5290</v>
      </c>
      <c r="N558" s="16"/>
      <c r="O558" s="16" t="s">
        <v>5291</v>
      </c>
      <c r="P558" s="16" t="str">
        <f>HYPERLINK("https://ceds.ed.gov/cedselementdetails.aspx?termid=26758")</f>
        <v>https://ceds.ed.gov/cedselementdetails.aspx?termid=26758</v>
      </c>
      <c r="Q558" s="16">
        <v>76541</v>
      </c>
    </row>
    <row r="559" spans="1:17" ht="158.4" x14ac:dyDescent="0.3">
      <c r="A559" s="16" t="s">
        <v>7596</v>
      </c>
      <c r="B559" s="16" t="s">
        <v>8868</v>
      </c>
      <c r="C559" s="16" t="s">
        <v>7625</v>
      </c>
      <c r="D559" s="16" t="s">
        <v>7597</v>
      </c>
      <c r="E559" s="16" t="s">
        <v>3990</v>
      </c>
      <c r="F559" s="16" t="s">
        <v>3991</v>
      </c>
      <c r="G559" s="16" t="s">
        <v>32</v>
      </c>
      <c r="H559" s="16" t="s">
        <v>3994</v>
      </c>
      <c r="I559" s="16"/>
      <c r="J559" s="16" t="s">
        <v>7426</v>
      </c>
      <c r="K559" s="16"/>
      <c r="L559" s="16" t="s">
        <v>8047</v>
      </c>
      <c r="M559" s="19" t="s">
        <v>3992</v>
      </c>
      <c r="N559" s="16"/>
      <c r="O559" s="16" t="s">
        <v>3993</v>
      </c>
      <c r="P559" s="16" t="str">
        <f>HYPERLINK("https://ceds.ed.gov/cedselementdetails.aspx?termid=26115")</f>
        <v>https://ceds.ed.gov/cedselementdetails.aspx?termid=26115</v>
      </c>
      <c r="Q559" s="16">
        <v>70682</v>
      </c>
    </row>
    <row r="560" spans="1:17" ht="158.4" x14ac:dyDescent="0.3">
      <c r="A560" s="16" t="s">
        <v>7596</v>
      </c>
      <c r="B560" s="16" t="s">
        <v>8868</v>
      </c>
      <c r="C560" s="16" t="s">
        <v>7625</v>
      </c>
      <c r="D560" s="16" t="s">
        <v>7597</v>
      </c>
      <c r="E560" s="16" t="s">
        <v>5328</v>
      </c>
      <c r="F560" s="16" t="s">
        <v>5329</v>
      </c>
      <c r="G560" s="16" t="s">
        <v>32</v>
      </c>
      <c r="H560" s="16" t="s">
        <v>3994</v>
      </c>
      <c r="I560" s="16"/>
      <c r="J560" s="16" t="s">
        <v>7426</v>
      </c>
      <c r="K560" s="16"/>
      <c r="L560" s="16" t="s">
        <v>8053</v>
      </c>
      <c r="M560" s="19" t="s">
        <v>5330</v>
      </c>
      <c r="N560" s="16"/>
      <c r="O560" s="16" t="s">
        <v>5331</v>
      </c>
      <c r="P560" s="16" t="str">
        <f>HYPERLINK("https://ceds.ed.gov/cedselementdetails.aspx?termid=26184")</f>
        <v>https://ceds.ed.gov/cedselementdetails.aspx?termid=26184</v>
      </c>
      <c r="Q560" s="16">
        <v>70686</v>
      </c>
    </row>
    <row r="561" spans="1:17" ht="158.4" x14ac:dyDescent="0.3">
      <c r="A561" s="16" t="s">
        <v>7596</v>
      </c>
      <c r="B561" s="16" t="s">
        <v>8868</v>
      </c>
      <c r="C561" s="16" t="s">
        <v>7625</v>
      </c>
      <c r="D561" s="16" t="s">
        <v>7597</v>
      </c>
      <c r="E561" s="16" t="s">
        <v>4893</v>
      </c>
      <c r="F561" s="16" t="s">
        <v>4894</v>
      </c>
      <c r="G561" s="16" t="s">
        <v>32</v>
      </c>
      <c r="H561" s="16" t="s">
        <v>3994</v>
      </c>
      <c r="I561" s="16"/>
      <c r="J561" s="16" t="s">
        <v>7426</v>
      </c>
      <c r="K561" s="16"/>
      <c r="L561" s="16" t="s">
        <v>8053</v>
      </c>
      <c r="M561" s="19" t="s">
        <v>4895</v>
      </c>
      <c r="N561" s="16" t="s">
        <v>4896</v>
      </c>
      <c r="O561" s="16" t="s">
        <v>4897</v>
      </c>
      <c r="P561" s="16" t="str">
        <f>HYPERLINK("https://ceds.ed.gov/cedselementdetails.aspx?termid=26172")</f>
        <v>https://ceds.ed.gov/cedselementdetails.aspx?termid=26172</v>
      </c>
      <c r="Q561" s="16">
        <v>70685</v>
      </c>
    </row>
    <row r="562" spans="1:17" ht="129.6" x14ac:dyDescent="0.3">
      <c r="A562" s="16" t="s">
        <v>7596</v>
      </c>
      <c r="B562" s="16" t="s">
        <v>8868</v>
      </c>
      <c r="C562" s="16" t="s">
        <v>7625</v>
      </c>
      <c r="D562" s="16" t="s">
        <v>7597</v>
      </c>
      <c r="E562" s="16" t="s">
        <v>4054</v>
      </c>
      <c r="F562" s="16" t="s">
        <v>4055</v>
      </c>
      <c r="G562" s="16" t="s">
        <v>32</v>
      </c>
      <c r="H562" s="16" t="s">
        <v>4059</v>
      </c>
      <c r="I562" s="16"/>
      <c r="J562" s="16" t="s">
        <v>2697</v>
      </c>
      <c r="K562" s="16"/>
      <c r="L562" s="16" t="s">
        <v>8053</v>
      </c>
      <c r="M562" s="19" t="s">
        <v>4057</v>
      </c>
      <c r="N562" s="16"/>
      <c r="O562" s="16" t="s">
        <v>4058</v>
      </c>
      <c r="P562" s="16" t="str">
        <f>HYPERLINK("https://ceds.ed.gov/cedselementdetails.aspx?termid=26121")</f>
        <v>https://ceds.ed.gov/cedselementdetails.aspx?termid=26121</v>
      </c>
      <c r="Q562" s="16">
        <v>70683</v>
      </c>
    </row>
    <row r="563" spans="1:17" ht="86.4" x14ac:dyDescent="0.3">
      <c r="A563" s="16" t="s">
        <v>7596</v>
      </c>
      <c r="B563" s="16" t="s">
        <v>8868</v>
      </c>
      <c r="C563" s="16" t="s">
        <v>7625</v>
      </c>
      <c r="D563" s="16" t="s">
        <v>7597</v>
      </c>
      <c r="E563" s="16" t="s">
        <v>5760</v>
      </c>
      <c r="F563" s="16" t="s">
        <v>5761</v>
      </c>
      <c r="G563" s="16" t="s">
        <v>32</v>
      </c>
      <c r="H563" s="16" t="s">
        <v>5765</v>
      </c>
      <c r="I563" s="16"/>
      <c r="J563" s="16" t="s">
        <v>81</v>
      </c>
      <c r="K563" s="16"/>
      <c r="L563" s="16"/>
      <c r="M563" s="19" t="s">
        <v>5762</v>
      </c>
      <c r="N563" s="16" t="s">
        <v>5763</v>
      </c>
      <c r="O563" s="16" t="s">
        <v>5764</v>
      </c>
      <c r="P563" s="16" t="str">
        <f>HYPERLINK("https://ceds.ed.gov/cedselementdetails.aspx?termid=26212")</f>
        <v>https://ceds.ed.gov/cedselementdetails.aspx?termid=26212</v>
      </c>
      <c r="Q563" s="16">
        <v>70689</v>
      </c>
    </row>
    <row r="564" spans="1:17" ht="115.2" x14ac:dyDescent="0.3">
      <c r="A564" s="16" t="s">
        <v>7596</v>
      </c>
      <c r="B564" s="16" t="s">
        <v>8868</v>
      </c>
      <c r="C564" s="16" t="s">
        <v>7626</v>
      </c>
      <c r="D564" s="16" t="s">
        <v>7597</v>
      </c>
      <c r="E564" s="16" t="s">
        <v>5650</v>
      </c>
      <c r="F564" s="16" t="s">
        <v>5651</v>
      </c>
      <c r="G564" s="16" t="s">
        <v>8746</v>
      </c>
      <c r="H564" s="16" t="s">
        <v>5654</v>
      </c>
      <c r="I564" s="16"/>
      <c r="J564" s="16" t="s">
        <v>81</v>
      </c>
      <c r="K564" s="16"/>
      <c r="L564" s="16"/>
      <c r="M564" s="19" t="s">
        <v>5652</v>
      </c>
      <c r="N564" s="16"/>
      <c r="O564" s="16" t="s">
        <v>5653</v>
      </c>
      <c r="P564" s="16" t="str">
        <f>HYPERLINK("https://ceds.ed.gov/cedselementdetails.aspx?termid=26627")</f>
        <v>https://ceds.ed.gov/cedselementdetails.aspx?termid=26627</v>
      </c>
      <c r="Q564" s="16">
        <v>72246</v>
      </c>
    </row>
    <row r="565" spans="1:17" ht="28.8" x14ac:dyDescent="0.3">
      <c r="A565" s="16" t="s">
        <v>7596</v>
      </c>
      <c r="B565" s="16" t="s">
        <v>8868</v>
      </c>
      <c r="C565" s="16" t="s">
        <v>7626</v>
      </c>
      <c r="D565" s="16" t="s">
        <v>7597</v>
      </c>
      <c r="E565" s="16" t="s">
        <v>5631</v>
      </c>
      <c r="F565" s="16" t="s">
        <v>5632</v>
      </c>
      <c r="G565" s="16" t="s">
        <v>32</v>
      </c>
      <c r="H565" s="16"/>
      <c r="I565" s="16"/>
      <c r="J565" s="16" t="s">
        <v>1266</v>
      </c>
      <c r="K565" s="16"/>
      <c r="L565" s="16" t="s">
        <v>5633</v>
      </c>
      <c r="M565" s="19" t="s">
        <v>5634</v>
      </c>
      <c r="N565" s="16"/>
      <c r="O565" s="16" t="s">
        <v>5635</v>
      </c>
      <c r="P565" s="16" t="str">
        <f>HYPERLINK("https://ceds.ed.gov/cedselementdetails.aspx?termid=27486")</f>
        <v>https://ceds.ed.gov/cedselementdetails.aspx?termid=27486</v>
      </c>
      <c r="Q565" s="16">
        <v>73629</v>
      </c>
    </row>
    <row r="566" spans="1:17" ht="28.8" x14ac:dyDescent="0.3">
      <c r="A566" s="16" t="s">
        <v>7596</v>
      </c>
      <c r="B566" s="16" t="s">
        <v>8868</v>
      </c>
      <c r="C566" s="16" t="s">
        <v>7626</v>
      </c>
      <c r="D566" s="16" t="s">
        <v>7597</v>
      </c>
      <c r="E566" s="16" t="s">
        <v>5641</v>
      </c>
      <c r="F566" s="16" t="s">
        <v>5642</v>
      </c>
      <c r="G566" s="16" t="s">
        <v>32</v>
      </c>
      <c r="H566" s="16"/>
      <c r="I566" s="16"/>
      <c r="J566" s="16" t="s">
        <v>1266</v>
      </c>
      <c r="K566" s="16"/>
      <c r="L566" s="16" t="s">
        <v>5643</v>
      </c>
      <c r="M566" s="19" t="s">
        <v>5644</v>
      </c>
      <c r="N566" s="16"/>
      <c r="O566" s="16" t="s">
        <v>5645</v>
      </c>
      <c r="P566" s="16" t="str">
        <f>HYPERLINK("https://ceds.ed.gov/cedselementdetails.aspx?termid=27487")</f>
        <v>https://ceds.ed.gov/cedselementdetails.aspx?termid=27487</v>
      </c>
      <c r="Q566" s="16">
        <v>73645</v>
      </c>
    </row>
    <row r="567" spans="1:17" ht="28.8" x14ac:dyDescent="0.3">
      <c r="A567" s="16" t="s">
        <v>7596</v>
      </c>
      <c r="B567" s="16" t="s">
        <v>8868</v>
      </c>
      <c r="C567" s="16" t="s">
        <v>7626</v>
      </c>
      <c r="D567" s="16" t="s">
        <v>7597</v>
      </c>
      <c r="E567" s="16" t="s">
        <v>5636</v>
      </c>
      <c r="F567" s="16" t="s">
        <v>5637</v>
      </c>
      <c r="G567" s="16" t="s">
        <v>32</v>
      </c>
      <c r="H567" s="16"/>
      <c r="I567" s="16"/>
      <c r="J567" s="16" t="s">
        <v>1266</v>
      </c>
      <c r="K567" s="16"/>
      <c r="L567" s="16" t="s">
        <v>5638</v>
      </c>
      <c r="M567" s="19" t="s">
        <v>5639</v>
      </c>
      <c r="N567" s="16"/>
      <c r="O567" s="16" t="s">
        <v>5640</v>
      </c>
      <c r="P567" s="16" t="str">
        <f>HYPERLINK("https://ceds.ed.gov/cedselementdetails.aspx?termid=27485")</f>
        <v>https://ceds.ed.gov/cedselementdetails.aspx?termid=27485</v>
      </c>
      <c r="Q567" s="16">
        <v>73613</v>
      </c>
    </row>
    <row r="568" spans="1:17" ht="129.6" x14ac:dyDescent="0.3">
      <c r="A568" s="16" t="s">
        <v>7596</v>
      </c>
      <c r="B568" s="16" t="s">
        <v>8868</v>
      </c>
      <c r="C568" s="16" t="s">
        <v>7626</v>
      </c>
      <c r="D568" s="16" t="s">
        <v>7597</v>
      </c>
      <c r="E568" s="16" t="s">
        <v>5646</v>
      </c>
      <c r="F568" s="16" t="s">
        <v>5647</v>
      </c>
      <c r="G568" s="16" t="s">
        <v>32</v>
      </c>
      <c r="H568" s="16" t="s">
        <v>4059</v>
      </c>
      <c r="I568" s="16"/>
      <c r="J568" s="16" t="s">
        <v>120</v>
      </c>
      <c r="K568" s="16"/>
      <c r="L568" s="16"/>
      <c r="M568" s="19" t="s">
        <v>5648</v>
      </c>
      <c r="N568" s="16"/>
      <c r="O568" s="16" t="s">
        <v>5649</v>
      </c>
      <c r="P568" s="16" t="str">
        <f>HYPERLINK("https://ceds.ed.gov/cedselementdetails.aspx?termid=26206")</f>
        <v>https://ceds.ed.gov/cedselementdetails.aspx?termid=26206</v>
      </c>
      <c r="Q568" s="16">
        <v>72245</v>
      </c>
    </row>
    <row r="569" spans="1:17" ht="172.8" x14ac:dyDescent="0.3">
      <c r="A569" s="16" t="s">
        <v>7596</v>
      </c>
      <c r="B569" s="16" t="s">
        <v>8868</v>
      </c>
      <c r="C569" s="16" t="s">
        <v>7627</v>
      </c>
      <c r="D569" s="16" t="s">
        <v>7597</v>
      </c>
      <c r="E569" s="16" t="s">
        <v>6810</v>
      </c>
      <c r="F569" s="16" t="s">
        <v>6811</v>
      </c>
      <c r="G569" s="16" t="s">
        <v>32</v>
      </c>
      <c r="H569" s="16" t="s">
        <v>6814</v>
      </c>
      <c r="I569" s="16"/>
      <c r="J569" s="16" t="s">
        <v>120</v>
      </c>
      <c r="K569" s="16"/>
      <c r="L569" s="16" t="s">
        <v>7817</v>
      </c>
      <c r="M569" s="19" t="s">
        <v>6812</v>
      </c>
      <c r="N569" s="16"/>
      <c r="O569" s="16" t="s">
        <v>6813</v>
      </c>
      <c r="P569" s="16" t="str">
        <f>HYPERLINK("https://ceds.ed.gov/cedselementdetails.aspx?termid=26156")</f>
        <v>https://ceds.ed.gov/cedselementdetails.aspx?termid=26156</v>
      </c>
      <c r="Q569" s="16">
        <v>72247</v>
      </c>
    </row>
    <row r="570" spans="1:17" ht="259.2" x14ac:dyDescent="0.3">
      <c r="A570" s="16" t="s">
        <v>7596</v>
      </c>
      <c r="B570" s="16" t="s">
        <v>8868</v>
      </c>
      <c r="C570" s="16" t="s">
        <v>7627</v>
      </c>
      <c r="D570" s="16" t="s">
        <v>7597</v>
      </c>
      <c r="E570" s="16" t="s">
        <v>6805</v>
      </c>
      <c r="F570" s="16" t="s">
        <v>6806</v>
      </c>
      <c r="G570" s="16" t="s">
        <v>9342</v>
      </c>
      <c r="H570" s="16" t="s">
        <v>6809</v>
      </c>
      <c r="I570" s="16"/>
      <c r="J570" s="16"/>
      <c r="K570" s="16"/>
      <c r="L570" s="16"/>
      <c r="M570" s="19" t="s">
        <v>6807</v>
      </c>
      <c r="N570" s="16"/>
      <c r="O570" s="16" t="s">
        <v>6808</v>
      </c>
      <c r="P570" s="16" t="str">
        <f>HYPERLINK("https://ceds.ed.gov/cedselementdetails.aspx?termid=26162")</f>
        <v>https://ceds.ed.gov/cedselementdetails.aspx?termid=26162</v>
      </c>
      <c r="Q570" s="16">
        <v>72248</v>
      </c>
    </row>
    <row r="571" spans="1:17" ht="72" x14ac:dyDescent="0.3">
      <c r="A571" s="16" t="s">
        <v>7596</v>
      </c>
      <c r="B571" s="16" t="s">
        <v>8868</v>
      </c>
      <c r="C571" s="16" t="s">
        <v>7627</v>
      </c>
      <c r="D571" s="16" t="s">
        <v>7597</v>
      </c>
      <c r="E571" s="16" t="s">
        <v>7508</v>
      </c>
      <c r="F571" s="16" t="s">
        <v>7509</v>
      </c>
      <c r="G571" s="16" t="s">
        <v>8251</v>
      </c>
      <c r="H571" s="16"/>
      <c r="I571" s="16"/>
      <c r="J571" s="16"/>
      <c r="K571" s="16"/>
      <c r="L571" s="16"/>
      <c r="M571" s="19" t="s">
        <v>7510</v>
      </c>
      <c r="N571" s="16"/>
      <c r="O571" s="16" t="s">
        <v>7511</v>
      </c>
      <c r="P571" s="16" t="str">
        <f>HYPERLINK("https://ceds.ed.gov/cedselementdetails.aspx?termid=27951")</f>
        <v>https://ceds.ed.gov/cedselementdetails.aspx?termid=27951</v>
      </c>
      <c r="Q571" s="16">
        <v>75863</v>
      </c>
    </row>
    <row r="572" spans="1:17" ht="403.2" x14ac:dyDescent="0.3">
      <c r="A572" s="16" t="s">
        <v>7596</v>
      </c>
      <c r="B572" s="16" t="s">
        <v>8868</v>
      </c>
      <c r="C572" s="16" t="s">
        <v>7627</v>
      </c>
      <c r="D572" s="16" t="s">
        <v>7597</v>
      </c>
      <c r="E572" s="16" t="s">
        <v>5756</v>
      </c>
      <c r="F572" s="16" t="s">
        <v>5757</v>
      </c>
      <c r="G572" s="16" t="s">
        <v>8252</v>
      </c>
      <c r="H572" s="16"/>
      <c r="I572" s="16"/>
      <c r="J572" s="16"/>
      <c r="K572" s="16"/>
      <c r="L572" s="16"/>
      <c r="M572" s="19" t="s">
        <v>5758</v>
      </c>
      <c r="N572" s="16"/>
      <c r="O572" s="16" t="s">
        <v>5759</v>
      </c>
      <c r="P572" s="16" t="str">
        <f>HYPERLINK("https://ceds.ed.gov/cedselementdetails.aspx?termid=26611")</f>
        <v>https://ceds.ed.gov/cedselementdetails.aspx?termid=26611</v>
      </c>
      <c r="Q572" s="16">
        <v>75864</v>
      </c>
    </row>
    <row r="573" spans="1:17" ht="100.8" x14ac:dyDescent="0.3">
      <c r="A573" s="16" t="s">
        <v>7596</v>
      </c>
      <c r="B573" s="16" t="s">
        <v>8868</v>
      </c>
      <c r="C573" s="16" t="s">
        <v>7603</v>
      </c>
      <c r="D573" s="16" t="s">
        <v>7597</v>
      </c>
      <c r="E573" s="16" t="s">
        <v>191</v>
      </c>
      <c r="F573" s="16" t="s">
        <v>192</v>
      </c>
      <c r="G573" s="16" t="s">
        <v>8295</v>
      </c>
      <c r="H573" s="16" t="s">
        <v>195</v>
      </c>
      <c r="I573" s="16"/>
      <c r="J573" s="16" t="s">
        <v>81</v>
      </c>
      <c r="K573" s="16"/>
      <c r="L573" s="16"/>
      <c r="M573" s="19" t="s">
        <v>193</v>
      </c>
      <c r="N573" s="16"/>
      <c r="O573" s="16" t="s">
        <v>194</v>
      </c>
      <c r="P573" s="16" t="str">
        <f>HYPERLINK("https://ceds.ed.gov/cedselementdetails.aspx?termid=26698")</f>
        <v>https://ceds.ed.gov/cedselementdetails.aspx?termid=26698</v>
      </c>
      <c r="Q573" s="16">
        <v>72225</v>
      </c>
    </row>
    <row r="574" spans="1:17" ht="187.2" x14ac:dyDescent="0.3">
      <c r="A574" s="16" t="s">
        <v>7596</v>
      </c>
      <c r="B574" s="16" t="s">
        <v>8868</v>
      </c>
      <c r="C574" s="16" t="s">
        <v>7603</v>
      </c>
      <c r="D574" s="16" t="s">
        <v>7597</v>
      </c>
      <c r="E574" s="16" t="s">
        <v>177</v>
      </c>
      <c r="F574" s="16" t="s">
        <v>178</v>
      </c>
      <c r="G574" s="16" t="s">
        <v>32</v>
      </c>
      <c r="H574" s="16" t="s">
        <v>163</v>
      </c>
      <c r="I574" s="16"/>
      <c r="J574" s="16" t="s">
        <v>179</v>
      </c>
      <c r="K574" s="16"/>
      <c r="L574" s="16"/>
      <c r="M574" s="19" t="s">
        <v>180</v>
      </c>
      <c r="N574" s="16"/>
      <c r="O574" s="16" t="s">
        <v>181</v>
      </c>
      <c r="P574" s="16" t="str">
        <f>HYPERLINK("https://ceds.ed.gov/cedselementdetails.aspx?termid=26269")</f>
        <v>https://ceds.ed.gov/cedselementdetails.aspx?termid=26269</v>
      </c>
      <c r="Q574" s="16">
        <v>70693</v>
      </c>
    </row>
    <row r="575" spans="1:17" ht="187.2" x14ac:dyDescent="0.3">
      <c r="A575" s="16" t="s">
        <v>7596</v>
      </c>
      <c r="B575" s="16" t="s">
        <v>8868</v>
      </c>
      <c r="C575" s="16" t="s">
        <v>7603</v>
      </c>
      <c r="D575" s="16" t="s">
        <v>7597</v>
      </c>
      <c r="E575" s="16" t="s">
        <v>158</v>
      </c>
      <c r="F575" s="16" t="s">
        <v>159</v>
      </c>
      <c r="G575" s="16" t="s">
        <v>32</v>
      </c>
      <c r="H575" s="16" t="s">
        <v>163</v>
      </c>
      <c r="I575" s="16"/>
      <c r="J575" s="16" t="s">
        <v>145</v>
      </c>
      <c r="K575" s="16"/>
      <c r="L575" s="16"/>
      <c r="M575" s="19" t="s">
        <v>161</v>
      </c>
      <c r="N575" s="16"/>
      <c r="O575" s="16" t="s">
        <v>162</v>
      </c>
      <c r="P575" s="16" t="str">
        <f>HYPERLINK("https://ceds.ed.gov/cedselementdetails.aspx?termid=26019")</f>
        <v>https://ceds.ed.gov/cedselementdetails.aspx?termid=26019</v>
      </c>
      <c r="Q575" s="16">
        <v>70677</v>
      </c>
    </row>
    <row r="576" spans="1:17" ht="187.2" x14ac:dyDescent="0.3">
      <c r="A576" s="16" t="s">
        <v>7596</v>
      </c>
      <c r="B576" s="16" t="s">
        <v>8868</v>
      </c>
      <c r="C576" s="16" t="s">
        <v>7603</v>
      </c>
      <c r="D576" s="16" t="s">
        <v>7597</v>
      </c>
      <c r="E576" s="16" t="s">
        <v>164</v>
      </c>
      <c r="F576" s="16" t="s">
        <v>165</v>
      </c>
      <c r="G576" s="16" t="s">
        <v>32</v>
      </c>
      <c r="H576" s="16" t="s">
        <v>163</v>
      </c>
      <c r="I576" s="16"/>
      <c r="J576" s="16" t="s">
        <v>81</v>
      </c>
      <c r="K576" s="16"/>
      <c r="L576" s="16"/>
      <c r="M576" s="19" t="s">
        <v>166</v>
      </c>
      <c r="N576" s="16"/>
      <c r="O576" s="16" t="s">
        <v>167</v>
      </c>
      <c r="P576" s="16" t="str">
        <f>HYPERLINK("https://ceds.ed.gov/cedselementdetails.aspx?termid=26040")</f>
        <v>https://ceds.ed.gov/cedselementdetails.aspx?termid=26040</v>
      </c>
      <c r="Q576" s="16">
        <v>70679</v>
      </c>
    </row>
    <row r="577" spans="1:17" ht="409.6" x14ac:dyDescent="0.3">
      <c r="A577" s="16" t="s">
        <v>7596</v>
      </c>
      <c r="B577" s="16" t="s">
        <v>8868</v>
      </c>
      <c r="C577" s="16" t="s">
        <v>7603</v>
      </c>
      <c r="D577" s="16" t="s">
        <v>7597</v>
      </c>
      <c r="E577" s="16" t="s">
        <v>6840</v>
      </c>
      <c r="F577" s="16" t="s">
        <v>6841</v>
      </c>
      <c r="G577" s="16" t="s">
        <v>8266</v>
      </c>
      <c r="H577" s="16" t="s">
        <v>6844</v>
      </c>
      <c r="I577" s="16"/>
      <c r="J577" s="16"/>
      <c r="K577" s="16"/>
      <c r="L577" s="16"/>
      <c r="M577" s="19" t="s">
        <v>6842</v>
      </c>
      <c r="N577" s="16"/>
      <c r="O577" s="16" t="s">
        <v>6843</v>
      </c>
      <c r="P577" s="16" t="str">
        <f>HYPERLINK("https://ceds.ed.gov/cedselementdetails.aspx?termid=26267")</f>
        <v>https://ceds.ed.gov/cedselementdetails.aspx?termid=26267</v>
      </c>
      <c r="Q577" s="16">
        <v>70692</v>
      </c>
    </row>
    <row r="578" spans="1:17" ht="187.2" x14ac:dyDescent="0.3">
      <c r="A578" s="16" t="s">
        <v>7596</v>
      </c>
      <c r="B578" s="16" t="s">
        <v>8868</v>
      </c>
      <c r="C578" s="16" t="s">
        <v>7603</v>
      </c>
      <c r="D578" s="16" t="s">
        <v>7597</v>
      </c>
      <c r="E578" s="16" t="s">
        <v>172</v>
      </c>
      <c r="F578" s="16" t="s">
        <v>173</v>
      </c>
      <c r="G578" s="16" t="s">
        <v>32</v>
      </c>
      <c r="H578" s="16" t="s">
        <v>163</v>
      </c>
      <c r="I578" s="16"/>
      <c r="J578" s="16" t="s">
        <v>174</v>
      </c>
      <c r="K578" s="16"/>
      <c r="L578" s="16"/>
      <c r="M578" s="19" t="s">
        <v>175</v>
      </c>
      <c r="N578" s="16"/>
      <c r="O578" s="16" t="s">
        <v>176</v>
      </c>
      <c r="P578" s="16" t="str">
        <f>HYPERLINK("https://ceds.ed.gov/cedselementdetails.aspx?termid=26214")</f>
        <v>https://ceds.ed.gov/cedselementdetails.aspx?termid=26214</v>
      </c>
      <c r="Q578" s="16">
        <v>70690</v>
      </c>
    </row>
    <row r="579" spans="1:17" ht="187.2" x14ac:dyDescent="0.3">
      <c r="A579" s="16" t="s">
        <v>7596</v>
      </c>
      <c r="B579" s="16" t="s">
        <v>8868</v>
      </c>
      <c r="C579" s="16" t="s">
        <v>7603</v>
      </c>
      <c r="D579" s="16" t="s">
        <v>7597</v>
      </c>
      <c r="E579" s="16" t="s">
        <v>168</v>
      </c>
      <c r="F579" s="16" t="s">
        <v>169</v>
      </c>
      <c r="G579" s="16" t="s">
        <v>32</v>
      </c>
      <c r="H579" s="16" t="s">
        <v>163</v>
      </c>
      <c r="I579" s="16"/>
      <c r="J579" s="16" t="s">
        <v>81</v>
      </c>
      <c r="K579" s="16"/>
      <c r="L579" s="16"/>
      <c r="M579" s="19" t="s">
        <v>170</v>
      </c>
      <c r="N579" s="16"/>
      <c r="O579" s="16" t="s">
        <v>171</v>
      </c>
      <c r="P579" s="16" t="str">
        <f>HYPERLINK("https://ceds.ed.gov/cedselementdetails.aspx?termid=26190")</f>
        <v>https://ceds.ed.gov/cedselementdetails.aspx?termid=26190</v>
      </c>
      <c r="Q579" s="16">
        <v>70687</v>
      </c>
    </row>
    <row r="580" spans="1:17" ht="409.6" x14ac:dyDescent="0.3">
      <c r="A580" s="16" t="s">
        <v>7596</v>
      </c>
      <c r="B580" s="16" t="s">
        <v>8868</v>
      </c>
      <c r="C580" s="16" t="s">
        <v>7603</v>
      </c>
      <c r="D580" s="16" t="s">
        <v>7597</v>
      </c>
      <c r="E580" s="16" t="s">
        <v>2483</v>
      </c>
      <c r="F580" s="16" t="s">
        <v>2484</v>
      </c>
      <c r="G580" s="16" t="s">
        <v>8454</v>
      </c>
      <c r="H580" s="16" t="s">
        <v>2487</v>
      </c>
      <c r="I580" s="16"/>
      <c r="J580" s="16"/>
      <c r="K580" s="16"/>
      <c r="L580" s="16" t="s">
        <v>7915</v>
      </c>
      <c r="M580" s="19" t="s">
        <v>2485</v>
      </c>
      <c r="N580" s="16"/>
      <c r="O580" s="16" t="s">
        <v>2486</v>
      </c>
      <c r="P580" s="16" t="str">
        <f>HYPERLINK("https://ceds.ed.gov/cedselementdetails.aspx?termid=26050")</f>
        <v>https://ceds.ed.gov/cedselementdetails.aspx?termid=26050</v>
      </c>
      <c r="Q580" s="16">
        <v>70680</v>
      </c>
    </row>
    <row r="581" spans="1:17" ht="57.6" x14ac:dyDescent="0.3">
      <c r="A581" s="16" t="s">
        <v>7596</v>
      </c>
      <c r="B581" s="16" t="s">
        <v>8868</v>
      </c>
      <c r="C581" s="16" t="s">
        <v>7603</v>
      </c>
      <c r="D581" s="16" t="s">
        <v>7597</v>
      </c>
      <c r="E581" s="16" t="s">
        <v>4902</v>
      </c>
      <c r="F581" s="16" t="s">
        <v>4903</v>
      </c>
      <c r="G581" s="16" t="s">
        <v>32</v>
      </c>
      <c r="H581" s="16"/>
      <c r="I581" s="16"/>
      <c r="J581" s="16" t="s">
        <v>1130</v>
      </c>
      <c r="K581" s="16"/>
      <c r="L581" s="16"/>
      <c r="M581" s="19" t="s">
        <v>4904</v>
      </c>
      <c r="N581" s="16"/>
      <c r="O581" s="16" t="s">
        <v>4902</v>
      </c>
      <c r="P581" s="16" t="str">
        <f>HYPERLINK("https://ceds.ed.gov/cedselementdetails.aspx?termid=26599")</f>
        <v>https://ceds.ed.gov/cedselementdetails.aspx?termid=26599</v>
      </c>
      <c r="Q581" s="16">
        <v>74258</v>
      </c>
    </row>
    <row r="582" spans="1:17" ht="57.6" x14ac:dyDescent="0.3">
      <c r="A582" s="16" t="s">
        <v>7596</v>
      </c>
      <c r="B582" s="16" t="s">
        <v>8868</v>
      </c>
      <c r="C582" s="16" t="s">
        <v>7603</v>
      </c>
      <c r="D582" s="16" t="s">
        <v>7597</v>
      </c>
      <c r="E582" s="16" t="s">
        <v>5285</v>
      </c>
      <c r="F582" s="16" t="s">
        <v>5286</v>
      </c>
      <c r="G582" s="16" t="s">
        <v>32</v>
      </c>
      <c r="H582" s="16"/>
      <c r="I582" s="16"/>
      <c r="J582" s="16" t="s">
        <v>1130</v>
      </c>
      <c r="K582" s="16"/>
      <c r="L582" s="16"/>
      <c r="M582" s="19" t="s">
        <v>5287</v>
      </c>
      <c r="N582" s="16"/>
      <c r="O582" s="16" t="s">
        <v>5285</v>
      </c>
      <c r="P582" s="16" t="str">
        <f>HYPERLINK("https://ceds.ed.gov/cedselementdetails.aspx?termid=26600")</f>
        <v>https://ceds.ed.gov/cedselementdetails.aspx?termid=26600</v>
      </c>
      <c r="Q582" s="16">
        <v>74281</v>
      </c>
    </row>
    <row r="583" spans="1:17" ht="158.4" x14ac:dyDescent="0.3">
      <c r="A583" s="16" t="s">
        <v>7596</v>
      </c>
      <c r="B583" s="16" t="s">
        <v>8868</v>
      </c>
      <c r="C583" s="16" t="s">
        <v>7603</v>
      </c>
      <c r="D583" s="16" t="s">
        <v>7597</v>
      </c>
      <c r="E583" s="16" t="s">
        <v>2493</v>
      </c>
      <c r="F583" s="16" t="s">
        <v>2494</v>
      </c>
      <c r="G583" s="16" t="s">
        <v>32</v>
      </c>
      <c r="H583" s="16"/>
      <c r="I583" s="16"/>
      <c r="J583" s="16" t="s">
        <v>2495</v>
      </c>
      <c r="K583" s="16"/>
      <c r="L583" s="16"/>
      <c r="M583" s="19" t="s">
        <v>2496</v>
      </c>
      <c r="N583" s="16"/>
      <c r="O583" s="16" t="s">
        <v>2497</v>
      </c>
      <c r="P583" s="16" t="str">
        <f>HYPERLINK("https://ceds.ed.gov/cedselementdetails.aspx?termid=27176")</f>
        <v>https://ceds.ed.gov/cedselementdetails.aspx?termid=27176</v>
      </c>
      <c r="Q583" s="16">
        <v>75280</v>
      </c>
    </row>
    <row r="584" spans="1:17" ht="57.6" x14ac:dyDescent="0.3">
      <c r="A584" s="16" t="s">
        <v>7596</v>
      </c>
      <c r="B584" s="16" t="s">
        <v>8868</v>
      </c>
      <c r="C584" s="16" t="s">
        <v>7603</v>
      </c>
      <c r="D584" s="16" t="s">
        <v>7597</v>
      </c>
      <c r="E584" s="16" t="s">
        <v>3175</v>
      </c>
      <c r="F584" s="16" t="s">
        <v>3176</v>
      </c>
      <c r="G584" s="16" t="s">
        <v>2987</v>
      </c>
      <c r="H584" s="16"/>
      <c r="I584" s="16"/>
      <c r="J584" s="16"/>
      <c r="K584" s="16"/>
      <c r="L584" s="16"/>
      <c r="M584" s="19" t="s">
        <v>3177</v>
      </c>
      <c r="N584" s="16"/>
      <c r="O584" s="16" t="s">
        <v>3178</v>
      </c>
      <c r="P584" s="16" t="str">
        <f>HYPERLINK("https://ceds.ed.gov/cedselementdetails.aspx?termid=27905")</f>
        <v>https://ceds.ed.gov/cedselementdetails.aspx?termid=27905</v>
      </c>
      <c r="Q584" s="16">
        <v>75281</v>
      </c>
    </row>
    <row r="585" spans="1:17" ht="72" x14ac:dyDescent="0.3">
      <c r="A585" s="16" t="s">
        <v>7596</v>
      </c>
      <c r="B585" s="16" t="s">
        <v>8868</v>
      </c>
      <c r="C585" s="16" t="s">
        <v>7604</v>
      </c>
      <c r="D585" s="16" t="s">
        <v>7597</v>
      </c>
      <c r="E585" s="16" t="s">
        <v>7053</v>
      </c>
      <c r="F585" s="16" t="s">
        <v>7054</v>
      </c>
      <c r="G585" s="16" t="s">
        <v>32</v>
      </c>
      <c r="H585" s="16" t="s">
        <v>64</v>
      </c>
      <c r="I585" s="16"/>
      <c r="J585" s="16" t="s">
        <v>7055</v>
      </c>
      <c r="K585" s="16"/>
      <c r="L585" s="16"/>
      <c r="M585" s="19" t="s">
        <v>7056</v>
      </c>
      <c r="N585" s="16"/>
      <c r="O585" s="16" t="s">
        <v>7057</v>
      </c>
      <c r="P585" s="16" t="str">
        <f>HYPERLINK("https://ceds.ed.gov/cedselementdetails.aspx?termid=26279")</f>
        <v>https://ceds.ed.gov/cedselementdetails.aspx?termid=26279</v>
      </c>
      <c r="Q585" s="16">
        <v>71726</v>
      </c>
    </row>
    <row r="586" spans="1:17" ht="86.4" x14ac:dyDescent="0.3">
      <c r="A586" s="16" t="s">
        <v>7596</v>
      </c>
      <c r="B586" s="16" t="s">
        <v>8868</v>
      </c>
      <c r="C586" s="16" t="s">
        <v>7604</v>
      </c>
      <c r="D586" s="16" t="s">
        <v>7597</v>
      </c>
      <c r="E586" s="16" t="s">
        <v>7062</v>
      </c>
      <c r="F586" s="16" t="s">
        <v>7063</v>
      </c>
      <c r="G586" s="16" t="s">
        <v>8849</v>
      </c>
      <c r="H586" s="16" t="s">
        <v>64</v>
      </c>
      <c r="I586" s="16"/>
      <c r="J586" s="16" t="s">
        <v>2500</v>
      </c>
      <c r="K586" s="16"/>
      <c r="L586" s="16"/>
      <c r="M586" s="19" t="s">
        <v>7064</v>
      </c>
      <c r="N586" s="16"/>
      <c r="O586" s="16" t="s">
        <v>7065</v>
      </c>
      <c r="P586" s="16" t="str">
        <f>HYPERLINK("https://ceds.ed.gov/cedselementdetails.aspx?termid=26280")</f>
        <v>https://ceds.ed.gov/cedselementdetails.aspx?termid=26280</v>
      </c>
      <c r="Q586" s="16">
        <v>71724</v>
      </c>
    </row>
    <row r="587" spans="1:17" ht="72" x14ac:dyDescent="0.3">
      <c r="A587" s="16" t="s">
        <v>7596</v>
      </c>
      <c r="B587" s="16" t="s">
        <v>8868</v>
      </c>
      <c r="C587" s="16" t="s">
        <v>7604</v>
      </c>
      <c r="D587" s="16" t="s">
        <v>7597</v>
      </c>
      <c r="E587" s="16" t="s">
        <v>5865</v>
      </c>
      <c r="F587" s="16" t="s">
        <v>5866</v>
      </c>
      <c r="G587" s="16" t="s">
        <v>22</v>
      </c>
      <c r="H587" s="16" t="s">
        <v>64</v>
      </c>
      <c r="I587" s="16"/>
      <c r="J587" s="16"/>
      <c r="K587" s="16"/>
      <c r="L587" s="16"/>
      <c r="M587" s="19" t="s">
        <v>5867</v>
      </c>
      <c r="N587" s="16"/>
      <c r="O587" s="16" t="s">
        <v>5868</v>
      </c>
      <c r="P587" s="16" t="str">
        <f>HYPERLINK("https://ceds.ed.gov/cedselementdetails.aspx?termid=26219")</f>
        <v>https://ceds.ed.gov/cedselementdetails.aspx?termid=26219</v>
      </c>
      <c r="Q587" s="16">
        <v>71725</v>
      </c>
    </row>
    <row r="588" spans="1:17" ht="57.6" x14ac:dyDescent="0.3">
      <c r="A588" s="16" t="s">
        <v>7596</v>
      </c>
      <c r="B588" s="16" t="s">
        <v>8868</v>
      </c>
      <c r="C588" s="16" t="s">
        <v>7604</v>
      </c>
      <c r="D588" s="16" t="s">
        <v>7597</v>
      </c>
      <c r="E588" s="16" t="s">
        <v>3175</v>
      </c>
      <c r="F588" s="16" t="s">
        <v>3176</v>
      </c>
      <c r="G588" s="16" t="s">
        <v>2987</v>
      </c>
      <c r="H588" s="16"/>
      <c r="I588" s="16"/>
      <c r="J588" s="16"/>
      <c r="K588" s="16"/>
      <c r="L588" s="16"/>
      <c r="M588" s="19" t="s">
        <v>3177</v>
      </c>
      <c r="N588" s="16"/>
      <c r="O588" s="16" t="s">
        <v>3178</v>
      </c>
      <c r="P588" s="16" t="str">
        <f>HYPERLINK("https://ceds.ed.gov/cedselementdetails.aspx?termid=27905")</f>
        <v>https://ceds.ed.gov/cedselementdetails.aspx?termid=27905</v>
      </c>
      <c r="Q588" s="16">
        <v>75283</v>
      </c>
    </row>
    <row r="589" spans="1:17" ht="57.6" x14ac:dyDescent="0.3">
      <c r="A589" s="16" t="s">
        <v>7596</v>
      </c>
      <c r="B589" s="16" t="s">
        <v>8868</v>
      </c>
      <c r="C589" s="16" t="s">
        <v>7604</v>
      </c>
      <c r="D589" s="16" t="s">
        <v>7597</v>
      </c>
      <c r="E589" s="16" t="s">
        <v>7058</v>
      </c>
      <c r="F589" s="16" t="s">
        <v>7059</v>
      </c>
      <c r="G589" s="16" t="s">
        <v>8848</v>
      </c>
      <c r="H589" s="16"/>
      <c r="I589" s="16"/>
      <c r="J589" s="16"/>
      <c r="K589" s="16"/>
      <c r="L589" s="16"/>
      <c r="M589" s="19" t="s">
        <v>7060</v>
      </c>
      <c r="N589" s="16"/>
      <c r="O589" s="16" t="s">
        <v>7061</v>
      </c>
      <c r="P589" s="16" t="str">
        <f>HYPERLINK("https://ceds.ed.gov/cedselementdetails.aspx?termid=27911")</f>
        <v>https://ceds.ed.gov/cedselementdetails.aspx?termid=27911</v>
      </c>
      <c r="Q589" s="16">
        <v>75284</v>
      </c>
    </row>
    <row r="590" spans="1:17" ht="72" x14ac:dyDescent="0.3">
      <c r="A590" s="16" t="s">
        <v>7596</v>
      </c>
      <c r="B590" s="16" t="s">
        <v>8868</v>
      </c>
      <c r="C590" s="16" t="s">
        <v>7605</v>
      </c>
      <c r="D590" s="16" t="s">
        <v>7597</v>
      </c>
      <c r="E590" s="16" t="s">
        <v>3406</v>
      </c>
      <c r="F590" s="16" t="s">
        <v>3407</v>
      </c>
      <c r="G590" s="16" t="s">
        <v>32</v>
      </c>
      <c r="H590" s="16" t="s">
        <v>64</v>
      </c>
      <c r="I590" s="16"/>
      <c r="J590" s="16" t="s">
        <v>3408</v>
      </c>
      <c r="K590" s="16"/>
      <c r="L590" s="16"/>
      <c r="M590" s="19" t="s">
        <v>3409</v>
      </c>
      <c r="N590" s="16" t="s">
        <v>3410</v>
      </c>
      <c r="O590" s="16" t="s">
        <v>3411</v>
      </c>
      <c r="P590" s="16" t="str">
        <f>HYPERLINK("https://ceds.ed.gov/cedselementdetails.aspx?termid=26088")</f>
        <v>https://ceds.ed.gov/cedselementdetails.aspx?termid=26088</v>
      </c>
      <c r="Q590" s="16">
        <v>71728</v>
      </c>
    </row>
    <row r="591" spans="1:17" ht="72" x14ac:dyDescent="0.3">
      <c r="A591" s="16" t="s">
        <v>7596</v>
      </c>
      <c r="B591" s="16" t="s">
        <v>8868</v>
      </c>
      <c r="C591" s="16" t="s">
        <v>7605</v>
      </c>
      <c r="D591" s="16" t="s">
        <v>7597</v>
      </c>
      <c r="E591" s="16" t="s">
        <v>3412</v>
      </c>
      <c r="F591" s="16" t="s">
        <v>3413</v>
      </c>
      <c r="G591" s="16" t="s">
        <v>9330</v>
      </c>
      <c r="H591" s="16" t="s">
        <v>64</v>
      </c>
      <c r="I591" s="16"/>
      <c r="J591" s="16"/>
      <c r="K591" s="16"/>
      <c r="L591" s="16"/>
      <c r="M591" s="19" t="s">
        <v>3414</v>
      </c>
      <c r="N591" s="16" t="s">
        <v>3415</v>
      </c>
      <c r="O591" s="16" t="s">
        <v>3416</v>
      </c>
      <c r="P591" s="16" t="str">
        <f>HYPERLINK("https://ceds.ed.gov/cedselementdetails.aspx?termid=26089")</f>
        <v>https://ceds.ed.gov/cedselementdetails.aspx?termid=26089</v>
      </c>
      <c r="Q591" s="16">
        <v>71727</v>
      </c>
    </row>
    <row r="592" spans="1:17" ht="57.6" x14ac:dyDescent="0.3">
      <c r="A592" s="16" t="s">
        <v>7596</v>
      </c>
      <c r="B592" s="16" t="s">
        <v>8868</v>
      </c>
      <c r="C592" s="16" t="s">
        <v>7605</v>
      </c>
      <c r="D592" s="16" t="s">
        <v>7597</v>
      </c>
      <c r="E592" s="16" t="s">
        <v>3175</v>
      </c>
      <c r="F592" s="16" t="s">
        <v>3176</v>
      </c>
      <c r="G592" s="16" t="s">
        <v>2987</v>
      </c>
      <c r="H592" s="16"/>
      <c r="I592" s="16"/>
      <c r="J592" s="16"/>
      <c r="K592" s="16"/>
      <c r="L592" s="16"/>
      <c r="M592" s="19" t="s">
        <v>3177</v>
      </c>
      <c r="N592" s="16"/>
      <c r="O592" s="16" t="s">
        <v>3178</v>
      </c>
      <c r="P592" s="16" t="str">
        <f>HYPERLINK("https://ceds.ed.gov/cedselementdetails.aspx?termid=27905")</f>
        <v>https://ceds.ed.gov/cedselementdetails.aspx?termid=27905</v>
      </c>
      <c r="Q592" s="16">
        <v>75282</v>
      </c>
    </row>
    <row r="593" spans="1:17" ht="201.6" x14ac:dyDescent="0.3">
      <c r="A593" s="16" t="s">
        <v>7596</v>
      </c>
      <c r="B593" s="16" t="s">
        <v>8868</v>
      </c>
      <c r="C593" s="16" t="s">
        <v>7628</v>
      </c>
      <c r="D593" s="16" t="s">
        <v>7597</v>
      </c>
      <c r="E593" s="16" t="s">
        <v>1507</v>
      </c>
      <c r="F593" s="16" t="s">
        <v>1508</v>
      </c>
      <c r="G593" s="16" t="s">
        <v>32</v>
      </c>
      <c r="H593" s="16" t="s">
        <v>1510</v>
      </c>
      <c r="I593" s="16"/>
      <c r="J593" s="16" t="s">
        <v>106</v>
      </c>
      <c r="K593" s="16"/>
      <c r="L593" s="16"/>
      <c r="M593" s="19" t="s">
        <v>1509</v>
      </c>
      <c r="N593" s="16"/>
      <c r="O593" s="16" t="s">
        <v>1507</v>
      </c>
      <c r="P593" s="16" t="str">
        <f>HYPERLINK("https://ceds.ed.gov/cedselementdetails.aspx?termid=26033")</f>
        <v>https://ceds.ed.gov/cedselementdetails.aspx?termid=26033</v>
      </c>
      <c r="Q593" s="16">
        <v>70678</v>
      </c>
    </row>
    <row r="594" spans="1:17" ht="216" x14ac:dyDescent="0.3">
      <c r="A594" s="16" t="s">
        <v>7596</v>
      </c>
      <c r="B594" s="16" t="s">
        <v>8868</v>
      </c>
      <c r="C594" s="16" t="s">
        <v>7628</v>
      </c>
      <c r="D594" s="16" t="s">
        <v>7597</v>
      </c>
      <c r="E594" s="16" t="s">
        <v>6662</v>
      </c>
      <c r="F594" s="16" t="s">
        <v>6663</v>
      </c>
      <c r="G594" s="16" t="s">
        <v>8831</v>
      </c>
      <c r="H594" s="16" t="s">
        <v>6666</v>
      </c>
      <c r="I594" s="16"/>
      <c r="J594" s="16"/>
      <c r="K594" s="16"/>
      <c r="L594" s="16" t="s">
        <v>6664</v>
      </c>
      <c r="M594" s="19" t="s">
        <v>6665</v>
      </c>
      <c r="N594" s="16"/>
      <c r="O594" s="16" t="s">
        <v>6662</v>
      </c>
      <c r="P594" s="16" t="str">
        <f>HYPERLINK("https://ceds.ed.gov/cedselementdetails.aspx?termid=26255")</f>
        <v>https://ceds.ed.gov/cedselementdetails.aspx?termid=26255</v>
      </c>
      <c r="Q594" s="16">
        <v>70691</v>
      </c>
    </row>
    <row r="595" spans="1:17" ht="201.6" x14ac:dyDescent="0.3">
      <c r="A595" s="16" t="s">
        <v>7596</v>
      </c>
      <c r="B595" s="16" t="s">
        <v>8868</v>
      </c>
      <c r="C595" s="16" t="s">
        <v>7628</v>
      </c>
      <c r="D595" s="16" t="s">
        <v>7597</v>
      </c>
      <c r="E595" s="16" t="s">
        <v>348</v>
      </c>
      <c r="F595" s="16" t="s">
        <v>349</v>
      </c>
      <c r="G595" s="16" t="s">
        <v>8319</v>
      </c>
      <c r="H595" s="16" t="s">
        <v>353</v>
      </c>
      <c r="I595" s="16"/>
      <c r="J595" s="16"/>
      <c r="K595" s="16"/>
      <c r="L595" s="16" t="s">
        <v>7828</v>
      </c>
      <c r="M595" s="19" t="s">
        <v>350</v>
      </c>
      <c r="N595" s="16" t="s">
        <v>351</v>
      </c>
      <c r="O595" s="16" t="s">
        <v>352</v>
      </c>
      <c r="P595" s="16" t="str">
        <f>HYPERLINK("https://ceds.ed.gov/cedselementdetails.aspx?termid=26655")</f>
        <v>https://ceds.ed.gov/cedselementdetails.aspx?termid=26655</v>
      </c>
      <c r="Q595" s="16">
        <v>72226</v>
      </c>
    </row>
    <row r="596" spans="1:17" ht="201.6" x14ac:dyDescent="0.3">
      <c r="A596" s="16" t="s">
        <v>7596</v>
      </c>
      <c r="B596" s="16" t="s">
        <v>8868</v>
      </c>
      <c r="C596" s="16" t="s">
        <v>7628</v>
      </c>
      <c r="D596" s="16" t="s">
        <v>7597</v>
      </c>
      <c r="E596" s="16" t="s">
        <v>373</v>
      </c>
      <c r="F596" s="16" t="s">
        <v>374</v>
      </c>
      <c r="G596" s="16" t="s">
        <v>8319</v>
      </c>
      <c r="H596" s="16" t="s">
        <v>353</v>
      </c>
      <c r="I596" s="16"/>
      <c r="J596" s="16"/>
      <c r="K596" s="16"/>
      <c r="L596" s="16" t="s">
        <v>7828</v>
      </c>
      <c r="M596" s="19" t="s">
        <v>375</v>
      </c>
      <c r="N596" s="16" t="s">
        <v>376</v>
      </c>
      <c r="O596" s="16" t="s">
        <v>373</v>
      </c>
      <c r="P596" s="16" t="str">
        <f>HYPERLINK("https://ceds.ed.gov/cedselementdetails.aspx?termid=26656")</f>
        <v>https://ceds.ed.gov/cedselementdetails.aspx?termid=26656</v>
      </c>
      <c r="Q596" s="16">
        <v>72227</v>
      </c>
    </row>
    <row r="597" spans="1:17" ht="201.6" x14ac:dyDescent="0.3">
      <c r="A597" s="16" t="s">
        <v>7596</v>
      </c>
      <c r="B597" s="16" t="s">
        <v>8868</v>
      </c>
      <c r="C597" s="16" t="s">
        <v>7628</v>
      </c>
      <c r="D597" s="16" t="s">
        <v>7597</v>
      </c>
      <c r="E597" s="16" t="s">
        <v>1517</v>
      </c>
      <c r="F597" s="16" t="s">
        <v>1518</v>
      </c>
      <c r="G597" s="16" t="s">
        <v>8319</v>
      </c>
      <c r="H597" s="16" t="s">
        <v>353</v>
      </c>
      <c r="I597" s="16"/>
      <c r="J597" s="16"/>
      <c r="K597" s="16"/>
      <c r="L597" s="16" t="s">
        <v>7828</v>
      </c>
      <c r="M597" s="19" t="s">
        <v>1519</v>
      </c>
      <c r="N597" s="16" t="s">
        <v>1520</v>
      </c>
      <c r="O597" s="16" t="s">
        <v>1521</v>
      </c>
      <c r="P597" s="16" t="str">
        <f>HYPERLINK("https://ceds.ed.gov/cedselementdetails.aspx?termid=26657")</f>
        <v>https://ceds.ed.gov/cedselementdetails.aspx?termid=26657</v>
      </c>
      <c r="Q597" s="16">
        <v>72228</v>
      </c>
    </row>
    <row r="598" spans="1:17" ht="201.6" x14ac:dyDescent="0.3">
      <c r="A598" s="16" t="s">
        <v>7596</v>
      </c>
      <c r="B598" s="16" t="s">
        <v>8868</v>
      </c>
      <c r="C598" s="16" t="s">
        <v>7628</v>
      </c>
      <c r="D598" s="16" t="s">
        <v>7597</v>
      </c>
      <c r="E598" s="16" t="s">
        <v>5454</v>
      </c>
      <c r="F598" s="16" t="s">
        <v>5455</v>
      </c>
      <c r="G598" s="16" t="s">
        <v>8319</v>
      </c>
      <c r="H598" s="16" t="s">
        <v>353</v>
      </c>
      <c r="I598" s="16"/>
      <c r="J598" s="16"/>
      <c r="K598" s="16"/>
      <c r="L598" s="16" t="s">
        <v>7828</v>
      </c>
      <c r="M598" s="19" t="s">
        <v>5456</v>
      </c>
      <c r="N598" s="16" t="s">
        <v>5457</v>
      </c>
      <c r="O598" s="16" t="s">
        <v>5458</v>
      </c>
      <c r="P598" s="16" t="str">
        <f>HYPERLINK("https://ceds.ed.gov/cedselementdetails.aspx?termid=26658")</f>
        <v>https://ceds.ed.gov/cedselementdetails.aspx?termid=26658</v>
      </c>
      <c r="Q598" s="16">
        <v>72229</v>
      </c>
    </row>
    <row r="599" spans="1:17" ht="201.6" x14ac:dyDescent="0.3">
      <c r="A599" s="16" t="s">
        <v>7596</v>
      </c>
      <c r="B599" s="16" t="s">
        <v>8868</v>
      </c>
      <c r="C599" s="16" t="s">
        <v>7628</v>
      </c>
      <c r="D599" s="16" t="s">
        <v>7597</v>
      </c>
      <c r="E599" s="16" t="s">
        <v>7282</v>
      </c>
      <c r="F599" s="16" t="s">
        <v>7283</v>
      </c>
      <c r="G599" s="16" t="s">
        <v>8319</v>
      </c>
      <c r="H599" s="16" t="s">
        <v>353</v>
      </c>
      <c r="I599" s="16"/>
      <c r="J599" s="16"/>
      <c r="K599" s="16"/>
      <c r="L599" s="16" t="s">
        <v>7828</v>
      </c>
      <c r="M599" s="19" t="s">
        <v>7284</v>
      </c>
      <c r="N599" s="16" t="s">
        <v>7285</v>
      </c>
      <c r="O599" s="16" t="s">
        <v>7282</v>
      </c>
      <c r="P599" s="16" t="str">
        <f>HYPERLINK("https://ceds.ed.gov/cedselementdetails.aspx?termid=26659")</f>
        <v>https://ceds.ed.gov/cedselementdetails.aspx?termid=26659</v>
      </c>
      <c r="Q599" s="16">
        <v>72230</v>
      </c>
    </row>
    <row r="600" spans="1:17" ht="201.6" x14ac:dyDescent="0.3">
      <c r="A600" s="16" t="s">
        <v>7596</v>
      </c>
      <c r="B600" s="16" t="s">
        <v>8868</v>
      </c>
      <c r="C600" s="16" t="s">
        <v>7628</v>
      </c>
      <c r="D600" s="16" t="s">
        <v>7597</v>
      </c>
      <c r="E600" s="16" t="s">
        <v>4283</v>
      </c>
      <c r="F600" s="16" t="s">
        <v>4284</v>
      </c>
      <c r="G600" s="16" t="s">
        <v>8319</v>
      </c>
      <c r="H600" s="16" t="s">
        <v>353</v>
      </c>
      <c r="I600" s="16"/>
      <c r="J600" s="16"/>
      <c r="K600" s="16"/>
      <c r="L600" s="16" t="s">
        <v>7828</v>
      </c>
      <c r="M600" s="19" t="s">
        <v>4285</v>
      </c>
      <c r="N600" s="16"/>
      <c r="O600" s="16" t="s">
        <v>4286</v>
      </c>
      <c r="P600" s="16" t="str">
        <f>HYPERLINK("https://ceds.ed.gov/cedselementdetails.aspx?termid=26144")</f>
        <v>https://ceds.ed.gov/cedselementdetails.aspx?termid=26144</v>
      </c>
      <c r="Q600" s="16">
        <v>72231</v>
      </c>
    </row>
    <row r="601" spans="1:17" ht="72" x14ac:dyDescent="0.3">
      <c r="A601" s="16" t="s">
        <v>7596</v>
      </c>
      <c r="B601" s="16" t="s">
        <v>8868</v>
      </c>
      <c r="C601" s="16" t="s">
        <v>7628</v>
      </c>
      <c r="D601" s="16" t="s">
        <v>7597</v>
      </c>
      <c r="E601" s="16" t="s">
        <v>3038</v>
      </c>
      <c r="F601" s="16" t="s">
        <v>3039</v>
      </c>
      <c r="G601" s="16" t="s">
        <v>22</v>
      </c>
      <c r="H601" s="16"/>
      <c r="I601" s="16"/>
      <c r="J601" s="16"/>
      <c r="K601" s="16"/>
      <c r="L601" s="16" t="s">
        <v>3040</v>
      </c>
      <c r="M601" s="19" t="s">
        <v>3041</v>
      </c>
      <c r="N601" s="16"/>
      <c r="O601" s="16" t="s">
        <v>3042</v>
      </c>
      <c r="P601" s="16" t="str">
        <f>HYPERLINK("https://ceds.ed.gov/cedselementdetails.aspx?termid=26974")</f>
        <v>https://ceds.ed.gov/cedselementdetails.aspx?termid=26974</v>
      </c>
      <c r="Q601" s="16">
        <v>75167</v>
      </c>
    </row>
    <row r="602" spans="1:17" ht="409.6" x14ac:dyDescent="0.3">
      <c r="A602" s="16" t="s">
        <v>7596</v>
      </c>
      <c r="B602" s="16" t="s">
        <v>8868</v>
      </c>
      <c r="C602" s="16" t="s">
        <v>7628</v>
      </c>
      <c r="D602" s="16" t="s">
        <v>7597</v>
      </c>
      <c r="E602" s="16" t="s">
        <v>2488</v>
      </c>
      <c r="F602" s="16" t="s">
        <v>2489</v>
      </c>
      <c r="G602" s="16" t="s">
        <v>8454</v>
      </c>
      <c r="H602" s="16" t="s">
        <v>2492</v>
      </c>
      <c r="I602" s="16"/>
      <c r="J602" s="16"/>
      <c r="K602" s="16"/>
      <c r="L602" s="16" t="s">
        <v>7915</v>
      </c>
      <c r="M602" s="19" t="s">
        <v>2490</v>
      </c>
      <c r="N602" s="16"/>
      <c r="O602" s="16" t="s">
        <v>2491</v>
      </c>
      <c r="P602" s="16" t="str">
        <f>HYPERLINK("https://ceds.ed.gov/cedselementdetails.aspx?termid=26051")</f>
        <v>https://ceds.ed.gov/cedselementdetails.aspx?termid=26051</v>
      </c>
      <c r="Q602" s="16">
        <v>75285</v>
      </c>
    </row>
    <row r="603" spans="1:17" ht="100.8" x14ac:dyDescent="0.3">
      <c r="A603" s="16" t="s">
        <v>7596</v>
      </c>
      <c r="B603" s="16" t="s">
        <v>8868</v>
      </c>
      <c r="C603" s="16" t="s">
        <v>7628</v>
      </c>
      <c r="D603" s="16" t="s">
        <v>7597</v>
      </c>
      <c r="E603" s="16" t="s">
        <v>5395</v>
      </c>
      <c r="F603" s="16" t="s">
        <v>8092</v>
      </c>
      <c r="G603" s="16" t="s">
        <v>8728</v>
      </c>
      <c r="H603" s="16"/>
      <c r="I603" s="16"/>
      <c r="J603" s="16"/>
      <c r="K603" s="16"/>
      <c r="L603" s="16"/>
      <c r="M603" s="19" t="s">
        <v>5396</v>
      </c>
      <c r="N603" s="16"/>
      <c r="O603" s="16" t="s">
        <v>5397</v>
      </c>
      <c r="P603" s="16" t="str">
        <f>HYPERLINK("https://ceds.ed.gov/cedselementdetails.aspx?termid=27621")</f>
        <v>https://ceds.ed.gov/cedselementdetails.aspx?termid=27621</v>
      </c>
      <c r="Q603" s="16">
        <v>75286</v>
      </c>
    </row>
    <row r="604" spans="1:17" ht="57.6" x14ac:dyDescent="0.3">
      <c r="A604" s="16" t="s">
        <v>7596</v>
      </c>
      <c r="B604" s="16" t="s">
        <v>8868</v>
      </c>
      <c r="C604" s="16" t="s">
        <v>7628</v>
      </c>
      <c r="D604" s="16" t="s">
        <v>7597</v>
      </c>
      <c r="E604" s="16" t="s">
        <v>7181</v>
      </c>
      <c r="F604" s="16" t="s">
        <v>7182</v>
      </c>
      <c r="G604" s="16" t="s">
        <v>7313</v>
      </c>
      <c r="H604" s="16"/>
      <c r="I604" s="16"/>
      <c r="J604" s="16"/>
      <c r="K604" s="16"/>
      <c r="L604" s="16"/>
      <c r="M604" s="19" t="s">
        <v>7183</v>
      </c>
      <c r="N604" s="16"/>
      <c r="O604" s="16" t="s">
        <v>7184</v>
      </c>
      <c r="P604" s="16" t="str">
        <f>HYPERLINK("https://ceds.ed.gov/cedselementdetails.aspx?termid=27638")</f>
        <v>https://ceds.ed.gov/cedselementdetails.aspx?termid=27638</v>
      </c>
      <c r="Q604" s="16">
        <v>75287</v>
      </c>
    </row>
    <row r="605" spans="1:17" ht="57.6" x14ac:dyDescent="0.3">
      <c r="A605" s="16" t="s">
        <v>7596</v>
      </c>
      <c r="B605" s="16" t="s">
        <v>8868</v>
      </c>
      <c r="C605" s="16" t="s">
        <v>7628</v>
      </c>
      <c r="D605" s="16" t="s">
        <v>7597</v>
      </c>
      <c r="E605" s="16" t="s">
        <v>7418</v>
      </c>
      <c r="F605" s="16" t="s">
        <v>7419</v>
      </c>
      <c r="G605" s="16" t="s">
        <v>22</v>
      </c>
      <c r="H605" s="16"/>
      <c r="I605" s="16"/>
      <c r="J605" s="16"/>
      <c r="K605" s="16"/>
      <c r="L605" s="16"/>
      <c r="M605" s="19" t="s">
        <v>7420</v>
      </c>
      <c r="N605" s="16"/>
      <c r="O605" s="16" t="s">
        <v>7421</v>
      </c>
      <c r="P605" s="16" t="str">
        <f>HYPERLINK("https://ceds.ed.gov/cedselementdetails.aspx?termid=27932")</f>
        <v>https://ceds.ed.gov/cedselementdetails.aspx?termid=27932</v>
      </c>
      <c r="Q605" s="16">
        <v>75510</v>
      </c>
    </row>
    <row r="606" spans="1:17" ht="115.2" x14ac:dyDescent="0.3">
      <c r="A606" s="16" t="s">
        <v>7596</v>
      </c>
      <c r="B606" s="16" t="s">
        <v>8868</v>
      </c>
      <c r="C606" s="16" t="s">
        <v>7628</v>
      </c>
      <c r="D606" s="16" t="s">
        <v>7597</v>
      </c>
      <c r="E606" s="16" t="s">
        <v>7422</v>
      </c>
      <c r="F606" s="16" t="s">
        <v>7423</v>
      </c>
      <c r="G606" s="16" t="s">
        <v>2987</v>
      </c>
      <c r="H606" s="16"/>
      <c r="I606" s="16"/>
      <c r="J606" s="16"/>
      <c r="K606" s="16"/>
      <c r="L606" s="16"/>
      <c r="M606" s="19" t="s">
        <v>7424</v>
      </c>
      <c r="N606" s="16"/>
      <c r="O606" s="16" t="s">
        <v>7425</v>
      </c>
      <c r="P606" s="16" t="str">
        <f>HYPERLINK("https://ceds.ed.gov/cedselementdetails.aspx?termid=27933")</f>
        <v>https://ceds.ed.gov/cedselementdetails.aspx?termid=27933</v>
      </c>
      <c r="Q606" s="16">
        <v>75511</v>
      </c>
    </row>
    <row r="607" spans="1:17" ht="144" x14ac:dyDescent="0.3">
      <c r="A607" s="16" t="s">
        <v>7596</v>
      </c>
      <c r="B607" s="16" t="s">
        <v>8868</v>
      </c>
      <c r="C607" s="16" t="s">
        <v>7628</v>
      </c>
      <c r="D607" s="16" t="s">
        <v>7597</v>
      </c>
      <c r="E607" s="16" t="s">
        <v>7527</v>
      </c>
      <c r="F607" s="16" t="s">
        <v>7528</v>
      </c>
      <c r="G607" s="16" t="s">
        <v>8811</v>
      </c>
      <c r="H607" s="16"/>
      <c r="I607" s="16"/>
      <c r="J607" s="16"/>
      <c r="K607" s="16"/>
      <c r="L607" s="16" t="s">
        <v>7529</v>
      </c>
      <c r="M607" s="19" t="s">
        <v>7530</v>
      </c>
      <c r="N607" s="16"/>
      <c r="O607" s="16" t="s">
        <v>7527</v>
      </c>
      <c r="P607" s="16" t="str">
        <f>HYPERLINK("https://ceds.ed.gov/cedselementdetails.aspx?termid=27955")</f>
        <v>https://ceds.ed.gov/cedselementdetails.aspx?termid=27955</v>
      </c>
      <c r="Q607" s="16">
        <v>75512</v>
      </c>
    </row>
    <row r="608" spans="1:17" ht="86.4" x14ac:dyDescent="0.3">
      <c r="A608" s="16" t="s">
        <v>7596</v>
      </c>
      <c r="B608" s="16" t="s">
        <v>8868</v>
      </c>
      <c r="C608" s="16" t="s">
        <v>7628</v>
      </c>
      <c r="D608" s="16" t="s">
        <v>7597</v>
      </c>
      <c r="E608" s="16" t="s">
        <v>7222</v>
      </c>
      <c r="F608" s="16" t="s">
        <v>7223</v>
      </c>
      <c r="G608" s="16" t="s">
        <v>8277</v>
      </c>
      <c r="H608" s="16" t="s">
        <v>7226</v>
      </c>
      <c r="I608" s="16"/>
      <c r="J608" s="16"/>
      <c r="K608" s="16"/>
      <c r="L608" s="16" t="s">
        <v>6664</v>
      </c>
      <c r="M608" s="19" t="s">
        <v>7224</v>
      </c>
      <c r="N608" s="16"/>
      <c r="O608" s="16" t="s">
        <v>7225</v>
      </c>
      <c r="P608" s="16" t="str">
        <f>HYPERLINK("https://ceds.ed.gov/cedselementdetails.aspx?termid=26299")</f>
        <v>https://ceds.ed.gov/cedselementdetails.aspx?termid=26299</v>
      </c>
      <c r="Q608" s="16">
        <v>75854</v>
      </c>
    </row>
    <row r="609" spans="1:17" ht="187.2" x14ac:dyDescent="0.3">
      <c r="A609" s="16" t="s">
        <v>7596</v>
      </c>
      <c r="B609" s="16" t="s">
        <v>8868</v>
      </c>
      <c r="C609" s="16" t="s">
        <v>7655</v>
      </c>
      <c r="D609" s="16" t="s">
        <v>7597</v>
      </c>
      <c r="E609" s="16" t="s">
        <v>5431</v>
      </c>
      <c r="F609" s="16" t="s">
        <v>5432</v>
      </c>
      <c r="G609" s="16" t="s">
        <v>32</v>
      </c>
      <c r="H609" s="16" t="s">
        <v>5435</v>
      </c>
      <c r="I609" s="16"/>
      <c r="J609" s="16" t="s">
        <v>145</v>
      </c>
      <c r="K609" s="16"/>
      <c r="L609" s="16"/>
      <c r="M609" s="19" t="s">
        <v>5433</v>
      </c>
      <c r="N609" s="16"/>
      <c r="O609" s="16" t="s">
        <v>5434</v>
      </c>
      <c r="P609" s="16" t="str">
        <f>HYPERLINK("https://ceds.ed.gov/cedselementdetails.aspx?termid=26191")</f>
        <v>https://ceds.ed.gov/cedselementdetails.aspx?termid=26191</v>
      </c>
      <c r="Q609" s="16">
        <v>70688</v>
      </c>
    </row>
    <row r="610" spans="1:17" ht="43.2" x14ac:dyDescent="0.3">
      <c r="A610" s="16" t="s">
        <v>7596</v>
      </c>
      <c r="B610" s="16" t="s">
        <v>8868</v>
      </c>
      <c r="C610" s="16" t="s">
        <v>7655</v>
      </c>
      <c r="D610" s="16" t="s">
        <v>7597</v>
      </c>
      <c r="E610" s="16" t="s">
        <v>3215</v>
      </c>
      <c r="F610" s="16" t="s">
        <v>3216</v>
      </c>
      <c r="G610" s="16" t="s">
        <v>22</v>
      </c>
      <c r="H610" s="16" t="s">
        <v>195</v>
      </c>
      <c r="I610" s="16"/>
      <c r="J610" s="16"/>
      <c r="K610" s="16"/>
      <c r="L610" s="16"/>
      <c r="M610" s="19" t="s">
        <v>3217</v>
      </c>
      <c r="N610" s="16"/>
      <c r="O610" s="16" t="s">
        <v>3218</v>
      </c>
      <c r="P610" s="16" t="str">
        <f>HYPERLINK("https://ceds.ed.gov/cedselementdetails.aspx?termid=26786")</f>
        <v>https://ceds.ed.gov/cedselementdetails.aspx?termid=26786</v>
      </c>
      <c r="Q610" s="16">
        <v>72232</v>
      </c>
    </row>
    <row r="611" spans="1:17" ht="86.4" x14ac:dyDescent="0.3">
      <c r="A611" s="16" t="s">
        <v>7596</v>
      </c>
      <c r="B611" s="16" t="s">
        <v>8868</v>
      </c>
      <c r="C611" s="16" t="s">
        <v>7655</v>
      </c>
      <c r="D611" s="16" t="s">
        <v>7597</v>
      </c>
      <c r="E611" s="16" t="s">
        <v>5217</v>
      </c>
      <c r="F611" s="16" t="s">
        <v>5218</v>
      </c>
      <c r="G611" s="16" t="s">
        <v>8710</v>
      </c>
      <c r="H611" s="16" t="s">
        <v>3502</v>
      </c>
      <c r="I611" s="16"/>
      <c r="J611" s="16"/>
      <c r="K611" s="16"/>
      <c r="L611" s="16"/>
      <c r="M611" s="19" t="s">
        <v>5219</v>
      </c>
      <c r="N611" s="16"/>
      <c r="O611" s="16" t="s">
        <v>5220</v>
      </c>
      <c r="P611" s="16" t="str">
        <f>HYPERLINK("https://ceds.ed.gov/cedselementdetails.aspx?termid=26340")</f>
        <v>https://ceds.ed.gov/cedselementdetails.aspx?termid=26340</v>
      </c>
      <c r="Q611" s="16">
        <v>70696</v>
      </c>
    </row>
    <row r="612" spans="1:17" ht="43.2" x14ac:dyDescent="0.3">
      <c r="A612" s="16" t="s">
        <v>7596</v>
      </c>
      <c r="B612" s="16" t="s">
        <v>8868</v>
      </c>
      <c r="C612" s="16" t="s">
        <v>7655</v>
      </c>
      <c r="D612" s="16" t="s">
        <v>7597</v>
      </c>
      <c r="E612" s="16" t="s">
        <v>3030</v>
      </c>
      <c r="F612" s="16" t="s">
        <v>3031</v>
      </c>
      <c r="G612" s="16" t="s">
        <v>32</v>
      </c>
      <c r="H612" s="16" t="s">
        <v>3025</v>
      </c>
      <c r="I612" s="16"/>
      <c r="J612" s="16" t="s">
        <v>1304</v>
      </c>
      <c r="K612" s="16"/>
      <c r="L612" s="16"/>
      <c r="M612" s="19" t="s">
        <v>3032</v>
      </c>
      <c r="N612" s="16"/>
      <c r="O612" s="16" t="s">
        <v>3033</v>
      </c>
      <c r="P612" s="16" t="str">
        <f>HYPERLINK("https://ceds.ed.gov/cedselementdetails.aspx?termid=26341")</f>
        <v>https://ceds.ed.gov/cedselementdetails.aspx?termid=26341</v>
      </c>
      <c r="Q612" s="16">
        <v>70697</v>
      </c>
    </row>
    <row r="613" spans="1:17" ht="273.60000000000002" x14ac:dyDescent="0.3">
      <c r="A613" s="16" t="s">
        <v>7596</v>
      </c>
      <c r="B613" s="16" t="s">
        <v>8868</v>
      </c>
      <c r="C613" s="16" t="s">
        <v>7655</v>
      </c>
      <c r="D613" s="16" t="s">
        <v>7597</v>
      </c>
      <c r="E613" s="16" t="s">
        <v>3034</v>
      </c>
      <c r="F613" s="16" t="s">
        <v>3035</v>
      </c>
      <c r="G613" s="16" t="s">
        <v>8493</v>
      </c>
      <c r="H613" s="16" t="s">
        <v>3025</v>
      </c>
      <c r="I613" s="16"/>
      <c r="J613" s="16"/>
      <c r="K613" s="16"/>
      <c r="L613" s="16"/>
      <c r="M613" s="19" t="s">
        <v>3036</v>
      </c>
      <c r="N613" s="16"/>
      <c r="O613" s="16" t="s">
        <v>3037</v>
      </c>
      <c r="P613" s="16" t="str">
        <f>HYPERLINK("https://ceds.ed.gov/cedselementdetails.aspx?termid=26342")</f>
        <v>https://ceds.ed.gov/cedselementdetails.aspx?termid=26342</v>
      </c>
      <c r="Q613" s="16">
        <v>70698</v>
      </c>
    </row>
    <row r="614" spans="1:17" ht="43.2" x14ac:dyDescent="0.3">
      <c r="A614" s="16" t="s">
        <v>7596</v>
      </c>
      <c r="B614" s="16" t="s">
        <v>8868</v>
      </c>
      <c r="C614" s="16" t="s">
        <v>7655</v>
      </c>
      <c r="D614" s="16" t="s">
        <v>7597</v>
      </c>
      <c r="E614" s="16" t="s">
        <v>3021</v>
      </c>
      <c r="F614" s="16" t="s">
        <v>3022</v>
      </c>
      <c r="G614" s="16" t="s">
        <v>32</v>
      </c>
      <c r="H614" s="16" t="s">
        <v>3025</v>
      </c>
      <c r="I614" s="16"/>
      <c r="J614" s="16" t="s">
        <v>106</v>
      </c>
      <c r="K614" s="16"/>
      <c r="L614" s="16"/>
      <c r="M614" s="19" t="s">
        <v>3023</v>
      </c>
      <c r="N614" s="16"/>
      <c r="O614" s="16" t="s">
        <v>3024</v>
      </c>
      <c r="P614" s="16" t="str">
        <f>HYPERLINK("https://ceds.ed.gov/cedselementdetails.aspx?termid=26343")</f>
        <v>https://ceds.ed.gov/cedselementdetails.aspx?termid=26343</v>
      </c>
      <c r="Q614" s="16">
        <v>70699</v>
      </c>
    </row>
    <row r="615" spans="1:17" ht="72" x14ac:dyDescent="0.3">
      <c r="A615" s="16" t="s">
        <v>7596</v>
      </c>
      <c r="B615" s="16" t="s">
        <v>8868</v>
      </c>
      <c r="C615" s="16" t="s">
        <v>7655</v>
      </c>
      <c r="D615" s="16" t="s">
        <v>7597</v>
      </c>
      <c r="E615" s="16" t="s">
        <v>7157</v>
      </c>
      <c r="F615" s="16" t="s">
        <v>7158</v>
      </c>
      <c r="G615" s="16" t="s">
        <v>32</v>
      </c>
      <c r="H615" s="16" t="s">
        <v>195</v>
      </c>
      <c r="I615" s="16"/>
      <c r="J615" s="16" t="s">
        <v>1481</v>
      </c>
      <c r="K615" s="16"/>
      <c r="L615" s="16"/>
      <c r="M615" s="19" t="s">
        <v>7159</v>
      </c>
      <c r="N615" s="16"/>
      <c r="O615" s="16" t="s">
        <v>7160</v>
      </c>
      <c r="P615" s="16" t="str">
        <f>HYPERLINK("https://ceds.ed.gov/cedselementdetails.aspx?termid=26787")</f>
        <v>https://ceds.ed.gov/cedselementdetails.aspx?termid=26787</v>
      </c>
      <c r="Q615" s="16">
        <v>72233</v>
      </c>
    </row>
    <row r="616" spans="1:17" ht="57.6" x14ac:dyDescent="0.3">
      <c r="A616" s="16" t="s">
        <v>7596</v>
      </c>
      <c r="B616" s="16" t="s">
        <v>8868</v>
      </c>
      <c r="C616" s="16" t="s">
        <v>7655</v>
      </c>
      <c r="D616" s="16" t="s">
        <v>7597</v>
      </c>
      <c r="E616" s="16" t="s">
        <v>3373</v>
      </c>
      <c r="F616" s="16" t="s">
        <v>3374</v>
      </c>
      <c r="G616" s="16" t="s">
        <v>32</v>
      </c>
      <c r="H616" s="16" t="s">
        <v>195</v>
      </c>
      <c r="I616" s="16"/>
      <c r="J616" s="16" t="s">
        <v>1481</v>
      </c>
      <c r="K616" s="16"/>
      <c r="L616" s="16"/>
      <c r="M616" s="19" t="s">
        <v>3375</v>
      </c>
      <c r="N616" s="16"/>
      <c r="O616" s="16" t="s">
        <v>3376</v>
      </c>
      <c r="P616" s="16" t="str">
        <f>HYPERLINK("https://ceds.ed.gov/cedselementdetails.aspx?termid=26791")</f>
        <v>https://ceds.ed.gov/cedselementdetails.aspx?termid=26791</v>
      </c>
      <c r="Q616" s="16">
        <v>72235</v>
      </c>
    </row>
    <row r="617" spans="1:17" ht="57.6" x14ac:dyDescent="0.3">
      <c r="A617" s="16" t="s">
        <v>7596</v>
      </c>
      <c r="B617" s="16" t="s">
        <v>8868</v>
      </c>
      <c r="C617" s="16" t="s">
        <v>7655</v>
      </c>
      <c r="D617" s="16" t="s">
        <v>7597</v>
      </c>
      <c r="E617" s="16" t="s">
        <v>5547</v>
      </c>
      <c r="F617" s="16" t="s">
        <v>5548</v>
      </c>
      <c r="G617" s="16" t="s">
        <v>32</v>
      </c>
      <c r="H617" s="16" t="s">
        <v>195</v>
      </c>
      <c r="I617" s="16"/>
      <c r="J617" s="16" t="s">
        <v>1481</v>
      </c>
      <c r="K617" s="16"/>
      <c r="L617" s="16"/>
      <c r="M617" s="19" t="s">
        <v>5549</v>
      </c>
      <c r="N617" s="16"/>
      <c r="O617" s="16" t="s">
        <v>5550</v>
      </c>
      <c r="P617" s="16" t="str">
        <f>HYPERLINK("https://ceds.ed.gov/cedselementdetails.aspx?termid=26815")</f>
        <v>https://ceds.ed.gov/cedselementdetails.aspx?termid=26815</v>
      </c>
      <c r="Q617" s="16">
        <v>72263</v>
      </c>
    </row>
    <row r="618" spans="1:17" ht="72" x14ac:dyDescent="0.3">
      <c r="A618" s="16" t="s">
        <v>7596</v>
      </c>
      <c r="B618" s="16" t="s">
        <v>8868</v>
      </c>
      <c r="C618" s="16" t="s">
        <v>7655</v>
      </c>
      <c r="D618" s="16" t="s">
        <v>7597</v>
      </c>
      <c r="E618" s="16" t="s">
        <v>6777</v>
      </c>
      <c r="F618" s="16" t="s">
        <v>6778</v>
      </c>
      <c r="G618" s="16" t="s">
        <v>32</v>
      </c>
      <c r="H618" s="16" t="s">
        <v>195</v>
      </c>
      <c r="I618" s="16"/>
      <c r="J618" s="16" t="s">
        <v>106</v>
      </c>
      <c r="K618" s="16"/>
      <c r="L618" s="16"/>
      <c r="M618" s="19" t="s">
        <v>6779</v>
      </c>
      <c r="N618" s="16"/>
      <c r="O618" s="16" t="s">
        <v>6780</v>
      </c>
      <c r="P618" s="16" t="str">
        <f>HYPERLINK("https://ceds.ed.gov/cedselementdetails.aspx?termid=26792")</f>
        <v>https://ceds.ed.gov/cedselementdetails.aspx?termid=26792</v>
      </c>
      <c r="Q618" s="16">
        <v>72236</v>
      </c>
    </row>
    <row r="619" spans="1:17" ht="72" x14ac:dyDescent="0.3">
      <c r="A619" s="16" t="s">
        <v>7596</v>
      </c>
      <c r="B619" s="16" t="s">
        <v>8868</v>
      </c>
      <c r="C619" s="16" t="s">
        <v>7655</v>
      </c>
      <c r="D619" s="16" t="s">
        <v>7597</v>
      </c>
      <c r="E619" s="16" t="s">
        <v>6781</v>
      </c>
      <c r="F619" s="16" t="s">
        <v>6782</v>
      </c>
      <c r="G619" s="16" t="s">
        <v>32</v>
      </c>
      <c r="H619" s="16" t="s">
        <v>195</v>
      </c>
      <c r="I619" s="16"/>
      <c r="J619" s="16" t="s">
        <v>106</v>
      </c>
      <c r="K619" s="16"/>
      <c r="L619" s="16"/>
      <c r="M619" s="19" t="s">
        <v>6783</v>
      </c>
      <c r="N619" s="16"/>
      <c r="O619" s="16" t="s">
        <v>6784</v>
      </c>
      <c r="P619" s="16" t="str">
        <f>HYPERLINK("https://ceds.ed.gov/cedselementdetails.aspx?termid=26793")</f>
        <v>https://ceds.ed.gov/cedselementdetails.aspx?termid=26793</v>
      </c>
      <c r="Q619" s="16">
        <v>72237</v>
      </c>
    </row>
    <row r="620" spans="1:17" ht="409.6" x14ac:dyDescent="0.3">
      <c r="A620" s="16" t="s">
        <v>7596</v>
      </c>
      <c r="B620" s="16" t="s">
        <v>8868</v>
      </c>
      <c r="C620" s="16" t="s">
        <v>7655</v>
      </c>
      <c r="D620" s="16" t="s">
        <v>7597</v>
      </c>
      <c r="E620" s="16" t="s">
        <v>4268</v>
      </c>
      <c r="F620" s="16" t="s">
        <v>4269</v>
      </c>
      <c r="G620" s="16" t="s">
        <v>8445</v>
      </c>
      <c r="H620" s="16" t="s">
        <v>4272</v>
      </c>
      <c r="I620" s="16"/>
      <c r="J620" s="16"/>
      <c r="K620" s="16"/>
      <c r="L620" s="16"/>
      <c r="M620" s="19" t="s">
        <v>4270</v>
      </c>
      <c r="N620" s="16"/>
      <c r="O620" s="16" t="s">
        <v>4271</v>
      </c>
      <c r="P620" s="16" t="str">
        <f>HYPERLINK("https://ceds.ed.gov/cedselementdetails.aspx?termid=26141")</f>
        <v>https://ceds.ed.gov/cedselementdetails.aspx?termid=26141</v>
      </c>
      <c r="Q620" s="16">
        <v>72238</v>
      </c>
    </row>
    <row r="621" spans="1:17" ht="86.4" x14ac:dyDescent="0.3">
      <c r="A621" s="16" t="s">
        <v>7596</v>
      </c>
      <c r="B621" s="16" t="s">
        <v>8868</v>
      </c>
      <c r="C621" s="16" t="s">
        <v>7655</v>
      </c>
      <c r="D621" s="16" t="s">
        <v>7597</v>
      </c>
      <c r="E621" s="16" t="s">
        <v>8142</v>
      </c>
      <c r="F621" s="16" t="s">
        <v>8143</v>
      </c>
      <c r="G621" s="16" t="s">
        <v>32</v>
      </c>
      <c r="H621" s="16"/>
      <c r="I621" s="16"/>
      <c r="J621" s="16" t="s">
        <v>81</v>
      </c>
      <c r="K621" s="16"/>
      <c r="L621" s="16" t="s">
        <v>6671</v>
      </c>
      <c r="M621" s="19" t="s">
        <v>6672</v>
      </c>
      <c r="N621" s="16"/>
      <c r="O621" s="16" t="s">
        <v>8144</v>
      </c>
      <c r="P621" s="16" t="str">
        <f>HYPERLINK("https://ceds.ed.gov/cedselementdetails.aspx?termid=27459")</f>
        <v>https://ceds.ed.gov/cedselementdetails.aspx?termid=27459</v>
      </c>
      <c r="Q621" s="16">
        <v>73420</v>
      </c>
    </row>
    <row r="622" spans="1:17" ht="100.8" x14ac:dyDescent="0.3">
      <c r="A622" s="16" t="s">
        <v>7596</v>
      </c>
      <c r="B622" s="16" t="s">
        <v>8868</v>
      </c>
      <c r="C622" s="16" t="s">
        <v>7655</v>
      </c>
      <c r="D622" s="16" t="s">
        <v>7597</v>
      </c>
      <c r="E622" s="16" t="s">
        <v>4264</v>
      </c>
      <c r="F622" s="16" t="s">
        <v>4265</v>
      </c>
      <c r="G622" s="16" t="s">
        <v>8621</v>
      </c>
      <c r="H622" s="16" t="s">
        <v>195</v>
      </c>
      <c r="I622" s="16"/>
      <c r="J622" s="16"/>
      <c r="K622" s="16"/>
      <c r="L622" s="16"/>
      <c r="M622" s="19" t="s">
        <v>4266</v>
      </c>
      <c r="N622" s="16"/>
      <c r="O622" s="16" t="s">
        <v>4267</v>
      </c>
      <c r="P622" s="16" t="str">
        <f>HYPERLINK("https://ceds.ed.gov/cedselementdetails.aspx?termid=26817")</f>
        <v>https://ceds.ed.gov/cedselementdetails.aspx?termid=26817</v>
      </c>
      <c r="Q622" s="16">
        <v>72265</v>
      </c>
    </row>
    <row r="623" spans="1:17" ht="86.4" x14ac:dyDescent="0.3">
      <c r="A623" s="16" t="s">
        <v>7596</v>
      </c>
      <c r="B623" s="16" t="s">
        <v>8868</v>
      </c>
      <c r="C623" s="16" t="s">
        <v>7655</v>
      </c>
      <c r="D623" s="16" t="s">
        <v>7597</v>
      </c>
      <c r="E623" s="16" t="s">
        <v>3398</v>
      </c>
      <c r="F623" s="16" t="s">
        <v>3399</v>
      </c>
      <c r="G623" s="16" t="s">
        <v>8545</v>
      </c>
      <c r="H623" s="16"/>
      <c r="I623" s="16"/>
      <c r="J623" s="16"/>
      <c r="K623" s="16"/>
      <c r="L623" s="16"/>
      <c r="M623" s="19" t="s">
        <v>3400</v>
      </c>
      <c r="N623" s="16"/>
      <c r="O623" s="16" t="s">
        <v>3401</v>
      </c>
      <c r="P623" s="16" t="str">
        <f>HYPERLINK("https://ceds.ed.gov/cedselementdetails.aspx?termid=27586")</f>
        <v>https://ceds.ed.gov/cedselementdetails.aspx?termid=27586</v>
      </c>
      <c r="Q623" s="16">
        <v>74077</v>
      </c>
    </row>
    <row r="624" spans="1:17" ht="172.8" x14ac:dyDescent="0.3">
      <c r="A624" s="16" t="s">
        <v>7596</v>
      </c>
      <c r="B624" s="16" t="s">
        <v>8868</v>
      </c>
      <c r="C624" s="16" t="s">
        <v>7658</v>
      </c>
      <c r="D624" s="16" t="s">
        <v>7597</v>
      </c>
      <c r="E624" s="16" t="s">
        <v>3503</v>
      </c>
      <c r="F624" s="16" t="s">
        <v>282</v>
      </c>
      <c r="G624" s="16" t="s">
        <v>8555</v>
      </c>
      <c r="H624" s="16" t="s">
        <v>3025</v>
      </c>
      <c r="I624" s="16"/>
      <c r="J624" s="16"/>
      <c r="K624" s="16"/>
      <c r="L624" s="16"/>
      <c r="M624" s="19" t="s">
        <v>3504</v>
      </c>
      <c r="N624" s="16"/>
      <c r="O624" s="16" t="s">
        <v>3505</v>
      </c>
      <c r="P624" s="16" t="str">
        <f>HYPERLINK("https://ceds.ed.gov/cedselementdetails.aspx?termid=26346")</f>
        <v>https://ceds.ed.gov/cedselementdetails.aspx?termid=26346</v>
      </c>
      <c r="Q624" s="16">
        <v>70702</v>
      </c>
    </row>
    <row r="625" spans="1:17" ht="158.4" x14ac:dyDescent="0.3">
      <c r="A625" s="16" t="s">
        <v>7596</v>
      </c>
      <c r="B625" s="16" t="s">
        <v>8868</v>
      </c>
      <c r="C625" s="16" t="s">
        <v>7658</v>
      </c>
      <c r="D625" s="16" t="s">
        <v>7597</v>
      </c>
      <c r="E625" s="16" t="s">
        <v>4278</v>
      </c>
      <c r="F625" s="16" t="s">
        <v>4279</v>
      </c>
      <c r="G625" s="16" t="s">
        <v>32</v>
      </c>
      <c r="H625" s="16" t="s">
        <v>4282</v>
      </c>
      <c r="I625" s="16"/>
      <c r="J625" s="16" t="s">
        <v>106</v>
      </c>
      <c r="K625" s="16"/>
      <c r="L625" s="16" t="s">
        <v>8057</v>
      </c>
      <c r="M625" s="19" t="s">
        <v>4280</v>
      </c>
      <c r="N625" s="16"/>
      <c r="O625" s="16" t="s">
        <v>4281</v>
      </c>
      <c r="P625" s="16" t="str">
        <f>HYPERLINK("https://ceds.ed.gov/cedselementdetails.aspx?termid=26143")</f>
        <v>https://ceds.ed.gov/cedselementdetails.aspx?termid=26143</v>
      </c>
      <c r="Q625" s="16">
        <v>70684</v>
      </c>
    </row>
    <row r="626" spans="1:17" ht="57.6" x14ac:dyDescent="0.3">
      <c r="A626" s="16" t="s">
        <v>7596</v>
      </c>
      <c r="B626" s="16" t="s">
        <v>8868</v>
      </c>
      <c r="C626" s="16" t="s">
        <v>7658</v>
      </c>
      <c r="D626" s="16" t="s">
        <v>7597</v>
      </c>
      <c r="E626" s="16" t="s">
        <v>3498</v>
      </c>
      <c r="F626" s="16" t="s">
        <v>3499</v>
      </c>
      <c r="G626" s="16" t="s">
        <v>32</v>
      </c>
      <c r="H626" s="16" t="s">
        <v>3502</v>
      </c>
      <c r="I626" s="16"/>
      <c r="J626" s="16" t="s">
        <v>106</v>
      </c>
      <c r="K626" s="16"/>
      <c r="L626" s="16"/>
      <c r="M626" s="19" t="s">
        <v>3500</v>
      </c>
      <c r="N626" s="16"/>
      <c r="O626" s="16" t="s">
        <v>3501</v>
      </c>
      <c r="P626" s="16" t="str">
        <f>HYPERLINK("https://ceds.ed.gov/cedselementdetails.aspx?termid=26345")</f>
        <v>https://ceds.ed.gov/cedselementdetails.aspx?termid=26345</v>
      </c>
      <c r="Q626" s="16">
        <v>70701</v>
      </c>
    </row>
    <row r="627" spans="1:17" ht="57.6" x14ac:dyDescent="0.3">
      <c r="A627" s="16" t="s">
        <v>7596</v>
      </c>
      <c r="B627" s="16" t="s">
        <v>8868</v>
      </c>
      <c r="C627" s="16" t="s">
        <v>7658</v>
      </c>
      <c r="D627" s="16" t="s">
        <v>7597</v>
      </c>
      <c r="E627" s="16" t="s">
        <v>3462</v>
      </c>
      <c r="F627" s="16" t="s">
        <v>3463</v>
      </c>
      <c r="G627" s="16" t="s">
        <v>32</v>
      </c>
      <c r="H627" s="16" t="s">
        <v>195</v>
      </c>
      <c r="I627" s="16"/>
      <c r="J627" s="16" t="s">
        <v>106</v>
      </c>
      <c r="K627" s="16"/>
      <c r="L627" s="16" t="s">
        <v>131</v>
      </c>
      <c r="M627" s="19" t="s">
        <v>3464</v>
      </c>
      <c r="N627" s="16"/>
      <c r="O627" s="16" t="s">
        <v>3465</v>
      </c>
      <c r="P627" s="16" t="str">
        <f>HYPERLINK("https://ceds.ed.gov/cedselementdetails.aspx?termid=26794")</f>
        <v>https://ceds.ed.gov/cedselementdetails.aspx?termid=26794</v>
      </c>
      <c r="Q627" s="16">
        <v>72240</v>
      </c>
    </row>
    <row r="628" spans="1:17" ht="345.6" x14ac:dyDescent="0.3">
      <c r="A628" s="16" t="s">
        <v>7596</v>
      </c>
      <c r="B628" s="16" t="s">
        <v>8868</v>
      </c>
      <c r="C628" s="16" t="s">
        <v>7658</v>
      </c>
      <c r="D628" s="16" t="s">
        <v>7597</v>
      </c>
      <c r="E628" s="16" t="s">
        <v>3266</v>
      </c>
      <c r="F628" s="16"/>
      <c r="G628" s="16" t="s">
        <v>8523</v>
      </c>
      <c r="H628" s="16"/>
      <c r="I628" s="16" t="s">
        <v>160</v>
      </c>
      <c r="J628" s="16"/>
      <c r="K628" s="16" t="s">
        <v>12941</v>
      </c>
      <c r="L628" s="16"/>
      <c r="M628" s="19" t="s">
        <v>3268</v>
      </c>
      <c r="N628" s="16"/>
      <c r="O628" s="16"/>
      <c r="P628" s="16" t="str">
        <f>HYPERLINK("https://ceds.ed.gov/cedselementdetails.aspx?termid=27613")</f>
        <v>https://ceds.ed.gov/cedselementdetails.aspx?termid=27613</v>
      </c>
      <c r="Q628" s="16">
        <v>74121</v>
      </c>
    </row>
    <row r="629" spans="1:17" ht="409.6" x14ac:dyDescent="0.3">
      <c r="A629" s="16" t="s">
        <v>7596</v>
      </c>
      <c r="B629" s="16" t="s">
        <v>8868</v>
      </c>
      <c r="C629" s="16" t="s">
        <v>7658</v>
      </c>
      <c r="D629" s="16" t="s">
        <v>7597</v>
      </c>
      <c r="E629" s="16" t="s">
        <v>3491</v>
      </c>
      <c r="F629" s="16" t="s">
        <v>3267</v>
      </c>
      <c r="G629" s="16" t="s">
        <v>8552</v>
      </c>
      <c r="H629" s="16"/>
      <c r="I629" s="16"/>
      <c r="J629" s="16"/>
      <c r="K629" s="16"/>
      <c r="L629" s="16"/>
      <c r="M629" s="19" t="s">
        <v>3492</v>
      </c>
      <c r="N629" s="16"/>
      <c r="O629" s="16" t="s">
        <v>3493</v>
      </c>
      <c r="P629" s="16" t="str">
        <f>HYPERLINK("https://ceds.ed.gov/cedselementdetails.aspx?termid=26613")</f>
        <v>https://ceds.ed.gov/cedselementdetails.aspx?termid=26613</v>
      </c>
      <c r="Q629" s="16">
        <v>74134</v>
      </c>
    </row>
    <row r="630" spans="1:17" ht="72" x14ac:dyDescent="0.3">
      <c r="A630" s="16" t="s">
        <v>7596</v>
      </c>
      <c r="B630" s="16" t="s">
        <v>8868</v>
      </c>
      <c r="C630" s="16" t="s">
        <v>7658</v>
      </c>
      <c r="D630" s="16" t="s">
        <v>7597</v>
      </c>
      <c r="E630" s="16" t="s">
        <v>3494</v>
      </c>
      <c r="F630" s="16" t="s">
        <v>3495</v>
      </c>
      <c r="G630" s="16" t="s">
        <v>8553</v>
      </c>
      <c r="H630" s="16"/>
      <c r="I630" s="16"/>
      <c r="J630" s="16"/>
      <c r="K630" s="16"/>
      <c r="L630" s="16"/>
      <c r="M630" s="19" t="s">
        <v>3496</v>
      </c>
      <c r="N630" s="16"/>
      <c r="O630" s="16" t="s">
        <v>3497</v>
      </c>
      <c r="P630" s="16" t="str">
        <f>HYPERLINK("https://ceds.ed.gov/cedselementdetails.aspx?termid=26614")</f>
        <v>https://ceds.ed.gov/cedselementdetails.aspx?termid=26614</v>
      </c>
      <c r="Q630" s="16">
        <v>74120</v>
      </c>
    </row>
    <row r="631" spans="1:17" x14ac:dyDescent="0.3">
      <c r="A631" s="16" t="s">
        <v>7596</v>
      </c>
      <c r="B631" s="16" t="s">
        <v>8868</v>
      </c>
      <c r="C631" s="16" t="s">
        <v>7658</v>
      </c>
      <c r="D631" s="16" t="s">
        <v>7597</v>
      </c>
      <c r="E631" s="16" t="s">
        <v>7266</v>
      </c>
      <c r="F631" s="16" t="s">
        <v>7267</v>
      </c>
      <c r="G631" s="16" t="s">
        <v>32</v>
      </c>
      <c r="H631" s="16"/>
      <c r="I631" s="16"/>
      <c r="J631" s="16" t="s">
        <v>1662</v>
      </c>
      <c r="K631" s="16"/>
      <c r="L631" s="16"/>
      <c r="M631" s="19" t="s">
        <v>7268</v>
      </c>
      <c r="N631" s="16"/>
      <c r="O631" s="16" t="s">
        <v>7269</v>
      </c>
      <c r="P631" s="16" t="str">
        <f>HYPERLINK("https://ceds.ed.gov/cedselementdetails.aspx?termid=27470")</f>
        <v>https://ceds.ed.gov/cedselementdetails.aspx?termid=27470</v>
      </c>
      <c r="Q631" s="16">
        <v>73452</v>
      </c>
    </row>
    <row r="632" spans="1:17" ht="28.8" x14ac:dyDescent="0.3">
      <c r="A632" s="16" t="s">
        <v>7596</v>
      </c>
      <c r="B632" s="16" t="s">
        <v>8868</v>
      </c>
      <c r="C632" s="16" t="s">
        <v>7658</v>
      </c>
      <c r="D632" s="16" t="s">
        <v>7597</v>
      </c>
      <c r="E632" s="16" t="s">
        <v>4315</v>
      </c>
      <c r="F632" s="16" t="s">
        <v>4316</v>
      </c>
      <c r="G632" s="16" t="s">
        <v>32</v>
      </c>
      <c r="H632" s="16" t="s">
        <v>195</v>
      </c>
      <c r="I632" s="16"/>
      <c r="J632" s="16" t="s">
        <v>1481</v>
      </c>
      <c r="K632" s="16"/>
      <c r="L632" s="16"/>
      <c r="M632" s="19" t="s">
        <v>4317</v>
      </c>
      <c r="N632" s="16"/>
      <c r="O632" s="16" t="s">
        <v>4318</v>
      </c>
      <c r="P632" s="16" t="str">
        <f>HYPERLINK("https://ceds.ed.gov/cedselementdetails.aspx?termid=26795")</f>
        <v>https://ceds.ed.gov/cedselementdetails.aspx?termid=26795</v>
      </c>
      <c r="Q632" s="16">
        <v>72241</v>
      </c>
    </row>
    <row r="633" spans="1:17" ht="28.8" x14ac:dyDescent="0.3">
      <c r="A633" s="16" t="s">
        <v>7596</v>
      </c>
      <c r="B633" s="16" t="s">
        <v>8868</v>
      </c>
      <c r="C633" s="16" t="s">
        <v>7658</v>
      </c>
      <c r="D633" s="16" t="s">
        <v>7597</v>
      </c>
      <c r="E633" s="16" t="s">
        <v>4307</v>
      </c>
      <c r="F633" s="16" t="s">
        <v>4308</v>
      </c>
      <c r="G633" s="16" t="s">
        <v>32</v>
      </c>
      <c r="H633" s="16" t="s">
        <v>195</v>
      </c>
      <c r="I633" s="16"/>
      <c r="J633" s="16" t="s">
        <v>1481</v>
      </c>
      <c r="K633" s="16"/>
      <c r="L633" s="16"/>
      <c r="M633" s="19" t="s">
        <v>4309</v>
      </c>
      <c r="N633" s="16"/>
      <c r="O633" s="16" t="s">
        <v>4310</v>
      </c>
      <c r="P633" s="16" t="str">
        <f>HYPERLINK("https://ceds.ed.gov/cedselementdetails.aspx?termid=26796")</f>
        <v>https://ceds.ed.gov/cedselementdetails.aspx?termid=26796</v>
      </c>
      <c r="Q633" s="16">
        <v>72242</v>
      </c>
    </row>
    <row r="634" spans="1:17" ht="86.4" x14ac:dyDescent="0.3">
      <c r="A634" s="16" t="s">
        <v>7596</v>
      </c>
      <c r="B634" s="16" t="s">
        <v>8868</v>
      </c>
      <c r="C634" s="16" t="s">
        <v>7658</v>
      </c>
      <c r="D634" s="16" t="s">
        <v>7597</v>
      </c>
      <c r="E634" s="16" t="s">
        <v>7245</v>
      </c>
      <c r="F634" s="16" t="s">
        <v>7246</v>
      </c>
      <c r="G634" s="16" t="s">
        <v>8863</v>
      </c>
      <c r="H634" s="16" t="s">
        <v>195</v>
      </c>
      <c r="I634" s="16"/>
      <c r="J634" s="16"/>
      <c r="K634" s="16"/>
      <c r="L634" s="16"/>
      <c r="M634" s="19" t="s">
        <v>7247</v>
      </c>
      <c r="N634" s="16"/>
      <c r="O634" s="16" t="s">
        <v>7248</v>
      </c>
      <c r="P634" s="16" t="str">
        <f>HYPERLINK("https://ceds.ed.gov/cedselementdetails.aspx?termid=26797")</f>
        <v>https://ceds.ed.gov/cedselementdetails.aspx?termid=26797</v>
      </c>
      <c r="Q634" s="16">
        <v>72266</v>
      </c>
    </row>
    <row r="635" spans="1:17" ht="57.6" x14ac:dyDescent="0.3">
      <c r="A635" s="16" t="s">
        <v>7596</v>
      </c>
      <c r="B635" s="16" t="s">
        <v>8868</v>
      </c>
      <c r="C635" s="16" t="s">
        <v>7658</v>
      </c>
      <c r="D635" s="16" t="s">
        <v>7597</v>
      </c>
      <c r="E635" s="16" t="s">
        <v>7249</v>
      </c>
      <c r="F635" s="16" t="s">
        <v>7250</v>
      </c>
      <c r="G635" s="16" t="s">
        <v>8864</v>
      </c>
      <c r="H635" s="16" t="s">
        <v>195</v>
      </c>
      <c r="I635" s="16"/>
      <c r="J635" s="16"/>
      <c r="K635" s="16"/>
      <c r="L635" s="16"/>
      <c r="M635" s="19" t="s">
        <v>7251</v>
      </c>
      <c r="N635" s="16"/>
      <c r="O635" s="16" t="s">
        <v>7252</v>
      </c>
      <c r="P635" s="16" t="str">
        <f>HYPERLINK("https://ceds.ed.gov/cedselementdetails.aspx?termid=26818")</f>
        <v>https://ceds.ed.gov/cedselementdetails.aspx?termid=26818</v>
      </c>
      <c r="Q635" s="16">
        <v>72267</v>
      </c>
    </row>
    <row r="636" spans="1:17" ht="201.6" x14ac:dyDescent="0.3">
      <c r="A636" s="16" t="s">
        <v>7596</v>
      </c>
      <c r="B636" s="16" t="s">
        <v>8868</v>
      </c>
      <c r="C636" s="16" t="s">
        <v>7658</v>
      </c>
      <c r="D636" s="16" t="s">
        <v>7597</v>
      </c>
      <c r="E636" s="16" t="s">
        <v>6754</v>
      </c>
      <c r="F636" s="16" t="s">
        <v>6755</v>
      </c>
      <c r="G636" s="16" t="s">
        <v>32</v>
      </c>
      <c r="H636" s="16" t="s">
        <v>2450</v>
      </c>
      <c r="I636" s="16"/>
      <c r="J636" s="16" t="s">
        <v>1481</v>
      </c>
      <c r="K636" s="16"/>
      <c r="L636" s="16" t="s">
        <v>8152</v>
      </c>
      <c r="M636" s="19" t="s">
        <v>6756</v>
      </c>
      <c r="N636" s="16"/>
      <c r="O636" s="16" t="s">
        <v>6757</v>
      </c>
      <c r="P636" s="16" t="str">
        <f>HYPERLINK("https://ceds.ed.gov/cedselementdetails.aspx?termid=26032")</f>
        <v>https://ceds.ed.gov/cedselementdetails.aspx?termid=26032</v>
      </c>
      <c r="Q636" s="16">
        <v>73428</v>
      </c>
    </row>
    <row r="637" spans="1:17" ht="57.6" x14ac:dyDescent="0.3">
      <c r="A637" s="16" t="s">
        <v>7596</v>
      </c>
      <c r="B637" s="16" t="s">
        <v>8868</v>
      </c>
      <c r="C637" s="16" t="s">
        <v>7658</v>
      </c>
      <c r="D637" s="16" t="s">
        <v>7597</v>
      </c>
      <c r="E637" s="16" t="s">
        <v>6774</v>
      </c>
      <c r="F637" s="16" t="s">
        <v>8153</v>
      </c>
      <c r="G637" s="16" t="s">
        <v>32</v>
      </c>
      <c r="H637" s="16" t="s">
        <v>2450</v>
      </c>
      <c r="I637" s="16"/>
      <c r="J637" s="16" t="s">
        <v>1481</v>
      </c>
      <c r="K637" s="16"/>
      <c r="L637" s="16"/>
      <c r="M637" s="19" t="s">
        <v>6775</v>
      </c>
      <c r="N637" s="16"/>
      <c r="O637" s="16" t="s">
        <v>6776</v>
      </c>
      <c r="P637" s="16" t="str">
        <f>HYPERLINK("https://ceds.ed.gov/cedselementdetails.aspx?termid=26295")</f>
        <v>https://ceds.ed.gov/cedselementdetails.aspx?termid=26295</v>
      </c>
      <c r="Q637" s="16">
        <v>73998</v>
      </c>
    </row>
    <row r="638" spans="1:17" ht="115.2" x14ac:dyDescent="0.3">
      <c r="A638" s="16" t="s">
        <v>7596</v>
      </c>
      <c r="B638" s="16" t="s">
        <v>8868</v>
      </c>
      <c r="C638" s="16" t="s">
        <v>7658</v>
      </c>
      <c r="D638" s="16" t="s">
        <v>7597</v>
      </c>
      <c r="E638" s="16" t="s">
        <v>6758</v>
      </c>
      <c r="F638" s="16" t="s">
        <v>6759</v>
      </c>
      <c r="G638" s="16" t="s">
        <v>32</v>
      </c>
      <c r="H638" s="16" t="s">
        <v>2450</v>
      </c>
      <c r="I638" s="16"/>
      <c r="J638" s="16" t="s">
        <v>1481</v>
      </c>
      <c r="K638" s="16"/>
      <c r="L638" s="16"/>
      <c r="M638" s="19" t="s">
        <v>6760</v>
      </c>
      <c r="N638" s="16"/>
      <c r="O638" s="16" t="s">
        <v>6761</v>
      </c>
      <c r="P638" s="16" t="str">
        <f>HYPERLINK("https://ceds.ed.gov/cedselementdetails.aspx?termid=26136")</f>
        <v>https://ceds.ed.gov/cedselementdetails.aspx?termid=26136</v>
      </c>
      <c r="Q638" s="16">
        <v>73973</v>
      </c>
    </row>
    <row r="639" spans="1:17" ht="115.2" x14ac:dyDescent="0.3">
      <c r="A639" s="16" t="s">
        <v>7596</v>
      </c>
      <c r="B639" s="16" t="s">
        <v>8868</v>
      </c>
      <c r="C639" s="16" t="s">
        <v>7658</v>
      </c>
      <c r="D639" s="16" t="s">
        <v>7597</v>
      </c>
      <c r="E639" s="16" t="s">
        <v>6766</v>
      </c>
      <c r="F639" s="16" t="s">
        <v>6767</v>
      </c>
      <c r="G639" s="16" t="s">
        <v>32</v>
      </c>
      <c r="H639" s="16" t="s">
        <v>2450</v>
      </c>
      <c r="I639" s="16"/>
      <c r="J639" s="16" t="s">
        <v>1481</v>
      </c>
      <c r="K639" s="16"/>
      <c r="L639" s="16"/>
      <c r="M639" s="19" t="s">
        <v>6768</v>
      </c>
      <c r="N639" s="16"/>
      <c r="O639" s="16" t="s">
        <v>6769</v>
      </c>
      <c r="P639" s="16" t="str">
        <f>HYPERLINK("https://ceds.ed.gov/cedselementdetails.aspx?termid=26233")</f>
        <v>https://ceds.ed.gov/cedselementdetails.aspx?termid=26233</v>
      </c>
      <c r="Q639" s="16">
        <v>73991</v>
      </c>
    </row>
    <row r="640" spans="1:17" ht="129.6" x14ac:dyDescent="0.3">
      <c r="A640" s="16" t="s">
        <v>7596</v>
      </c>
      <c r="B640" s="16" t="s">
        <v>8868</v>
      </c>
      <c r="C640" s="16" t="s">
        <v>7658</v>
      </c>
      <c r="D640" s="16" t="s">
        <v>7597</v>
      </c>
      <c r="E640" s="16" t="s">
        <v>6762</v>
      </c>
      <c r="F640" s="16" t="s">
        <v>6763</v>
      </c>
      <c r="G640" s="16" t="s">
        <v>32</v>
      </c>
      <c r="H640" s="16" t="s">
        <v>2450</v>
      </c>
      <c r="I640" s="16"/>
      <c r="J640" s="16" t="s">
        <v>1481</v>
      </c>
      <c r="K640" s="16"/>
      <c r="L640" s="16"/>
      <c r="M640" s="19" t="s">
        <v>6764</v>
      </c>
      <c r="N640" s="16"/>
      <c r="O640" s="16" t="s">
        <v>6765</v>
      </c>
      <c r="P640" s="16" t="str">
        <f>HYPERLINK("https://ceds.ed.gov/cedselementdetails.aspx?termid=26205")</f>
        <v>https://ceds.ed.gov/cedselementdetails.aspx?termid=26205</v>
      </c>
      <c r="Q640" s="16">
        <v>73985</v>
      </c>
    </row>
    <row r="641" spans="1:17" ht="144" x14ac:dyDescent="0.3">
      <c r="A641" s="16" t="s">
        <v>7596</v>
      </c>
      <c r="B641" s="16" t="s">
        <v>8868</v>
      </c>
      <c r="C641" s="16" t="s">
        <v>7658</v>
      </c>
      <c r="D641" s="16" t="s">
        <v>7597</v>
      </c>
      <c r="E641" s="16" t="s">
        <v>6770</v>
      </c>
      <c r="F641" s="16" t="s">
        <v>6771</v>
      </c>
      <c r="G641" s="16" t="s">
        <v>32</v>
      </c>
      <c r="H641" s="16" t="s">
        <v>2450</v>
      </c>
      <c r="I641" s="16"/>
      <c r="J641" s="16" t="s">
        <v>1481</v>
      </c>
      <c r="K641" s="16"/>
      <c r="L641" s="16"/>
      <c r="M641" s="19" t="s">
        <v>6772</v>
      </c>
      <c r="N641" s="16"/>
      <c r="O641" s="16" t="s">
        <v>6773</v>
      </c>
      <c r="P641" s="16" t="str">
        <f>HYPERLINK("https://ceds.ed.gov/cedselementdetails.aspx?termid=26293")</f>
        <v>https://ceds.ed.gov/cedselementdetails.aspx?termid=26293</v>
      </c>
      <c r="Q641" s="16">
        <v>73997</v>
      </c>
    </row>
    <row r="642" spans="1:17" ht="43.2" x14ac:dyDescent="0.3">
      <c r="A642" s="16" t="s">
        <v>7596</v>
      </c>
      <c r="B642" s="16" t="s">
        <v>8868</v>
      </c>
      <c r="C642" s="16" t="s">
        <v>7658</v>
      </c>
      <c r="D642" s="16" t="s">
        <v>7597</v>
      </c>
      <c r="E642" s="16" t="s">
        <v>5598</v>
      </c>
      <c r="F642" s="16" t="s">
        <v>5599</v>
      </c>
      <c r="G642" s="16" t="s">
        <v>32</v>
      </c>
      <c r="H642" s="16" t="s">
        <v>195</v>
      </c>
      <c r="I642" s="16"/>
      <c r="J642" s="16" t="s">
        <v>145</v>
      </c>
      <c r="K642" s="16"/>
      <c r="L642" s="16"/>
      <c r="M642" s="19" t="s">
        <v>5600</v>
      </c>
      <c r="N642" s="16"/>
      <c r="O642" s="16" t="s">
        <v>5601</v>
      </c>
      <c r="P642" s="16" t="str">
        <f>HYPERLINK("https://ceds.ed.gov/cedselementdetails.aspx?termid=26204")</f>
        <v>https://ceds.ed.gov/cedselementdetails.aspx?termid=26204</v>
      </c>
      <c r="Q642" s="16">
        <v>72243</v>
      </c>
    </row>
    <row r="643" spans="1:17" ht="43.2" x14ac:dyDescent="0.3">
      <c r="A643" s="16" t="s">
        <v>7596</v>
      </c>
      <c r="B643" s="16" t="s">
        <v>8868</v>
      </c>
      <c r="C643" s="16" t="s">
        <v>7658</v>
      </c>
      <c r="D643" s="16" t="s">
        <v>7597</v>
      </c>
      <c r="E643" s="16" t="s">
        <v>7218</v>
      </c>
      <c r="F643" s="16" t="s">
        <v>7219</v>
      </c>
      <c r="G643" s="16" t="s">
        <v>22</v>
      </c>
      <c r="H643" s="16" t="s">
        <v>195</v>
      </c>
      <c r="I643" s="16"/>
      <c r="J643" s="16"/>
      <c r="K643" s="16"/>
      <c r="L643" s="16"/>
      <c r="M643" s="19" t="s">
        <v>7220</v>
      </c>
      <c r="N643" s="16"/>
      <c r="O643" s="16" t="s">
        <v>7221</v>
      </c>
      <c r="P643" s="16" t="str">
        <f>HYPERLINK("https://ceds.ed.gov/cedselementdetails.aspx?termid=26798")</f>
        <v>https://ceds.ed.gov/cedselementdetails.aspx?termid=26798</v>
      </c>
      <c r="Q643" s="16">
        <v>72244</v>
      </c>
    </row>
    <row r="644" spans="1:17" ht="28.8" x14ac:dyDescent="0.3">
      <c r="A644" s="16" t="s">
        <v>7596</v>
      </c>
      <c r="B644" s="16" t="s">
        <v>8868</v>
      </c>
      <c r="C644" s="16" t="s">
        <v>7658</v>
      </c>
      <c r="D644" s="16" t="s">
        <v>7597</v>
      </c>
      <c r="E644" s="16" t="s">
        <v>7214</v>
      </c>
      <c r="F644" s="16" t="s">
        <v>7215</v>
      </c>
      <c r="G644" s="16" t="s">
        <v>32</v>
      </c>
      <c r="H644" s="16"/>
      <c r="I644" s="16"/>
      <c r="J644" s="16" t="s">
        <v>316</v>
      </c>
      <c r="K644" s="16"/>
      <c r="L644" s="16"/>
      <c r="M644" s="19" t="s">
        <v>7216</v>
      </c>
      <c r="N644" s="16"/>
      <c r="O644" s="16" t="s">
        <v>7217</v>
      </c>
      <c r="P644" s="16" t="str">
        <f>HYPERLINK("https://ceds.ed.gov/cedselementdetails.aspx?termid=27469")</f>
        <v>https://ceds.ed.gov/cedselementdetails.aspx?termid=27469</v>
      </c>
      <c r="Q644" s="16">
        <v>73450</v>
      </c>
    </row>
    <row r="645" spans="1:17" ht="409.6" x14ac:dyDescent="0.3">
      <c r="A645" s="16" t="s">
        <v>7596</v>
      </c>
      <c r="B645" s="16" t="s">
        <v>8868</v>
      </c>
      <c r="C645" s="16" t="s">
        <v>7658</v>
      </c>
      <c r="D645" s="16" t="s">
        <v>7597</v>
      </c>
      <c r="E645" s="16" t="s">
        <v>3262</v>
      </c>
      <c r="F645" s="16" t="s">
        <v>3263</v>
      </c>
      <c r="G645" s="16" t="s">
        <v>8522</v>
      </c>
      <c r="H645" s="16"/>
      <c r="I645" s="16"/>
      <c r="J645" s="16"/>
      <c r="K645" s="16"/>
      <c r="L645" s="16"/>
      <c r="M645" s="19" t="s">
        <v>3264</v>
      </c>
      <c r="N645" s="16"/>
      <c r="O645" s="16" t="s">
        <v>3265</v>
      </c>
      <c r="P645" s="16" t="str">
        <f>HYPERLINK("https://ceds.ed.gov/cedselementdetails.aspx?termid=27581")</f>
        <v>https://ceds.ed.gov/cedselementdetails.aspx?termid=27581</v>
      </c>
      <c r="Q645" s="16">
        <v>74071</v>
      </c>
    </row>
    <row r="646" spans="1:17" ht="409.6" x14ac:dyDescent="0.3">
      <c r="A646" s="16" t="s">
        <v>7596</v>
      </c>
      <c r="B646" s="16" t="s">
        <v>8868</v>
      </c>
      <c r="C646" s="16" t="s">
        <v>7658</v>
      </c>
      <c r="D646" s="16" t="s">
        <v>7597</v>
      </c>
      <c r="E646" s="16" t="s">
        <v>3365</v>
      </c>
      <c r="F646" s="16" t="s">
        <v>3366</v>
      </c>
      <c r="G646" s="16" t="s">
        <v>8534</v>
      </c>
      <c r="H646" s="16"/>
      <c r="I646" s="16"/>
      <c r="J646" s="16"/>
      <c r="K646" s="16"/>
      <c r="L646" s="16"/>
      <c r="M646" s="19" t="s">
        <v>3367</v>
      </c>
      <c r="N646" s="16"/>
      <c r="O646" s="16" t="s">
        <v>3368</v>
      </c>
      <c r="P646" s="16" t="str">
        <f>HYPERLINK("https://ceds.ed.gov/cedselementdetails.aspx?termid=27617")</f>
        <v>https://ceds.ed.gov/cedselementdetails.aspx?termid=27617</v>
      </c>
      <c r="Q646" s="16">
        <v>74142</v>
      </c>
    </row>
    <row r="647" spans="1:17" ht="43.2" x14ac:dyDescent="0.3">
      <c r="A647" s="16" t="s">
        <v>7596</v>
      </c>
      <c r="B647" s="16" t="s">
        <v>8868</v>
      </c>
      <c r="C647" s="16" t="s">
        <v>7658</v>
      </c>
      <c r="D647" s="16" t="s">
        <v>7597</v>
      </c>
      <c r="E647" s="16" t="s">
        <v>4856</v>
      </c>
      <c r="F647" s="16" t="s">
        <v>4857</v>
      </c>
      <c r="G647" s="16" t="s">
        <v>22</v>
      </c>
      <c r="H647" s="16"/>
      <c r="I647" s="16"/>
      <c r="J647" s="16"/>
      <c r="K647" s="16"/>
      <c r="L647" s="16"/>
      <c r="M647" s="19" t="s">
        <v>4858</v>
      </c>
      <c r="N647" s="16"/>
      <c r="O647" s="16" t="s">
        <v>4859</v>
      </c>
      <c r="P647" s="16" t="str">
        <f>HYPERLINK("https://ceds.ed.gov/cedselementdetails.aspx?termid=27353")</f>
        <v>https://ceds.ed.gov/cedselementdetails.aspx?termid=27353</v>
      </c>
      <c r="Q647" s="16">
        <v>73231</v>
      </c>
    </row>
    <row r="648" spans="1:17" ht="43.2" x14ac:dyDescent="0.3">
      <c r="A648" s="16" t="s">
        <v>7596</v>
      </c>
      <c r="B648" s="16" t="s">
        <v>8868</v>
      </c>
      <c r="C648" s="16" t="s">
        <v>7658</v>
      </c>
      <c r="D648" s="16" t="s">
        <v>7597</v>
      </c>
      <c r="E648" s="16" t="s">
        <v>6750</v>
      </c>
      <c r="F648" s="16" t="s">
        <v>6751</v>
      </c>
      <c r="G648" s="16" t="s">
        <v>22</v>
      </c>
      <c r="H648" s="16"/>
      <c r="I648" s="16"/>
      <c r="J648" s="16"/>
      <c r="K648" s="16"/>
      <c r="L648" s="16"/>
      <c r="M648" s="19" t="s">
        <v>6752</v>
      </c>
      <c r="N648" s="16"/>
      <c r="O648" s="16" t="s">
        <v>6753</v>
      </c>
      <c r="P648" s="16" t="str">
        <f>HYPERLINK("https://ceds.ed.gov/cedselementdetails.aspx?termid=27560")</f>
        <v>https://ceds.ed.gov/cedselementdetails.aspx?termid=27560</v>
      </c>
      <c r="Q648" s="16">
        <v>74036</v>
      </c>
    </row>
    <row r="649" spans="1:17" ht="57.6" x14ac:dyDescent="0.3">
      <c r="A649" s="16" t="s">
        <v>7596</v>
      </c>
      <c r="B649" s="16" t="s">
        <v>8868</v>
      </c>
      <c r="C649" s="16" t="s">
        <v>7658</v>
      </c>
      <c r="D649" s="16" t="s">
        <v>7597</v>
      </c>
      <c r="E649" s="16" t="s">
        <v>6799</v>
      </c>
      <c r="F649" s="16" t="s">
        <v>6800</v>
      </c>
      <c r="G649" s="16" t="s">
        <v>32</v>
      </c>
      <c r="H649" s="16" t="s">
        <v>6804</v>
      </c>
      <c r="I649" s="16"/>
      <c r="J649" s="16" t="s">
        <v>4081</v>
      </c>
      <c r="K649" s="16"/>
      <c r="L649" s="16"/>
      <c r="M649" s="19" t="s">
        <v>6801</v>
      </c>
      <c r="N649" s="16" t="s">
        <v>6802</v>
      </c>
      <c r="O649" s="16" t="s">
        <v>6803</v>
      </c>
      <c r="P649" s="16" t="str">
        <f>HYPERLINK("https://ceds.ed.gov/cedselementdetails.aspx?termid=26118")</f>
        <v>https://ceds.ed.gov/cedselementdetails.aspx?termid=26118</v>
      </c>
      <c r="Q649" s="16">
        <v>73429</v>
      </c>
    </row>
    <row r="650" spans="1:17" ht="115.2" x14ac:dyDescent="0.3">
      <c r="A650" s="16" t="s">
        <v>7596</v>
      </c>
      <c r="B650" s="16" t="s">
        <v>8868</v>
      </c>
      <c r="C650" s="16" t="s">
        <v>7658</v>
      </c>
      <c r="D650" s="16" t="s">
        <v>7597</v>
      </c>
      <c r="E650" s="16" t="s">
        <v>6823</v>
      </c>
      <c r="F650" s="16" t="s">
        <v>8155</v>
      </c>
      <c r="G650" s="16" t="s">
        <v>32</v>
      </c>
      <c r="H650" s="16" t="s">
        <v>69</v>
      </c>
      <c r="I650" s="16"/>
      <c r="J650" s="16" t="s">
        <v>6824</v>
      </c>
      <c r="K650" s="16"/>
      <c r="L650" s="16"/>
      <c r="M650" s="19" t="s">
        <v>6825</v>
      </c>
      <c r="N650" s="16"/>
      <c r="O650" s="16" t="s">
        <v>6826</v>
      </c>
      <c r="P650" s="16" t="str">
        <f>HYPERLINK("https://ceds.ed.gov/cedselementdetails.aspx?termid=26707")</f>
        <v>https://ceds.ed.gov/cedselementdetails.aspx?termid=26707</v>
      </c>
      <c r="Q650" s="16">
        <v>75288</v>
      </c>
    </row>
    <row r="651" spans="1:17" ht="230.4" x14ac:dyDescent="0.3">
      <c r="A651" s="16" t="s">
        <v>7596</v>
      </c>
      <c r="B651" s="16" t="s">
        <v>8868</v>
      </c>
      <c r="C651" s="16" t="s">
        <v>7658</v>
      </c>
      <c r="D651" s="16" t="s">
        <v>7597</v>
      </c>
      <c r="E651" s="16" t="s">
        <v>7543</v>
      </c>
      <c r="F651" s="16" t="s">
        <v>7544</v>
      </c>
      <c r="G651" s="16" t="s">
        <v>13093</v>
      </c>
      <c r="H651" s="16"/>
      <c r="I651" s="16" t="s">
        <v>160</v>
      </c>
      <c r="J651" s="16"/>
      <c r="K651" s="16" t="s">
        <v>12951</v>
      </c>
      <c r="L651" s="16"/>
      <c r="M651" s="19" t="s">
        <v>7545</v>
      </c>
      <c r="N651" s="16"/>
      <c r="O651" s="16" t="s">
        <v>7543</v>
      </c>
      <c r="P651" s="16" t="str">
        <f>HYPERLINK("https://ceds.ed.gov/cedselementdetails.aspx?termid=27959")</f>
        <v>https://ceds.ed.gov/cedselementdetails.aspx?termid=27959</v>
      </c>
      <c r="Q651" s="16">
        <v>75513</v>
      </c>
    </row>
    <row r="652" spans="1:17" ht="28.8" x14ac:dyDescent="0.3">
      <c r="A652" s="16" t="s">
        <v>7596</v>
      </c>
      <c r="B652" s="16" t="s">
        <v>8868</v>
      </c>
      <c r="C652" s="16" t="s">
        <v>7658</v>
      </c>
      <c r="D652" s="16" t="s">
        <v>7597</v>
      </c>
      <c r="E652" s="16" t="s">
        <v>7554</v>
      </c>
      <c r="F652" s="16" t="s">
        <v>7555</v>
      </c>
      <c r="G652" s="16" t="s">
        <v>32</v>
      </c>
      <c r="H652" s="16"/>
      <c r="I652" s="16"/>
      <c r="J652" s="16" t="s">
        <v>1481</v>
      </c>
      <c r="K652" s="16"/>
      <c r="L652" s="16"/>
      <c r="M652" s="19" t="s">
        <v>7556</v>
      </c>
      <c r="N652" s="16"/>
      <c r="O652" s="16" t="s">
        <v>7557</v>
      </c>
      <c r="P652" s="16" t="str">
        <f>HYPERLINK("https://ceds.ed.gov/cedselementdetails.aspx?termid=27962")</f>
        <v>https://ceds.ed.gov/cedselementdetails.aspx?termid=27962</v>
      </c>
      <c r="Q652" s="16">
        <v>75514</v>
      </c>
    </row>
    <row r="653" spans="1:17" ht="28.8" x14ac:dyDescent="0.3">
      <c r="A653" s="16" t="s">
        <v>7596</v>
      </c>
      <c r="B653" s="16" t="s">
        <v>8868</v>
      </c>
      <c r="C653" s="16" t="s">
        <v>7658</v>
      </c>
      <c r="D653" s="16" t="s">
        <v>7597</v>
      </c>
      <c r="E653" s="16" t="s">
        <v>7558</v>
      </c>
      <c r="F653" s="16" t="s">
        <v>7559</v>
      </c>
      <c r="G653" s="16" t="s">
        <v>32</v>
      </c>
      <c r="H653" s="16"/>
      <c r="I653" s="16"/>
      <c r="J653" s="16" t="s">
        <v>1481</v>
      </c>
      <c r="K653" s="16"/>
      <c r="L653" s="16"/>
      <c r="M653" s="19" t="s">
        <v>7560</v>
      </c>
      <c r="N653" s="16"/>
      <c r="O653" s="16" t="s">
        <v>7561</v>
      </c>
      <c r="P653" s="16" t="str">
        <f>HYPERLINK("https://ceds.ed.gov/cedselementdetails.aspx?termid=27963")</f>
        <v>https://ceds.ed.gov/cedselementdetails.aspx?termid=27963</v>
      </c>
      <c r="Q653" s="16">
        <v>75515</v>
      </c>
    </row>
    <row r="654" spans="1:17" ht="57.6" x14ac:dyDescent="0.3">
      <c r="A654" s="16" t="s">
        <v>7596</v>
      </c>
      <c r="B654" s="16" t="s">
        <v>8868</v>
      </c>
      <c r="C654" s="16" t="s">
        <v>7658</v>
      </c>
      <c r="D654" s="16" t="s">
        <v>7597</v>
      </c>
      <c r="E654" s="16" t="s">
        <v>7562</v>
      </c>
      <c r="F654" s="16" t="s">
        <v>7563</v>
      </c>
      <c r="G654" s="16" t="s">
        <v>8837</v>
      </c>
      <c r="H654" s="16"/>
      <c r="I654" s="16"/>
      <c r="J654" s="16"/>
      <c r="K654" s="16"/>
      <c r="L654" s="16"/>
      <c r="M654" s="19" t="s">
        <v>7564</v>
      </c>
      <c r="N654" s="16"/>
      <c r="O654" s="16" t="s">
        <v>7565</v>
      </c>
      <c r="P654" s="16" t="str">
        <f>HYPERLINK("https://ceds.ed.gov/cedselementdetails.aspx?termid=27964")</f>
        <v>https://ceds.ed.gov/cedselementdetails.aspx?termid=27964</v>
      </c>
      <c r="Q654" s="16">
        <v>75516</v>
      </c>
    </row>
    <row r="655" spans="1:17" ht="28.8" x14ac:dyDescent="0.3">
      <c r="A655" s="16" t="s">
        <v>7596</v>
      </c>
      <c r="B655" s="16" t="s">
        <v>8868</v>
      </c>
      <c r="C655" s="16" t="s">
        <v>7658</v>
      </c>
      <c r="D655" s="16" t="s">
        <v>7597</v>
      </c>
      <c r="E655" s="16" t="s">
        <v>354</v>
      </c>
      <c r="F655" s="16" t="s">
        <v>355</v>
      </c>
      <c r="G655" s="16" t="s">
        <v>32</v>
      </c>
      <c r="H655" s="16" t="s">
        <v>69</v>
      </c>
      <c r="I655" s="16"/>
      <c r="J655" s="16" t="s">
        <v>305</v>
      </c>
      <c r="K655" s="16"/>
      <c r="L655" s="16" t="s">
        <v>356</v>
      </c>
      <c r="M655" s="19" t="s">
        <v>357</v>
      </c>
      <c r="N655" s="16"/>
      <c r="O655" s="16" t="s">
        <v>358</v>
      </c>
      <c r="P655" s="16" t="str">
        <f>HYPERLINK("https://ceds.ed.gov/cedselementdetails.aspx?termid=26722")</f>
        <v>https://ceds.ed.gov/cedselementdetails.aspx?termid=26722</v>
      </c>
      <c r="Q655" s="16">
        <v>75855</v>
      </c>
    </row>
    <row r="656" spans="1:17" ht="43.2" x14ac:dyDescent="0.3">
      <c r="A656" s="16" t="s">
        <v>7596</v>
      </c>
      <c r="B656" s="16" t="s">
        <v>8868</v>
      </c>
      <c r="C656" s="16" t="s">
        <v>7658</v>
      </c>
      <c r="D656" s="16" t="s">
        <v>7597</v>
      </c>
      <c r="E656" s="16" t="s">
        <v>2445</v>
      </c>
      <c r="F656" s="16" t="s">
        <v>2446</v>
      </c>
      <c r="G656" s="16" t="s">
        <v>32</v>
      </c>
      <c r="H656" s="16" t="s">
        <v>2450</v>
      </c>
      <c r="I656" s="16"/>
      <c r="J656" s="16" t="s">
        <v>1481</v>
      </c>
      <c r="K656" s="16"/>
      <c r="L656" s="16"/>
      <c r="M656" s="19" t="s">
        <v>2448</v>
      </c>
      <c r="N656" s="16"/>
      <c r="O656" s="16" t="s">
        <v>2449</v>
      </c>
      <c r="P656" s="16" t="str">
        <f>HYPERLINK("https://ceds.ed.gov/cedselementdetails.aspx?termid=26047")</f>
        <v>https://ceds.ed.gov/cedselementdetails.aspx?termid=26047</v>
      </c>
      <c r="Q656" s="16">
        <v>75856</v>
      </c>
    </row>
    <row r="657" spans="1:17" ht="72" x14ac:dyDescent="0.3">
      <c r="A657" s="16" t="s">
        <v>7596</v>
      </c>
      <c r="B657" s="16" t="s">
        <v>8868</v>
      </c>
      <c r="C657" s="16" t="s">
        <v>7658</v>
      </c>
      <c r="D657" s="16" t="s">
        <v>7597</v>
      </c>
      <c r="E657" s="16" t="s">
        <v>2451</v>
      </c>
      <c r="F657" s="16" t="s">
        <v>2452</v>
      </c>
      <c r="G657" s="16" t="s">
        <v>8215</v>
      </c>
      <c r="H657" s="16" t="s">
        <v>69</v>
      </c>
      <c r="I657" s="16"/>
      <c r="J657" s="16"/>
      <c r="K657" s="16"/>
      <c r="L657" s="16" t="s">
        <v>2453</v>
      </c>
      <c r="M657" s="19" t="s">
        <v>2454</v>
      </c>
      <c r="N657" s="16"/>
      <c r="O657" s="16" t="s">
        <v>2455</v>
      </c>
      <c r="P657" s="16" t="str">
        <f>HYPERLINK("https://ceds.ed.gov/cedselementdetails.aspx?termid=26714")</f>
        <v>https://ceds.ed.gov/cedselementdetails.aspx?termid=26714</v>
      </c>
      <c r="Q657" s="16">
        <v>75857</v>
      </c>
    </row>
    <row r="658" spans="1:17" ht="144" x14ac:dyDescent="0.3">
      <c r="A658" s="16" t="s">
        <v>7596</v>
      </c>
      <c r="B658" s="16" t="s">
        <v>8868</v>
      </c>
      <c r="C658" s="16" t="s">
        <v>7658</v>
      </c>
      <c r="D658" s="16" t="s">
        <v>7597</v>
      </c>
      <c r="E658" s="16" t="s">
        <v>4041</v>
      </c>
      <c r="F658" s="16" t="s">
        <v>4042</v>
      </c>
      <c r="G658" s="16" t="s">
        <v>8233</v>
      </c>
      <c r="H658" s="16" t="s">
        <v>69</v>
      </c>
      <c r="I658" s="16"/>
      <c r="J658" s="16"/>
      <c r="K658" s="16"/>
      <c r="L658" s="16" t="s">
        <v>8052</v>
      </c>
      <c r="M658" s="19" t="s">
        <v>4043</v>
      </c>
      <c r="N658" s="16"/>
      <c r="O658" s="16" t="s">
        <v>4044</v>
      </c>
      <c r="P658" s="16" t="str">
        <f>HYPERLINK("https://ceds.ed.gov/cedselementdetails.aspx?termid=26713")</f>
        <v>https://ceds.ed.gov/cedselementdetails.aspx?termid=26713</v>
      </c>
      <c r="Q658" s="16">
        <v>75858</v>
      </c>
    </row>
    <row r="659" spans="1:17" ht="273.60000000000002" x14ac:dyDescent="0.3">
      <c r="A659" s="16" t="s">
        <v>7596</v>
      </c>
      <c r="B659" s="16" t="s">
        <v>8868</v>
      </c>
      <c r="C659" s="16" t="s">
        <v>7658</v>
      </c>
      <c r="D659" s="16" t="s">
        <v>7597</v>
      </c>
      <c r="E659" s="16" t="s">
        <v>4844</v>
      </c>
      <c r="F659" s="16" t="s">
        <v>4845</v>
      </c>
      <c r="G659" s="16" t="s">
        <v>8239</v>
      </c>
      <c r="H659" s="16" t="s">
        <v>69</v>
      </c>
      <c r="I659" s="16"/>
      <c r="J659" s="16"/>
      <c r="K659" s="16"/>
      <c r="L659" s="16" t="s">
        <v>4846</v>
      </c>
      <c r="M659" s="19" t="s">
        <v>4847</v>
      </c>
      <c r="N659" s="16"/>
      <c r="O659" s="16" t="s">
        <v>4848</v>
      </c>
      <c r="P659" s="16" t="str">
        <f>HYPERLINK("https://ceds.ed.gov/cedselementdetails.aspx?termid=26708")</f>
        <v>https://ceds.ed.gov/cedselementdetails.aspx?termid=26708</v>
      </c>
      <c r="Q659" s="16">
        <v>75859</v>
      </c>
    </row>
    <row r="660" spans="1:17" ht="409.6" x14ac:dyDescent="0.3">
      <c r="A660" s="16" t="s">
        <v>7596</v>
      </c>
      <c r="B660" s="16" t="s">
        <v>8868</v>
      </c>
      <c r="C660" s="16" t="s">
        <v>7658</v>
      </c>
      <c r="D660" s="16" t="s">
        <v>7597</v>
      </c>
      <c r="E660" s="16" t="s">
        <v>4870</v>
      </c>
      <c r="F660" s="16" t="s">
        <v>4871</v>
      </c>
      <c r="G660" s="16" t="s">
        <v>13092</v>
      </c>
      <c r="H660" s="16" t="s">
        <v>4874</v>
      </c>
      <c r="I660" s="16" t="s">
        <v>160</v>
      </c>
      <c r="J660" s="16"/>
      <c r="K660" s="16" t="s">
        <v>12949</v>
      </c>
      <c r="L660" s="16"/>
      <c r="M660" s="19" t="s">
        <v>4872</v>
      </c>
      <c r="N660" s="16"/>
      <c r="O660" s="16" t="s">
        <v>4873</v>
      </c>
      <c r="P660" s="16" t="str">
        <f>HYPERLINK("https://ceds.ed.gov/cedselementdetails.aspx?termid=26087")</f>
        <v>https://ceds.ed.gov/cedselementdetails.aspx?termid=26087</v>
      </c>
      <c r="Q660" s="16">
        <v>75860</v>
      </c>
    </row>
    <row r="661" spans="1:17" ht="57.6" x14ac:dyDescent="0.3">
      <c r="A661" s="16" t="s">
        <v>7596</v>
      </c>
      <c r="B661" s="16" t="s">
        <v>8868</v>
      </c>
      <c r="C661" s="16" t="s">
        <v>7658</v>
      </c>
      <c r="D661" s="16" t="s">
        <v>7597</v>
      </c>
      <c r="E661" s="16" t="s">
        <v>5352</v>
      </c>
      <c r="F661" s="16" t="s">
        <v>5353</v>
      </c>
      <c r="G661" s="16" t="s">
        <v>22</v>
      </c>
      <c r="H661" s="16" t="s">
        <v>214</v>
      </c>
      <c r="I661" s="16"/>
      <c r="J661" s="16"/>
      <c r="K661" s="16"/>
      <c r="L661" s="16"/>
      <c r="M661" s="19" t="s">
        <v>5354</v>
      </c>
      <c r="N661" s="16" t="s">
        <v>5355</v>
      </c>
      <c r="O661" s="16" t="s">
        <v>5356</v>
      </c>
      <c r="P661" s="16" t="str">
        <f>HYPERLINK("https://ceds.ed.gov/cedselementdetails.aspx?termid=26534")</f>
        <v>https://ceds.ed.gov/cedselementdetails.aspx?termid=26534</v>
      </c>
      <c r="Q661" s="16">
        <v>75861</v>
      </c>
    </row>
    <row r="662" spans="1:17" ht="57.6" x14ac:dyDescent="0.3">
      <c r="A662" s="16" t="s">
        <v>7596</v>
      </c>
      <c r="B662" s="16" t="s">
        <v>8868</v>
      </c>
      <c r="C662" s="16" t="s">
        <v>7658</v>
      </c>
      <c r="D662" s="16" t="s">
        <v>7597</v>
      </c>
      <c r="E662" s="16" t="s">
        <v>7126</v>
      </c>
      <c r="F662" s="16" t="s">
        <v>7127</v>
      </c>
      <c r="G662" s="16" t="s">
        <v>22</v>
      </c>
      <c r="H662" s="16"/>
      <c r="I662" s="16"/>
      <c r="J662" s="16"/>
      <c r="K662" s="16"/>
      <c r="L662" s="16"/>
      <c r="M662" s="19" t="s">
        <v>7128</v>
      </c>
      <c r="N662" s="16"/>
      <c r="O662" s="16" t="s">
        <v>7129</v>
      </c>
      <c r="P662" s="16" t="str">
        <f>HYPERLINK("https://ceds.ed.gov/cedselementdetails.aspx?termid=26543")</f>
        <v>https://ceds.ed.gov/cedselementdetails.aspx?termid=26543</v>
      </c>
      <c r="Q662" s="16">
        <v>75862</v>
      </c>
    </row>
    <row r="663" spans="1:17" ht="72" x14ac:dyDescent="0.3">
      <c r="A663" s="16" t="s">
        <v>7596</v>
      </c>
      <c r="B663" s="16" t="s">
        <v>8868</v>
      </c>
      <c r="C663" s="16" t="s">
        <v>7658</v>
      </c>
      <c r="D663" s="16" t="s">
        <v>7597</v>
      </c>
      <c r="E663" s="16" t="s">
        <v>8974</v>
      </c>
      <c r="F663" s="16" t="s">
        <v>8975</v>
      </c>
      <c r="G663" s="16" t="s">
        <v>32</v>
      </c>
      <c r="H663" s="16"/>
      <c r="I663" s="16"/>
      <c r="J663" s="16" t="s">
        <v>120</v>
      </c>
      <c r="K663" s="16"/>
      <c r="L663" s="16" t="s">
        <v>8976</v>
      </c>
      <c r="M663" s="19" t="s">
        <v>8977</v>
      </c>
      <c r="N663" s="16"/>
      <c r="O663" s="16" t="s">
        <v>8978</v>
      </c>
      <c r="P663" s="16" t="str">
        <f>HYPERLINK("https://ceds.ed.gov/cedselementdetails.aspx?termid=28020")</f>
        <v>https://ceds.ed.gov/cedselementdetails.aspx?termid=28020</v>
      </c>
      <c r="Q663" s="16">
        <v>76053</v>
      </c>
    </row>
    <row r="664" spans="1:17" ht="72" x14ac:dyDescent="0.3">
      <c r="A664" s="16" t="s">
        <v>7596</v>
      </c>
      <c r="B664" s="16" t="s">
        <v>8868</v>
      </c>
      <c r="C664" s="16" t="s">
        <v>7658</v>
      </c>
      <c r="D664" s="16" t="s">
        <v>7597</v>
      </c>
      <c r="E664" s="16" t="s">
        <v>8979</v>
      </c>
      <c r="F664" s="16" t="s">
        <v>8980</v>
      </c>
      <c r="G664" s="16" t="s">
        <v>32</v>
      </c>
      <c r="H664" s="16"/>
      <c r="I664" s="16"/>
      <c r="J664" s="16" t="s">
        <v>1481</v>
      </c>
      <c r="K664" s="16"/>
      <c r="L664" s="16" t="s">
        <v>8976</v>
      </c>
      <c r="M664" s="19" t="s">
        <v>8981</v>
      </c>
      <c r="N664" s="16"/>
      <c r="O664" s="16" t="s">
        <v>8982</v>
      </c>
      <c r="P664" s="16" t="str">
        <f>HYPERLINK("https://ceds.ed.gov/cedselementdetails.aspx?termid=28021")</f>
        <v>https://ceds.ed.gov/cedselementdetails.aspx?termid=28021</v>
      </c>
      <c r="Q664" s="16">
        <v>76054</v>
      </c>
    </row>
    <row r="665" spans="1:17" ht="28.8" x14ac:dyDescent="0.3">
      <c r="A665" s="16" t="s">
        <v>7596</v>
      </c>
      <c r="B665" s="16" t="s">
        <v>8868</v>
      </c>
      <c r="C665" s="16" t="s">
        <v>7658</v>
      </c>
      <c r="D665" s="16" t="s">
        <v>7597</v>
      </c>
      <c r="E665" s="16" t="s">
        <v>9254</v>
      </c>
      <c r="F665" s="16" t="s">
        <v>9255</v>
      </c>
      <c r="G665" s="16" t="s">
        <v>32</v>
      </c>
      <c r="H665" s="16"/>
      <c r="I665" s="16"/>
      <c r="J665" s="16" t="s">
        <v>101</v>
      </c>
      <c r="K665" s="16"/>
      <c r="L665" s="16" t="s">
        <v>9256</v>
      </c>
      <c r="M665" s="19" t="s">
        <v>9257</v>
      </c>
      <c r="N665" s="16"/>
      <c r="O665" s="16" t="s">
        <v>9258</v>
      </c>
      <c r="P665" s="16" t="str">
        <f>HYPERLINK("https://ceds.ed.gov/cedselementdetails.aspx?termid=28087")</f>
        <v>https://ceds.ed.gov/cedselementdetails.aspx?termid=28087</v>
      </c>
      <c r="Q665" s="16">
        <v>76055</v>
      </c>
    </row>
    <row r="666" spans="1:17" ht="43.2" x14ac:dyDescent="0.3">
      <c r="A666" s="16" t="s">
        <v>7596</v>
      </c>
      <c r="B666" s="16" t="s">
        <v>8868</v>
      </c>
      <c r="C666" s="16" t="s">
        <v>7640</v>
      </c>
      <c r="D666" s="16" t="s">
        <v>7597</v>
      </c>
      <c r="E666" s="16" t="s">
        <v>4886</v>
      </c>
      <c r="F666" s="16" t="s">
        <v>4887</v>
      </c>
      <c r="G666" s="16" t="s">
        <v>13005</v>
      </c>
      <c r="H666" s="16"/>
      <c r="I666" s="16"/>
      <c r="J666" s="16"/>
      <c r="K666" s="16"/>
      <c r="L666" s="16"/>
      <c r="M666" s="19"/>
      <c r="N666" s="16"/>
      <c r="O666" s="16"/>
      <c r="P666" s="16"/>
      <c r="Q666" s="16"/>
    </row>
    <row r="667" spans="1:17" x14ac:dyDescent="0.3">
      <c r="A667" s="16"/>
      <c r="B667" s="16"/>
      <c r="C667" s="16"/>
      <c r="D667" s="16"/>
      <c r="E667" s="16"/>
      <c r="F667" s="16"/>
      <c r="G667" s="16"/>
      <c r="H667" s="16"/>
      <c r="I667" s="16"/>
      <c r="J667" s="16"/>
      <c r="K667" s="16"/>
      <c r="L667" s="16"/>
      <c r="M667" s="19"/>
      <c r="N667" s="16"/>
      <c r="O667" s="16"/>
      <c r="P667" s="16"/>
      <c r="Q667" s="16"/>
    </row>
    <row r="668" spans="1:17" ht="144" x14ac:dyDescent="0.3">
      <c r="A668" s="16"/>
      <c r="B668" s="16" t="s">
        <v>13051</v>
      </c>
      <c r="C668" s="16" t="s">
        <v>4851</v>
      </c>
      <c r="D668" s="16"/>
      <c r="E668" s="16"/>
      <c r="F668" s="16"/>
      <c r="G668" s="16"/>
      <c r="H668" s="16">
        <v>316</v>
      </c>
      <c r="I668" s="16"/>
      <c r="J668" s="16" t="s">
        <v>4888</v>
      </c>
      <c r="K668" s="16" t="str">
        <f>HYPERLINK("https://ceds.ed.gov/cedselementdetails.aspx?termid=26316")</f>
        <v>https://ceds.ed.gov/cedselementdetails.aspx?termid=26316</v>
      </c>
      <c r="L668" s="16">
        <v>70694</v>
      </c>
      <c r="M668" s="19"/>
      <c r="N668" s="16"/>
      <c r="O668" s="16"/>
      <c r="P668" s="16"/>
      <c r="Q668" s="16"/>
    </row>
    <row r="669" spans="1:17" ht="100.8" x14ac:dyDescent="0.3">
      <c r="A669" s="16" t="s">
        <v>7596</v>
      </c>
      <c r="B669" s="16" t="s">
        <v>8868</v>
      </c>
      <c r="C669" s="16" t="s">
        <v>7640</v>
      </c>
      <c r="D669" s="16" t="s">
        <v>7597</v>
      </c>
      <c r="E669" s="16" t="s">
        <v>4849</v>
      </c>
      <c r="F669" s="16" t="s">
        <v>13082</v>
      </c>
      <c r="G669" s="16" t="s">
        <v>7313</v>
      </c>
      <c r="H669" s="16" t="s">
        <v>4851</v>
      </c>
      <c r="I669" s="16" t="s">
        <v>160</v>
      </c>
      <c r="J669" s="16"/>
      <c r="K669" s="16" t="s">
        <v>12946</v>
      </c>
      <c r="L669" s="16"/>
      <c r="M669" s="19" t="s">
        <v>4850</v>
      </c>
      <c r="N669" s="16"/>
      <c r="O669" s="16"/>
      <c r="P669" s="16" t="str">
        <f>HYPERLINK("https://ceds.ed.gov/cedselementdetails.aspx?termid=26317")</f>
        <v>https://ceds.ed.gov/cedselementdetails.aspx?termid=26317</v>
      </c>
      <c r="Q669" s="16">
        <v>70695</v>
      </c>
    </row>
    <row r="670" spans="1:17" ht="129.6" x14ac:dyDescent="0.3">
      <c r="A670" s="16" t="s">
        <v>7596</v>
      </c>
      <c r="B670" s="16" t="s">
        <v>8868</v>
      </c>
      <c r="C670" s="16" t="s">
        <v>7640</v>
      </c>
      <c r="D670" s="16" t="s">
        <v>7597</v>
      </c>
      <c r="E670" s="16" t="s">
        <v>4852</v>
      </c>
      <c r="F670" s="16" t="s">
        <v>13083</v>
      </c>
      <c r="G670" s="16" t="s">
        <v>7313</v>
      </c>
      <c r="H670" s="16"/>
      <c r="I670" s="16" t="s">
        <v>160</v>
      </c>
      <c r="J670" s="16"/>
      <c r="K670" s="16" t="s">
        <v>12947</v>
      </c>
      <c r="L670" s="16" t="s">
        <v>13084</v>
      </c>
      <c r="M670" s="19" t="s">
        <v>4853</v>
      </c>
      <c r="N670" s="16"/>
      <c r="O670" s="16"/>
      <c r="P670" s="16" t="str">
        <f>HYPERLINK("https://ceds.ed.gov/cedselementdetails.aspx?termid=27618")</f>
        <v>https://ceds.ed.gov/cedselementdetails.aspx?termid=27618</v>
      </c>
      <c r="Q670" s="16">
        <v>74218</v>
      </c>
    </row>
    <row r="671" spans="1:17" ht="409.6" x14ac:dyDescent="0.3">
      <c r="A671" s="16" t="s">
        <v>7596</v>
      </c>
      <c r="B671" s="16" t="s">
        <v>8868</v>
      </c>
      <c r="C671" s="16" t="s">
        <v>7640</v>
      </c>
      <c r="D671" s="16" t="s">
        <v>7597</v>
      </c>
      <c r="E671" s="16" t="s">
        <v>4854</v>
      </c>
      <c r="F671" s="16" t="s">
        <v>13085</v>
      </c>
      <c r="G671" s="16" t="s">
        <v>8683</v>
      </c>
      <c r="H671" s="16"/>
      <c r="I671" s="16" t="s">
        <v>160</v>
      </c>
      <c r="J671" s="16"/>
      <c r="K671" s="16" t="s">
        <v>12948</v>
      </c>
      <c r="L671" s="16" t="s">
        <v>13086</v>
      </c>
      <c r="M671" s="19" t="s">
        <v>4855</v>
      </c>
      <c r="N671" s="16"/>
      <c r="O671" s="16"/>
      <c r="P671" s="16" t="str">
        <f>HYPERLINK("https://ceds.ed.gov/cedselementdetails.aspx?termid=27619")</f>
        <v>https://ceds.ed.gov/cedselementdetails.aspx?termid=27619</v>
      </c>
      <c r="Q671" s="16">
        <v>74225</v>
      </c>
    </row>
    <row r="672" spans="1:17" ht="100.8" x14ac:dyDescent="0.3">
      <c r="A672" s="16" t="s">
        <v>7596</v>
      </c>
      <c r="B672" s="16" t="s">
        <v>8868</v>
      </c>
      <c r="C672" s="16" t="s">
        <v>7659</v>
      </c>
      <c r="D672" s="16" t="s">
        <v>7597</v>
      </c>
      <c r="E672" s="16" t="s">
        <v>3211</v>
      </c>
      <c r="F672" s="16" t="s">
        <v>3212</v>
      </c>
      <c r="G672" s="16" t="s">
        <v>8517</v>
      </c>
      <c r="H672" s="16" t="s">
        <v>3025</v>
      </c>
      <c r="I672" s="16"/>
      <c r="J672" s="16"/>
      <c r="K672" s="16"/>
      <c r="L672" s="16"/>
      <c r="M672" s="19" t="s">
        <v>3213</v>
      </c>
      <c r="N672" s="16"/>
      <c r="O672" s="16" t="s">
        <v>3214</v>
      </c>
      <c r="P672" s="16" t="str">
        <f>HYPERLINK("https://ceds.ed.gov/cedselementdetails.aspx?termid=26344")</f>
        <v>https://ceds.ed.gov/cedselementdetails.aspx?termid=26344</v>
      </c>
      <c r="Q672" s="16">
        <v>70700</v>
      </c>
    </row>
    <row r="673" spans="1:17" ht="28.8" x14ac:dyDescent="0.3">
      <c r="A673" s="16" t="s">
        <v>7596</v>
      </c>
      <c r="B673" s="16" t="s">
        <v>8868</v>
      </c>
      <c r="C673" s="16" t="s">
        <v>7659</v>
      </c>
      <c r="D673" s="16" t="s">
        <v>7597</v>
      </c>
      <c r="E673" s="16" t="s">
        <v>5877</v>
      </c>
      <c r="F673" s="16" t="s">
        <v>5878</v>
      </c>
      <c r="G673" s="16" t="s">
        <v>32</v>
      </c>
      <c r="H673" s="16"/>
      <c r="I673" s="16"/>
      <c r="J673" s="16" t="s">
        <v>81</v>
      </c>
      <c r="K673" s="16"/>
      <c r="L673" s="16"/>
      <c r="M673" s="19" t="s">
        <v>5879</v>
      </c>
      <c r="N673" s="16"/>
      <c r="O673" s="16" t="s">
        <v>5880</v>
      </c>
      <c r="P673" s="16" t="str">
        <f>HYPERLINK("https://ceds.ed.gov/cedselementdetails.aspx?termid=27398")</f>
        <v>https://ceds.ed.gov/cedselementdetails.aspx?termid=27398</v>
      </c>
      <c r="Q673" s="16">
        <v>73328</v>
      </c>
    </row>
    <row r="674" spans="1:17" ht="28.8" x14ac:dyDescent="0.3">
      <c r="A674" s="16" t="s">
        <v>7596</v>
      </c>
      <c r="B674" s="16" t="s">
        <v>8868</v>
      </c>
      <c r="C674" s="16" t="s">
        <v>7659</v>
      </c>
      <c r="D674" s="16" t="s">
        <v>7597</v>
      </c>
      <c r="E674" s="16" t="s">
        <v>5436</v>
      </c>
      <c r="F674" s="16" t="s">
        <v>5437</v>
      </c>
      <c r="G674" s="16" t="s">
        <v>32</v>
      </c>
      <c r="H674" s="16" t="s">
        <v>195</v>
      </c>
      <c r="I674" s="16"/>
      <c r="J674" s="16" t="s">
        <v>145</v>
      </c>
      <c r="K674" s="16"/>
      <c r="L674" s="16"/>
      <c r="M674" s="19" t="s">
        <v>5438</v>
      </c>
      <c r="N674" s="16"/>
      <c r="O674" s="16" t="s">
        <v>5439</v>
      </c>
      <c r="P674" s="16" t="str">
        <f>HYPERLINK("https://ceds.ed.gov/cedselementdetails.aspx?termid=27064")</f>
        <v>https://ceds.ed.gov/cedselementdetails.aspx?termid=27064</v>
      </c>
      <c r="Q674" s="16">
        <v>71499</v>
      </c>
    </row>
    <row r="675" spans="1:17" ht="409.6" x14ac:dyDescent="0.3">
      <c r="A675" s="16" t="s">
        <v>7596</v>
      </c>
      <c r="B675" s="16" t="s">
        <v>8868</v>
      </c>
      <c r="C675" s="16" t="s">
        <v>7659</v>
      </c>
      <c r="D675" s="16" t="s">
        <v>7597</v>
      </c>
      <c r="E675" s="16" t="s">
        <v>6878</v>
      </c>
      <c r="F675" s="16" t="s">
        <v>6879</v>
      </c>
      <c r="G675" s="16" t="s">
        <v>8270</v>
      </c>
      <c r="H675" s="16" t="s">
        <v>195</v>
      </c>
      <c r="I675" s="16"/>
      <c r="J675" s="16"/>
      <c r="K675" s="16"/>
      <c r="L675" s="16"/>
      <c r="M675" s="19" t="s">
        <v>6880</v>
      </c>
      <c r="N675" s="16"/>
      <c r="O675" s="16" t="s">
        <v>6881</v>
      </c>
      <c r="P675" s="16" t="str">
        <f>HYPERLINK("https://ceds.ed.gov/cedselementdetails.aspx?termid=26804")</f>
        <v>https://ceds.ed.gov/cedselementdetails.aspx?termid=26804</v>
      </c>
      <c r="Q675" s="16">
        <v>72250</v>
      </c>
    </row>
    <row r="676" spans="1:17" ht="28.8" x14ac:dyDescent="0.3">
      <c r="A676" s="16" t="s">
        <v>7596</v>
      </c>
      <c r="B676" s="16" t="s">
        <v>8868</v>
      </c>
      <c r="C676" s="16" t="s">
        <v>7659</v>
      </c>
      <c r="D676" s="16" t="s">
        <v>7597</v>
      </c>
      <c r="E676" s="16" t="s">
        <v>2894</v>
      </c>
      <c r="F676" s="16" t="s">
        <v>2895</v>
      </c>
      <c r="G676" s="16" t="s">
        <v>32</v>
      </c>
      <c r="H676" s="16"/>
      <c r="I676" s="16"/>
      <c r="J676" s="16" t="s">
        <v>145</v>
      </c>
      <c r="K676" s="16"/>
      <c r="L676" s="16"/>
      <c r="M676" s="19" t="s">
        <v>2896</v>
      </c>
      <c r="N676" s="16"/>
      <c r="O676" s="16" t="s">
        <v>2897</v>
      </c>
      <c r="P676" s="16" t="str">
        <f>HYPERLINK("https://ceds.ed.gov/cedselementdetails.aspx?termid=27566")</f>
        <v>https://ceds.ed.gov/cedselementdetails.aspx?termid=27566</v>
      </c>
      <c r="Q676" s="16">
        <v>74054</v>
      </c>
    </row>
    <row r="677" spans="1:17" ht="129.6" x14ac:dyDescent="0.3">
      <c r="A677" s="16" t="s">
        <v>7596</v>
      </c>
      <c r="B677" s="16" t="s">
        <v>8868</v>
      </c>
      <c r="C677" s="16" t="s">
        <v>7659</v>
      </c>
      <c r="D677" s="16" t="s">
        <v>7597</v>
      </c>
      <c r="E677" s="16" t="s">
        <v>2910</v>
      </c>
      <c r="F677" s="16" t="s">
        <v>2911</v>
      </c>
      <c r="G677" s="16" t="s">
        <v>13481</v>
      </c>
      <c r="H677" s="16"/>
      <c r="I677" s="16" t="s">
        <v>160</v>
      </c>
      <c r="J677" s="16"/>
      <c r="K677" s="16" t="s">
        <v>12934</v>
      </c>
      <c r="L677" s="16"/>
      <c r="M677" s="19" t="s">
        <v>2912</v>
      </c>
      <c r="N677" s="16"/>
      <c r="O677" s="16" t="s">
        <v>2913</v>
      </c>
      <c r="P677" s="16" t="str">
        <f>HYPERLINK("https://ceds.ed.gov/cedselementdetails.aspx?termid=26071")</f>
        <v>https://ceds.ed.gov/cedselementdetails.aspx?termid=26071</v>
      </c>
      <c r="Q677" s="16">
        <v>74131</v>
      </c>
    </row>
    <row r="678" spans="1:17" ht="115.2" x14ac:dyDescent="0.3">
      <c r="A678" s="16" t="s">
        <v>7596</v>
      </c>
      <c r="B678" s="16" t="s">
        <v>8868</v>
      </c>
      <c r="C678" s="16" t="s">
        <v>7659</v>
      </c>
      <c r="D678" s="16" t="s">
        <v>7597</v>
      </c>
      <c r="E678" s="16" t="s">
        <v>1968</v>
      </c>
      <c r="F678" s="16" t="s">
        <v>1969</v>
      </c>
      <c r="G678" s="16" t="s">
        <v>8433</v>
      </c>
      <c r="H678" s="16" t="s">
        <v>195</v>
      </c>
      <c r="I678" s="16"/>
      <c r="J678" s="16"/>
      <c r="K678" s="16"/>
      <c r="L678" s="16"/>
      <c r="M678" s="19" t="s">
        <v>1970</v>
      </c>
      <c r="N678" s="16" t="s">
        <v>1971</v>
      </c>
      <c r="O678" s="16" t="s">
        <v>1972</v>
      </c>
      <c r="P678" s="16" t="str">
        <f>HYPERLINK("https://ceds.ed.gov/cedselementdetails.aspx?termid=26805")</f>
        <v>https://ceds.ed.gov/cedselementdetails.aspx?termid=26805</v>
      </c>
      <c r="Q678" s="16">
        <v>72253</v>
      </c>
    </row>
    <row r="679" spans="1:17" x14ac:dyDescent="0.3">
      <c r="A679" s="16" t="s">
        <v>7596</v>
      </c>
      <c r="B679" s="16" t="s">
        <v>8868</v>
      </c>
      <c r="C679" s="16" t="s">
        <v>7659</v>
      </c>
      <c r="D679" s="16" t="s">
        <v>7597</v>
      </c>
      <c r="E679" s="16" t="s">
        <v>2879</v>
      </c>
      <c r="F679" s="16"/>
      <c r="G679" s="16" t="s">
        <v>32</v>
      </c>
      <c r="H679" s="16" t="s">
        <v>195</v>
      </c>
      <c r="I679" s="16" t="s">
        <v>160</v>
      </c>
      <c r="J679" s="16"/>
      <c r="K679" s="16" t="s">
        <v>12941</v>
      </c>
      <c r="L679" s="16"/>
      <c r="M679" s="19" t="s">
        <v>2880</v>
      </c>
      <c r="N679" s="16"/>
      <c r="O679" s="16"/>
      <c r="P679" s="16" t="str">
        <f>HYPERLINK("https://ceds.ed.gov/cedselementdetails.aspx?termid=26070")</f>
        <v>https://ceds.ed.gov/cedselementdetails.aspx?termid=26070</v>
      </c>
      <c r="Q679" s="16">
        <v>72252</v>
      </c>
    </row>
    <row r="680" spans="1:17" ht="43.2" x14ac:dyDescent="0.3">
      <c r="A680" s="16" t="s">
        <v>7596</v>
      </c>
      <c r="B680" s="16" t="s">
        <v>8868</v>
      </c>
      <c r="C680" s="16" t="s">
        <v>7659</v>
      </c>
      <c r="D680" s="16" t="s">
        <v>7597</v>
      </c>
      <c r="E680" s="16" t="s">
        <v>2871</v>
      </c>
      <c r="F680" s="16" t="s">
        <v>2872</v>
      </c>
      <c r="G680" s="16" t="s">
        <v>32</v>
      </c>
      <c r="H680" s="16" t="s">
        <v>195</v>
      </c>
      <c r="I680" s="16"/>
      <c r="J680" s="16" t="s">
        <v>106</v>
      </c>
      <c r="K680" s="16"/>
      <c r="L680" s="16"/>
      <c r="M680" s="19" t="s">
        <v>2873</v>
      </c>
      <c r="N680" s="16"/>
      <c r="O680" s="16" t="s">
        <v>2874</v>
      </c>
      <c r="P680" s="16" t="str">
        <f>HYPERLINK("https://ceds.ed.gov/cedselementdetails.aspx?termid=26069")</f>
        <v>https://ceds.ed.gov/cedselementdetails.aspx?termid=26069</v>
      </c>
      <c r="Q680" s="16">
        <v>72251</v>
      </c>
    </row>
    <row r="681" spans="1:17" ht="86.4" x14ac:dyDescent="0.3">
      <c r="A681" s="16" t="s">
        <v>7596</v>
      </c>
      <c r="B681" s="16" t="s">
        <v>8868</v>
      </c>
      <c r="C681" s="16" t="s">
        <v>7659</v>
      </c>
      <c r="D681" s="16" t="s">
        <v>7597</v>
      </c>
      <c r="E681" s="16" t="s">
        <v>6980</v>
      </c>
      <c r="F681" s="16" t="s">
        <v>6981</v>
      </c>
      <c r="G681" s="16" t="s">
        <v>32</v>
      </c>
      <c r="H681" s="16" t="s">
        <v>343</v>
      </c>
      <c r="I681" s="16"/>
      <c r="J681" s="16" t="s">
        <v>81</v>
      </c>
      <c r="K681" s="16"/>
      <c r="L681" s="16" t="s">
        <v>8163</v>
      </c>
      <c r="M681" s="19" t="s">
        <v>6982</v>
      </c>
      <c r="N681" s="16"/>
      <c r="O681" s="16" t="s">
        <v>6983</v>
      </c>
      <c r="P681" s="16" t="str">
        <f>HYPERLINK("https://ceds.ed.gov/cedselementdetails.aspx?termid=26757")</f>
        <v>https://ceds.ed.gov/cedselementdetails.aspx?termid=26757</v>
      </c>
      <c r="Q681" s="16">
        <v>75851</v>
      </c>
    </row>
    <row r="682" spans="1:17" ht="86.4" x14ac:dyDescent="0.3">
      <c r="A682" s="16" t="s">
        <v>7596</v>
      </c>
      <c r="B682" s="16" t="s">
        <v>8868</v>
      </c>
      <c r="C682" s="16" t="s">
        <v>7659</v>
      </c>
      <c r="D682" s="16" t="s">
        <v>7597</v>
      </c>
      <c r="E682" s="16" t="s">
        <v>6984</v>
      </c>
      <c r="F682" s="16" t="s">
        <v>6985</v>
      </c>
      <c r="G682" s="16" t="s">
        <v>8272</v>
      </c>
      <c r="H682" s="16" t="s">
        <v>343</v>
      </c>
      <c r="I682" s="16"/>
      <c r="J682" s="16"/>
      <c r="K682" s="16"/>
      <c r="L682" s="16"/>
      <c r="M682" s="19" t="s">
        <v>6986</v>
      </c>
      <c r="N682" s="16"/>
      <c r="O682" s="16" t="s">
        <v>6987</v>
      </c>
      <c r="P682" s="16" t="str">
        <f>HYPERLINK("https://ceds.ed.gov/cedselementdetails.aspx?termid=26756")</f>
        <v>https://ceds.ed.gov/cedselementdetails.aspx?termid=26756</v>
      </c>
      <c r="Q682" s="16">
        <v>75852</v>
      </c>
    </row>
    <row r="683" spans="1:17" ht="57.6" x14ac:dyDescent="0.3">
      <c r="A683" s="16" t="s">
        <v>7596</v>
      </c>
      <c r="B683" s="16" t="s">
        <v>8868</v>
      </c>
      <c r="C683" s="16" t="s">
        <v>7659</v>
      </c>
      <c r="D683" s="16" t="s">
        <v>7597</v>
      </c>
      <c r="E683" s="16" t="s">
        <v>7307</v>
      </c>
      <c r="F683" s="16" t="s">
        <v>7308</v>
      </c>
      <c r="G683" s="16" t="s">
        <v>32</v>
      </c>
      <c r="H683" s="16" t="s">
        <v>2450</v>
      </c>
      <c r="I683" s="16"/>
      <c r="J683" s="16" t="s">
        <v>1481</v>
      </c>
      <c r="K683" s="16"/>
      <c r="L683" s="16"/>
      <c r="M683" s="19" t="s">
        <v>7309</v>
      </c>
      <c r="N683" s="16"/>
      <c r="O683" s="16" t="s">
        <v>7310</v>
      </c>
      <c r="P683" s="16" t="str">
        <f>HYPERLINK("https://ceds.ed.gov/cedselementdetails.aspx?termid=26302")</f>
        <v>https://ceds.ed.gov/cedselementdetails.aspx?termid=26302</v>
      </c>
      <c r="Q683" s="16">
        <v>75853</v>
      </c>
    </row>
    <row r="684" spans="1:17" ht="43.2" x14ac:dyDescent="0.3">
      <c r="A684" s="16" t="s">
        <v>7596</v>
      </c>
      <c r="B684" s="16" t="s">
        <v>8868</v>
      </c>
      <c r="C684" s="16" t="s">
        <v>7619</v>
      </c>
      <c r="D684" s="16" t="s">
        <v>7597</v>
      </c>
      <c r="E684" s="16" t="s">
        <v>6819</v>
      </c>
      <c r="F684" s="16" t="s">
        <v>6820</v>
      </c>
      <c r="G684" s="16" t="s">
        <v>32</v>
      </c>
      <c r="H684" s="16" t="s">
        <v>195</v>
      </c>
      <c r="I684" s="16"/>
      <c r="J684" s="16" t="s">
        <v>106</v>
      </c>
      <c r="K684" s="16"/>
      <c r="L684" s="16"/>
      <c r="M684" s="19" t="s">
        <v>6821</v>
      </c>
      <c r="N684" s="16"/>
      <c r="O684" s="16" t="s">
        <v>6822</v>
      </c>
      <c r="P684" s="16" t="str">
        <f>HYPERLINK("https://ceds.ed.gov/cedselementdetails.aspx?termid=27067")</f>
        <v>https://ceds.ed.gov/cedselementdetails.aspx?termid=27067</v>
      </c>
      <c r="Q684" s="16">
        <v>71502</v>
      </c>
    </row>
    <row r="685" spans="1:17" ht="57.6" x14ac:dyDescent="0.3">
      <c r="A685" s="16" t="s">
        <v>7596</v>
      </c>
      <c r="B685" s="16" t="s">
        <v>8868</v>
      </c>
      <c r="C685" s="16" t="s">
        <v>7619</v>
      </c>
      <c r="D685" s="16" t="s">
        <v>7597</v>
      </c>
      <c r="E685" s="16" t="s">
        <v>6815</v>
      </c>
      <c r="F685" s="16" t="s">
        <v>6816</v>
      </c>
      <c r="G685" s="16" t="s">
        <v>32</v>
      </c>
      <c r="H685" s="16" t="s">
        <v>195</v>
      </c>
      <c r="I685" s="16"/>
      <c r="J685" s="16" t="s">
        <v>106</v>
      </c>
      <c r="K685" s="16"/>
      <c r="L685" s="16"/>
      <c r="M685" s="19" t="s">
        <v>6817</v>
      </c>
      <c r="N685" s="16"/>
      <c r="O685" s="16" t="s">
        <v>6818</v>
      </c>
      <c r="P685" s="16" t="str">
        <f>HYPERLINK("https://ceds.ed.gov/cedselementdetails.aspx?termid=27068")</f>
        <v>https://ceds.ed.gov/cedselementdetails.aspx?termid=27068</v>
      </c>
      <c r="Q685" s="16">
        <v>71503</v>
      </c>
    </row>
    <row r="686" spans="1:17" ht="43.2" x14ac:dyDescent="0.3">
      <c r="A686" s="16" t="s">
        <v>7596</v>
      </c>
      <c r="B686" s="16" t="s">
        <v>8868</v>
      </c>
      <c r="C686" s="16" t="s">
        <v>7619</v>
      </c>
      <c r="D686" s="16" t="s">
        <v>7597</v>
      </c>
      <c r="E686" s="16" t="s">
        <v>6339</v>
      </c>
      <c r="F686" s="16" t="s">
        <v>6340</v>
      </c>
      <c r="G686" s="16" t="s">
        <v>32</v>
      </c>
      <c r="H686" s="16" t="s">
        <v>195</v>
      </c>
      <c r="I686" s="16"/>
      <c r="J686" s="16" t="s">
        <v>1481</v>
      </c>
      <c r="K686" s="16"/>
      <c r="L686" s="16"/>
      <c r="M686" s="19" t="s">
        <v>6341</v>
      </c>
      <c r="N686" s="16"/>
      <c r="O686" s="16" t="s">
        <v>6342</v>
      </c>
      <c r="P686" s="16" t="str">
        <f>HYPERLINK("https://ceds.ed.gov/cedselementdetails.aspx?termid=26803")</f>
        <v>https://ceds.ed.gov/cedselementdetails.aspx?termid=26803</v>
      </c>
      <c r="Q686" s="16">
        <v>72249</v>
      </c>
    </row>
    <row r="687" spans="1:17" ht="100.8" x14ac:dyDescent="0.3">
      <c r="A687" s="16" t="s">
        <v>7596</v>
      </c>
      <c r="B687" s="16" t="s">
        <v>8868</v>
      </c>
      <c r="C687" s="16" t="s">
        <v>7619</v>
      </c>
      <c r="D687" s="16" t="s">
        <v>7597</v>
      </c>
      <c r="E687" s="16" t="s">
        <v>5503</v>
      </c>
      <c r="F687" s="16" t="s">
        <v>5504</v>
      </c>
      <c r="G687" s="16" t="s">
        <v>32</v>
      </c>
      <c r="H687" s="16" t="s">
        <v>5256</v>
      </c>
      <c r="I687" s="16"/>
      <c r="J687" s="16" t="s">
        <v>1481</v>
      </c>
      <c r="K687" s="16"/>
      <c r="L687" s="16"/>
      <c r="M687" s="19" t="s">
        <v>5505</v>
      </c>
      <c r="N687" s="16"/>
      <c r="O687" s="16" t="s">
        <v>5506</v>
      </c>
      <c r="P687" s="16" t="str">
        <f>HYPERLINK("https://ceds.ed.gov/cedselementdetails.aspx?termid=26200")</f>
        <v>https://ceds.ed.gov/cedselementdetails.aspx?termid=26200</v>
      </c>
      <c r="Q687" s="16">
        <v>71513</v>
      </c>
    </row>
    <row r="688" spans="1:17" ht="144" x14ac:dyDescent="0.3">
      <c r="A688" s="16" t="s">
        <v>7596</v>
      </c>
      <c r="B688" s="16" t="s">
        <v>8868</v>
      </c>
      <c r="C688" s="16" t="s">
        <v>7619</v>
      </c>
      <c r="D688" s="16" t="s">
        <v>7597</v>
      </c>
      <c r="E688" s="16" t="s">
        <v>2548</v>
      </c>
      <c r="F688" s="16" t="s">
        <v>7918</v>
      </c>
      <c r="G688" s="16" t="s">
        <v>8461</v>
      </c>
      <c r="H688" s="16" t="s">
        <v>58</v>
      </c>
      <c r="I688" s="16"/>
      <c r="J688" s="16"/>
      <c r="K688" s="16"/>
      <c r="L688" s="16"/>
      <c r="M688" s="19" t="s">
        <v>2549</v>
      </c>
      <c r="N688" s="16"/>
      <c r="O688" s="16" t="s">
        <v>2550</v>
      </c>
      <c r="P688" s="16" t="str">
        <f>HYPERLINK("https://ceds.ed.gov/cedselementdetails.aspx?termid=26057")</f>
        <v>https://ceds.ed.gov/cedselementdetails.aspx?termid=26057</v>
      </c>
      <c r="Q688" s="16">
        <v>71729</v>
      </c>
    </row>
    <row r="689" spans="1:17" ht="43.2" x14ac:dyDescent="0.3">
      <c r="A689" s="16" t="s">
        <v>7596</v>
      </c>
      <c r="B689" s="16" t="s">
        <v>8868</v>
      </c>
      <c r="C689" s="16" t="s">
        <v>7619</v>
      </c>
      <c r="D689" s="16" t="s">
        <v>7597</v>
      </c>
      <c r="E689" s="16" t="s">
        <v>5971</v>
      </c>
      <c r="F689" s="16" t="s">
        <v>5972</v>
      </c>
      <c r="G689" s="16" t="s">
        <v>22</v>
      </c>
      <c r="H689" s="16"/>
      <c r="I689" s="16"/>
      <c r="J689" s="16"/>
      <c r="K689" s="16"/>
      <c r="L689" s="16"/>
      <c r="M689" s="19" t="s">
        <v>5973</v>
      </c>
      <c r="N689" s="16"/>
      <c r="O689" s="16" t="s">
        <v>5974</v>
      </c>
      <c r="P689" s="16" t="str">
        <f>HYPERLINK("https://ceds.ed.gov/cedselementdetails.aspx?termid=27599")</f>
        <v>https://ceds.ed.gov/cedselementdetails.aspx?termid=27599</v>
      </c>
      <c r="Q689" s="16">
        <v>74098</v>
      </c>
    </row>
    <row r="690" spans="1:17" ht="28.8" x14ac:dyDescent="0.3">
      <c r="A690" s="16" t="s">
        <v>7596</v>
      </c>
      <c r="B690" s="16" t="s">
        <v>8868</v>
      </c>
      <c r="C690" s="16" t="s">
        <v>7619</v>
      </c>
      <c r="D690" s="16" t="s">
        <v>7597</v>
      </c>
      <c r="E690" s="16" t="s">
        <v>5975</v>
      </c>
      <c r="F690" s="16" t="s">
        <v>5976</v>
      </c>
      <c r="G690" s="16" t="s">
        <v>32</v>
      </c>
      <c r="H690" s="16"/>
      <c r="I690" s="16"/>
      <c r="J690" s="16" t="s">
        <v>106</v>
      </c>
      <c r="K690" s="16"/>
      <c r="L690" s="16"/>
      <c r="M690" s="19" t="s">
        <v>5977</v>
      </c>
      <c r="N690" s="16"/>
      <c r="O690" s="16" t="s">
        <v>5978</v>
      </c>
      <c r="P690" s="16" t="str">
        <f>HYPERLINK("https://ceds.ed.gov/cedselementdetails.aspx?termid=27600")</f>
        <v>https://ceds.ed.gov/cedselementdetails.aspx?termid=27600</v>
      </c>
      <c r="Q690" s="16">
        <v>74099</v>
      </c>
    </row>
    <row r="691" spans="1:17" ht="43.2" x14ac:dyDescent="0.3">
      <c r="A691" s="16" t="s">
        <v>7596</v>
      </c>
      <c r="B691" s="16" t="s">
        <v>8868</v>
      </c>
      <c r="C691" s="16" t="s">
        <v>7619</v>
      </c>
      <c r="D691" s="16" t="s">
        <v>7597</v>
      </c>
      <c r="E691" s="16" t="s">
        <v>1891</v>
      </c>
      <c r="F691" s="16" t="s">
        <v>1892</v>
      </c>
      <c r="G691" s="16" t="s">
        <v>32</v>
      </c>
      <c r="H691" s="16"/>
      <c r="I691" s="16"/>
      <c r="J691" s="16" t="s">
        <v>106</v>
      </c>
      <c r="K691" s="16"/>
      <c r="L691" s="16"/>
      <c r="M691" s="19" t="s">
        <v>1893</v>
      </c>
      <c r="N691" s="16"/>
      <c r="O691" s="16" t="s">
        <v>1894</v>
      </c>
      <c r="P691" s="16" t="str">
        <f>HYPERLINK("https://ceds.ed.gov/cedselementdetails.aspx?termid=27255")</f>
        <v>https://ceds.ed.gov/cedselementdetails.aspx?termid=27255</v>
      </c>
      <c r="Q691" s="16">
        <v>73079</v>
      </c>
    </row>
    <row r="692" spans="1:17" ht="72" x14ac:dyDescent="0.3">
      <c r="A692" s="16" t="s">
        <v>7596</v>
      </c>
      <c r="B692" s="16" t="s">
        <v>8868</v>
      </c>
      <c r="C692" s="16" t="s">
        <v>7619</v>
      </c>
      <c r="D692" s="16" t="s">
        <v>7597</v>
      </c>
      <c r="E692" s="16" t="s">
        <v>1895</v>
      </c>
      <c r="F692" s="16" t="s">
        <v>1896</v>
      </c>
      <c r="G692" s="16" t="s">
        <v>8426</v>
      </c>
      <c r="H692" s="16"/>
      <c r="I692" s="16"/>
      <c r="J692" s="16"/>
      <c r="K692" s="16"/>
      <c r="L692" s="16"/>
      <c r="M692" s="19" t="s">
        <v>1897</v>
      </c>
      <c r="N692" s="16"/>
      <c r="O692" s="16" t="s">
        <v>1898</v>
      </c>
      <c r="P692" s="16" t="str">
        <f>HYPERLINK("https://ceds.ed.gov/cedselementdetails.aspx?termid=27256")</f>
        <v>https://ceds.ed.gov/cedselementdetails.aspx?termid=27256</v>
      </c>
      <c r="Q692" s="16">
        <v>73082</v>
      </c>
    </row>
    <row r="693" spans="1:17" ht="43.2" x14ac:dyDescent="0.3">
      <c r="A693" s="16" t="s">
        <v>7596</v>
      </c>
      <c r="B693" s="16" t="s">
        <v>8868</v>
      </c>
      <c r="C693" s="16" t="s">
        <v>7619</v>
      </c>
      <c r="D693" s="16" t="s">
        <v>7597</v>
      </c>
      <c r="E693" s="16" t="s">
        <v>5869</v>
      </c>
      <c r="F693" s="16" t="s">
        <v>5870</v>
      </c>
      <c r="G693" s="16" t="s">
        <v>22</v>
      </c>
      <c r="H693" s="16" t="s">
        <v>195</v>
      </c>
      <c r="I693" s="16"/>
      <c r="J693" s="16"/>
      <c r="K693" s="16"/>
      <c r="L693" s="16"/>
      <c r="M693" s="19" t="s">
        <v>5871</v>
      </c>
      <c r="N693" s="16"/>
      <c r="O693" s="16" t="s">
        <v>5872</v>
      </c>
      <c r="P693" s="16" t="str">
        <f>HYPERLINK("https://ceds.ed.gov/cedselementdetails.aspx?termid=26806")</f>
        <v>https://ceds.ed.gov/cedselementdetails.aspx?termid=26806</v>
      </c>
      <c r="Q693" s="16">
        <v>72254</v>
      </c>
    </row>
    <row r="694" spans="1:17" ht="28.8" x14ac:dyDescent="0.3">
      <c r="A694" s="16" t="s">
        <v>7596</v>
      </c>
      <c r="B694" s="16" t="s">
        <v>8868</v>
      </c>
      <c r="C694" s="16" t="s">
        <v>7619</v>
      </c>
      <c r="D694" s="16" t="s">
        <v>7597</v>
      </c>
      <c r="E694" s="16" t="s">
        <v>5873</v>
      </c>
      <c r="F694" s="16" t="s">
        <v>5874</v>
      </c>
      <c r="G694" s="16" t="s">
        <v>32</v>
      </c>
      <c r="H694" s="16" t="s">
        <v>195</v>
      </c>
      <c r="I694" s="16"/>
      <c r="J694" s="16" t="s">
        <v>145</v>
      </c>
      <c r="K694" s="16"/>
      <c r="L694" s="16"/>
      <c r="M694" s="19" t="s">
        <v>5875</v>
      </c>
      <c r="N694" s="16"/>
      <c r="O694" s="16" t="s">
        <v>5876</v>
      </c>
      <c r="P694" s="16" t="str">
        <f>HYPERLINK("https://ceds.ed.gov/cedselementdetails.aspx?termid=26807")</f>
        <v>https://ceds.ed.gov/cedselementdetails.aspx?termid=26807</v>
      </c>
      <c r="Q694" s="16">
        <v>72255</v>
      </c>
    </row>
    <row r="695" spans="1:17" ht="43.2" x14ac:dyDescent="0.3">
      <c r="A695" s="16" t="s">
        <v>7596</v>
      </c>
      <c r="B695" s="16" t="s">
        <v>8868</v>
      </c>
      <c r="C695" s="16" t="s">
        <v>7619</v>
      </c>
      <c r="D695" s="16" t="s">
        <v>7597</v>
      </c>
      <c r="E695" s="16" t="s">
        <v>5983</v>
      </c>
      <c r="F695" s="16" t="s">
        <v>5984</v>
      </c>
      <c r="G695" s="16" t="s">
        <v>22</v>
      </c>
      <c r="H695" s="16" t="s">
        <v>195</v>
      </c>
      <c r="I695" s="16"/>
      <c r="J695" s="16"/>
      <c r="K695" s="16"/>
      <c r="L695" s="16"/>
      <c r="M695" s="19" t="s">
        <v>5985</v>
      </c>
      <c r="N695" s="16"/>
      <c r="O695" s="16" t="s">
        <v>5986</v>
      </c>
      <c r="P695" s="16" t="str">
        <f>HYPERLINK("https://ceds.ed.gov/cedselementdetails.aspx?termid=26810")</f>
        <v>https://ceds.ed.gov/cedselementdetails.aspx?termid=26810</v>
      </c>
      <c r="Q695" s="16">
        <v>72258</v>
      </c>
    </row>
    <row r="696" spans="1:17" ht="172.8" x14ac:dyDescent="0.3">
      <c r="A696" s="16" t="s">
        <v>7596</v>
      </c>
      <c r="B696" s="16" t="s">
        <v>8868</v>
      </c>
      <c r="C696" s="16" t="s">
        <v>7619</v>
      </c>
      <c r="D696" s="16" t="s">
        <v>7597</v>
      </c>
      <c r="E696" s="16" t="s">
        <v>5955</v>
      </c>
      <c r="F696" s="16" t="s">
        <v>5956</v>
      </c>
      <c r="G696" s="16" t="s">
        <v>8787</v>
      </c>
      <c r="H696" s="16" t="s">
        <v>195</v>
      </c>
      <c r="I696" s="16"/>
      <c r="J696" s="16"/>
      <c r="K696" s="16"/>
      <c r="L696" s="16"/>
      <c r="M696" s="19" t="s">
        <v>5957</v>
      </c>
      <c r="N696" s="16"/>
      <c r="O696" s="16" t="s">
        <v>5958</v>
      </c>
      <c r="P696" s="16" t="str">
        <f>HYPERLINK("https://ceds.ed.gov/cedselementdetails.aspx?termid=26811")</f>
        <v>https://ceds.ed.gov/cedselementdetails.aspx?termid=26811</v>
      </c>
      <c r="Q696" s="16">
        <v>72259</v>
      </c>
    </row>
    <row r="697" spans="1:17" ht="57.6" x14ac:dyDescent="0.3">
      <c r="A697" s="16" t="s">
        <v>7596</v>
      </c>
      <c r="B697" s="16" t="s">
        <v>8868</v>
      </c>
      <c r="C697" s="16" t="s">
        <v>7619</v>
      </c>
      <c r="D697" s="16" t="s">
        <v>7597</v>
      </c>
      <c r="E697" s="16" t="s">
        <v>7197</v>
      </c>
      <c r="F697" s="16" t="s">
        <v>7198</v>
      </c>
      <c r="G697" s="16" t="s">
        <v>22</v>
      </c>
      <c r="H697" s="16"/>
      <c r="I697" s="16"/>
      <c r="J697" s="16"/>
      <c r="K697" s="16"/>
      <c r="L697" s="16" t="s">
        <v>7199</v>
      </c>
      <c r="M697" s="19" t="s">
        <v>7200</v>
      </c>
      <c r="N697" s="16"/>
      <c r="O697" s="16" t="s">
        <v>7201</v>
      </c>
      <c r="P697" s="16" t="str">
        <f>HYPERLINK("https://ceds.ed.gov/cedselementdetails.aspx?termid=27554")</f>
        <v>https://ceds.ed.gov/cedselementdetails.aspx?termid=27554</v>
      </c>
      <c r="Q697" s="16">
        <v>73929</v>
      </c>
    </row>
    <row r="698" spans="1:17" ht="43.2" x14ac:dyDescent="0.3">
      <c r="A698" s="16" t="s">
        <v>7596</v>
      </c>
      <c r="B698" s="16" t="s">
        <v>8868</v>
      </c>
      <c r="C698" s="16" t="s">
        <v>7619</v>
      </c>
      <c r="D698" s="16" t="s">
        <v>7597</v>
      </c>
      <c r="E698" s="16" t="s">
        <v>1847</v>
      </c>
      <c r="F698" s="16" t="s">
        <v>1848</v>
      </c>
      <c r="G698" s="16" t="s">
        <v>32</v>
      </c>
      <c r="H698" s="16" t="s">
        <v>195</v>
      </c>
      <c r="I698" s="16"/>
      <c r="J698" s="16" t="s">
        <v>106</v>
      </c>
      <c r="K698" s="16"/>
      <c r="L698" s="16"/>
      <c r="M698" s="19" t="s">
        <v>1849</v>
      </c>
      <c r="N698" s="16" t="s">
        <v>1850</v>
      </c>
      <c r="O698" s="16" t="s">
        <v>1851</v>
      </c>
      <c r="P698" s="16" t="str">
        <f>HYPERLINK("https://ceds.ed.gov/cedselementdetails.aspx?termid=27065")</f>
        <v>https://ceds.ed.gov/cedselementdetails.aspx?termid=27065</v>
      </c>
      <c r="Q698" s="16">
        <v>71500</v>
      </c>
    </row>
    <row r="699" spans="1:17" ht="28.8" x14ac:dyDescent="0.3">
      <c r="A699" s="16" t="s">
        <v>7596</v>
      </c>
      <c r="B699" s="16" t="s">
        <v>8868</v>
      </c>
      <c r="C699" s="16" t="s">
        <v>7619</v>
      </c>
      <c r="D699" s="16" t="s">
        <v>7597</v>
      </c>
      <c r="E699" s="16" t="s">
        <v>3977</v>
      </c>
      <c r="F699" s="16" t="s">
        <v>3978</v>
      </c>
      <c r="G699" s="16" t="s">
        <v>32</v>
      </c>
      <c r="H699" s="16" t="s">
        <v>195</v>
      </c>
      <c r="I699" s="16"/>
      <c r="J699" s="16" t="s">
        <v>106</v>
      </c>
      <c r="K699" s="16"/>
      <c r="L699" s="16"/>
      <c r="M699" s="19" t="s">
        <v>3979</v>
      </c>
      <c r="N699" s="16"/>
      <c r="O699" s="16" t="s">
        <v>3980</v>
      </c>
      <c r="P699" s="16" t="str">
        <f>HYPERLINK("https://ceds.ed.gov/cedselementdetails.aspx?termid=27066")</f>
        <v>https://ceds.ed.gov/cedselementdetails.aspx?termid=27066</v>
      </c>
      <c r="Q699" s="16">
        <v>71501</v>
      </c>
    </row>
    <row r="700" spans="1:17" ht="115.2" x14ac:dyDescent="0.3">
      <c r="A700" s="16" t="s">
        <v>7596</v>
      </c>
      <c r="B700" s="16" t="s">
        <v>8868</v>
      </c>
      <c r="C700" s="16" t="s">
        <v>7619</v>
      </c>
      <c r="D700" s="16" t="s">
        <v>7597</v>
      </c>
      <c r="E700" s="16" t="s">
        <v>3258</v>
      </c>
      <c r="F700" s="16" t="s">
        <v>3259</v>
      </c>
      <c r="G700" s="16" t="s">
        <v>8521</v>
      </c>
      <c r="H700" s="16" t="s">
        <v>195</v>
      </c>
      <c r="I700" s="16"/>
      <c r="J700" s="16"/>
      <c r="K700" s="16"/>
      <c r="L700" s="16"/>
      <c r="M700" s="19" t="s">
        <v>3260</v>
      </c>
      <c r="N700" s="16"/>
      <c r="O700" s="16" t="s">
        <v>3261</v>
      </c>
      <c r="P700" s="16" t="str">
        <f>HYPERLINK("https://ceds.ed.gov/cedselementdetails.aspx?termid=26812")</f>
        <v>https://ceds.ed.gov/cedselementdetails.aspx?termid=26812</v>
      </c>
      <c r="Q700" s="16">
        <v>72260</v>
      </c>
    </row>
    <row r="701" spans="1:17" ht="43.2" x14ac:dyDescent="0.3">
      <c r="A701" s="16" t="s">
        <v>7596</v>
      </c>
      <c r="B701" s="16" t="s">
        <v>8868</v>
      </c>
      <c r="C701" s="16" t="s">
        <v>7619</v>
      </c>
      <c r="D701" s="16" t="s">
        <v>7597</v>
      </c>
      <c r="E701" s="16" t="s">
        <v>6861</v>
      </c>
      <c r="F701" s="16" t="s">
        <v>6862</v>
      </c>
      <c r="G701" s="16" t="s">
        <v>22</v>
      </c>
      <c r="H701" s="16" t="s">
        <v>195</v>
      </c>
      <c r="I701" s="16"/>
      <c r="J701" s="16"/>
      <c r="K701" s="16"/>
      <c r="L701" s="16"/>
      <c r="M701" s="19" t="s">
        <v>6863</v>
      </c>
      <c r="N701" s="16"/>
      <c r="O701" s="16" t="s">
        <v>6864</v>
      </c>
      <c r="P701" s="16" t="str">
        <f>HYPERLINK("https://ceds.ed.gov/cedselementdetails.aspx?termid=26813")</f>
        <v>https://ceds.ed.gov/cedselementdetails.aspx?termid=26813</v>
      </c>
      <c r="Q701" s="16">
        <v>72261</v>
      </c>
    </row>
    <row r="702" spans="1:17" ht="115.2" x14ac:dyDescent="0.3">
      <c r="A702" s="16" t="s">
        <v>7596</v>
      </c>
      <c r="B702" s="16" t="s">
        <v>8868</v>
      </c>
      <c r="C702" s="16" t="s">
        <v>7619</v>
      </c>
      <c r="D702" s="16" t="s">
        <v>7597</v>
      </c>
      <c r="E702" s="16" t="s">
        <v>6857</v>
      </c>
      <c r="F702" s="16" t="s">
        <v>6858</v>
      </c>
      <c r="G702" s="16" t="s">
        <v>22</v>
      </c>
      <c r="H702" s="16" t="s">
        <v>195</v>
      </c>
      <c r="I702" s="16"/>
      <c r="J702" s="16"/>
      <c r="K702" s="16"/>
      <c r="L702" s="16" t="s">
        <v>8157</v>
      </c>
      <c r="M702" s="19" t="s">
        <v>6859</v>
      </c>
      <c r="N702" s="16"/>
      <c r="O702" s="16" t="s">
        <v>6860</v>
      </c>
      <c r="P702" s="16" t="str">
        <f>HYPERLINK("https://ceds.ed.gov/cedselementdetails.aspx?termid=26814")</f>
        <v>https://ceds.ed.gov/cedselementdetails.aspx?termid=26814</v>
      </c>
      <c r="Q702" s="16">
        <v>72262</v>
      </c>
    </row>
    <row r="703" spans="1:17" ht="158.4" x14ac:dyDescent="0.3">
      <c r="A703" s="16" t="s">
        <v>7596</v>
      </c>
      <c r="B703" s="16" t="s">
        <v>8868</v>
      </c>
      <c r="C703" s="16" t="s">
        <v>7619</v>
      </c>
      <c r="D703" s="16" t="s">
        <v>7597</v>
      </c>
      <c r="E703" s="16" t="s">
        <v>3321</v>
      </c>
      <c r="F703" s="16" t="s">
        <v>3322</v>
      </c>
      <c r="G703" s="16" t="s">
        <v>8529</v>
      </c>
      <c r="H703" s="16"/>
      <c r="I703" s="16"/>
      <c r="J703" s="16"/>
      <c r="K703" s="16"/>
      <c r="L703" s="16"/>
      <c r="M703" s="19" t="s">
        <v>3323</v>
      </c>
      <c r="N703" s="16"/>
      <c r="O703" s="16" t="s">
        <v>3324</v>
      </c>
      <c r="P703" s="16" t="str">
        <f>HYPERLINK("https://ceds.ed.gov/cedselementdetails.aspx?termid=27304")</f>
        <v>https://ceds.ed.gov/cedselementdetails.aspx?termid=27304</v>
      </c>
      <c r="Q703" s="16">
        <v>73143</v>
      </c>
    </row>
    <row r="704" spans="1:17" ht="43.2" x14ac:dyDescent="0.3">
      <c r="A704" s="16" t="s">
        <v>7596</v>
      </c>
      <c r="B704" s="16" t="s">
        <v>8868</v>
      </c>
      <c r="C704" s="16" t="s">
        <v>7619</v>
      </c>
      <c r="D704" s="16" t="s">
        <v>7597</v>
      </c>
      <c r="E704" s="16" t="s">
        <v>5947</v>
      </c>
      <c r="F704" s="16" t="s">
        <v>5948</v>
      </c>
      <c r="G704" s="16" t="s">
        <v>8719</v>
      </c>
      <c r="H704" s="16"/>
      <c r="I704" s="16"/>
      <c r="J704" s="16"/>
      <c r="K704" s="16"/>
      <c r="L704" s="16"/>
      <c r="M704" s="19" t="s">
        <v>5949</v>
      </c>
      <c r="N704" s="16"/>
      <c r="O704" s="16" t="s">
        <v>5950</v>
      </c>
      <c r="P704" s="16" t="str">
        <f>HYPERLINK("https://ceds.ed.gov/cedselementdetails.aspx?termid=27399")</f>
        <v>https://ceds.ed.gov/cedselementdetails.aspx?termid=27399</v>
      </c>
      <c r="Q704" s="16">
        <v>73329</v>
      </c>
    </row>
    <row r="705" spans="1:17" ht="43.2" x14ac:dyDescent="0.3">
      <c r="A705" s="16" t="s">
        <v>7596</v>
      </c>
      <c r="B705" s="16" t="s">
        <v>8868</v>
      </c>
      <c r="C705" s="16" t="s">
        <v>7619</v>
      </c>
      <c r="D705" s="16" t="s">
        <v>7597</v>
      </c>
      <c r="E705" s="16" t="s">
        <v>5979</v>
      </c>
      <c r="F705" s="16" t="s">
        <v>5980</v>
      </c>
      <c r="G705" s="16" t="s">
        <v>22</v>
      </c>
      <c r="H705" s="16"/>
      <c r="I705" s="16"/>
      <c r="J705" s="16"/>
      <c r="K705" s="16"/>
      <c r="L705" s="16"/>
      <c r="M705" s="19" t="s">
        <v>5981</v>
      </c>
      <c r="N705" s="16"/>
      <c r="O705" s="16" t="s">
        <v>5982</v>
      </c>
      <c r="P705" s="16" t="str">
        <f>HYPERLINK("https://ceds.ed.gov/cedselementdetails.aspx?termid=27415")</f>
        <v>https://ceds.ed.gov/cedselementdetails.aspx?termid=27415</v>
      </c>
      <c r="Q705" s="16">
        <v>73350</v>
      </c>
    </row>
    <row r="706" spans="1:17" ht="172.8" x14ac:dyDescent="0.3">
      <c r="A706" s="16" t="s">
        <v>7596</v>
      </c>
      <c r="B706" s="16" t="s">
        <v>8868</v>
      </c>
      <c r="C706" s="16" t="s">
        <v>7660</v>
      </c>
      <c r="D706" s="16" t="s">
        <v>7597</v>
      </c>
      <c r="E706" s="16" t="s">
        <v>6810</v>
      </c>
      <c r="F706" s="16" t="s">
        <v>6811</v>
      </c>
      <c r="G706" s="16" t="s">
        <v>32</v>
      </c>
      <c r="H706" s="16" t="s">
        <v>6814</v>
      </c>
      <c r="I706" s="16"/>
      <c r="J706" s="16" t="s">
        <v>120</v>
      </c>
      <c r="K706" s="16"/>
      <c r="L706" s="16" t="s">
        <v>7817</v>
      </c>
      <c r="M706" s="19" t="s">
        <v>6812</v>
      </c>
      <c r="N706" s="16"/>
      <c r="O706" s="16" t="s">
        <v>6813</v>
      </c>
      <c r="P706" s="16" t="str">
        <f>HYPERLINK("https://ceds.ed.gov/cedselementdetails.aspx?termid=26156")</f>
        <v>https://ceds.ed.gov/cedselementdetails.aspx?termid=26156</v>
      </c>
      <c r="Q706" s="16">
        <v>73514</v>
      </c>
    </row>
    <row r="707" spans="1:17" ht="259.2" x14ac:dyDescent="0.3">
      <c r="A707" s="16" t="s">
        <v>7596</v>
      </c>
      <c r="B707" s="16" t="s">
        <v>8868</v>
      </c>
      <c r="C707" s="16" t="s">
        <v>7660</v>
      </c>
      <c r="D707" s="16" t="s">
        <v>7597</v>
      </c>
      <c r="E707" s="16" t="s">
        <v>6805</v>
      </c>
      <c r="F707" s="16" t="s">
        <v>6806</v>
      </c>
      <c r="G707" s="16" t="s">
        <v>9342</v>
      </c>
      <c r="H707" s="16" t="s">
        <v>6809</v>
      </c>
      <c r="I707" s="16"/>
      <c r="J707" s="16"/>
      <c r="K707" s="16"/>
      <c r="L707" s="16"/>
      <c r="M707" s="19" t="s">
        <v>6807</v>
      </c>
      <c r="N707" s="16"/>
      <c r="O707" s="16" t="s">
        <v>6808</v>
      </c>
      <c r="P707" s="16" t="str">
        <f>HYPERLINK("https://ceds.ed.gov/cedselementdetails.aspx?termid=26162")</f>
        <v>https://ceds.ed.gov/cedselementdetails.aspx?termid=26162</v>
      </c>
      <c r="Q707" s="16">
        <v>73515</v>
      </c>
    </row>
    <row r="708" spans="1:17" ht="86.4" x14ac:dyDescent="0.3">
      <c r="A708" s="16" t="s">
        <v>7596</v>
      </c>
      <c r="B708" s="16" t="s">
        <v>8868</v>
      </c>
      <c r="C708" s="16" t="s">
        <v>7660</v>
      </c>
      <c r="D708" s="16" t="s">
        <v>7597</v>
      </c>
      <c r="E708" s="16" t="s">
        <v>5760</v>
      </c>
      <c r="F708" s="16" t="s">
        <v>5761</v>
      </c>
      <c r="G708" s="16" t="s">
        <v>32</v>
      </c>
      <c r="H708" s="16" t="s">
        <v>5765</v>
      </c>
      <c r="I708" s="16"/>
      <c r="J708" s="16" t="s">
        <v>81</v>
      </c>
      <c r="K708" s="16"/>
      <c r="L708" s="16"/>
      <c r="M708" s="19" t="s">
        <v>5762</v>
      </c>
      <c r="N708" s="16" t="s">
        <v>5763</v>
      </c>
      <c r="O708" s="16" t="s">
        <v>5764</v>
      </c>
      <c r="P708" s="16" t="str">
        <f>HYPERLINK("https://ceds.ed.gov/cedselementdetails.aspx?termid=26212")</f>
        <v>https://ceds.ed.gov/cedselementdetails.aspx?termid=26212</v>
      </c>
      <c r="Q708" s="16">
        <v>73318</v>
      </c>
    </row>
    <row r="709" spans="1:17" ht="158.4" x14ac:dyDescent="0.3">
      <c r="A709" s="16" t="s">
        <v>7596</v>
      </c>
      <c r="B709" s="16" t="s">
        <v>8868</v>
      </c>
      <c r="C709" s="16" t="s">
        <v>7660</v>
      </c>
      <c r="D709" s="16" t="s">
        <v>7597</v>
      </c>
      <c r="E709" s="16" t="s">
        <v>3990</v>
      </c>
      <c r="F709" s="16" t="s">
        <v>3991</v>
      </c>
      <c r="G709" s="16" t="s">
        <v>32</v>
      </c>
      <c r="H709" s="16" t="s">
        <v>3994</v>
      </c>
      <c r="I709" s="16"/>
      <c r="J709" s="16" t="s">
        <v>7426</v>
      </c>
      <c r="K709" s="16"/>
      <c r="L709" s="16" t="s">
        <v>8047</v>
      </c>
      <c r="M709" s="19" t="s">
        <v>3992</v>
      </c>
      <c r="N709" s="16"/>
      <c r="O709" s="16" t="s">
        <v>3993</v>
      </c>
      <c r="P709" s="16" t="str">
        <f>HYPERLINK("https://ceds.ed.gov/cedselementdetails.aspx?termid=26115")</f>
        <v>https://ceds.ed.gov/cedselementdetails.aspx?termid=26115</v>
      </c>
      <c r="Q709" s="16">
        <v>73315</v>
      </c>
    </row>
    <row r="710" spans="1:17" ht="158.4" x14ac:dyDescent="0.3">
      <c r="A710" s="16" t="s">
        <v>7596</v>
      </c>
      <c r="B710" s="16" t="s">
        <v>8868</v>
      </c>
      <c r="C710" s="16" t="s">
        <v>7660</v>
      </c>
      <c r="D710" s="16" t="s">
        <v>7597</v>
      </c>
      <c r="E710" s="16" t="s">
        <v>5328</v>
      </c>
      <c r="F710" s="16" t="s">
        <v>5329</v>
      </c>
      <c r="G710" s="16" t="s">
        <v>32</v>
      </c>
      <c r="H710" s="16" t="s">
        <v>3994</v>
      </c>
      <c r="I710" s="16"/>
      <c r="J710" s="16" t="s">
        <v>7426</v>
      </c>
      <c r="K710" s="16"/>
      <c r="L710" s="16" t="s">
        <v>8053</v>
      </c>
      <c r="M710" s="19" t="s">
        <v>5330</v>
      </c>
      <c r="N710" s="16"/>
      <c r="O710" s="16" t="s">
        <v>5331</v>
      </c>
      <c r="P710" s="16" t="str">
        <f>HYPERLINK("https://ceds.ed.gov/cedselementdetails.aspx?termid=26184")</f>
        <v>https://ceds.ed.gov/cedselementdetails.aspx?termid=26184</v>
      </c>
      <c r="Q710" s="16">
        <v>73316</v>
      </c>
    </row>
    <row r="711" spans="1:17" ht="158.4" x14ac:dyDescent="0.3">
      <c r="A711" s="16" t="s">
        <v>7596</v>
      </c>
      <c r="B711" s="16" t="s">
        <v>8868</v>
      </c>
      <c r="C711" s="16" t="s">
        <v>7660</v>
      </c>
      <c r="D711" s="16" t="s">
        <v>7597</v>
      </c>
      <c r="E711" s="16" t="s">
        <v>4893</v>
      </c>
      <c r="F711" s="16" t="s">
        <v>4894</v>
      </c>
      <c r="G711" s="16" t="s">
        <v>32</v>
      </c>
      <c r="H711" s="16" t="s">
        <v>3994</v>
      </c>
      <c r="I711" s="16"/>
      <c r="J711" s="16" t="s">
        <v>7426</v>
      </c>
      <c r="K711" s="16"/>
      <c r="L711" s="16" t="s">
        <v>8053</v>
      </c>
      <c r="M711" s="19" t="s">
        <v>4895</v>
      </c>
      <c r="N711" s="16" t="s">
        <v>4896</v>
      </c>
      <c r="O711" s="16" t="s">
        <v>4897</v>
      </c>
      <c r="P711" s="16" t="str">
        <f>HYPERLINK("https://ceds.ed.gov/cedselementdetails.aspx?termid=26172")</f>
        <v>https://ceds.ed.gov/cedselementdetails.aspx?termid=26172</v>
      </c>
      <c r="Q711" s="16">
        <v>73317</v>
      </c>
    </row>
    <row r="712" spans="1:17" ht="129.6" x14ac:dyDescent="0.3">
      <c r="A712" s="16" t="s">
        <v>7596</v>
      </c>
      <c r="B712" s="16" t="s">
        <v>8868</v>
      </c>
      <c r="C712" s="16" t="s">
        <v>7660</v>
      </c>
      <c r="D712" s="16" t="s">
        <v>7597</v>
      </c>
      <c r="E712" s="16" t="s">
        <v>4054</v>
      </c>
      <c r="F712" s="16" t="s">
        <v>4055</v>
      </c>
      <c r="G712" s="16" t="s">
        <v>32</v>
      </c>
      <c r="H712" s="16" t="s">
        <v>4059</v>
      </c>
      <c r="I712" s="16"/>
      <c r="J712" s="16" t="s">
        <v>2697</v>
      </c>
      <c r="K712" s="16"/>
      <c r="L712" s="16" t="s">
        <v>8053</v>
      </c>
      <c r="M712" s="19" t="s">
        <v>4057</v>
      </c>
      <c r="N712" s="16"/>
      <c r="O712" s="16" t="s">
        <v>4058</v>
      </c>
      <c r="P712" s="16" t="str">
        <f>HYPERLINK("https://ceds.ed.gov/cedselementdetails.aspx?termid=26121")</f>
        <v>https://ceds.ed.gov/cedselementdetails.aspx?termid=26121</v>
      </c>
      <c r="Q712" s="16">
        <v>73319</v>
      </c>
    </row>
    <row r="713" spans="1:17" ht="72" x14ac:dyDescent="0.3">
      <c r="A713" s="16" t="s">
        <v>7596</v>
      </c>
      <c r="B713" s="16" t="s">
        <v>8868</v>
      </c>
      <c r="C713" s="16" t="s">
        <v>7660</v>
      </c>
      <c r="D713" s="16" t="s">
        <v>7597</v>
      </c>
      <c r="E713" s="16" t="s">
        <v>5773</v>
      </c>
      <c r="F713" s="16" t="s">
        <v>5774</v>
      </c>
      <c r="G713" s="16" t="s">
        <v>32</v>
      </c>
      <c r="H713" s="16" t="s">
        <v>64</v>
      </c>
      <c r="I713" s="16"/>
      <c r="J713" s="16" t="s">
        <v>1304</v>
      </c>
      <c r="K713" s="16"/>
      <c r="L713" s="16"/>
      <c r="M713" s="19" t="s">
        <v>5775</v>
      </c>
      <c r="N713" s="16"/>
      <c r="O713" s="16" t="s">
        <v>5776</v>
      </c>
      <c r="P713" s="16" t="str">
        <f>HYPERLINK("https://ceds.ed.gov/cedselementdetails.aspx?termid=26213")</f>
        <v>https://ceds.ed.gov/cedselementdetails.aspx?termid=26213</v>
      </c>
      <c r="Q713" s="16">
        <v>73314</v>
      </c>
    </row>
    <row r="714" spans="1:17" ht="129.6" x14ac:dyDescent="0.3">
      <c r="A714" s="16" t="s">
        <v>7596</v>
      </c>
      <c r="B714" s="16" t="s">
        <v>8868</v>
      </c>
      <c r="C714" s="16" t="s">
        <v>7660</v>
      </c>
      <c r="D714" s="16" t="s">
        <v>7597</v>
      </c>
      <c r="E714" s="16" t="s">
        <v>3380</v>
      </c>
      <c r="F714" s="16" t="s">
        <v>3381</v>
      </c>
      <c r="G714" s="16" t="s">
        <v>8537</v>
      </c>
      <c r="H714" s="16"/>
      <c r="I714" s="16"/>
      <c r="J714" s="16"/>
      <c r="K714" s="16"/>
      <c r="L714" s="16"/>
      <c r="M714" s="19" t="s">
        <v>3382</v>
      </c>
      <c r="N714" s="16"/>
      <c r="O714" s="16" t="s">
        <v>3383</v>
      </c>
      <c r="P714" s="16" t="str">
        <f>HYPERLINK("https://ceds.ed.gov/cedselementdetails.aspx?termid=27585")</f>
        <v>https://ceds.ed.gov/cedselementdetails.aspx?termid=27585</v>
      </c>
      <c r="Q714" s="16">
        <v>74075</v>
      </c>
    </row>
    <row r="715" spans="1:17" ht="115.2" x14ac:dyDescent="0.3">
      <c r="A715" s="16" t="s">
        <v>7596</v>
      </c>
      <c r="B715" s="16" t="s">
        <v>8868</v>
      </c>
      <c r="C715" s="16" t="s">
        <v>7660</v>
      </c>
      <c r="D715" s="16" t="s">
        <v>7597</v>
      </c>
      <c r="E715" s="16" t="s">
        <v>7161</v>
      </c>
      <c r="F715" s="16" t="s">
        <v>7162</v>
      </c>
      <c r="G715" s="16" t="s">
        <v>32</v>
      </c>
      <c r="H715" s="16"/>
      <c r="I715" s="16"/>
      <c r="J715" s="16" t="s">
        <v>747</v>
      </c>
      <c r="K715" s="16"/>
      <c r="L715" s="16" t="s">
        <v>8157</v>
      </c>
      <c r="M715" s="19" t="s">
        <v>7163</v>
      </c>
      <c r="N715" s="16"/>
      <c r="O715" s="16" t="s">
        <v>7164</v>
      </c>
      <c r="P715" s="16" t="str">
        <f>HYPERLINK("https://ceds.ed.gov/cedselementdetails.aspx?termid=27609")</f>
        <v>https://ceds.ed.gov/cedselementdetails.aspx?termid=27609</v>
      </c>
      <c r="Q715" s="16">
        <v>74109</v>
      </c>
    </row>
    <row r="716" spans="1:17" ht="100.8" x14ac:dyDescent="0.3">
      <c r="A716" s="16" t="s">
        <v>7596</v>
      </c>
      <c r="B716" s="16" t="s">
        <v>8868</v>
      </c>
      <c r="C716" s="16" t="s">
        <v>7660</v>
      </c>
      <c r="D716" s="16" t="s">
        <v>7597</v>
      </c>
      <c r="E716" s="16" t="s">
        <v>191</v>
      </c>
      <c r="F716" s="16" t="s">
        <v>192</v>
      </c>
      <c r="G716" s="16" t="s">
        <v>8295</v>
      </c>
      <c r="H716" s="16" t="s">
        <v>195</v>
      </c>
      <c r="I716" s="16"/>
      <c r="J716" s="16" t="s">
        <v>81</v>
      </c>
      <c r="K716" s="16"/>
      <c r="L716" s="16"/>
      <c r="M716" s="19" t="s">
        <v>193</v>
      </c>
      <c r="N716" s="16"/>
      <c r="O716" s="16" t="s">
        <v>194</v>
      </c>
      <c r="P716" s="16" t="str">
        <f>HYPERLINK("https://ceds.ed.gov/cedselementdetails.aspx?termid=26698")</f>
        <v>https://ceds.ed.gov/cedselementdetails.aspx?termid=26698</v>
      </c>
      <c r="Q716" s="16">
        <v>73349</v>
      </c>
    </row>
    <row r="717" spans="1:17" ht="187.2" x14ac:dyDescent="0.3">
      <c r="A717" s="16" t="s">
        <v>7596</v>
      </c>
      <c r="B717" s="16" t="s">
        <v>8868</v>
      </c>
      <c r="C717" s="16" t="s">
        <v>7660</v>
      </c>
      <c r="D717" s="16" t="s">
        <v>7597</v>
      </c>
      <c r="E717" s="16" t="s">
        <v>177</v>
      </c>
      <c r="F717" s="16" t="s">
        <v>178</v>
      </c>
      <c r="G717" s="16" t="s">
        <v>32</v>
      </c>
      <c r="H717" s="16" t="s">
        <v>163</v>
      </c>
      <c r="I717" s="16"/>
      <c r="J717" s="16" t="s">
        <v>179</v>
      </c>
      <c r="K717" s="16"/>
      <c r="L717" s="16"/>
      <c r="M717" s="19" t="s">
        <v>180</v>
      </c>
      <c r="N717" s="16"/>
      <c r="O717" s="16" t="s">
        <v>181</v>
      </c>
      <c r="P717" s="16" t="str">
        <f>HYPERLINK("https://ceds.ed.gov/cedselementdetails.aspx?termid=26269")</f>
        <v>https://ceds.ed.gov/cedselementdetails.aspx?termid=26269</v>
      </c>
      <c r="Q717" s="16">
        <v>73348</v>
      </c>
    </row>
    <row r="718" spans="1:17" ht="187.2" x14ac:dyDescent="0.3">
      <c r="A718" s="16" t="s">
        <v>7596</v>
      </c>
      <c r="B718" s="16" t="s">
        <v>8868</v>
      </c>
      <c r="C718" s="16" t="s">
        <v>7660</v>
      </c>
      <c r="D718" s="16" t="s">
        <v>7597</v>
      </c>
      <c r="E718" s="16" t="s">
        <v>158</v>
      </c>
      <c r="F718" s="16" t="s">
        <v>159</v>
      </c>
      <c r="G718" s="16" t="s">
        <v>32</v>
      </c>
      <c r="H718" s="16" t="s">
        <v>163</v>
      </c>
      <c r="I718" s="16"/>
      <c r="J718" s="16" t="s">
        <v>145</v>
      </c>
      <c r="K718" s="16"/>
      <c r="L718" s="16"/>
      <c r="M718" s="19" t="s">
        <v>161</v>
      </c>
      <c r="N718" s="16"/>
      <c r="O718" s="16" t="s">
        <v>162</v>
      </c>
      <c r="P718" s="16" t="str">
        <f>HYPERLINK("https://ceds.ed.gov/cedselementdetails.aspx?termid=26019")</f>
        <v>https://ceds.ed.gov/cedselementdetails.aspx?termid=26019</v>
      </c>
      <c r="Q718" s="16">
        <v>73344</v>
      </c>
    </row>
    <row r="719" spans="1:17" ht="187.2" x14ac:dyDescent="0.3">
      <c r="A719" s="16" t="s">
        <v>7596</v>
      </c>
      <c r="B719" s="16" t="s">
        <v>8868</v>
      </c>
      <c r="C719" s="16" t="s">
        <v>7660</v>
      </c>
      <c r="D719" s="16" t="s">
        <v>7597</v>
      </c>
      <c r="E719" s="16" t="s">
        <v>164</v>
      </c>
      <c r="F719" s="16" t="s">
        <v>165</v>
      </c>
      <c r="G719" s="16" t="s">
        <v>32</v>
      </c>
      <c r="H719" s="16" t="s">
        <v>163</v>
      </c>
      <c r="I719" s="16"/>
      <c r="J719" s="16" t="s">
        <v>81</v>
      </c>
      <c r="K719" s="16"/>
      <c r="L719" s="16"/>
      <c r="M719" s="19" t="s">
        <v>166</v>
      </c>
      <c r="N719" s="16"/>
      <c r="O719" s="16" t="s">
        <v>167</v>
      </c>
      <c r="P719" s="16" t="str">
        <f>HYPERLINK("https://ceds.ed.gov/cedselementdetails.aspx?termid=26040")</f>
        <v>https://ceds.ed.gov/cedselementdetails.aspx?termid=26040</v>
      </c>
      <c r="Q719" s="16">
        <v>73345</v>
      </c>
    </row>
    <row r="720" spans="1:17" ht="409.6" x14ac:dyDescent="0.3">
      <c r="A720" s="16" t="s">
        <v>7596</v>
      </c>
      <c r="B720" s="16" t="s">
        <v>8868</v>
      </c>
      <c r="C720" s="16" t="s">
        <v>7660</v>
      </c>
      <c r="D720" s="16" t="s">
        <v>7597</v>
      </c>
      <c r="E720" s="16" t="s">
        <v>6840</v>
      </c>
      <c r="F720" s="16" t="s">
        <v>6841</v>
      </c>
      <c r="G720" s="16" t="s">
        <v>8266</v>
      </c>
      <c r="H720" s="16" t="s">
        <v>6844</v>
      </c>
      <c r="I720" s="16"/>
      <c r="J720" s="16"/>
      <c r="K720" s="16"/>
      <c r="L720" s="16"/>
      <c r="M720" s="19" t="s">
        <v>6842</v>
      </c>
      <c r="N720" s="16"/>
      <c r="O720" s="16" t="s">
        <v>6843</v>
      </c>
      <c r="P720" s="16" t="str">
        <f>HYPERLINK("https://ceds.ed.gov/cedselementdetails.aspx?termid=26267")</f>
        <v>https://ceds.ed.gov/cedselementdetails.aspx?termid=26267</v>
      </c>
      <c r="Q720" s="16">
        <v>73346</v>
      </c>
    </row>
    <row r="721" spans="1:17" ht="187.2" x14ac:dyDescent="0.3">
      <c r="A721" s="16" t="s">
        <v>7596</v>
      </c>
      <c r="B721" s="16" t="s">
        <v>8868</v>
      </c>
      <c r="C721" s="16" t="s">
        <v>7660</v>
      </c>
      <c r="D721" s="16" t="s">
        <v>7597</v>
      </c>
      <c r="E721" s="16" t="s">
        <v>172</v>
      </c>
      <c r="F721" s="16" t="s">
        <v>173</v>
      </c>
      <c r="G721" s="16" t="s">
        <v>32</v>
      </c>
      <c r="H721" s="16" t="s">
        <v>163</v>
      </c>
      <c r="I721" s="16"/>
      <c r="J721" s="16" t="s">
        <v>174</v>
      </c>
      <c r="K721" s="16"/>
      <c r="L721" s="16"/>
      <c r="M721" s="19" t="s">
        <v>175</v>
      </c>
      <c r="N721" s="16"/>
      <c r="O721" s="16" t="s">
        <v>176</v>
      </c>
      <c r="P721" s="16" t="str">
        <f>HYPERLINK("https://ceds.ed.gov/cedselementdetails.aspx?termid=26214")</f>
        <v>https://ceds.ed.gov/cedselementdetails.aspx?termid=26214</v>
      </c>
      <c r="Q721" s="16">
        <v>73347</v>
      </c>
    </row>
    <row r="722" spans="1:17" ht="72" x14ac:dyDescent="0.3">
      <c r="A722" s="16" t="s">
        <v>7596</v>
      </c>
      <c r="B722" s="16" t="s">
        <v>8868</v>
      </c>
      <c r="C722" s="16" t="s">
        <v>7660</v>
      </c>
      <c r="D722" s="16" t="s">
        <v>7597</v>
      </c>
      <c r="E722" s="16" t="s">
        <v>5865</v>
      </c>
      <c r="F722" s="16" t="s">
        <v>5866</v>
      </c>
      <c r="G722" s="16" t="s">
        <v>22</v>
      </c>
      <c r="H722" s="16" t="s">
        <v>64</v>
      </c>
      <c r="I722" s="16"/>
      <c r="J722" s="16"/>
      <c r="K722" s="16"/>
      <c r="L722" s="16"/>
      <c r="M722" s="19" t="s">
        <v>5867</v>
      </c>
      <c r="N722" s="16"/>
      <c r="O722" s="16" t="s">
        <v>5868</v>
      </c>
      <c r="P722" s="16" t="str">
        <f>HYPERLINK("https://ceds.ed.gov/cedselementdetails.aspx?termid=26219")</f>
        <v>https://ceds.ed.gov/cedselementdetails.aspx?termid=26219</v>
      </c>
      <c r="Q722" s="16">
        <v>73326</v>
      </c>
    </row>
    <row r="723" spans="1:17" ht="86.4" x14ac:dyDescent="0.3">
      <c r="A723" s="16" t="s">
        <v>7596</v>
      </c>
      <c r="B723" s="16" t="s">
        <v>8868</v>
      </c>
      <c r="C723" s="16" t="s">
        <v>7660</v>
      </c>
      <c r="D723" s="16" t="s">
        <v>7597</v>
      </c>
      <c r="E723" s="16" t="s">
        <v>7062</v>
      </c>
      <c r="F723" s="16" t="s">
        <v>7063</v>
      </c>
      <c r="G723" s="16" t="s">
        <v>8849</v>
      </c>
      <c r="H723" s="16" t="s">
        <v>64</v>
      </c>
      <c r="I723" s="16"/>
      <c r="J723" s="16" t="s">
        <v>2500</v>
      </c>
      <c r="K723" s="16"/>
      <c r="L723" s="16"/>
      <c r="M723" s="19" t="s">
        <v>7064</v>
      </c>
      <c r="N723" s="16"/>
      <c r="O723" s="16" t="s">
        <v>7065</v>
      </c>
      <c r="P723" s="16" t="str">
        <f>HYPERLINK("https://ceds.ed.gov/cedselementdetails.aspx?termid=26280")</f>
        <v>https://ceds.ed.gov/cedselementdetails.aspx?termid=26280</v>
      </c>
      <c r="Q723" s="16">
        <v>73448</v>
      </c>
    </row>
    <row r="724" spans="1:17" ht="72" x14ac:dyDescent="0.3">
      <c r="A724" s="16" t="s">
        <v>7596</v>
      </c>
      <c r="B724" s="16" t="s">
        <v>8868</v>
      </c>
      <c r="C724" s="16" t="s">
        <v>7660</v>
      </c>
      <c r="D724" s="16" t="s">
        <v>7597</v>
      </c>
      <c r="E724" s="16" t="s">
        <v>7053</v>
      </c>
      <c r="F724" s="16" t="s">
        <v>7054</v>
      </c>
      <c r="G724" s="16" t="s">
        <v>32</v>
      </c>
      <c r="H724" s="16" t="s">
        <v>64</v>
      </c>
      <c r="I724" s="16"/>
      <c r="J724" s="16" t="s">
        <v>7055</v>
      </c>
      <c r="K724" s="16"/>
      <c r="L724" s="16"/>
      <c r="M724" s="19" t="s">
        <v>7056</v>
      </c>
      <c r="N724" s="16"/>
      <c r="O724" s="16" t="s">
        <v>7057</v>
      </c>
      <c r="P724" s="16" t="str">
        <f>HYPERLINK("https://ceds.ed.gov/cedselementdetails.aspx?termid=26279")</f>
        <v>https://ceds.ed.gov/cedselementdetails.aspx?termid=26279</v>
      </c>
      <c r="Q724" s="16">
        <v>73446</v>
      </c>
    </row>
    <row r="725" spans="1:17" ht="158.4" x14ac:dyDescent="0.3">
      <c r="A725" s="16" t="s">
        <v>7596</v>
      </c>
      <c r="B725" s="16" t="s">
        <v>8868</v>
      </c>
      <c r="C725" s="16" t="s">
        <v>7660</v>
      </c>
      <c r="D725" s="16" t="s">
        <v>7597</v>
      </c>
      <c r="E725" s="16" t="s">
        <v>2493</v>
      </c>
      <c r="F725" s="16" t="s">
        <v>2494</v>
      </c>
      <c r="G725" s="16" t="s">
        <v>32</v>
      </c>
      <c r="H725" s="16"/>
      <c r="I725" s="16"/>
      <c r="J725" s="16" t="s">
        <v>2495</v>
      </c>
      <c r="K725" s="16"/>
      <c r="L725" s="16"/>
      <c r="M725" s="19" t="s">
        <v>2496</v>
      </c>
      <c r="N725" s="16"/>
      <c r="O725" s="16" t="s">
        <v>2497</v>
      </c>
      <c r="P725" s="16" t="str">
        <f>HYPERLINK("https://ceds.ed.gov/cedselementdetails.aspx?termid=27176")</f>
        <v>https://ceds.ed.gov/cedselementdetails.aspx?termid=27176</v>
      </c>
      <c r="Q725" s="16">
        <v>75289</v>
      </c>
    </row>
    <row r="726" spans="1:17" ht="57.6" x14ac:dyDescent="0.3">
      <c r="A726" s="16" t="s">
        <v>7596</v>
      </c>
      <c r="B726" s="16" t="s">
        <v>8868</v>
      </c>
      <c r="C726" s="16" t="s">
        <v>7660</v>
      </c>
      <c r="D726" s="16" t="s">
        <v>7597</v>
      </c>
      <c r="E726" s="16" t="s">
        <v>3175</v>
      </c>
      <c r="F726" s="16" t="s">
        <v>3176</v>
      </c>
      <c r="G726" s="16" t="s">
        <v>2987</v>
      </c>
      <c r="H726" s="16"/>
      <c r="I726" s="16"/>
      <c r="J726" s="16"/>
      <c r="K726" s="16"/>
      <c r="L726" s="16"/>
      <c r="M726" s="19" t="s">
        <v>3177</v>
      </c>
      <c r="N726" s="16"/>
      <c r="O726" s="16" t="s">
        <v>3178</v>
      </c>
      <c r="P726" s="16" t="str">
        <f>HYPERLINK("https://ceds.ed.gov/cedselementdetails.aspx?termid=27905")</f>
        <v>https://ceds.ed.gov/cedselementdetails.aspx?termid=27905</v>
      </c>
      <c r="Q726" s="16">
        <v>75290</v>
      </c>
    </row>
    <row r="727" spans="1:17" ht="57.6" x14ac:dyDescent="0.3">
      <c r="A727" s="16" t="s">
        <v>7596</v>
      </c>
      <c r="B727" s="16" t="s">
        <v>8868</v>
      </c>
      <c r="C727" s="16" t="s">
        <v>7660</v>
      </c>
      <c r="D727" s="16" t="s">
        <v>7597</v>
      </c>
      <c r="E727" s="16" t="s">
        <v>7058</v>
      </c>
      <c r="F727" s="16" t="s">
        <v>7059</v>
      </c>
      <c r="G727" s="16" t="s">
        <v>8848</v>
      </c>
      <c r="H727" s="16"/>
      <c r="I727" s="16"/>
      <c r="J727" s="16"/>
      <c r="K727" s="16"/>
      <c r="L727" s="16"/>
      <c r="M727" s="19" t="s">
        <v>7060</v>
      </c>
      <c r="N727" s="16"/>
      <c r="O727" s="16" t="s">
        <v>7061</v>
      </c>
      <c r="P727" s="16" t="str">
        <f>HYPERLINK("https://ceds.ed.gov/cedselementdetails.aspx?termid=27911")</f>
        <v>https://ceds.ed.gov/cedselementdetails.aspx?termid=27911</v>
      </c>
      <c r="Q727" s="16">
        <v>75291</v>
      </c>
    </row>
    <row r="728" spans="1:17" ht="100.8" x14ac:dyDescent="0.3">
      <c r="A728" s="16" t="s">
        <v>7596</v>
      </c>
      <c r="B728" s="16" t="s">
        <v>8868</v>
      </c>
      <c r="C728" s="16" t="s">
        <v>7661</v>
      </c>
      <c r="D728" s="16" t="s">
        <v>7597</v>
      </c>
      <c r="E728" s="16" t="s">
        <v>5918</v>
      </c>
      <c r="F728" s="16" t="s">
        <v>5919</v>
      </c>
      <c r="G728" s="16" t="s">
        <v>32</v>
      </c>
      <c r="H728" s="16" t="s">
        <v>195</v>
      </c>
      <c r="I728" s="16"/>
      <c r="J728" s="16" t="s">
        <v>120</v>
      </c>
      <c r="K728" s="16"/>
      <c r="L728" s="16" t="s">
        <v>121</v>
      </c>
      <c r="M728" s="19" t="s">
        <v>5920</v>
      </c>
      <c r="N728" s="16"/>
      <c r="O728" s="16" t="s">
        <v>5921</v>
      </c>
      <c r="P728" s="16" t="str">
        <f>HYPERLINK("https://ceds.ed.gov/cedselementdetails.aspx?termid=26808")</f>
        <v>https://ceds.ed.gov/cedselementdetails.aspx?termid=26808</v>
      </c>
      <c r="Q728" s="16">
        <v>72256</v>
      </c>
    </row>
    <row r="729" spans="1:17" ht="43.2" x14ac:dyDescent="0.3">
      <c r="A729" s="16" t="s">
        <v>7596</v>
      </c>
      <c r="B729" s="16" t="s">
        <v>8868</v>
      </c>
      <c r="C729" s="16" t="s">
        <v>7661</v>
      </c>
      <c r="D729" s="16" t="s">
        <v>7597</v>
      </c>
      <c r="E729" s="16" t="s">
        <v>5938</v>
      </c>
      <c r="F729" s="16" t="s">
        <v>5939</v>
      </c>
      <c r="G729" s="16" t="s">
        <v>32</v>
      </c>
      <c r="H729" s="16" t="s">
        <v>195</v>
      </c>
      <c r="I729" s="16"/>
      <c r="J729" s="16" t="s">
        <v>145</v>
      </c>
      <c r="K729" s="16"/>
      <c r="L729" s="16"/>
      <c r="M729" s="19" t="s">
        <v>5940</v>
      </c>
      <c r="N729" s="16"/>
      <c r="O729" s="16" t="s">
        <v>5941</v>
      </c>
      <c r="P729" s="16" t="str">
        <f>HYPERLINK("https://ceds.ed.gov/cedselementdetails.aspx?termid=26809")</f>
        <v>https://ceds.ed.gov/cedselementdetails.aspx?termid=26809</v>
      </c>
      <c r="Q729" s="16">
        <v>73340</v>
      </c>
    </row>
    <row r="730" spans="1:17" ht="158.4" x14ac:dyDescent="0.3">
      <c r="A730" s="16" t="s">
        <v>7596</v>
      </c>
      <c r="B730" s="16" t="s">
        <v>8868</v>
      </c>
      <c r="C730" s="16" t="s">
        <v>7661</v>
      </c>
      <c r="D730" s="16" t="s">
        <v>7597</v>
      </c>
      <c r="E730" s="16" t="s">
        <v>5942</v>
      </c>
      <c r="F730" s="16" t="s">
        <v>5943</v>
      </c>
      <c r="G730" s="16" t="s">
        <v>8784</v>
      </c>
      <c r="H730" s="16"/>
      <c r="I730" s="16"/>
      <c r="J730" s="16"/>
      <c r="K730" s="16"/>
      <c r="L730" s="16" t="s">
        <v>5944</v>
      </c>
      <c r="M730" s="19" t="s">
        <v>5945</v>
      </c>
      <c r="N730" s="16"/>
      <c r="O730" s="16" t="s">
        <v>5946</v>
      </c>
      <c r="P730" s="16" t="str">
        <f>HYPERLINK("https://ceds.ed.gov/cedselementdetails.aspx?termid=27412")</f>
        <v>https://ceds.ed.gov/cedselementdetails.aspx?termid=27412</v>
      </c>
      <c r="Q730" s="16">
        <v>73341</v>
      </c>
    </row>
    <row r="731" spans="1:17" ht="28.8" x14ac:dyDescent="0.3">
      <c r="A731" s="16" t="s">
        <v>7596</v>
      </c>
      <c r="B731" s="16" t="s">
        <v>8868</v>
      </c>
      <c r="C731" s="16" t="s">
        <v>7661</v>
      </c>
      <c r="D731" s="16" t="s">
        <v>7597</v>
      </c>
      <c r="E731" s="16" t="s">
        <v>5905</v>
      </c>
      <c r="F731" s="16" t="s">
        <v>5906</v>
      </c>
      <c r="G731" s="16" t="s">
        <v>32</v>
      </c>
      <c r="H731" s="16"/>
      <c r="I731" s="16"/>
      <c r="J731" s="16" t="s">
        <v>316</v>
      </c>
      <c r="K731" s="16"/>
      <c r="L731" s="16"/>
      <c r="M731" s="19" t="s">
        <v>5907</v>
      </c>
      <c r="N731" s="16"/>
      <c r="O731" s="16" t="s">
        <v>5908</v>
      </c>
      <c r="P731" s="16" t="str">
        <f>HYPERLINK("https://ceds.ed.gov/cedselementdetails.aspx?termid=27408")</f>
        <v>https://ceds.ed.gov/cedselementdetails.aspx?termid=27408</v>
      </c>
      <c r="Q731" s="16">
        <v>73337</v>
      </c>
    </row>
    <row r="732" spans="1:17" ht="409.6" x14ac:dyDescent="0.3">
      <c r="A732" s="16" t="s">
        <v>7596</v>
      </c>
      <c r="B732" s="16" t="s">
        <v>8868</v>
      </c>
      <c r="C732" s="16" t="s">
        <v>7661</v>
      </c>
      <c r="D732" s="16" t="s">
        <v>7597</v>
      </c>
      <c r="E732" s="16" t="s">
        <v>5909</v>
      </c>
      <c r="F732" s="16" t="s">
        <v>5910</v>
      </c>
      <c r="G732" s="16" t="s">
        <v>8780</v>
      </c>
      <c r="H732" s="16"/>
      <c r="I732" s="16"/>
      <c r="J732" s="16"/>
      <c r="K732" s="16"/>
      <c r="L732" s="16" t="s">
        <v>5911</v>
      </c>
      <c r="M732" s="19" t="s">
        <v>5912</v>
      </c>
      <c r="N732" s="16"/>
      <c r="O732" s="16" t="s">
        <v>5913</v>
      </c>
      <c r="P732" s="16" t="str">
        <f>HYPERLINK("https://ceds.ed.gov/cedselementdetails.aspx?termid=27245")</f>
        <v>https://ceds.ed.gov/cedselementdetails.aspx?termid=27245</v>
      </c>
      <c r="Q732" s="16">
        <v>73062</v>
      </c>
    </row>
    <row r="733" spans="1:17" ht="28.8" x14ac:dyDescent="0.3">
      <c r="A733" s="16" t="s">
        <v>7596</v>
      </c>
      <c r="B733" s="16" t="s">
        <v>8868</v>
      </c>
      <c r="C733" s="16" t="s">
        <v>7661</v>
      </c>
      <c r="D733" s="16" t="s">
        <v>7597</v>
      </c>
      <c r="E733" s="16" t="s">
        <v>5926</v>
      </c>
      <c r="F733" s="16" t="s">
        <v>5927</v>
      </c>
      <c r="G733" s="16" t="s">
        <v>32</v>
      </c>
      <c r="H733" s="16"/>
      <c r="I733" s="16"/>
      <c r="J733" s="16" t="s">
        <v>316</v>
      </c>
      <c r="K733" s="16"/>
      <c r="L733" s="16"/>
      <c r="M733" s="19" t="s">
        <v>5928</v>
      </c>
      <c r="N733" s="16"/>
      <c r="O733" s="16" t="s">
        <v>5929</v>
      </c>
      <c r="P733" s="16" t="str">
        <f>HYPERLINK("https://ceds.ed.gov/cedselementdetails.aspx?termid=27410")</f>
        <v>https://ceds.ed.gov/cedselementdetails.aspx?termid=27410</v>
      </c>
      <c r="Q733" s="16">
        <v>73338</v>
      </c>
    </row>
    <row r="734" spans="1:17" ht="57.6" x14ac:dyDescent="0.3">
      <c r="A734" s="16" t="s">
        <v>7596</v>
      </c>
      <c r="B734" s="16" t="s">
        <v>8868</v>
      </c>
      <c r="C734" s="16" t="s">
        <v>7661</v>
      </c>
      <c r="D734" s="16" t="s">
        <v>7597</v>
      </c>
      <c r="E734" s="16" t="s">
        <v>5922</v>
      </c>
      <c r="F734" s="16" t="s">
        <v>5923</v>
      </c>
      <c r="G734" s="16" t="s">
        <v>8781</v>
      </c>
      <c r="H734" s="16"/>
      <c r="I734" s="16"/>
      <c r="J734" s="16"/>
      <c r="K734" s="16"/>
      <c r="L734" s="16"/>
      <c r="M734" s="19" t="s">
        <v>5924</v>
      </c>
      <c r="N734" s="16"/>
      <c r="O734" s="16" t="s">
        <v>5925</v>
      </c>
      <c r="P734" s="16" t="str">
        <f>HYPERLINK("https://ceds.ed.gov/cedselementdetails.aspx?termid=27409")</f>
        <v>https://ceds.ed.gov/cedselementdetails.aspx?termid=27409</v>
      </c>
      <c r="Q734" s="16">
        <v>73339</v>
      </c>
    </row>
    <row r="735" spans="1:17" ht="72" x14ac:dyDescent="0.3">
      <c r="A735" s="16" t="s">
        <v>7596</v>
      </c>
      <c r="B735" s="16" t="s">
        <v>8868</v>
      </c>
      <c r="C735" s="16" t="s">
        <v>7661</v>
      </c>
      <c r="D735" s="16" t="s">
        <v>7597</v>
      </c>
      <c r="E735" s="16" t="s">
        <v>5897</v>
      </c>
      <c r="F735" s="16" t="s">
        <v>5898</v>
      </c>
      <c r="G735" s="16" t="s">
        <v>8778</v>
      </c>
      <c r="H735" s="16"/>
      <c r="I735" s="16"/>
      <c r="J735" s="16"/>
      <c r="K735" s="16"/>
      <c r="L735" s="16"/>
      <c r="M735" s="19" t="s">
        <v>5899</v>
      </c>
      <c r="N735" s="16"/>
      <c r="O735" s="16" t="s">
        <v>5900</v>
      </c>
      <c r="P735" s="16" t="str">
        <f>HYPERLINK("https://ceds.ed.gov/cedselementdetails.aspx?termid=27406")</f>
        <v>https://ceds.ed.gov/cedselementdetails.aspx?termid=27406</v>
      </c>
      <c r="Q735" s="16">
        <v>73335</v>
      </c>
    </row>
    <row r="736" spans="1:17" ht="28.8" x14ac:dyDescent="0.3">
      <c r="A736" s="16" t="s">
        <v>7596</v>
      </c>
      <c r="B736" s="16" t="s">
        <v>8868</v>
      </c>
      <c r="C736" s="16" t="s">
        <v>7661</v>
      </c>
      <c r="D736" s="16" t="s">
        <v>7597</v>
      </c>
      <c r="E736" s="16" t="s">
        <v>5901</v>
      </c>
      <c r="F736" s="16" t="s">
        <v>5902</v>
      </c>
      <c r="G736" s="16" t="s">
        <v>32</v>
      </c>
      <c r="H736" s="16"/>
      <c r="I736" s="16"/>
      <c r="J736" s="16" t="s">
        <v>1481</v>
      </c>
      <c r="K736" s="16"/>
      <c r="L736" s="16"/>
      <c r="M736" s="19" t="s">
        <v>5903</v>
      </c>
      <c r="N736" s="16"/>
      <c r="O736" s="16" t="s">
        <v>5904</v>
      </c>
      <c r="P736" s="16" t="str">
        <f>HYPERLINK("https://ceds.ed.gov/cedselementdetails.aspx?termid=27407")</f>
        <v>https://ceds.ed.gov/cedselementdetails.aspx?termid=27407</v>
      </c>
      <c r="Q736" s="16">
        <v>73336</v>
      </c>
    </row>
    <row r="737" spans="1:17" ht="403.2" x14ac:dyDescent="0.3">
      <c r="A737" s="16" t="s">
        <v>7596</v>
      </c>
      <c r="B737" s="16" t="s">
        <v>8868</v>
      </c>
      <c r="C737" s="16" t="s">
        <v>7661</v>
      </c>
      <c r="D737" s="16" t="s">
        <v>7597</v>
      </c>
      <c r="E737" s="16" t="s">
        <v>5934</v>
      </c>
      <c r="F737" s="16" t="s">
        <v>5935</v>
      </c>
      <c r="G737" s="16" t="s">
        <v>8783</v>
      </c>
      <c r="H737" s="16"/>
      <c r="I737" s="16"/>
      <c r="J737" s="16"/>
      <c r="K737" s="16"/>
      <c r="L737" s="16"/>
      <c r="M737" s="19" t="s">
        <v>5936</v>
      </c>
      <c r="N737" s="16"/>
      <c r="O737" s="16" t="s">
        <v>5937</v>
      </c>
      <c r="P737" s="16" t="str">
        <f>HYPERLINK("https://ceds.ed.gov/cedselementdetails.aspx?termid=27464")</f>
        <v>https://ceds.ed.gov/cedselementdetails.aspx?termid=27464</v>
      </c>
      <c r="Q737" s="16">
        <v>73432</v>
      </c>
    </row>
    <row r="738" spans="1:17" ht="115.2" x14ac:dyDescent="0.3">
      <c r="A738" s="16" t="s">
        <v>7596</v>
      </c>
      <c r="B738" s="16" t="s">
        <v>8868</v>
      </c>
      <c r="C738" s="16" t="s">
        <v>7661</v>
      </c>
      <c r="D738" s="16" t="s">
        <v>7597</v>
      </c>
      <c r="E738" s="16" t="s">
        <v>6010</v>
      </c>
      <c r="F738" s="16" t="s">
        <v>6011</v>
      </c>
      <c r="G738" s="16" t="s">
        <v>7313</v>
      </c>
      <c r="H738" s="16"/>
      <c r="I738" s="16"/>
      <c r="J738" s="16"/>
      <c r="K738" s="16"/>
      <c r="L738" s="16" t="s">
        <v>7859</v>
      </c>
      <c r="M738" s="19" t="s">
        <v>6012</v>
      </c>
      <c r="N738" s="16"/>
      <c r="O738" s="16" t="s">
        <v>6013</v>
      </c>
      <c r="P738" s="16" t="str">
        <f>HYPERLINK("https://ceds.ed.gov/cedselementdetails.aspx?termid=27357")</f>
        <v>https://ceds.ed.gov/cedselementdetails.aspx?termid=27357</v>
      </c>
      <c r="Q738" s="16">
        <v>73861</v>
      </c>
    </row>
    <row r="739" spans="1:17" ht="43.2" x14ac:dyDescent="0.3">
      <c r="A739" s="16" t="s">
        <v>7596</v>
      </c>
      <c r="B739" s="16" t="s">
        <v>8868</v>
      </c>
      <c r="C739" s="16" t="s">
        <v>7661</v>
      </c>
      <c r="D739" s="16" t="s">
        <v>7597</v>
      </c>
      <c r="E739" s="16" t="s">
        <v>5930</v>
      </c>
      <c r="F739" s="16" t="s">
        <v>5931</v>
      </c>
      <c r="G739" s="16" t="s">
        <v>22</v>
      </c>
      <c r="H739" s="16"/>
      <c r="I739" s="16"/>
      <c r="J739" s="16"/>
      <c r="K739" s="16"/>
      <c r="L739" s="16"/>
      <c r="M739" s="19" t="s">
        <v>5932</v>
      </c>
      <c r="N739" s="16"/>
      <c r="O739" s="16" t="s">
        <v>5933</v>
      </c>
      <c r="P739" s="16" t="str">
        <f>HYPERLINK("https://ceds.ed.gov/cedselementdetails.aspx?termid=27598")</f>
        <v>https://ceds.ed.gov/cedselementdetails.aspx?termid=27598</v>
      </c>
      <c r="Q739" s="16">
        <v>74097</v>
      </c>
    </row>
    <row r="740" spans="1:17" ht="43.2" x14ac:dyDescent="0.3">
      <c r="A740" s="16" t="s">
        <v>7596</v>
      </c>
      <c r="B740" s="16" t="s">
        <v>8868</v>
      </c>
      <c r="C740" s="16" t="s">
        <v>7661</v>
      </c>
      <c r="D740" s="16" t="s">
        <v>7597</v>
      </c>
      <c r="E740" s="16" t="s">
        <v>5914</v>
      </c>
      <c r="F740" s="16" t="s">
        <v>5915</v>
      </c>
      <c r="G740" s="16" t="s">
        <v>32</v>
      </c>
      <c r="H740" s="16"/>
      <c r="I740" s="16"/>
      <c r="J740" s="16" t="s">
        <v>106</v>
      </c>
      <c r="K740" s="16"/>
      <c r="L740" s="16"/>
      <c r="M740" s="19" t="s">
        <v>5916</v>
      </c>
      <c r="N740" s="16"/>
      <c r="O740" s="16" t="s">
        <v>5917</v>
      </c>
      <c r="P740" s="16" t="str">
        <f>HYPERLINK("https://ceds.ed.gov/cedselementdetails.aspx?termid=27421")</f>
        <v>https://ceds.ed.gov/cedselementdetails.aspx?termid=27421</v>
      </c>
      <c r="Q740" s="16">
        <v>73356</v>
      </c>
    </row>
    <row r="741" spans="1:17" ht="72" x14ac:dyDescent="0.3">
      <c r="A741" s="16" t="s">
        <v>7596</v>
      </c>
      <c r="B741" s="16" t="s">
        <v>8868</v>
      </c>
      <c r="C741" s="16" t="s">
        <v>7661</v>
      </c>
      <c r="D741" s="16" t="s">
        <v>7597</v>
      </c>
      <c r="E741" s="16" t="s">
        <v>5885</v>
      </c>
      <c r="F741" s="16" t="s">
        <v>5886</v>
      </c>
      <c r="G741" s="16" t="s">
        <v>8776</v>
      </c>
      <c r="H741" s="16"/>
      <c r="I741" s="16"/>
      <c r="J741" s="16"/>
      <c r="K741" s="16"/>
      <c r="L741" s="16"/>
      <c r="M741" s="19" t="s">
        <v>5887</v>
      </c>
      <c r="N741" s="16"/>
      <c r="O741" s="16" t="s">
        <v>5888</v>
      </c>
      <c r="P741" s="16" t="str">
        <f>HYPERLINK("https://ceds.ed.gov/cedselementdetails.aspx?termid=27403")</f>
        <v>https://ceds.ed.gov/cedselementdetails.aspx?termid=27403</v>
      </c>
      <c r="Q741" s="16">
        <v>73332</v>
      </c>
    </row>
    <row r="742" spans="1:17" ht="43.2" x14ac:dyDescent="0.3">
      <c r="A742" s="16" t="s">
        <v>7596</v>
      </c>
      <c r="B742" s="16" t="s">
        <v>8868</v>
      </c>
      <c r="C742" s="16" t="s">
        <v>7661</v>
      </c>
      <c r="D742" s="16" t="s">
        <v>7597</v>
      </c>
      <c r="E742" s="16" t="s">
        <v>5881</v>
      </c>
      <c r="F742" s="16" t="s">
        <v>5882</v>
      </c>
      <c r="G742" s="16" t="s">
        <v>32</v>
      </c>
      <c r="H742" s="16"/>
      <c r="I742" s="16"/>
      <c r="J742" s="16" t="s">
        <v>81</v>
      </c>
      <c r="K742" s="16"/>
      <c r="L742" s="16"/>
      <c r="M742" s="19" t="s">
        <v>5883</v>
      </c>
      <c r="N742" s="16"/>
      <c r="O742" s="16" t="s">
        <v>5884</v>
      </c>
      <c r="P742" s="16" t="str">
        <f>HYPERLINK("https://ceds.ed.gov/cedselementdetails.aspx?termid=27402")</f>
        <v>https://ceds.ed.gov/cedselementdetails.aspx?termid=27402</v>
      </c>
      <c r="Q742" s="16">
        <v>73331</v>
      </c>
    </row>
    <row r="743" spans="1:17" ht="57.6" x14ac:dyDescent="0.3">
      <c r="A743" s="16" t="s">
        <v>7596</v>
      </c>
      <c r="B743" s="16" t="s">
        <v>8868</v>
      </c>
      <c r="C743" s="16" t="s">
        <v>7661</v>
      </c>
      <c r="D743" s="16" t="s">
        <v>7597</v>
      </c>
      <c r="E743" s="16" t="s">
        <v>5889</v>
      </c>
      <c r="F743" s="16" t="s">
        <v>5890</v>
      </c>
      <c r="G743" s="16" t="s">
        <v>32</v>
      </c>
      <c r="H743" s="16"/>
      <c r="I743" s="16"/>
      <c r="J743" s="16" t="s">
        <v>81</v>
      </c>
      <c r="K743" s="16"/>
      <c r="L743" s="16"/>
      <c r="M743" s="19" t="s">
        <v>5891</v>
      </c>
      <c r="N743" s="16"/>
      <c r="O743" s="16" t="s">
        <v>5892</v>
      </c>
      <c r="P743" s="16" t="str">
        <f>HYPERLINK("https://ceds.ed.gov/cedselementdetails.aspx?termid=27404")</f>
        <v>https://ceds.ed.gov/cedselementdetails.aspx?termid=27404</v>
      </c>
      <c r="Q743" s="16">
        <v>73333</v>
      </c>
    </row>
    <row r="744" spans="1:17" ht="28.8" x14ac:dyDescent="0.3">
      <c r="A744" s="16" t="s">
        <v>7596</v>
      </c>
      <c r="B744" s="16" t="s">
        <v>8868</v>
      </c>
      <c r="C744" s="16" t="s">
        <v>7661</v>
      </c>
      <c r="D744" s="16" t="s">
        <v>7597</v>
      </c>
      <c r="E744" s="16" t="s">
        <v>5893</v>
      </c>
      <c r="F744" s="16" t="s">
        <v>5894</v>
      </c>
      <c r="G744" s="16" t="s">
        <v>32</v>
      </c>
      <c r="H744" s="16"/>
      <c r="I744" s="16"/>
      <c r="J744" s="16" t="s">
        <v>1481</v>
      </c>
      <c r="K744" s="16"/>
      <c r="L744" s="16"/>
      <c r="M744" s="19" t="s">
        <v>5895</v>
      </c>
      <c r="N744" s="16"/>
      <c r="O744" s="16" t="s">
        <v>5896</v>
      </c>
      <c r="P744" s="16" t="str">
        <f>HYPERLINK("https://ceds.ed.gov/cedselementdetails.aspx?termid=27405")</f>
        <v>https://ceds.ed.gov/cedselementdetails.aspx?termid=27405</v>
      </c>
      <c r="Q744" s="16">
        <v>73334</v>
      </c>
    </row>
    <row r="745" spans="1:17" ht="115.2" x14ac:dyDescent="0.3">
      <c r="A745" s="16" t="s">
        <v>7596</v>
      </c>
      <c r="B745" s="16" t="s">
        <v>8868</v>
      </c>
      <c r="C745" s="16" t="s">
        <v>7661</v>
      </c>
      <c r="D745" s="16" t="s">
        <v>7597</v>
      </c>
      <c r="E745" s="16" t="s">
        <v>7033</v>
      </c>
      <c r="F745" s="16" t="s">
        <v>7034</v>
      </c>
      <c r="G745" s="16" t="s">
        <v>22</v>
      </c>
      <c r="H745" s="16"/>
      <c r="I745" s="16"/>
      <c r="J745" s="16"/>
      <c r="K745" s="16"/>
      <c r="L745" s="16" t="s">
        <v>8157</v>
      </c>
      <c r="M745" s="19" t="s">
        <v>7035</v>
      </c>
      <c r="N745" s="16"/>
      <c r="O745" s="16" t="s">
        <v>7036</v>
      </c>
      <c r="P745" s="16" t="str">
        <f>HYPERLINK("https://ceds.ed.gov/cedselementdetails.aspx?termid=27465")</f>
        <v>https://ceds.ed.gov/cedselementdetails.aspx?termid=27465</v>
      </c>
      <c r="Q745" s="16">
        <v>75865</v>
      </c>
    </row>
    <row r="746" spans="1:17" ht="115.2" x14ac:dyDescent="0.3">
      <c r="A746" s="16" t="s">
        <v>7596</v>
      </c>
      <c r="B746" s="16" t="s">
        <v>8868</v>
      </c>
      <c r="C746" s="16" t="s">
        <v>7661</v>
      </c>
      <c r="D746" s="16" t="s">
        <v>7597</v>
      </c>
      <c r="E746" s="16" t="s">
        <v>7037</v>
      </c>
      <c r="F746" s="16" t="s">
        <v>7038</v>
      </c>
      <c r="G746" s="16" t="s">
        <v>8274</v>
      </c>
      <c r="H746" s="16"/>
      <c r="I746" s="16"/>
      <c r="J746" s="16"/>
      <c r="K746" s="16"/>
      <c r="L746" s="16" t="s">
        <v>8157</v>
      </c>
      <c r="M746" s="19" t="s">
        <v>7039</v>
      </c>
      <c r="N746" s="16"/>
      <c r="O746" s="16" t="s">
        <v>7040</v>
      </c>
      <c r="P746" s="16" t="str">
        <f>HYPERLINK("https://ceds.ed.gov/cedselementdetails.aspx?termid=27466")</f>
        <v>https://ceds.ed.gov/cedselementdetails.aspx?termid=27466</v>
      </c>
      <c r="Q746" s="16">
        <v>75866</v>
      </c>
    </row>
    <row r="747" spans="1:17" ht="172.8" x14ac:dyDescent="0.3">
      <c r="A747" s="16" t="s">
        <v>7596</v>
      </c>
      <c r="B747" s="16" t="s">
        <v>8868</v>
      </c>
      <c r="C747" s="16" t="s">
        <v>7662</v>
      </c>
      <c r="D747" s="16" t="s">
        <v>7597</v>
      </c>
      <c r="E747" s="16" t="s">
        <v>6007</v>
      </c>
      <c r="F747" s="16" t="s">
        <v>8112</v>
      </c>
      <c r="G747" s="16" t="s">
        <v>32</v>
      </c>
      <c r="H747" s="16"/>
      <c r="I747" s="16"/>
      <c r="J747" s="16" t="s">
        <v>120</v>
      </c>
      <c r="K747" s="16"/>
      <c r="L747" s="16" t="s">
        <v>7817</v>
      </c>
      <c r="M747" s="19" t="s">
        <v>6008</v>
      </c>
      <c r="N747" s="16"/>
      <c r="O747" s="16" t="s">
        <v>6009</v>
      </c>
      <c r="P747" s="16" t="str">
        <f>HYPERLINK("https://ceds.ed.gov/cedselementdetails.aspx?termid=27422")</f>
        <v>https://ceds.ed.gov/cedselementdetails.aspx?termid=27422</v>
      </c>
      <c r="Q747" s="16">
        <v>73357</v>
      </c>
    </row>
    <row r="748" spans="1:17" ht="28.8" x14ac:dyDescent="0.3">
      <c r="A748" s="16" t="s">
        <v>7596</v>
      </c>
      <c r="B748" s="16" t="s">
        <v>8868</v>
      </c>
      <c r="C748" s="16" t="s">
        <v>7662</v>
      </c>
      <c r="D748" s="16" t="s">
        <v>7597</v>
      </c>
      <c r="E748" s="16" t="s">
        <v>6018</v>
      </c>
      <c r="F748" s="16" t="s">
        <v>6019</v>
      </c>
      <c r="G748" s="16" t="s">
        <v>32</v>
      </c>
      <c r="H748" s="16"/>
      <c r="I748" s="16"/>
      <c r="J748" s="16" t="s">
        <v>106</v>
      </c>
      <c r="K748" s="16"/>
      <c r="L748" s="16"/>
      <c r="M748" s="19" t="s">
        <v>6020</v>
      </c>
      <c r="N748" s="16"/>
      <c r="O748" s="16" t="s">
        <v>6021</v>
      </c>
      <c r="P748" s="16" t="str">
        <f>HYPERLINK("https://ceds.ed.gov/cedselementdetails.aspx?termid=27426")</f>
        <v>https://ceds.ed.gov/cedselementdetails.aspx?termid=27426</v>
      </c>
      <c r="Q748" s="16">
        <v>73361</v>
      </c>
    </row>
    <row r="749" spans="1:17" ht="57.6" x14ac:dyDescent="0.3">
      <c r="A749" s="16" t="s">
        <v>7596</v>
      </c>
      <c r="B749" s="16" t="s">
        <v>8868</v>
      </c>
      <c r="C749" s="16" t="s">
        <v>7662</v>
      </c>
      <c r="D749" s="16" t="s">
        <v>7597</v>
      </c>
      <c r="E749" s="16" t="s">
        <v>5991</v>
      </c>
      <c r="F749" s="16" t="s">
        <v>5992</v>
      </c>
      <c r="G749" s="16" t="s">
        <v>32</v>
      </c>
      <c r="H749" s="16"/>
      <c r="I749" s="16"/>
      <c r="J749" s="16" t="s">
        <v>106</v>
      </c>
      <c r="K749" s="16"/>
      <c r="L749" s="16" t="s">
        <v>131</v>
      </c>
      <c r="M749" s="19" t="s">
        <v>5993</v>
      </c>
      <c r="N749" s="16"/>
      <c r="O749" s="16" t="s">
        <v>5994</v>
      </c>
      <c r="P749" s="16" t="str">
        <f>HYPERLINK("https://ceds.ed.gov/cedselementdetails.aspx?termid=27417")</f>
        <v>https://ceds.ed.gov/cedselementdetails.aspx?termid=27417</v>
      </c>
      <c r="Q749" s="16">
        <v>73352</v>
      </c>
    </row>
    <row r="750" spans="1:17" ht="28.8" x14ac:dyDescent="0.3">
      <c r="A750" s="16" t="s">
        <v>7596</v>
      </c>
      <c r="B750" s="16" t="s">
        <v>8868</v>
      </c>
      <c r="C750" s="16" t="s">
        <v>7662</v>
      </c>
      <c r="D750" s="16" t="s">
        <v>7597</v>
      </c>
      <c r="E750" s="16" t="s">
        <v>6022</v>
      </c>
      <c r="F750" s="16" t="s">
        <v>6023</v>
      </c>
      <c r="G750" s="16" t="s">
        <v>32</v>
      </c>
      <c r="H750" s="16"/>
      <c r="I750" s="16"/>
      <c r="J750" s="16" t="s">
        <v>2788</v>
      </c>
      <c r="K750" s="16"/>
      <c r="L750" s="16"/>
      <c r="M750" s="19" t="s">
        <v>6024</v>
      </c>
      <c r="N750" s="16"/>
      <c r="O750" s="16" t="s">
        <v>6025</v>
      </c>
      <c r="P750" s="16" t="str">
        <f>HYPERLINK("https://ceds.ed.gov/cedselementdetails.aspx?termid=27427")</f>
        <v>https://ceds.ed.gov/cedselementdetails.aspx?termid=27427</v>
      </c>
      <c r="Q750" s="16">
        <v>73362</v>
      </c>
    </row>
    <row r="751" spans="1:17" ht="28.8" x14ac:dyDescent="0.3">
      <c r="A751" s="16" t="s">
        <v>7596</v>
      </c>
      <c r="B751" s="16" t="s">
        <v>8868</v>
      </c>
      <c r="C751" s="16" t="s">
        <v>7662</v>
      </c>
      <c r="D751" s="16" t="s">
        <v>7597</v>
      </c>
      <c r="E751" s="16" t="s">
        <v>5995</v>
      </c>
      <c r="F751" s="16" t="s">
        <v>5996</v>
      </c>
      <c r="G751" s="16" t="s">
        <v>32</v>
      </c>
      <c r="H751" s="16"/>
      <c r="I751" s="16"/>
      <c r="J751" s="16" t="s">
        <v>2788</v>
      </c>
      <c r="K751" s="16"/>
      <c r="L751" s="16"/>
      <c r="M751" s="19" t="s">
        <v>5997</v>
      </c>
      <c r="N751" s="16"/>
      <c r="O751" s="16" t="s">
        <v>5998</v>
      </c>
      <c r="P751" s="16" t="str">
        <f>HYPERLINK("https://ceds.ed.gov/cedselementdetails.aspx?termid=27418")</f>
        <v>https://ceds.ed.gov/cedselementdetails.aspx?termid=27418</v>
      </c>
      <c r="Q751" s="16">
        <v>73353</v>
      </c>
    </row>
    <row r="752" spans="1:17" ht="43.2" x14ac:dyDescent="0.3">
      <c r="A752" s="16" t="s">
        <v>7596</v>
      </c>
      <c r="B752" s="16" t="s">
        <v>8868</v>
      </c>
      <c r="C752" s="16" t="s">
        <v>7662</v>
      </c>
      <c r="D752" s="16" t="s">
        <v>7597</v>
      </c>
      <c r="E752" s="16" t="s">
        <v>5987</v>
      </c>
      <c r="F752" s="16" t="s">
        <v>5988</v>
      </c>
      <c r="G752" s="16" t="s">
        <v>32</v>
      </c>
      <c r="H752" s="16"/>
      <c r="I752" s="16"/>
      <c r="J752" s="16" t="s">
        <v>305</v>
      </c>
      <c r="K752" s="16"/>
      <c r="L752" s="16"/>
      <c r="M752" s="19" t="s">
        <v>5989</v>
      </c>
      <c r="N752" s="16"/>
      <c r="O752" s="16" t="s">
        <v>5990</v>
      </c>
      <c r="P752" s="16" t="str">
        <f>HYPERLINK("https://ceds.ed.gov/cedselementdetails.aspx?termid=27416")</f>
        <v>https://ceds.ed.gov/cedselementdetails.aspx?termid=27416</v>
      </c>
      <c r="Q752" s="16">
        <v>73351</v>
      </c>
    </row>
    <row r="753" spans="1:17" ht="129.6" x14ac:dyDescent="0.3">
      <c r="A753" s="16" t="s">
        <v>7596</v>
      </c>
      <c r="B753" s="16" t="s">
        <v>8868</v>
      </c>
      <c r="C753" s="16" t="s">
        <v>7662</v>
      </c>
      <c r="D753" s="16" t="s">
        <v>7597</v>
      </c>
      <c r="E753" s="16" t="s">
        <v>3380</v>
      </c>
      <c r="F753" s="16" t="s">
        <v>3381</v>
      </c>
      <c r="G753" s="16" t="s">
        <v>8537</v>
      </c>
      <c r="H753" s="16"/>
      <c r="I753" s="16"/>
      <c r="J753" s="16"/>
      <c r="K753" s="16"/>
      <c r="L753" s="16"/>
      <c r="M753" s="19" t="s">
        <v>3382</v>
      </c>
      <c r="N753" s="16"/>
      <c r="O753" s="16" t="s">
        <v>3383</v>
      </c>
      <c r="P753" s="16" t="str">
        <f>HYPERLINK("https://ceds.ed.gov/cedselementdetails.aspx?termid=27585")</f>
        <v>https://ceds.ed.gov/cedselementdetails.aspx?termid=27585</v>
      </c>
      <c r="Q753" s="16">
        <v>74076</v>
      </c>
    </row>
    <row r="754" spans="1:17" ht="115.2" x14ac:dyDescent="0.3">
      <c r="A754" s="16" t="s">
        <v>7596</v>
      </c>
      <c r="B754" s="16" t="s">
        <v>8868</v>
      </c>
      <c r="C754" s="16" t="s">
        <v>7662</v>
      </c>
      <c r="D754" s="16" t="s">
        <v>7597</v>
      </c>
      <c r="E754" s="16" t="s">
        <v>7161</v>
      </c>
      <c r="F754" s="16" t="s">
        <v>7162</v>
      </c>
      <c r="G754" s="16" t="s">
        <v>32</v>
      </c>
      <c r="H754" s="16"/>
      <c r="I754" s="16"/>
      <c r="J754" s="16" t="s">
        <v>747</v>
      </c>
      <c r="K754" s="16"/>
      <c r="L754" s="16" t="s">
        <v>8157</v>
      </c>
      <c r="M754" s="19" t="s">
        <v>7163</v>
      </c>
      <c r="N754" s="16"/>
      <c r="O754" s="16" t="s">
        <v>7164</v>
      </c>
      <c r="P754" s="16" t="str">
        <f>HYPERLINK("https://ceds.ed.gov/cedselementdetails.aspx?termid=27609")</f>
        <v>https://ceds.ed.gov/cedselementdetails.aspx?termid=27609</v>
      </c>
      <c r="Q754" s="16">
        <v>74110</v>
      </c>
    </row>
    <row r="755" spans="1:17" ht="72" x14ac:dyDescent="0.3">
      <c r="A755" s="16" t="s">
        <v>7596</v>
      </c>
      <c r="B755" s="16" t="s">
        <v>8868</v>
      </c>
      <c r="C755" s="16" t="s">
        <v>7662</v>
      </c>
      <c r="D755" s="16" t="s">
        <v>7597</v>
      </c>
      <c r="E755" s="16" t="s">
        <v>5951</v>
      </c>
      <c r="F755" s="16" t="s">
        <v>5952</v>
      </c>
      <c r="G755" s="16" t="s">
        <v>8274</v>
      </c>
      <c r="H755" s="16"/>
      <c r="I755" s="16"/>
      <c r="J755" s="16"/>
      <c r="K755" s="16"/>
      <c r="L755" s="16"/>
      <c r="M755" s="19" t="s">
        <v>5953</v>
      </c>
      <c r="N755" s="16"/>
      <c r="O755" s="16" t="s">
        <v>5954</v>
      </c>
      <c r="P755" s="16" t="str">
        <f>HYPERLINK("https://ceds.ed.gov/cedselementdetails.aspx?termid=27401")</f>
        <v>https://ceds.ed.gov/cedselementdetails.aspx?termid=27401</v>
      </c>
      <c r="Q755" s="16">
        <v>73330</v>
      </c>
    </row>
    <row r="756" spans="1:17" ht="158.4" x14ac:dyDescent="0.3">
      <c r="A756" s="16" t="s">
        <v>7596</v>
      </c>
      <c r="B756" s="16" t="s">
        <v>8868</v>
      </c>
      <c r="C756" s="16" t="s">
        <v>7662</v>
      </c>
      <c r="D756" s="16" t="s">
        <v>7597</v>
      </c>
      <c r="E756" s="16" t="s">
        <v>5963</v>
      </c>
      <c r="F756" s="16" t="s">
        <v>5964</v>
      </c>
      <c r="G756" s="16" t="s">
        <v>8790</v>
      </c>
      <c r="H756" s="16"/>
      <c r="I756" s="16"/>
      <c r="J756" s="16"/>
      <c r="K756" s="16"/>
      <c r="L756" s="16"/>
      <c r="M756" s="19" t="s">
        <v>5965</v>
      </c>
      <c r="N756" s="16"/>
      <c r="O756" s="16" t="s">
        <v>5966</v>
      </c>
      <c r="P756" s="16" t="str">
        <f>HYPERLINK("https://ceds.ed.gov/cedselementdetails.aspx?termid=27429")</f>
        <v>https://ceds.ed.gov/cedselementdetails.aspx?termid=27429</v>
      </c>
      <c r="Q756" s="16">
        <v>73364</v>
      </c>
    </row>
    <row r="757" spans="1:17" ht="28.8" x14ac:dyDescent="0.3">
      <c r="A757" s="16" t="s">
        <v>7596</v>
      </c>
      <c r="B757" s="16" t="s">
        <v>8868</v>
      </c>
      <c r="C757" s="16" t="s">
        <v>7662</v>
      </c>
      <c r="D757" s="16" t="s">
        <v>7597</v>
      </c>
      <c r="E757" s="16" t="s">
        <v>6746</v>
      </c>
      <c r="F757" s="16" t="s">
        <v>6747</v>
      </c>
      <c r="G757" s="16" t="s">
        <v>32</v>
      </c>
      <c r="H757" s="16"/>
      <c r="I757" s="16"/>
      <c r="J757" s="16" t="s">
        <v>145</v>
      </c>
      <c r="K757" s="16"/>
      <c r="L757" s="16"/>
      <c r="M757" s="19" t="s">
        <v>6748</v>
      </c>
      <c r="N757" s="16"/>
      <c r="O757" s="16" t="s">
        <v>6749</v>
      </c>
      <c r="P757" s="16" t="str">
        <f>HYPERLINK("https://ceds.ed.gov/cedselementdetails.aspx?termid=27461")</f>
        <v>https://ceds.ed.gov/cedselementdetails.aspx?termid=27461</v>
      </c>
      <c r="Q757" s="16">
        <v>73427</v>
      </c>
    </row>
    <row r="758" spans="1:17" ht="172.8" x14ac:dyDescent="0.3">
      <c r="A758" s="16" t="s">
        <v>7596</v>
      </c>
      <c r="B758" s="16" t="s">
        <v>8868</v>
      </c>
      <c r="C758" s="16" t="s">
        <v>7662</v>
      </c>
      <c r="D758" s="16" t="s">
        <v>7597</v>
      </c>
      <c r="E758" s="16" t="s">
        <v>5967</v>
      </c>
      <c r="F758" s="16" t="s">
        <v>5968</v>
      </c>
      <c r="G758" s="16" t="s">
        <v>32</v>
      </c>
      <c r="H758" s="16"/>
      <c r="I758" s="16"/>
      <c r="J758" s="16" t="s">
        <v>120</v>
      </c>
      <c r="K758" s="16"/>
      <c r="L758" s="16" t="s">
        <v>7817</v>
      </c>
      <c r="M758" s="19" t="s">
        <v>5969</v>
      </c>
      <c r="N758" s="16"/>
      <c r="O758" s="16" t="s">
        <v>5970</v>
      </c>
      <c r="P758" s="16" t="str">
        <f>HYPERLINK("https://ceds.ed.gov/cedselementdetails.aspx?termid=27414")</f>
        <v>https://ceds.ed.gov/cedselementdetails.aspx?termid=27414</v>
      </c>
      <c r="Q758" s="16">
        <v>73343</v>
      </c>
    </row>
    <row r="759" spans="1:17" ht="28.8" x14ac:dyDescent="0.3">
      <c r="A759" s="16" t="s">
        <v>7596</v>
      </c>
      <c r="B759" s="16" t="s">
        <v>8868</v>
      </c>
      <c r="C759" s="16" t="s">
        <v>7662</v>
      </c>
      <c r="D759" s="16" t="s">
        <v>7597</v>
      </c>
      <c r="E759" s="16" t="s">
        <v>5959</v>
      </c>
      <c r="F759" s="16" t="s">
        <v>5960</v>
      </c>
      <c r="G759" s="16" t="s">
        <v>32</v>
      </c>
      <c r="H759" s="16"/>
      <c r="I759" s="16"/>
      <c r="J759" s="16" t="s">
        <v>81</v>
      </c>
      <c r="K759" s="16"/>
      <c r="L759" s="16"/>
      <c r="M759" s="19" t="s">
        <v>5961</v>
      </c>
      <c r="N759" s="16"/>
      <c r="O759" s="16" t="s">
        <v>5962</v>
      </c>
      <c r="P759" s="16" t="str">
        <f>HYPERLINK("https://ceds.ed.gov/cedselementdetails.aspx?termid=27413")</f>
        <v>https://ceds.ed.gov/cedselementdetails.aspx?termid=27413</v>
      </c>
      <c r="Q759" s="16">
        <v>73342</v>
      </c>
    </row>
    <row r="760" spans="1:17" ht="28.8" x14ac:dyDescent="0.3">
      <c r="A760" s="16" t="s">
        <v>7596</v>
      </c>
      <c r="B760" s="16" t="s">
        <v>8868</v>
      </c>
      <c r="C760" s="16" t="s">
        <v>7662</v>
      </c>
      <c r="D760" s="16" t="s">
        <v>7597</v>
      </c>
      <c r="E760" s="16" t="s">
        <v>5999</v>
      </c>
      <c r="F760" s="16" t="s">
        <v>6000</v>
      </c>
      <c r="G760" s="16" t="s">
        <v>32</v>
      </c>
      <c r="H760" s="16"/>
      <c r="I760" s="16"/>
      <c r="J760" s="16" t="s">
        <v>81</v>
      </c>
      <c r="K760" s="16"/>
      <c r="L760" s="16"/>
      <c r="M760" s="19" t="s">
        <v>6001</v>
      </c>
      <c r="N760" s="16"/>
      <c r="O760" s="16" t="s">
        <v>6002</v>
      </c>
      <c r="P760" s="16" t="str">
        <f>HYPERLINK("https://ceds.ed.gov/cedselementdetails.aspx?termid=27419")</f>
        <v>https://ceds.ed.gov/cedselementdetails.aspx?termid=27419</v>
      </c>
      <c r="Q760" s="16">
        <v>73354</v>
      </c>
    </row>
    <row r="761" spans="1:17" ht="43.2" x14ac:dyDescent="0.3">
      <c r="A761" s="16" t="s">
        <v>7596</v>
      </c>
      <c r="B761" s="16" t="s">
        <v>8868</v>
      </c>
      <c r="C761" s="16" t="s">
        <v>7662</v>
      </c>
      <c r="D761" s="16" t="s">
        <v>7597</v>
      </c>
      <c r="E761" s="16" t="s">
        <v>6003</v>
      </c>
      <c r="F761" s="16" t="s">
        <v>6004</v>
      </c>
      <c r="G761" s="16" t="s">
        <v>32</v>
      </c>
      <c r="H761" s="16"/>
      <c r="I761" s="16"/>
      <c r="J761" s="16" t="s">
        <v>81</v>
      </c>
      <c r="K761" s="16"/>
      <c r="L761" s="16"/>
      <c r="M761" s="19" t="s">
        <v>6005</v>
      </c>
      <c r="N761" s="16"/>
      <c r="O761" s="16" t="s">
        <v>6006</v>
      </c>
      <c r="P761" s="16" t="str">
        <f>HYPERLINK("https://ceds.ed.gov/cedselementdetails.aspx?termid=27420")</f>
        <v>https://ceds.ed.gov/cedselementdetails.aspx?termid=27420</v>
      </c>
      <c r="Q761" s="16">
        <v>73355</v>
      </c>
    </row>
    <row r="762" spans="1:17" ht="57.6" x14ac:dyDescent="0.3">
      <c r="A762" s="16" t="s">
        <v>7596</v>
      </c>
      <c r="B762" s="16" t="s">
        <v>8868</v>
      </c>
      <c r="C762" s="16" t="s">
        <v>7662</v>
      </c>
      <c r="D762" s="16" t="s">
        <v>7597</v>
      </c>
      <c r="E762" s="16" t="s">
        <v>6026</v>
      </c>
      <c r="F762" s="16" t="s">
        <v>6027</v>
      </c>
      <c r="G762" s="16" t="s">
        <v>8793</v>
      </c>
      <c r="H762" s="16"/>
      <c r="I762" s="16"/>
      <c r="J762" s="16"/>
      <c r="K762" s="16"/>
      <c r="L762" s="16"/>
      <c r="M762" s="19" t="s">
        <v>6028</v>
      </c>
      <c r="N762" s="16"/>
      <c r="O762" s="16" t="s">
        <v>6029</v>
      </c>
      <c r="P762" s="16" t="str">
        <f>HYPERLINK("https://ceds.ed.gov/cedselementdetails.aspx?termid=27428")</f>
        <v>https://ceds.ed.gov/cedselementdetails.aspx?termid=27428</v>
      </c>
      <c r="Q762" s="16">
        <v>73363</v>
      </c>
    </row>
    <row r="763" spans="1:17" ht="28.8" x14ac:dyDescent="0.3">
      <c r="A763" s="16" t="s">
        <v>7596</v>
      </c>
      <c r="B763" s="16" t="s">
        <v>8868</v>
      </c>
      <c r="C763" s="16" t="s">
        <v>7662</v>
      </c>
      <c r="D763" s="16" t="s">
        <v>7597</v>
      </c>
      <c r="E763" s="16" t="s">
        <v>7818</v>
      </c>
      <c r="F763" s="16" t="s">
        <v>7819</v>
      </c>
      <c r="G763" s="16" t="s">
        <v>32</v>
      </c>
      <c r="H763" s="16"/>
      <c r="I763" s="16"/>
      <c r="J763" s="16" t="s">
        <v>136</v>
      </c>
      <c r="K763" s="16"/>
      <c r="L763" s="16"/>
      <c r="M763" s="19" t="s">
        <v>8174</v>
      </c>
      <c r="N763" s="16"/>
      <c r="O763" s="16" t="s">
        <v>7820</v>
      </c>
      <c r="P763" s="16" t="str">
        <f>HYPERLINK("https://ceds.ed.gov/cedselementdetails.aspx?termid=27972")</f>
        <v>https://ceds.ed.gov/cedselementdetails.aspx?termid=27972</v>
      </c>
      <c r="Q763" s="16">
        <v>75867</v>
      </c>
    </row>
    <row r="764" spans="1:17" ht="43.2" x14ac:dyDescent="0.3">
      <c r="A764" s="16" t="s">
        <v>7596</v>
      </c>
      <c r="B764" s="16" t="s">
        <v>8868</v>
      </c>
      <c r="C764" s="16" t="s">
        <v>7662</v>
      </c>
      <c r="D764" s="16" t="s">
        <v>7597</v>
      </c>
      <c r="E764" s="16" t="s">
        <v>7821</v>
      </c>
      <c r="F764" s="16" t="s">
        <v>7822</v>
      </c>
      <c r="G764" s="16" t="s">
        <v>8197</v>
      </c>
      <c r="H764" s="16"/>
      <c r="I764" s="16"/>
      <c r="J764" s="16" t="s">
        <v>2</v>
      </c>
      <c r="K764" s="16"/>
      <c r="L764" s="16"/>
      <c r="M764" s="19" t="s">
        <v>8175</v>
      </c>
      <c r="N764" s="16"/>
      <c r="O764" s="16" t="s">
        <v>7823</v>
      </c>
      <c r="P764" s="16" t="str">
        <f>HYPERLINK("https://ceds.ed.gov/cedselementdetails.aspx?termid=27973")</f>
        <v>https://ceds.ed.gov/cedselementdetails.aspx?termid=27973</v>
      </c>
      <c r="Q764" s="16">
        <v>75868</v>
      </c>
    </row>
    <row r="765" spans="1:17" ht="43.2" x14ac:dyDescent="0.3">
      <c r="A765" s="16" t="s">
        <v>7596</v>
      </c>
      <c r="B765" s="16" t="s">
        <v>8868</v>
      </c>
      <c r="C765" s="16" t="s">
        <v>7663</v>
      </c>
      <c r="D765" s="16" t="s">
        <v>7597</v>
      </c>
      <c r="E765" s="16" t="s">
        <v>6014</v>
      </c>
      <c r="F765" s="16" t="s">
        <v>6015</v>
      </c>
      <c r="G765" s="16" t="s">
        <v>32</v>
      </c>
      <c r="H765" s="16"/>
      <c r="I765" s="16"/>
      <c r="J765" s="16" t="s">
        <v>145</v>
      </c>
      <c r="K765" s="16"/>
      <c r="L765" s="16"/>
      <c r="M765" s="19" t="s">
        <v>6016</v>
      </c>
      <c r="N765" s="16"/>
      <c r="O765" s="16" t="s">
        <v>6017</v>
      </c>
      <c r="P765" s="16" t="str">
        <f>HYPERLINK("https://ceds.ed.gov/cedselementdetails.aspx?termid=27424")</f>
        <v>https://ceds.ed.gov/cedselementdetails.aspx?termid=27424</v>
      </c>
      <c r="Q765" s="16">
        <v>73603</v>
      </c>
    </row>
    <row r="766" spans="1:17" ht="187.2" x14ac:dyDescent="0.3">
      <c r="A766" s="16" t="s">
        <v>7596</v>
      </c>
      <c r="B766" s="16" t="s">
        <v>8868</v>
      </c>
      <c r="C766" s="16" t="s">
        <v>7663</v>
      </c>
      <c r="D766" s="16" t="s">
        <v>7597</v>
      </c>
      <c r="E766" s="16" t="s">
        <v>177</v>
      </c>
      <c r="F766" s="16" t="s">
        <v>178</v>
      </c>
      <c r="G766" s="16" t="s">
        <v>32</v>
      </c>
      <c r="H766" s="16" t="s">
        <v>163</v>
      </c>
      <c r="I766" s="16"/>
      <c r="J766" s="16" t="s">
        <v>179</v>
      </c>
      <c r="K766" s="16"/>
      <c r="L766" s="16"/>
      <c r="M766" s="19" t="s">
        <v>180</v>
      </c>
      <c r="N766" s="16"/>
      <c r="O766" s="16" t="s">
        <v>181</v>
      </c>
      <c r="P766" s="16" t="str">
        <f>HYPERLINK("https://ceds.ed.gov/cedselementdetails.aspx?termid=26269")</f>
        <v>https://ceds.ed.gov/cedselementdetails.aspx?termid=26269</v>
      </c>
      <c r="Q766" s="16">
        <v>73591</v>
      </c>
    </row>
    <row r="767" spans="1:17" ht="187.2" x14ac:dyDescent="0.3">
      <c r="A767" s="16" t="s">
        <v>7596</v>
      </c>
      <c r="B767" s="16" t="s">
        <v>8868</v>
      </c>
      <c r="C767" s="16" t="s">
        <v>7663</v>
      </c>
      <c r="D767" s="16" t="s">
        <v>7597</v>
      </c>
      <c r="E767" s="16" t="s">
        <v>158</v>
      </c>
      <c r="F767" s="16" t="s">
        <v>159</v>
      </c>
      <c r="G767" s="16" t="s">
        <v>32</v>
      </c>
      <c r="H767" s="16" t="s">
        <v>163</v>
      </c>
      <c r="I767" s="16"/>
      <c r="J767" s="16" t="s">
        <v>145</v>
      </c>
      <c r="K767" s="16"/>
      <c r="L767" s="16"/>
      <c r="M767" s="19" t="s">
        <v>161</v>
      </c>
      <c r="N767" s="16"/>
      <c r="O767" s="16" t="s">
        <v>162</v>
      </c>
      <c r="P767" s="16" t="str">
        <f>HYPERLINK("https://ceds.ed.gov/cedselementdetails.aspx?termid=26019")</f>
        <v>https://ceds.ed.gov/cedselementdetails.aspx?termid=26019</v>
      </c>
      <c r="Q767" s="16">
        <v>73592</v>
      </c>
    </row>
    <row r="768" spans="1:17" ht="187.2" x14ac:dyDescent="0.3">
      <c r="A768" s="16" t="s">
        <v>7596</v>
      </c>
      <c r="B768" s="16" t="s">
        <v>8868</v>
      </c>
      <c r="C768" s="16" t="s">
        <v>7663</v>
      </c>
      <c r="D768" s="16" t="s">
        <v>7597</v>
      </c>
      <c r="E768" s="16" t="s">
        <v>164</v>
      </c>
      <c r="F768" s="16" t="s">
        <v>165</v>
      </c>
      <c r="G768" s="16" t="s">
        <v>32</v>
      </c>
      <c r="H768" s="16" t="s">
        <v>163</v>
      </c>
      <c r="I768" s="16"/>
      <c r="J768" s="16" t="s">
        <v>81</v>
      </c>
      <c r="K768" s="16"/>
      <c r="L768" s="16"/>
      <c r="M768" s="19" t="s">
        <v>166</v>
      </c>
      <c r="N768" s="16"/>
      <c r="O768" s="16" t="s">
        <v>167</v>
      </c>
      <c r="P768" s="16" t="str">
        <f>HYPERLINK("https://ceds.ed.gov/cedselementdetails.aspx?termid=26040")</f>
        <v>https://ceds.ed.gov/cedselementdetails.aspx?termid=26040</v>
      </c>
      <c r="Q768" s="16">
        <v>73593</v>
      </c>
    </row>
    <row r="769" spans="1:17" ht="409.6" x14ac:dyDescent="0.3">
      <c r="A769" s="16" t="s">
        <v>7596</v>
      </c>
      <c r="B769" s="16" t="s">
        <v>8868</v>
      </c>
      <c r="C769" s="16" t="s">
        <v>7663</v>
      </c>
      <c r="D769" s="16" t="s">
        <v>7597</v>
      </c>
      <c r="E769" s="16" t="s">
        <v>6840</v>
      </c>
      <c r="F769" s="16" t="s">
        <v>6841</v>
      </c>
      <c r="G769" s="16" t="s">
        <v>8266</v>
      </c>
      <c r="H769" s="16" t="s">
        <v>6844</v>
      </c>
      <c r="I769" s="16"/>
      <c r="J769" s="16"/>
      <c r="K769" s="16"/>
      <c r="L769" s="16"/>
      <c r="M769" s="19" t="s">
        <v>6842</v>
      </c>
      <c r="N769" s="16"/>
      <c r="O769" s="16" t="s">
        <v>6843</v>
      </c>
      <c r="P769" s="16" t="str">
        <f>HYPERLINK("https://ceds.ed.gov/cedselementdetails.aspx?termid=26267")</f>
        <v>https://ceds.ed.gov/cedselementdetails.aspx?termid=26267</v>
      </c>
      <c r="Q769" s="16">
        <v>73594</v>
      </c>
    </row>
    <row r="770" spans="1:17" ht="187.2" x14ac:dyDescent="0.3">
      <c r="A770" s="16" t="s">
        <v>7596</v>
      </c>
      <c r="B770" s="16" t="s">
        <v>8868</v>
      </c>
      <c r="C770" s="16" t="s">
        <v>7663</v>
      </c>
      <c r="D770" s="16" t="s">
        <v>7597</v>
      </c>
      <c r="E770" s="16" t="s">
        <v>172</v>
      </c>
      <c r="F770" s="16" t="s">
        <v>173</v>
      </c>
      <c r="G770" s="16" t="s">
        <v>32</v>
      </c>
      <c r="H770" s="16" t="s">
        <v>163</v>
      </c>
      <c r="I770" s="16"/>
      <c r="J770" s="16" t="s">
        <v>174</v>
      </c>
      <c r="K770" s="16"/>
      <c r="L770" s="16"/>
      <c r="M770" s="19" t="s">
        <v>175</v>
      </c>
      <c r="N770" s="16"/>
      <c r="O770" s="16" t="s">
        <v>176</v>
      </c>
      <c r="P770" s="16" t="str">
        <f>HYPERLINK("https://ceds.ed.gov/cedselementdetails.aspx?termid=26214")</f>
        <v>https://ceds.ed.gov/cedselementdetails.aspx?termid=26214</v>
      </c>
      <c r="Q770" s="16">
        <v>73595</v>
      </c>
    </row>
    <row r="771" spans="1:17" ht="72" x14ac:dyDescent="0.3">
      <c r="A771" s="16" t="s">
        <v>7596</v>
      </c>
      <c r="B771" s="16" t="s">
        <v>8868</v>
      </c>
      <c r="C771" s="16" t="s">
        <v>7663</v>
      </c>
      <c r="D771" s="16" t="s">
        <v>7597</v>
      </c>
      <c r="E771" s="16" t="s">
        <v>7053</v>
      </c>
      <c r="F771" s="16" t="s">
        <v>7054</v>
      </c>
      <c r="G771" s="16" t="s">
        <v>32</v>
      </c>
      <c r="H771" s="16" t="s">
        <v>64</v>
      </c>
      <c r="I771" s="16"/>
      <c r="J771" s="16" t="s">
        <v>7055</v>
      </c>
      <c r="K771" s="16"/>
      <c r="L771" s="16"/>
      <c r="M771" s="19" t="s">
        <v>7056</v>
      </c>
      <c r="N771" s="16"/>
      <c r="O771" s="16" t="s">
        <v>7057</v>
      </c>
      <c r="P771" s="16" t="str">
        <f>HYPERLINK("https://ceds.ed.gov/cedselementdetails.aspx?termid=26279")</f>
        <v>https://ceds.ed.gov/cedselementdetails.aspx?termid=26279</v>
      </c>
      <c r="Q771" s="16">
        <v>73601</v>
      </c>
    </row>
    <row r="772" spans="1:17" ht="158.4" x14ac:dyDescent="0.3">
      <c r="A772" s="16" t="s">
        <v>7596</v>
      </c>
      <c r="B772" s="16" t="s">
        <v>8868</v>
      </c>
      <c r="C772" s="16" t="s">
        <v>7663</v>
      </c>
      <c r="D772" s="16" t="s">
        <v>7597</v>
      </c>
      <c r="E772" s="16" t="s">
        <v>2493</v>
      </c>
      <c r="F772" s="16" t="s">
        <v>2494</v>
      </c>
      <c r="G772" s="16" t="s">
        <v>32</v>
      </c>
      <c r="H772" s="16"/>
      <c r="I772" s="16"/>
      <c r="J772" s="16" t="s">
        <v>2495</v>
      </c>
      <c r="K772" s="16"/>
      <c r="L772" s="16"/>
      <c r="M772" s="19" t="s">
        <v>2496</v>
      </c>
      <c r="N772" s="16"/>
      <c r="O772" s="16" t="s">
        <v>2497</v>
      </c>
      <c r="P772" s="16" t="str">
        <f>HYPERLINK("https://ceds.ed.gov/cedselementdetails.aspx?termid=27176")</f>
        <v>https://ceds.ed.gov/cedselementdetails.aspx?termid=27176</v>
      </c>
      <c r="Q772" s="16">
        <v>75292</v>
      </c>
    </row>
    <row r="773" spans="1:17" ht="57.6" x14ac:dyDescent="0.3">
      <c r="A773" s="16" t="s">
        <v>7596</v>
      </c>
      <c r="B773" s="16" t="s">
        <v>8868</v>
      </c>
      <c r="C773" s="16" t="s">
        <v>7663</v>
      </c>
      <c r="D773" s="16" t="s">
        <v>7597</v>
      </c>
      <c r="E773" s="16" t="s">
        <v>3175</v>
      </c>
      <c r="F773" s="16" t="s">
        <v>3176</v>
      </c>
      <c r="G773" s="16" t="s">
        <v>2987</v>
      </c>
      <c r="H773" s="16"/>
      <c r="I773" s="16"/>
      <c r="J773" s="16"/>
      <c r="K773" s="16"/>
      <c r="L773" s="16"/>
      <c r="M773" s="19" t="s">
        <v>3177</v>
      </c>
      <c r="N773" s="16"/>
      <c r="O773" s="16" t="s">
        <v>3178</v>
      </c>
      <c r="P773" s="16" t="str">
        <f>HYPERLINK("https://ceds.ed.gov/cedselementdetails.aspx?termid=27905")</f>
        <v>https://ceds.ed.gov/cedselementdetails.aspx?termid=27905</v>
      </c>
      <c r="Q773" s="16">
        <v>75293</v>
      </c>
    </row>
    <row r="774" spans="1:17" ht="57.6" x14ac:dyDescent="0.3">
      <c r="A774" s="16" t="s">
        <v>7596</v>
      </c>
      <c r="B774" s="16" t="s">
        <v>8868</v>
      </c>
      <c r="C774" s="16" t="s">
        <v>7663</v>
      </c>
      <c r="D774" s="16" t="s">
        <v>7597</v>
      </c>
      <c r="E774" s="16" t="s">
        <v>7058</v>
      </c>
      <c r="F774" s="16" t="s">
        <v>7059</v>
      </c>
      <c r="G774" s="16" t="s">
        <v>8848</v>
      </c>
      <c r="H774" s="16"/>
      <c r="I774" s="16"/>
      <c r="J774" s="16"/>
      <c r="K774" s="16"/>
      <c r="L774" s="16"/>
      <c r="M774" s="19" t="s">
        <v>7060</v>
      </c>
      <c r="N774" s="16"/>
      <c r="O774" s="16" t="s">
        <v>7061</v>
      </c>
      <c r="P774" s="16" t="str">
        <f>HYPERLINK("https://ceds.ed.gov/cedselementdetails.aspx?termid=27911")</f>
        <v>https://ceds.ed.gov/cedselementdetails.aspx?termid=27911</v>
      </c>
      <c r="Q774" s="16">
        <v>75294</v>
      </c>
    </row>
    <row r="775" spans="1:17" ht="409.6" x14ac:dyDescent="0.3">
      <c r="A775" s="16" t="s">
        <v>7596</v>
      </c>
      <c r="B775" s="16" t="s">
        <v>8868</v>
      </c>
      <c r="C775" s="16" t="s">
        <v>7652</v>
      </c>
      <c r="D775" s="16" t="s">
        <v>7597</v>
      </c>
      <c r="E775" s="16" t="s">
        <v>5751</v>
      </c>
      <c r="F775" s="16" t="s">
        <v>5752</v>
      </c>
      <c r="G775" s="16" t="s">
        <v>8753</v>
      </c>
      <c r="H775" s="16" t="s">
        <v>1516</v>
      </c>
      <c r="I775" s="16"/>
      <c r="J775" s="16"/>
      <c r="K775" s="16"/>
      <c r="L775" s="16" t="s">
        <v>5753</v>
      </c>
      <c r="M775" s="19" t="s">
        <v>5754</v>
      </c>
      <c r="N775" s="16"/>
      <c r="O775" s="16" t="s">
        <v>5755</v>
      </c>
      <c r="P775" s="16" t="str">
        <f>HYPERLINK("https://ceds.ed.gov/cedselementdetails.aspx?termid=26415")</f>
        <v>https://ceds.ed.gov/cedselementdetails.aspx?termid=26415</v>
      </c>
      <c r="Q775" s="16">
        <v>75295</v>
      </c>
    </row>
    <row r="776" spans="1:17" ht="57.6" x14ac:dyDescent="0.3">
      <c r="A776" s="16" t="s">
        <v>7596</v>
      </c>
      <c r="B776" s="16" t="s">
        <v>8868</v>
      </c>
      <c r="C776" s="16" t="s">
        <v>4</v>
      </c>
      <c r="D776" s="16" t="s">
        <v>7597</v>
      </c>
      <c r="E776" s="16" t="s">
        <v>6162</v>
      </c>
      <c r="F776" s="16" t="s">
        <v>6163</v>
      </c>
      <c r="G776" s="16" t="s">
        <v>22</v>
      </c>
      <c r="H776" s="16"/>
      <c r="I776" s="16"/>
      <c r="J776" s="16"/>
      <c r="K776" s="16"/>
      <c r="L776" s="16"/>
      <c r="M776" s="19" t="s">
        <v>6164</v>
      </c>
      <c r="N776" s="16"/>
      <c r="O776" s="16" t="s">
        <v>6165</v>
      </c>
      <c r="P776" s="16" t="str">
        <f>HYPERLINK("https://ceds.ed.gov/cedselementdetails.aspx?termid=26760")</f>
        <v>https://ceds.ed.gov/cedselementdetails.aspx?termid=26760</v>
      </c>
      <c r="Q776" s="16">
        <v>75296</v>
      </c>
    </row>
    <row r="777" spans="1:17" ht="57.6" x14ac:dyDescent="0.3">
      <c r="A777" s="16" t="s">
        <v>7596</v>
      </c>
      <c r="B777" s="16" t="s">
        <v>8868</v>
      </c>
      <c r="C777" s="16" t="s">
        <v>7713</v>
      </c>
      <c r="D777" s="16" t="s">
        <v>7597</v>
      </c>
      <c r="E777" s="16" t="s">
        <v>1402</v>
      </c>
      <c r="F777" s="16" t="s">
        <v>1403</v>
      </c>
      <c r="G777" s="16" t="s">
        <v>32</v>
      </c>
      <c r="H777" s="16"/>
      <c r="I777" s="16"/>
      <c r="J777" s="16" t="s">
        <v>106</v>
      </c>
      <c r="K777" s="16"/>
      <c r="L777" s="16" t="s">
        <v>131</v>
      </c>
      <c r="M777" s="19" t="s">
        <v>1404</v>
      </c>
      <c r="N777" s="16"/>
      <c r="O777" s="16" t="s">
        <v>1405</v>
      </c>
      <c r="P777" s="16" t="str">
        <f>HYPERLINK("https://ceds.ed.gov/cedselementdetails.aspx?termid=26518")</f>
        <v>https://ceds.ed.gov/cedselementdetails.aspx?termid=26518</v>
      </c>
      <c r="Q777" s="16">
        <v>75830</v>
      </c>
    </row>
    <row r="778" spans="1:17" ht="28.8" x14ac:dyDescent="0.3">
      <c r="A778" s="16" t="s">
        <v>7596</v>
      </c>
      <c r="B778" s="16" t="s">
        <v>8868</v>
      </c>
      <c r="C778" s="16" t="s">
        <v>7713</v>
      </c>
      <c r="D778" s="16" t="s">
        <v>7597</v>
      </c>
      <c r="E778" s="16" t="s">
        <v>1406</v>
      </c>
      <c r="F778" s="16" t="s">
        <v>1407</v>
      </c>
      <c r="G778" s="16" t="s">
        <v>32</v>
      </c>
      <c r="H778" s="16"/>
      <c r="I778" s="16"/>
      <c r="J778" s="16" t="s">
        <v>106</v>
      </c>
      <c r="K778" s="16"/>
      <c r="L778" s="16"/>
      <c r="M778" s="19" t="s">
        <v>1408</v>
      </c>
      <c r="N778" s="16"/>
      <c r="O778" s="16" t="s">
        <v>1409</v>
      </c>
      <c r="P778" s="16" t="str">
        <f>HYPERLINK("https://ceds.ed.gov/cedselementdetails.aspx?termid=26517")</f>
        <v>https://ceds.ed.gov/cedselementdetails.aspx?termid=26517</v>
      </c>
      <c r="Q778" s="16">
        <v>75831</v>
      </c>
    </row>
    <row r="779" spans="1:17" ht="244.8" x14ac:dyDescent="0.3">
      <c r="A779" s="16" t="s">
        <v>7596</v>
      </c>
      <c r="B779" s="16" t="s">
        <v>8868</v>
      </c>
      <c r="C779" s="16" t="s">
        <v>7713</v>
      </c>
      <c r="D779" s="16" t="s">
        <v>7597</v>
      </c>
      <c r="E779" s="16" t="s">
        <v>2064</v>
      </c>
      <c r="F779" s="16" t="s">
        <v>2065</v>
      </c>
      <c r="G779" s="16" t="s">
        <v>8213</v>
      </c>
      <c r="H779" s="16"/>
      <c r="I779" s="16"/>
      <c r="J779" s="16"/>
      <c r="K779" s="16"/>
      <c r="L779" s="16"/>
      <c r="M779" s="19" t="s">
        <v>2066</v>
      </c>
      <c r="N779" s="16"/>
      <c r="O779" s="16" t="s">
        <v>2067</v>
      </c>
      <c r="P779" s="16" t="str">
        <f>HYPERLINK("https://ceds.ed.gov/cedselementdetails.aspx?termid=26615")</f>
        <v>https://ceds.ed.gov/cedselementdetails.aspx?termid=26615</v>
      </c>
      <c r="Q779" s="16">
        <v>75832</v>
      </c>
    </row>
    <row r="780" spans="1:17" ht="43.2" x14ac:dyDescent="0.3">
      <c r="A780" s="16" t="s">
        <v>7596</v>
      </c>
      <c r="B780" s="16" t="s">
        <v>8868</v>
      </c>
      <c r="C780" s="16" t="s">
        <v>7713</v>
      </c>
      <c r="D780" s="16" t="s">
        <v>7597</v>
      </c>
      <c r="E780" s="16" t="s">
        <v>4860</v>
      </c>
      <c r="F780" s="16" t="s">
        <v>4861</v>
      </c>
      <c r="G780" s="16" t="s">
        <v>22</v>
      </c>
      <c r="H780" s="16"/>
      <c r="I780" s="16"/>
      <c r="J780" s="16"/>
      <c r="K780" s="16"/>
      <c r="L780" s="16"/>
      <c r="M780" s="19" t="s">
        <v>4863</v>
      </c>
      <c r="N780" s="16"/>
      <c r="O780" s="16" t="s">
        <v>4864</v>
      </c>
      <c r="P780" s="16" t="str">
        <f>HYPERLINK("https://ceds.ed.gov/cedselementdetails.aspx?termid=26519")</f>
        <v>https://ceds.ed.gov/cedselementdetails.aspx?termid=26519</v>
      </c>
      <c r="Q780" s="16">
        <v>75833</v>
      </c>
    </row>
    <row r="781" spans="1:17" ht="72" x14ac:dyDescent="0.3">
      <c r="A781" s="16" t="s">
        <v>7596</v>
      </c>
      <c r="B781" s="16" t="s">
        <v>8868</v>
      </c>
      <c r="C781" s="16" t="s">
        <v>7713</v>
      </c>
      <c r="D781" s="16" t="s">
        <v>7597</v>
      </c>
      <c r="E781" s="16" t="s">
        <v>5773</v>
      </c>
      <c r="F781" s="16" t="s">
        <v>5774</v>
      </c>
      <c r="G781" s="16" t="s">
        <v>32</v>
      </c>
      <c r="H781" s="16" t="s">
        <v>64</v>
      </c>
      <c r="I781" s="16"/>
      <c r="J781" s="16" t="s">
        <v>1304</v>
      </c>
      <c r="K781" s="16"/>
      <c r="L781" s="16"/>
      <c r="M781" s="19" t="s">
        <v>5775</v>
      </c>
      <c r="N781" s="16"/>
      <c r="O781" s="16" t="s">
        <v>5776</v>
      </c>
      <c r="P781" s="16" t="str">
        <f>HYPERLINK("https://ceds.ed.gov/cedselementdetails.aspx?termid=26213")</f>
        <v>https://ceds.ed.gov/cedselementdetails.aspx?termid=26213</v>
      </c>
      <c r="Q781" s="16">
        <v>75834</v>
      </c>
    </row>
    <row r="782" spans="1:17" ht="216" x14ac:dyDescent="0.3">
      <c r="A782" s="16" t="s">
        <v>7596</v>
      </c>
      <c r="B782" s="16" t="s">
        <v>8868</v>
      </c>
      <c r="C782" s="16" t="s">
        <v>7713</v>
      </c>
      <c r="D782" s="16" t="s">
        <v>7597</v>
      </c>
      <c r="E782" s="16" t="s">
        <v>6030</v>
      </c>
      <c r="F782" s="16" t="s">
        <v>6031</v>
      </c>
      <c r="G782" s="16" t="s">
        <v>8254</v>
      </c>
      <c r="H782" s="16"/>
      <c r="I782" s="16"/>
      <c r="J782" s="16"/>
      <c r="K782" s="16"/>
      <c r="L782" s="16"/>
      <c r="M782" s="19" t="s">
        <v>6032</v>
      </c>
      <c r="N782" s="16"/>
      <c r="O782" s="16" t="s">
        <v>6033</v>
      </c>
      <c r="P782" s="16" t="str">
        <f>HYPERLINK("https://ceds.ed.gov/cedselementdetails.aspx?termid=26220")</f>
        <v>https://ceds.ed.gov/cedselementdetails.aspx?termid=26220</v>
      </c>
      <c r="Q782" s="16">
        <v>75835</v>
      </c>
    </row>
    <row r="783" spans="1:17" ht="187.2" x14ac:dyDescent="0.3">
      <c r="A783" s="16" t="s">
        <v>7596</v>
      </c>
      <c r="B783" s="16" t="s">
        <v>8868</v>
      </c>
      <c r="C783" s="16" t="s">
        <v>7713</v>
      </c>
      <c r="D783" s="16" t="s">
        <v>7597</v>
      </c>
      <c r="E783" s="16" t="s">
        <v>6520</v>
      </c>
      <c r="F783" s="16" t="s">
        <v>263</v>
      </c>
      <c r="G783" s="16" t="s">
        <v>8261</v>
      </c>
      <c r="H783" s="16" t="s">
        <v>6523</v>
      </c>
      <c r="I783" s="16"/>
      <c r="J783" s="16"/>
      <c r="K783" s="16"/>
      <c r="L783" s="16"/>
      <c r="M783" s="19" t="s">
        <v>6521</v>
      </c>
      <c r="N783" s="16"/>
      <c r="O783" s="16" t="s">
        <v>6522</v>
      </c>
      <c r="P783" s="16" t="str">
        <f>HYPERLINK("https://ceds.ed.gov/cedselementdetails.aspx?termid=26161")</f>
        <v>https://ceds.ed.gov/cedselementdetails.aspx?termid=26161</v>
      </c>
      <c r="Q783" s="16">
        <v>75836</v>
      </c>
    </row>
    <row r="784" spans="1:17" ht="172.8" x14ac:dyDescent="0.3">
      <c r="A784" s="16" t="s">
        <v>7596</v>
      </c>
      <c r="B784" s="16" t="s">
        <v>8868</v>
      </c>
      <c r="C784" s="16" t="s">
        <v>7713</v>
      </c>
      <c r="D784" s="16" t="s">
        <v>7597</v>
      </c>
      <c r="E784" s="16" t="s">
        <v>6524</v>
      </c>
      <c r="F784" s="16" t="s">
        <v>268</v>
      </c>
      <c r="G784" s="16" t="s">
        <v>32</v>
      </c>
      <c r="H784" s="16" t="s">
        <v>6523</v>
      </c>
      <c r="I784" s="16"/>
      <c r="J784" s="16" t="s">
        <v>120</v>
      </c>
      <c r="K784" s="16"/>
      <c r="L784" s="16" t="s">
        <v>7817</v>
      </c>
      <c r="M784" s="19" t="s">
        <v>6525</v>
      </c>
      <c r="N784" s="16"/>
      <c r="O784" s="16" t="s">
        <v>6526</v>
      </c>
      <c r="P784" s="16" t="str">
        <f>HYPERLINK("https://ceds.ed.gov/cedselementdetails.aspx?termid=26155")</f>
        <v>https://ceds.ed.gov/cedselementdetails.aspx?termid=26155</v>
      </c>
      <c r="Q784" s="16">
        <v>75837</v>
      </c>
    </row>
    <row r="785" spans="1:17" ht="43.2" x14ac:dyDescent="0.3">
      <c r="A785" s="16" t="s">
        <v>7596</v>
      </c>
      <c r="B785" s="16" t="s">
        <v>8868</v>
      </c>
      <c r="C785" s="16" t="s">
        <v>7713</v>
      </c>
      <c r="D785" s="16" t="s">
        <v>7597</v>
      </c>
      <c r="E785" s="16" t="s">
        <v>6709</v>
      </c>
      <c r="F785" s="16" t="s">
        <v>6710</v>
      </c>
      <c r="G785" s="16" t="s">
        <v>8264</v>
      </c>
      <c r="H785" s="16" t="s">
        <v>214</v>
      </c>
      <c r="I785" s="16"/>
      <c r="J785" s="16"/>
      <c r="K785" s="16"/>
      <c r="L785" s="16"/>
      <c r="M785" s="19" t="s">
        <v>6711</v>
      </c>
      <c r="N785" s="16"/>
      <c r="O785" s="16" t="s">
        <v>6712</v>
      </c>
      <c r="P785" s="16" t="str">
        <f>HYPERLINK("https://ceds.ed.gov/cedselementdetails.aspx?termid=26556")</f>
        <v>https://ceds.ed.gov/cedselementdetails.aspx?termid=26556</v>
      </c>
      <c r="Q785" s="16">
        <v>75838</v>
      </c>
    </row>
    <row r="786" spans="1:17" ht="57.6" x14ac:dyDescent="0.3">
      <c r="A786" s="16" t="s">
        <v>7596</v>
      </c>
      <c r="B786" s="16" t="s">
        <v>8868</v>
      </c>
      <c r="C786" s="16" t="s">
        <v>7713</v>
      </c>
      <c r="D786" s="16" t="s">
        <v>7597</v>
      </c>
      <c r="E786" s="16" t="s">
        <v>6722</v>
      </c>
      <c r="F786" s="16" t="s">
        <v>6723</v>
      </c>
      <c r="G786" s="16" t="s">
        <v>22</v>
      </c>
      <c r="H786" s="16" t="s">
        <v>214</v>
      </c>
      <c r="I786" s="16"/>
      <c r="J786" s="16"/>
      <c r="K786" s="16"/>
      <c r="L786" s="16"/>
      <c r="M786" s="19" t="s">
        <v>6724</v>
      </c>
      <c r="N786" s="16"/>
      <c r="O786" s="16" t="s">
        <v>6725</v>
      </c>
      <c r="P786" s="16" t="str">
        <f>HYPERLINK("https://ceds.ed.gov/cedselementdetails.aspx?termid=26261")</f>
        <v>https://ceds.ed.gov/cedselementdetails.aspx?termid=26261</v>
      </c>
      <c r="Q786" s="16">
        <v>75839</v>
      </c>
    </row>
    <row r="787" spans="1:17" ht="57.6" x14ac:dyDescent="0.3">
      <c r="A787" s="16" t="s">
        <v>7596</v>
      </c>
      <c r="B787" s="16" t="s">
        <v>8868</v>
      </c>
      <c r="C787" s="16" t="s">
        <v>7713</v>
      </c>
      <c r="D787" s="16" t="s">
        <v>7597</v>
      </c>
      <c r="E787" s="16" t="s">
        <v>6726</v>
      </c>
      <c r="F787" s="16" t="s">
        <v>6727</v>
      </c>
      <c r="G787" s="16" t="s">
        <v>22</v>
      </c>
      <c r="H787" s="16" t="s">
        <v>214</v>
      </c>
      <c r="I787" s="16"/>
      <c r="J787" s="16"/>
      <c r="K787" s="16"/>
      <c r="L787" s="16"/>
      <c r="M787" s="19" t="s">
        <v>6728</v>
      </c>
      <c r="N787" s="16"/>
      <c r="O787" s="16" t="s">
        <v>6729</v>
      </c>
      <c r="P787" s="16" t="str">
        <f>HYPERLINK("https://ceds.ed.gov/cedselementdetails.aspx?termid=26262")</f>
        <v>https://ceds.ed.gov/cedselementdetails.aspx?termid=26262</v>
      </c>
      <c r="Q787" s="16">
        <v>75840</v>
      </c>
    </row>
    <row r="788" spans="1:17" ht="187.2" x14ac:dyDescent="0.3">
      <c r="A788" s="16" t="s">
        <v>7596</v>
      </c>
      <c r="B788" s="16" t="s">
        <v>8868</v>
      </c>
      <c r="C788" s="16" t="s">
        <v>7713</v>
      </c>
      <c r="D788" s="16" t="s">
        <v>7597</v>
      </c>
      <c r="E788" s="16" t="s">
        <v>6735</v>
      </c>
      <c r="F788" s="16" t="s">
        <v>6736</v>
      </c>
      <c r="G788" s="16" t="s">
        <v>8265</v>
      </c>
      <c r="H788" s="16" t="s">
        <v>214</v>
      </c>
      <c r="I788" s="16"/>
      <c r="J788" s="16"/>
      <c r="K788" s="16"/>
      <c r="L788" s="16"/>
      <c r="M788" s="19" t="s">
        <v>6737</v>
      </c>
      <c r="N788" s="16"/>
      <c r="O788" s="16" t="s">
        <v>6738</v>
      </c>
      <c r="P788" s="16" t="str">
        <f>HYPERLINK("https://ceds.ed.gov/cedselementdetails.aspx?termid=26549")</f>
        <v>https://ceds.ed.gov/cedselementdetails.aspx?termid=26549</v>
      </c>
      <c r="Q788" s="16">
        <v>75841</v>
      </c>
    </row>
    <row r="789" spans="1:17" ht="57.6" x14ac:dyDescent="0.3">
      <c r="A789" s="16" t="s">
        <v>7596</v>
      </c>
      <c r="B789" s="16" t="s">
        <v>8868</v>
      </c>
      <c r="C789" s="16" t="s">
        <v>7713</v>
      </c>
      <c r="D789" s="16" t="s">
        <v>7597</v>
      </c>
      <c r="E789" s="16" t="s">
        <v>6739</v>
      </c>
      <c r="F789" s="16" t="s">
        <v>6740</v>
      </c>
      <c r="G789" s="16" t="s">
        <v>22</v>
      </c>
      <c r="H789" s="16" t="s">
        <v>214</v>
      </c>
      <c r="I789" s="16"/>
      <c r="J789" s="16"/>
      <c r="K789" s="16"/>
      <c r="L789" s="16"/>
      <c r="M789" s="19" t="s">
        <v>6741</v>
      </c>
      <c r="N789" s="16"/>
      <c r="O789" s="16" t="s">
        <v>6742</v>
      </c>
      <c r="P789" s="16" t="str">
        <f>HYPERLINK("https://ceds.ed.gov/cedselementdetails.aspx?termid=26264")</f>
        <v>https://ceds.ed.gov/cedselementdetails.aspx?termid=26264</v>
      </c>
      <c r="Q789" s="16">
        <v>75842</v>
      </c>
    </row>
    <row r="790" spans="1:17" ht="57.6" x14ac:dyDescent="0.3">
      <c r="A790" s="16" t="s">
        <v>7596</v>
      </c>
      <c r="B790" s="16" t="s">
        <v>8868</v>
      </c>
      <c r="C790" s="16" t="s">
        <v>7713</v>
      </c>
      <c r="D790" s="16" t="s">
        <v>7597</v>
      </c>
      <c r="E790" s="16" t="s">
        <v>6799</v>
      </c>
      <c r="F790" s="16" t="s">
        <v>6800</v>
      </c>
      <c r="G790" s="16" t="s">
        <v>32</v>
      </c>
      <c r="H790" s="16" t="s">
        <v>6804</v>
      </c>
      <c r="I790" s="16"/>
      <c r="J790" s="16" t="s">
        <v>4081</v>
      </c>
      <c r="K790" s="16"/>
      <c r="L790" s="16"/>
      <c r="M790" s="19" t="s">
        <v>6801</v>
      </c>
      <c r="N790" s="16" t="s">
        <v>6802</v>
      </c>
      <c r="O790" s="16" t="s">
        <v>6803</v>
      </c>
      <c r="P790" s="16" t="str">
        <f>HYPERLINK("https://ceds.ed.gov/cedselementdetails.aspx?termid=26118")</f>
        <v>https://ceds.ed.gov/cedselementdetails.aspx?termid=26118</v>
      </c>
      <c r="Q790" s="16">
        <v>75843</v>
      </c>
    </row>
    <row r="791" spans="1:17" ht="57.6" x14ac:dyDescent="0.3">
      <c r="A791" s="16" t="s">
        <v>7596</v>
      </c>
      <c r="B791" s="16" t="s">
        <v>8868</v>
      </c>
      <c r="C791" s="16" t="s">
        <v>7713</v>
      </c>
      <c r="D791" s="16" t="s">
        <v>7597</v>
      </c>
      <c r="E791" s="16" t="s">
        <v>7013</v>
      </c>
      <c r="F791" s="16" t="s">
        <v>7014</v>
      </c>
      <c r="G791" s="16" t="s">
        <v>32</v>
      </c>
      <c r="H791" s="16" t="s">
        <v>6997</v>
      </c>
      <c r="I791" s="16"/>
      <c r="J791" s="16" t="s">
        <v>106</v>
      </c>
      <c r="K791" s="16"/>
      <c r="L791" s="16" t="s">
        <v>7015</v>
      </c>
      <c r="M791" s="19" t="s">
        <v>7016</v>
      </c>
      <c r="N791" s="16"/>
      <c r="O791" s="16" t="s">
        <v>7017</v>
      </c>
      <c r="P791" s="16" t="str">
        <f>HYPERLINK("https://ceds.ed.gov/cedselementdetails.aspx?termid=26648")</f>
        <v>https://ceds.ed.gov/cedselementdetails.aspx?termid=26648</v>
      </c>
      <c r="Q791" s="16">
        <v>75844</v>
      </c>
    </row>
    <row r="792" spans="1:17" ht="28.8" x14ac:dyDescent="0.3">
      <c r="A792" s="16" t="s">
        <v>7596</v>
      </c>
      <c r="B792" s="16" t="s">
        <v>8868</v>
      </c>
      <c r="C792" s="16" t="s">
        <v>7713</v>
      </c>
      <c r="D792" s="16" t="s">
        <v>7597</v>
      </c>
      <c r="E792" s="16" t="s">
        <v>7021</v>
      </c>
      <c r="F792" s="16" t="s">
        <v>7022</v>
      </c>
      <c r="G792" s="16" t="s">
        <v>32</v>
      </c>
      <c r="H792" s="16" t="s">
        <v>6997</v>
      </c>
      <c r="I792" s="16"/>
      <c r="J792" s="16" t="s">
        <v>106</v>
      </c>
      <c r="K792" s="16"/>
      <c r="L792" s="16"/>
      <c r="M792" s="19" t="s">
        <v>7023</v>
      </c>
      <c r="N792" s="16"/>
      <c r="O792" s="16" t="s">
        <v>7024</v>
      </c>
      <c r="P792" s="16" t="str">
        <f>HYPERLINK("https://ceds.ed.gov/cedselementdetails.aspx?termid=26647")</f>
        <v>https://ceds.ed.gov/cedselementdetails.aspx?termid=26647</v>
      </c>
      <c r="Q792" s="16">
        <v>75845</v>
      </c>
    </row>
    <row r="793" spans="1:17" ht="86.4" x14ac:dyDescent="0.3">
      <c r="A793" s="16" t="s">
        <v>7596</v>
      </c>
      <c r="B793" s="16" t="s">
        <v>8868</v>
      </c>
      <c r="C793" s="16" t="s">
        <v>7713</v>
      </c>
      <c r="D793" s="16" t="s">
        <v>7597</v>
      </c>
      <c r="E793" s="16" t="s">
        <v>7090</v>
      </c>
      <c r="F793" s="16" t="s">
        <v>7091</v>
      </c>
      <c r="G793" s="16" t="s">
        <v>8275</v>
      </c>
      <c r="H793" s="16" t="s">
        <v>214</v>
      </c>
      <c r="I793" s="16"/>
      <c r="J793" s="16"/>
      <c r="K793" s="16"/>
      <c r="L793" s="16"/>
      <c r="M793" s="19" t="s">
        <v>7092</v>
      </c>
      <c r="N793" s="16"/>
      <c r="O793" s="16" t="s">
        <v>7093</v>
      </c>
      <c r="P793" s="16" t="str">
        <f>HYPERLINK("https://ceds.ed.gov/cedselementdetails.aspx?termid=26283")</f>
        <v>https://ceds.ed.gov/cedselementdetails.aspx?termid=26283</v>
      </c>
      <c r="Q793" s="16">
        <v>75846</v>
      </c>
    </row>
    <row r="794" spans="1:17" ht="28.8" x14ac:dyDescent="0.3">
      <c r="A794" s="16" t="s">
        <v>7596</v>
      </c>
      <c r="B794" s="16" t="s">
        <v>8868</v>
      </c>
      <c r="C794" s="16" t="s">
        <v>7682</v>
      </c>
      <c r="D794" s="16" t="s">
        <v>7597</v>
      </c>
      <c r="E794" s="16" t="s">
        <v>1410</v>
      </c>
      <c r="F794" s="16" t="s">
        <v>1411</v>
      </c>
      <c r="G794" s="16" t="s">
        <v>32</v>
      </c>
      <c r="H794" s="16"/>
      <c r="I794" s="16"/>
      <c r="J794" s="16" t="s">
        <v>106</v>
      </c>
      <c r="K794" s="16"/>
      <c r="L794" s="16"/>
      <c r="M794" s="19" t="s">
        <v>1412</v>
      </c>
      <c r="N794" s="16"/>
      <c r="O794" s="16" t="s">
        <v>1413</v>
      </c>
      <c r="P794" s="16" t="str">
        <f>HYPERLINK("https://ceds.ed.gov/cedselementdetails.aspx?termid=27630")</f>
        <v>https://ceds.ed.gov/cedselementdetails.aspx?termid=27630</v>
      </c>
      <c r="Q794" s="16">
        <v>75847</v>
      </c>
    </row>
    <row r="795" spans="1:17" ht="86.4" x14ac:dyDescent="0.3">
      <c r="A795" s="16" t="s">
        <v>7596</v>
      </c>
      <c r="B795" s="16" t="s">
        <v>8868</v>
      </c>
      <c r="C795" s="16" t="s">
        <v>7682</v>
      </c>
      <c r="D795" s="16" t="s">
        <v>7597</v>
      </c>
      <c r="E795" s="16" t="s">
        <v>1419</v>
      </c>
      <c r="F795" s="16" t="s">
        <v>1420</v>
      </c>
      <c r="G795" s="16" t="s">
        <v>8211</v>
      </c>
      <c r="H795" s="16"/>
      <c r="I795" s="16"/>
      <c r="J795" s="16"/>
      <c r="K795" s="16"/>
      <c r="L795" s="16"/>
      <c r="M795" s="19" t="s">
        <v>1421</v>
      </c>
      <c r="N795" s="16"/>
      <c r="O795" s="16" t="s">
        <v>1422</v>
      </c>
      <c r="P795" s="16" t="str">
        <f>HYPERLINK("https://ceds.ed.gov/cedselementdetails.aspx?termid=26076")</f>
        <v>https://ceds.ed.gov/cedselementdetails.aspx?termid=26076</v>
      </c>
      <c r="Q795" s="16">
        <v>75848</v>
      </c>
    </row>
    <row r="796" spans="1:17" ht="86.4" x14ac:dyDescent="0.3">
      <c r="A796" s="16" t="s">
        <v>7596</v>
      </c>
      <c r="B796" s="16" t="s">
        <v>8868</v>
      </c>
      <c r="C796" s="16" t="s">
        <v>7682</v>
      </c>
      <c r="D796" s="16" t="s">
        <v>7597</v>
      </c>
      <c r="E796" s="16" t="s">
        <v>4741</v>
      </c>
      <c r="F796" s="16" t="s">
        <v>4742</v>
      </c>
      <c r="G796" s="16" t="s">
        <v>8237</v>
      </c>
      <c r="H796" s="16" t="s">
        <v>69</v>
      </c>
      <c r="I796" s="16"/>
      <c r="J796" s="16"/>
      <c r="K796" s="16"/>
      <c r="L796" s="16" t="s">
        <v>4743</v>
      </c>
      <c r="M796" s="19" t="s">
        <v>4744</v>
      </c>
      <c r="N796" s="16"/>
      <c r="O796" s="16" t="s">
        <v>4745</v>
      </c>
      <c r="P796" s="16" t="str">
        <f>HYPERLINK("https://ceds.ed.gov/cedselementdetails.aspx?termid=26712")</f>
        <v>https://ceds.ed.gov/cedselementdetails.aspx?termid=26712</v>
      </c>
      <c r="Q796" s="16">
        <v>75849</v>
      </c>
    </row>
    <row r="797" spans="1:17" ht="259.2" x14ac:dyDescent="0.3">
      <c r="A797" s="16" t="s">
        <v>7596</v>
      </c>
      <c r="B797" s="16" t="s">
        <v>8868</v>
      </c>
      <c r="C797" s="16" t="s">
        <v>7682</v>
      </c>
      <c r="D797" s="16" t="s">
        <v>7597</v>
      </c>
      <c r="E797" s="16" t="s">
        <v>5208</v>
      </c>
      <c r="F797" s="16" t="s">
        <v>5209</v>
      </c>
      <c r="G797" s="16" t="s">
        <v>8241</v>
      </c>
      <c r="H797" s="16"/>
      <c r="I797" s="16"/>
      <c r="J797" s="16"/>
      <c r="K797" s="16"/>
      <c r="L797" s="16"/>
      <c r="M797" s="19" t="s">
        <v>5210</v>
      </c>
      <c r="N797" s="16"/>
      <c r="O797" s="16" t="s">
        <v>5211</v>
      </c>
      <c r="P797" s="16" t="str">
        <f>HYPERLINK("https://ceds.ed.gov/cedselementdetails.aspx?termid=26617")</f>
        <v>https://ceds.ed.gov/cedselementdetails.aspx?termid=26617</v>
      </c>
      <c r="Q797" s="16">
        <v>75850</v>
      </c>
    </row>
    <row r="798" spans="1:17" ht="115.2" x14ac:dyDescent="0.3">
      <c r="A798" s="16" t="s">
        <v>7596</v>
      </c>
      <c r="B798" s="16" t="s">
        <v>8868</v>
      </c>
      <c r="C798" s="16" t="s">
        <v>7682</v>
      </c>
      <c r="D798" s="16" t="s">
        <v>7597</v>
      </c>
      <c r="E798" s="16" t="s">
        <v>8896</v>
      </c>
      <c r="F798" s="16" t="s">
        <v>8897</v>
      </c>
      <c r="G798" s="16" t="s">
        <v>32</v>
      </c>
      <c r="H798" s="16"/>
      <c r="I798" s="16"/>
      <c r="J798" s="16" t="s">
        <v>4030</v>
      </c>
      <c r="K798" s="16"/>
      <c r="L798" s="16" t="s">
        <v>8898</v>
      </c>
      <c r="M798" s="19" t="s">
        <v>8899</v>
      </c>
      <c r="N798" s="16"/>
      <c r="O798" s="16" t="s">
        <v>8900</v>
      </c>
      <c r="P798" s="16" t="str">
        <f>HYPERLINK("https://ceds.ed.gov/cedselementdetails.aspx?termid=28001")</f>
        <v>https://ceds.ed.gov/cedselementdetails.aspx?termid=28001</v>
      </c>
      <c r="Q798" s="16">
        <v>76083</v>
      </c>
    </row>
    <row r="799" spans="1:17" ht="28.8" x14ac:dyDescent="0.3">
      <c r="A799" s="16" t="s">
        <v>7596</v>
      </c>
      <c r="B799" s="16" t="s">
        <v>8868</v>
      </c>
      <c r="C799" s="16" t="s">
        <v>7682</v>
      </c>
      <c r="D799" s="16" t="s">
        <v>7597</v>
      </c>
      <c r="E799" s="16" t="s">
        <v>8901</v>
      </c>
      <c r="F799" s="16" t="s">
        <v>8902</v>
      </c>
      <c r="G799" s="16" t="s">
        <v>32</v>
      </c>
      <c r="H799" s="16"/>
      <c r="I799" s="16"/>
      <c r="J799" s="16" t="s">
        <v>4030</v>
      </c>
      <c r="K799" s="16"/>
      <c r="L799" s="16"/>
      <c r="M799" s="19" t="s">
        <v>8903</v>
      </c>
      <c r="N799" s="16"/>
      <c r="O799" s="16" t="s">
        <v>8904</v>
      </c>
      <c r="P799" s="16" t="str">
        <f>HYPERLINK("https://ceds.ed.gov/cedselementdetails.aspx?termid=28002")</f>
        <v>https://ceds.ed.gov/cedselementdetails.aspx?termid=28002</v>
      </c>
      <c r="Q799" s="16">
        <v>76084</v>
      </c>
    </row>
    <row r="800" spans="1:17" ht="28.8" x14ac:dyDescent="0.3">
      <c r="A800" s="16" t="s">
        <v>7596</v>
      </c>
      <c r="B800" s="16" t="s">
        <v>8868</v>
      </c>
      <c r="C800" s="16" t="s">
        <v>7682</v>
      </c>
      <c r="D800" s="16" t="s">
        <v>7597</v>
      </c>
      <c r="E800" s="16" t="s">
        <v>8905</v>
      </c>
      <c r="F800" s="16" t="s">
        <v>8906</v>
      </c>
      <c r="G800" s="16" t="s">
        <v>32</v>
      </c>
      <c r="H800" s="16"/>
      <c r="I800" s="16"/>
      <c r="J800" s="16" t="s">
        <v>4030</v>
      </c>
      <c r="K800" s="16"/>
      <c r="L800" s="16"/>
      <c r="M800" s="19" t="s">
        <v>8907</v>
      </c>
      <c r="N800" s="16"/>
      <c r="O800" s="16" t="s">
        <v>8908</v>
      </c>
      <c r="P800" s="16" t="str">
        <f>HYPERLINK("https://ceds.ed.gov/cedselementdetails.aspx?termid=28003")</f>
        <v>https://ceds.ed.gov/cedselementdetails.aspx?termid=28003</v>
      </c>
      <c r="Q800" s="16">
        <v>76085</v>
      </c>
    </row>
    <row r="801" spans="1:17" ht="72" x14ac:dyDescent="0.3">
      <c r="A801" s="16" t="s">
        <v>7596</v>
      </c>
      <c r="B801" s="16" t="s">
        <v>8868</v>
      </c>
      <c r="C801" s="16" t="s">
        <v>9412</v>
      </c>
      <c r="D801" s="16" t="s">
        <v>7597</v>
      </c>
      <c r="E801" s="16" t="s">
        <v>9312</v>
      </c>
      <c r="F801" s="16" t="s">
        <v>9313</v>
      </c>
      <c r="G801" s="16" t="s">
        <v>9325</v>
      </c>
      <c r="H801" s="16"/>
      <c r="I801" s="16"/>
      <c r="J801" s="16"/>
      <c r="K801" s="16"/>
      <c r="L801" s="16"/>
      <c r="M801" s="19" t="s">
        <v>5394</v>
      </c>
      <c r="N801" s="16"/>
      <c r="O801" s="16" t="s">
        <v>9314</v>
      </c>
      <c r="P801" s="16" t="str">
        <f>HYPERLINK("https://ceds.ed.gov/cedselementdetails.aspx?termid=27556")</f>
        <v>https://ceds.ed.gov/cedselementdetails.aspx?termid=27556</v>
      </c>
      <c r="Q801" s="16">
        <v>76056</v>
      </c>
    </row>
    <row r="802" spans="1:17" ht="144" x14ac:dyDescent="0.3">
      <c r="A802" s="16" t="s">
        <v>7596</v>
      </c>
      <c r="B802" s="16" t="s">
        <v>8868</v>
      </c>
      <c r="C802" s="16" t="s">
        <v>9412</v>
      </c>
      <c r="D802" s="16" t="s">
        <v>7597</v>
      </c>
      <c r="E802" s="16" t="s">
        <v>9087</v>
      </c>
      <c r="F802" s="16" t="s">
        <v>9088</v>
      </c>
      <c r="G802" s="16" t="s">
        <v>9298</v>
      </c>
      <c r="H802" s="16"/>
      <c r="I802" s="16"/>
      <c r="J802" s="16" t="s">
        <v>2</v>
      </c>
      <c r="K802" s="16"/>
      <c r="L802" s="16" t="s">
        <v>9089</v>
      </c>
      <c r="M802" s="19" t="s">
        <v>9090</v>
      </c>
      <c r="N802" s="16"/>
      <c r="O802" s="16" t="s">
        <v>9091</v>
      </c>
      <c r="P802" s="16" t="str">
        <f>HYPERLINK("https://ceds.ed.gov/cedselementdetails.aspx?termid=28047")</f>
        <v>https://ceds.ed.gov/cedselementdetails.aspx?termid=28047</v>
      </c>
      <c r="Q802" s="16">
        <v>76057</v>
      </c>
    </row>
    <row r="803" spans="1:17" ht="409.6" x14ac:dyDescent="0.3">
      <c r="A803" s="16" t="s">
        <v>7596</v>
      </c>
      <c r="B803" s="16" t="s">
        <v>8868</v>
      </c>
      <c r="C803" s="16" t="s">
        <v>9412</v>
      </c>
      <c r="D803" s="16" t="s">
        <v>7597</v>
      </c>
      <c r="E803" s="16" t="s">
        <v>9092</v>
      </c>
      <c r="F803" s="16" t="s">
        <v>9093</v>
      </c>
      <c r="G803" s="16" t="s">
        <v>9299</v>
      </c>
      <c r="H803" s="16"/>
      <c r="I803" s="16"/>
      <c r="J803" s="16" t="s">
        <v>2</v>
      </c>
      <c r="K803" s="16"/>
      <c r="L803" s="16" t="s">
        <v>9094</v>
      </c>
      <c r="M803" s="19" t="s">
        <v>9095</v>
      </c>
      <c r="N803" s="16"/>
      <c r="O803" s="16" t="s">
        <v>9096</v>
      </c>
      <c r="P803" s="16" t="str">
        <f>HYPERLINK("https://ceds.ed.gov/cedselementdetails.aspx?termid=28048")</f>
        <v>https://ceds.ed.gov/cedselementdetails.aspx?termid=28048</v>
      </c>
      <c r="Q803" s="16">
        <v>76058</v>
      </c>
    </row>
    <row r="804" spans="1:17" ht="100.8" x14ac:dyDescent="0.3">
      <c r="A804" s="16" t="s">
        <v>7596</v>
      </c>
      <c r="B804" s="16" t="s">
        <v>8868</v>
      </c>
      <c r="C804" s="16" t="s">
        <v>9412</v>
      </c>
      <c r="D804" s="16" t="s">
        <v>7597</v>
      </c>
      <c r="E804" s="16" t="s">
        <v>9097</v>
      </c>
      <c r="F804" s="16" t="s">
        <v>9098</v>
      </c>
      <c r="G804" s="16" t="s">
        <v>32</v>
      </c>
      <c r="H804" s="16"/>
      <c r="I804" s="16"/>
      <c r="J804" s="16" t="s">
        <v>120</v>
      </c>
      <c r="K804" s="16"/>
      <c r="L804" s="16" t="s">
        <v>9089</v>
      </c>
      <c r="M804" s="19" t="s">
        <v>9099</v>
      </c>
      <c r="N804" s="16"/>
      <c r="O804" s="16" t="s">
        <v>9100</v>
      </c>
      <c r="P804" s="16" t="str">
        <f>HYPERLINK("https://ceds.ed.gov/cedselementdetails.aspx?termid=28049")</f>
        <v>https://ceds.ed.gov/cedselementdetails.aspx?termid=28049</v>
      </c>
      <c r="Q804" s="16">
        <v>76059</v>
      </c>
    </row>
    <row r="805" spans="1:17" ht="100.8" x14ac:dyDescent="0.3">
      <c r="A805" s="16" t="s">
        <v>7596</v>
      </c>
      <c r="B805" s="16" t="s">
        <v>8868</v>
      </c>
      <c r="C805" s="16" t="s">
        <v>9412</v>
      </c>
      <c r="D805" s="16" t="s">
        <v>7597</v>
      </c>
      <c r="E805" s="16" t="s">
        <v>9101</v>
      </c>
      <c r="F805" s="16" t="s">
        <v>9102</v>
      </c>
      <c r="G805" s="16" t="s">
        <v>32</v>
      </c>
      <c r="H805" s="16"/>
      <c r="I805" s="16"/>
      <c r="J805" s="16" t="s">
        <v>9103</v>
      </c>
      <c r="K805" s="16"/>
      <c r="L805" s="16" t="s">
        <v>9089</v>
      </c>
      <c r="M805" s="19" t="s">
        <v>9104</v>
      </c>
      <c r="N805" s="16"/>
      <c r="O805" s="16" t="s">
        <v>9105</v>
      </c>
      <c r="P805" s="16" t="str">
        <f>HYPERLINK("https://ceds.ed.gov/cedselementdetails.aspx?termid=28050")</f>
        <v>https://ceds.ed.gov/cedselementdetails.aspx?termid=28050</v>
      </c>
      <c r="Q805" s="16">
        <v>76060</v>
      </c>
    </row>
    <row r="806" spans="1:17" ht="100.8" x14ac:dyDescent="0.3">
      <c r="A806" s="16" t="s">
        <v>7596</v>
      </c>
      <c r="B806" s="16" t="s">
        <v>8868</v>
      </c>
      <c r="C806" s="16" t="s">
        <v>9412</v>
      </c>
      <c r="D806" s="16" t="s">
        <v>7597</v>
      </c>
      <c r="E806" s="16" t="s">
        <v>9106</v>
      </c>
      <c r="F806" s="16" t="s">
        <v>9107</v>
      </c>
      <c r="G806" s="16" t="s">
        <v>32</v>
      </c>
      <c r="H806" s="16"/>
      <c r="I806" s="16"/>
      <c r="J806" s="16" t="s">
        <v>9108</v>
      </c>
      <c r="K806" s="16"/>
      <c r="L806" s="16" t="s">
        <v>9089</v>
      </c>
      <c r="M806" s="19" t="s">
        <v>9109</v>
      </c>
      <c r="N806" s="16"/>
      <c r="O806" s="16" t="s">
        <v>9110</v>
      </c>
      <c r="P806" s="16" t="str">
        <f>HYPERLINK("https://ceds.ed.gov/cedselementdetails.aspx?termid=28051")</f>
        <v>https://ceds.ed.gov/cedselementdetails.aspx?termid=28051</v>
      </c>
      <c r="Q806" s="16">
        <v>76061</v>
      </c>
    </row>
    <row r="807" spans="1:17" ht="100.8" x14ac:dyDescent="0.3">
      <c r="A807" s="16" t="s">
        <v>7596</v>
      </c>
      <c r="B807" s="16" t="s">
        <v>8868</v>
      </c>
      <c r="C807" s="16" t="s">
        <v>9412</v>
      </c>
      <c r="D807" s="16" t="s">
        <v>7597</v>
      </c>
      <c r="E807" s="16" t="s">
        <v>9111</v>
      </c>
      <c r="F807" s="16" t="s">
        <v>9112</v>
      </c>
      <c r="G807" s="16" t="s">
        <v>32</v>
      </c>
      <c r="H807" s="16"/>
      <c r="I807" s="16"/>
      <c r="J807" s="16" t="s">
        <v>9103</v>
      </c>
      <c r="K807" s="16"/>
      <c r="L807" s="16" t="s">
        <v>9089</v>
      </c>
      <c r="M807" s="19" t="s">
        <v>9113</v>
      </c>
      <c r="N807" s="16"/>
      <c r="O807" s="16" t="s">
        <v>9114</v>
      </c>
      <c r="P807" s="16" t="str">
        <f>HYPERLINK("https://ceds.ed.gov/cedselementdetails.aspx?termid=28052")</f>
        <v>https://ceds.ed.gov/cedselementdetails.aspx?termid=28052</v>
      </c>
      <c r="Q807" s="16">
        <v>76062</v>
      </c>
    </row>
    <row r="808" spans="1:17" ht="100.8" x14ac:dyDescent="0.3">
      <c r="A808" s="16" t="s">
        <v>7596</v>
      </c>
      <c r="B808" s="16" t="s">
        <v>8868</v>
      </c>
      <c r="C808" s="16" t="s">
        <v>9412</v>
      </c>
      <c r="D808" s="16" t="s">
        <v>7597</v>
      </c>
      <c r="E808" s="16" t="s">
        <v>9115</v>
      </c>
      <c r="F808" s="16" t="s">
        <v>9116</v>
      </c>
      <c r="G808" s="16" t="s">
        <v>32</v>
      </c>
      <c r="H808" s="16"/>
      <c r="I808" s="16"/>
      <c r="J808" s="16" t="s">
        <v>34</v>
      </c>
      <c r="K808" s="16"/>
      <c r="L808" s="16" t="s">
        <v>9089</v>
      </c>
      <c r="M808" s="19" t="s">
        <v>9117</v>
      </c>
      <c r="N808" s="16"/>
      <c r="O808" s="16" t="s">
        <v>9118</v>
      </c>
      <c r="P808" s="16" t="str">
        <f>HYPERLINK("https://ceds.ed.gov/cedselementdetails.aspx?termid=28053")</f>
        <v>https://ceds.ed.gov/cedselementdetails.aspx?termid=28053</v>
      </c>
      <c r="Q808" s="16">
        <v>76063</v>
      </c>
    </row>
    <row r="809" spans="1:17" ht="100.8" x14ac:dyDescent="0.3">
      <c r="A809" s="16" t="s">
        <v>7596</v>
      </c>
      <c r="B809" s="16" t="s">
        <v>8868</v>
      </c>
      <c r="C809" s="16" t="s">
        <v>9412</v>
      </c>
      <c r="D809" s="16" t="s">
        <v>7597</v>
      </c>
      <c r="E809" s="16" t="s">
        <v>9119</v>
      </c>
      <c r="F809" s="16" t="s">
        <v>9120</v>
      </c>
      <c r="G809" s="16" t="s">
        <v>32</v>
      </c>
      <c r="H809" s="16"/>
      <c r="I809" s="16"/>
      <c r="J809" s="16" t="s">
        <v>9103</v>
      </c>
      <c r="K809" s="16"/>
      <c r="L809" s="16" t="s">
        <v>9089</v>
      </c>
      <c r="M809" s="19" t="s">
        <v>9121</v>
      </c>
      <c r="N809" s="16"/>
      <c r="O809" s="16" t="s">
        <v>9122</v>
      </c>
      <c r="P809" s="16" t="str">
        <f>HYPERLINK("https://ceds.ed.gov/cedselementdetails.aspx?termid=28054")</f>
        <v>https://ceds.ed.gov/cedselementdetails.aspx?termid=28054</v>
      </c>
      <c r="Q809" s="16">
        <v>76064</v>
      </c>
    </row>
    <row r="810" spans="1:17" ht="100.8" x14ac:dyDescent="0.3">
      <c r="A810" s="16" t="s">
        <v>7596</v>
      </c>
      <c r="B810" s="16" t="s">
        <v>8868</v>
      </c>
      <c r="C810" s="16" t="s">
        <v>9412</v>
      </c>
      <c r="D810" s="16" t="s">
        <v>7597</v>
      </c>
      <c r="E810" s="16" t="s">
        <v>9123</v>
      </c>
      <c r="F810" s="16" t="s">
        <v>9124</v>
      </c>
      <c r="G810" s="16" t="s">
        <v>32</v>
      </c>
      <c r="H810" s="16"/>
      <c r="I810" s="16"/>
      <c r="J810" s="16" t="s">
        <v>747</v>
      </c>
      <c r="K810" s="16"/>
      <c r="L810" s="16" t="s">
        <v>9089</v>
      </c>
      <c r="M810" s="19" t="s">
        <v>9125</v>
      </c>
      <c r="N810" s="16"/>
      <c r="O810" s="16" t="s">
        <v>9126</v>
      </c>
      <c r="P810" s="16" t="str">
        <f>HYPERLINK("https://ceds.ed.gov/cedselementdetails.aspx?termid=28055")</f>
        <v>https://ceds.ed.gov/cedselementdetails.aspx?termid=28055</v>
      </c>
      <c r="Q810" s="16">
        <v>76065</v>
      </c>
    </row>
    <row r="811" spans="1:17" ht="100.8" x14ac:dyDescent="0.3">
      <c r="A811" s="16" t="s">
        <v>7596</v>
      </c>
      <c r="B811" s="16" t="s">
        <v>8868</v>
      </c>
      <c r="C811" s="16" t="s">
        <v>9412</v>
      </c>
      <c r="D811" s="16" t="s">
        <v>7597</v>
      </c>
      <c r="E811" s="16" t="s">
        <v>9127</v>
      </c>
      <c r="F811" s="16" t="s">
        <v>9128</v>
      </c>
      <c r="G811" s="16" t="s">
        <v>32</v>
      </c>
      <c r="H811" s="16"/>
      <c r="I811" s="16"/>
      <c r="J811" s="16" t="s">
        <v>34</v>
      </c>
      <c r="K811" s="16"/>
      <c r="L811" s="16" t="s">
        <v>9089</v>
      </c>
      <c r="M811" s="19" t="s">
        <v>9129</v>
      </c>
      <c r="N811" s="16"/>
      <c r="O811" s="16" t="s">
        <v>9130</v>
      </c>
      <c r="P811" s="16" t="str">
        <f>HYPERLINK("https://ceds.ed.gov/cedselementdetails.aspx?termid=28056")</f>
        <v>https://ceds.ed.gov/cedselementdetails.aspx?termid=28056</v>
      </c>
      <c r="Q811" s="16">
        <v>76066</v>
      </c>
    </row>
    <row r="812" spans="1:17" ht="144" x14ac:dyDescent="0.3">
      <c r="A812" s="16" t="s">
        <v>7596</v>
      </c>
      <c r="B812" s="16" t="s">
        <v>8868</v>
      </c>
      <c r="C812" s="16" t="s">
        <v>9412</v>
      </c>
      <c r="D812" s="16" t="s">
        <v>7597</v>
      </c>
      <c r="E812" s="16" t="s">
        <v>9131</v>
      </c>
      <c r="F812" s="16" t="s">
        <v>9132</v>
      </c>
      <c r="G812" s="16" t="s">
        <v>9300</v>
      </c>
      <c r="H812" s="16"/>
      <c r="I812" s="16"/>
      <c r="J812" s="16" t="s">
        <v>2</v>
      </c>
      <c r="K812" s="16"/>
      <c r="L812" s="16" t="s">
        <v>9089</v>
      </c>
      <c r="M812" s="19" t="s">
        <v>9133</v>
      </c>
      <c r="N812" s="16"/>
      <c r="O812" s="16" t="s">
        <v>9134</v>
      </c>
      <c r="P812" s="16" t="str">
        <f>HYPERLINK("https://ceds.ed.gov/cedselementdetails.aspx?termid=28057")</f>
        <v>https://ceds.ed.gov/cedselementdetails.aspx?termid=28057</v>
      </c>
      <c r="Q812" s="16">
        <v>76067</v>
      </c>
    </row>
    <row r="813" spans="1:17" ht="158.4" x14ac:dyDescent="0.3">
      <c r="A813" s="16" t="s">
        <v>7596</v>
      </c>
      <c r="B813" s="16" t="s">
        <v>8868</v>
      </c>
      <c r="C813" s="16" t="s">
        <v>9412</v>
      </c>
      <c r="D813" s="16" t="s">
        <v>7597</v>
      </c>
      <c r="E813" s="16" t="s">
        <v>9135</v>
      </c>
      <c r="F813" s="16" t="s">
        <v>9136</v>
      </c>
      <c r="G813" s="16" t="s">
        <v>9301</v>
      </c>
      <c r="H813" s="16"/>
      <c r="I813" s="16"/>
      <c r="J813" s="16" t="s">
        <v>2</v>
      </c>
      <c r="K813" s="16"/>
      <c r="L813" s="16" t="s">
        <v>9089</v>
      </c>
      <c r="M813" s="19" t="s">
        <v>9137</v>
      </c>
      <c r="N813" s="16"/>
      <c r="O813" s="16" t="s">
        <v>9138</v>
      </c>
      <c r="P813" s="16" t="str">
        <f>HYPERLINK("https://ceds.ed.gov/cedselementdetails.aspx?termid=28058")</f>
        <v>https://ceds.ed.gov/cedselementdetails.aspx?termid=28058</v>
      </c>
      <c r="Q813" s="16">
        <v>76068</v>
      </c>
    </row>
    <row r="814" spans="1:17" ht="100.8" x14ac:dyDescent="0.3">
      <c r="A814" s="16" t="s">
        <v>7596</v>
      </c>
      <c r="B814" s="16" t="s">
        <v>8868</v>
      </c>
      <c r="C814" s="16" t="s">
        <v>9412</v>
      </c>
      <c r="D814" s="16" t="s">
        <v>7597</v>
      </c>
      <c r="E814" s="16" t="s">
        <v>9139</v>
      </c>
      <c r="F814" s="16" t="s">
        <v>9140</v>
      </c>
      <c r="G814" s="16" t="s">
        <v>32</v>
      </c>
      <c r="H814" s="16"/>
      <c r="I814" s="16"/>
      <c r="J814" s="16" t="s">
        <v>34</v>
      </c>
      <c r="K814" s="16"/>
      <c r="L814" s="16" t="s">
        <v>9089</v>
      </c>
      <c r="M814" s="19" t="s">
        <v>9141</v>
      </c>
      <c r="N814" s="16"/>
      <c r="O814" s="16" t="s">
        <v>9142</v>
      </c>
      <c r="P814" s="16" t="str">
        <f>HYPERLINK("https://ceds.ed.gov/cedselementdetails.aspx?termid=28059")</f>
        <v>https://ceds.ed.gov/cedselementdetails.aspx?termid=28059</v>
      </c>
      <c r="Q814" s="16">
        <v>76069</v>
      </c>
    </row>
    <row r="815" spans="1:17" ht="100.8" x14ac:dyDescent="0.3">
      <c r="A815" s="16" t="s">
        <v>7596</v>
      </c>
      <c r="B815" s="16" t="s">
        <v>8868</v>
      </c>
      <c r="C815" s="16" t="s">
        <v>9412</v>
      </c>
      <c r="D815" s="16" t="s">
        <v>7597</v>
      </c>
      <c r="E815" s="16" t="s">
        <v>9143</v>
      </c>
      <c r="F815" s="16" t="s">
        <v>9144</v>
      </c>
      <c r="G815" s="16" t="s">
        <v>32</v>
      </c>
      <c r="H815" s="16"/>
      <c r="I815" s="16"/>
      <c r="J815" s="16" t="s">
        <v>120</v>
      </c>
      <c r="K815" s="16"/>
      <c r="L815" s="16" t="s">
        <v>9089</v>
      </c>
      <c r="M815" s="19" t="s">
        <v>9145</v>
      </c>
      <c r="N815" s="16"/>
      <c r="O815" s="16" t="s">
        <v>9146</v>
      </c>
      <c r="P815" s="16" t="str">
        <f>HYPERLINK("https://ceds.ed.gov/cedselementdetails.aspx?termid=28060")</f>
        <v>https://ceds.ed.gov/cedselementdetails.aspx?termid=28060</v>
      </c>
      <c r="Q815" s="16">
        <v>76070</v>
      </c>
    </row>
    <row r="816" spans="1:17" ht="129.6" x14ac:dyDescent="0.3">
      <c r="A816" s="16" t="s">
        <v>7596</v>
      </c>
      <c r="B816" s="16" t="s">
        <v>8868</v>
      </c>
      <c r="C816" s="16" t="s">
        <v>9412</v>
      </c>
      <c r="D816" s="16" t="s">
        <v>7597</v>
      </c>
      <c r="E816" s="16" t="s">
        <v>9147</v>
      </c>
      <c r="F816" s="16" t="s">
        <v>9148</v>
      </c>
      <c r="G816" s="16" t="s">
        <v>9302</v>
      </c>
      <c r="H816" s="16"/>
      <c r="I816" s="16"/>
      <c r="J816" s="16" t="s">
        <v>2</v>
      </c>
      <c r="K816" s="16"/>
      <c r="L816" s="16" t="s">
        <v>9089</v>
      </c>
      <c r="M816" s="19" t="s">
        <v>9149</v>
      </c>
      <c r="N816" s="16"/>
      <c r="O816" s="16" t="s">
        <v>9150</v>
      </c>
      <c r="P816" s="16" t="str">
        <f>HYPERLINK("https://ceds.ed.gov/cedselementdetails.aspx?termid=28061")</f>
        <v>https://ceds.ed.gov/cedselementdetails.aspx?termid=28061</v>
      </c>
      <c r="Q816" s="16">
        <v>76071</v>
      </c>
    </row>
    <row r="817" spans="1:17" ht="115.2" x14ac:dyDescent="0.3">
      <c r="A817" s="16" t="s">
        <v>7596</v>
      </c>
      <c r="B817" s="16" t="s">
        <v>8868</v>
      </c>
      <c r="C817" s="16" t="s">
        <v>9412</v>
      </c>
      <c r="D817" s="16" t="s">
        <v>7597</v>
      </c>
      <c r="E817" s="16" t="s">
        <v>9151</v>
      </c>
      <c r="F817" s="16" t="s">
        <v>9152</v>
      </c>
      <c r="G817" s="16" t="s">
        <v>9303</v>
      </c>
      <c r="H817" s="16"/>
      <c r="I817" s="16"/>
      <c r="J817" s="16" t="s">
        <v>2</v>
      </c>
      <c r="K817" s="16"/>
      <c r="L817" s="16" t="s">
        <v>9089</v>
      </c>
      <c r="M817" s="19" t="s">
        <v>9153</v>
      </c>
      <c r="N817" s="16"/>
      <c r="O817" s="16" t="s">
        <v>9154</v>
      </c>
      <c r="P817" s="16" t="str">
        <f>HYPERLINK("https://ceds.ed.gov/cedselementdetails.aspx?termid=28062")</f>
        <v>https://ceds.ed.gov/cedselementdetails.aspx?termid=28062</v>
      </c>
      <c r="Q817" s="16">
        <v>76072</v>
      </c>
    </row>
    <row r="818" spans="1:17" ht="100.8" x14ac:dyDescent="0.3">
      <c r="A818" s="16" t="s">
        <v>7596</v>
      </c>
      <c r="B818" s="16" t="s">
        <v>8868</v>
      </c>
      <c r="C818" s="16" t="s">
        <v>9412</v>
      </c>
      <c r="D818" s="16" t="s">
        <v>7597</v>
      </c>
      <c r="E818" s="16" t="s">
        <v>9155</v>
      </c>
      <c r="F818" s="16" t="s">
        <v>9156</v>
      </c>
      <c r="G818" s="16" t="s">
        <v>32</v>
      </c>
      <c r="H818" s="16"/>
      <c r="I818" s="16"/>
      <c r="J818" s="16" t="s">
        <v>120</v>
      </c>
      <c r="K818" s="16"/>
      <c r="L818" s="16" t="s">
        <v>9089</v>
      </c>
      <c r="M818" s="19" t="s">
        <v>9157</v>
      </c>
      <c r="N818" s="16"/>
      <c r="O818" s="16" t="s">
        <v>9158</v>
      </c>
      <c r="P818" s="16" t="str">
        <f>HYPERLINK("https://ceds.ed.gov/cedselementdetails.aspx?termid=28063")</f>
        <v>https://ceds.ed.gov/cedselementdetails.aspx?termid=28063</v>
      </c>
      <c r="Q818" s="16">
        <v>76073</v>
      </c>
    </row>
    <row r="819" spans="1:17" ht="100.8" x14ac:dyDescent="0.3">
      <c r="A819" s="16" t="s">
        <v>7596</v>
      </c>
      <c r="B819" s="16" t="s">
        <v>8868</v>
      </c>
      <c r="C819" s="16" t="s">
        <v>9412</v>
      </c>
      <c r="D819" s="16" t="s">
        <v>7597</v>
      </c>
      <c r="E819" s="16" t="s">
        <v>9159</v>
      </c>
      <c r="F819" s="16" t="s">
        <v>9160</v>
      </c>
      <c r="G819" s="16" t="s">
        <v>32</v>
      </c>
      <c r="H819" s="16"/>
      <c r="I819" s="16"/>
      <c r="J819" s="16" t="s">
        <v>120</v>
      </c>
      <c r="K819" s="16"/>
      <c r="L819" s="16" t="s">
        <v>9089</v>
      </c>
      <c r="M819" s="19" t="s">
        <v>9161</v>
      </c>
      <c r="N819" s="16"/>
      <c r="O819" s="16" t="s">
        <v>9162</v>
      </c>
      <c r="P819" s="16" t="str">
        <f>HYPERLINK("https://ceds.ed.gov/cedselementdetails.aspx?termid=28064")</f>
        <v>https://ceds.ed.gov/cedselementdetails.aspx?termid=28064</v>
      </c>
      <c r="Q819" s="16">
        <v>76074</v>
      </c>
    </row>
    <row r="820" spans="1:17" ht="100.8" x14ac:dyDescent="0.3">
      <c r="A820" s="16" t="s">
        <v>7596</v>
      </c>
      <c r="B820" s="16" t="s">
        <v>8868</v>
      </c>
      <c r="C820" s="16" t="s">
        <v>9412</v>
      </c>
      <c r="D820" s="16" t="s">
        <v>7597</v>
      </c>
      <c r="E820" s="16" t="s">
        <v>9163</v>
      </c>
      <c r="F820" s="16" t="s">
        <v>9164</v>
      </c>
      <c r="G820" s="16" t="s">
        <v>32</v>
      </c>
      <c r="H820" s="16"/>
      <c r="I820" s="16"/>
      <c r="J820" s="16" t="s">
        <v>34</v>
      </c>
      <c r="K820" s="16"/>
      <c r="L820" s="16" t="s">
        <v>9089</v>
      </c>
      <c r="M820" s="19" t="s">
        <v>9165</v>
      </c>
      <c r="N820" s="16"/>
      <c r="O820" s="16" t="s">
        <v>9166</v>
      </c>
      <c r="P820" s="16" t="str">
        <f>HYPERLINK("https://ceds.ed.gov/cedselementdetails.aspx?termid=28065")</f>
        <v>https://ceds.ed.gov/cedselementdetails.aspx?termid=28065</v>
      </c>
      <c r="Q820" s="16">
        <v>76075</v>
      </c>
    </row>
    <row r="821" spans="1:17" ht="100.8" x14ac:dyDescent="0.3">
      <c r="A821" s="16" t="s">
        <v>7596</v>
      </c>
      <c r="B821" s="16" t="s">
        <v>8868</v>
      </c>
      <c r="C821" s="16" t="s">
        <v>9412</v>
      </c>
      <c r="D821" s="16" t="s">
        <v>7597</v>
      </c>
      <c r="E821" s="16" t="s">
        <v>9167</v>
      </c>
      <c r="F821" s="16" t="s">
        <v>9168</v>
      </c>
      <c r="G821" s="16" t="s">
        <v>32</v>
      </c>
      <c r="H821" s="16"/>
      <c r="I821" s="16"/>
      <c r="J821" s="16" t="s">
        <v>120</v>
      </c>
      <c r="K821" s="16"/>
      <c r="L821" s="16" t="s">
        <v>9089</v>
      </c>
      <c r="M821" s="19" t="s">
        <v>9169</v>
      </c>
      <c r="N821" s="16"/>
      <c r="O821" s="16" t="s">
        <v>9170</v>
      </c>
      <c r="P821" s="16" t="str">
        <f>HYPERLINK("https://ceds.ed.gov/cedselementdetails.aspx?termid=28066")</f>
        <v>https://ceds.ed.gov/cedselementdetails.aspx?termid=28066</v>
      </c>
      <c r="Q821" s="16">
        <v>76076</v>
      </c>
    </row>
    <row r="822" spans="1:17" ht="259.2" x14ac:dyDescent="0.3">
      <c r="A822" s="16" t="s">
        <v>7596</v>
      </c>
      <c r="B822" s="16" t="s">
        <v>8868</v>
      </c>
      <c r="C822" s="16" t="s">
        <v>9412</v>
      </c>
      <c r="D822" s="16" t="s">
        <v>7597</v>
      </c>
      <c r="E822" s="16" t="s">
        <v>9171</v>
      </c>
      <c r="F822" s="16" t="s">
        <v>9172</v>
      </c>
      <c r="G822" s="16" t="s">
        <v>32</v>
      </c>
      <c r="H822" s="16"/>
      <c r="I822" s="16"/>
      <c r="J822" s="16" t="s">
        <v>9103</v>
      </c>
      <c r="K822" s="16"/>
      <c r="L822" s="16" t="s">
        <v>9173</v>
      </c>
      <c r="M822" s="19" t="s">
        <v>9174</v>
      </c>
      <c r="N822" s="16"/>
      <c r="O822" s="16" t="s">
        <v>9175</v>
      </c>
      <c r="P822" s="16" t="str">
        <f>HYPERLINK("https://ceds.ed.gov/cedselementdetails.aspx?termid=28067")</f>
        <v>https://ceds.ed.gov/cedselementdetails.aspx?termid=28067</v>
      </c>
      <c r="Q822" s="16">
        <v>76077</v>
      </c>
    </row>
    <row r="823" spans="1:17" ht="100.8" x14ac:dyDescent="0.3">
      <c r="A823" s="16" t="s">
        <v>7596</v>
      </c>
      <c r="B823" s="16" t="s">
        <v>8868</v>
      </c>
      <c r="C823" s="16" t="s">
        <v>9412</v>
      </c>
      <c r="D823" s="16" t="s">
        <v>7597</v>
      </c>
      <c r="E823" s="16" t="s">
        <v>9176</v>
      </c>
      <c r="F823" s="16" t="s">
        <v>9177</v>
      </c>
      <c r="G823" s="16" t="s">
        <v>32</v>
      </c>
      <c r="H823" s="16"/>
      <c r="I823" s="16"/>
      <c r="J823" s="16" t="s">
        <v>34</v>
      </c>
      <c r="K823" s="16"/>
      <c r="L823" s="16" t="s">
        <v>9089</v>
      </c>
      <c r="M823" s="19" t="s">
        <v>9178</v>
      </c>
      <c r="N823" s="16"/>
      <c r="O823" s="16" t="s">
        <v>9179</v>
      </c>
      <c r="P823" s="16" t="str">
        <f>HYPERLINK("https://ceds.ed.gov/cedselementdetails.aspx?termid=28068")</f>
        <v>https://ceds.ed.gov/cedselementdetails.aspx?termid=28068</v>
      </c>
      <c r="Q823" s="16">
        <v>76078</v>
      </c>
    </row>
    <row r="824" spans="1:17" ht="100.8" x14ac:dyDescent="0.3">
      <c r="A824" s="16" t="s">
        <v>7596</v>
      </c>
      <c r="B824" s="16" t="s">
        <v>8868</v>
      </c>
      <c r="C824" s="16" t="s">
        <v>9412</v>
      </c>
      <c r="D824" s="16" t="s">
        <v>7597</v>
      </c>
      <c r="E824" s="16" t="s">
        <v>9180</v>
      </c>
      <c r="F824" s="16" t="s">
        <v>9181</v>
      </c>
      <c r="G824" s="16" t="s">
        <v>32</v>
      </c>
      <c r="H824" s="16"/>
      <c r="I824" s="16"/>
      <c r="J824" s="16" t="s">
        <v>316</v>
      </c>
      <c r="K824" s="16"/>
      <c r="L824" s="16" t="s">
        <v>9089</v>
      </c>
      <c r="M824" s="19" t="s">
        <v>9182</v>
      </c>
      <c r="N824" s="16"/>
      <c r="O824" s="16" t="s">
        <v>9183</v>
      </c>
      <c r="P824" s="16" t="str">
        <f>HYPERLINK("https://ceds.ed.gov/cedselementdetails.aspx?termid=28069")</f>
        <v>https://ceds.ed.gov/cedselementdetails.aspx?termid=28069</v>
      </c>
      <c r="Q824" s="16">
        <v>76079</v>
      </c>
    </row>
    <row r="825" spans="1:17" ht="100.8" x14ac:dyDescent="0.3">
      <c r="A825" s="16" t="s">
        <v>7596</v>
      </c>
      <c r="B825" s="16" t="s">
        <v>8868</v>
      </c>
      <c r="C825" s="16" t="s">
        <v>9412</v>
      </c>
      <c r="D825" s="16" t="s">
        <v>7597</v>
      </c>
      <c r="E825" s="16" t="s">
        <v>9184</v>
      </c>
      <c r="F825" s="16" t="s">
        <v>9185</v>
      </c>
      <c r="G825" s="16" t="s">
        <v>32</v>
      </c>
      <c r="H825" s="16"/>
      <c r="I825" s="16"/>
      <c r="J825" s="16" t="s">
        <v>120</v>
      </c>
      <c r="K825" s="16"/>
      <c r="L825" s="16" t="s">
        <v>9186</v>
      </c>
      <c r="M825" s="19" t="s">
        <v>9187</v>
      </c>
      <c r="N825" s="16"/>
      <c r="O825" s="16" t="s">
        <v>9188</v>
      </c>
      <c r="P825" s="16" t="str">
        <f>HYPERLINK("https://ceds.ed.gov/cedselementdetails.aspx?termid=28070")</f>
        <v>https://ceds.ed.gov/cedselementdetails.aspx?termid=28070</v>
      </c>
      <c r="Q825" s="16">
        <v>76080</v>
      </c>
    </row>
    <row r="826" spans="1:17" ht="57.6" x14ac:dyDescent="0.3">
      <c r="A826" s="16" t="s">
        <v>7596</v>
      </c>
      <c r="B826" s="16" t="s">
        <v>8868</v>
      </c>
      <c r="C826" s="16" t="s">
        <v>9412</v>
      </c>
      <c r="D826" s="16" t="s">
        <v>7597</v>
      </c>
      <c r="E826" s="16" t="s">
        <v>9320</v>
      </c>
      <c r="F826" s="16" t="s">
        <v>9321</v>
      </c>
      <c r="G826" s="16" t="s">
        <v>8730</v>
      </c>
      <c r="H826" s="16"/>
      <c r="I826" s="16"/>
      <c r="J826" s="16"/>
      <c r="K826" s="16"/>
      <c r="L826" s="16"/>
      <c r="M826" s="19" t="s">
        <v>5406</v>
      </c>
      <c r="N826" s="16"/>
      <c r="O826" s="16" t="s">
        <v>9322</v>
      </c>
      <c r="P826" s="16" t="str">
        <f>HYPERLINK("https://ceds.ed.gov/cedselementdetails.aspx?termid=27557")</f>
        <v>https://ceds.ed.gov/cedselementdetails.aspx?termid=27557</v>
      </c>
      <c r="Q826" s="16">
        <v>76081</v>
      </c>
    </row>
    <row r="827" spans="1:17" ht="100.8" x14ac:dyDescent="0.3">
      <c r="A827" s="16" t="s">
        <v>7596</v>
      </c>
      <c r="B827" s="16" t="s">
        <v>8868</v>
      </c>
      <c r="C827" s="16" t="s">
        <v>9412</v>
      </c>
      <c r="D827" s="16" t="s">
        <v>7597</v>
      </c>
      <c r="E827" s="16" t="s">
        <v>9193</v>
      </c>
      <c r="F827" s="16" t="s">
        <v>9194</v>
      </c>
      <c r="G827" s="16" t="s">
        <v>2987</v>
      </c>
      <c r="H827" s="16"/>
      <c r="I827" s="16"/>
      <c r="J827" s="16" t="s">
        <v>2</v>
      </c>
      <c r="K827" s="16"/>
      <c r="L827" s="16" t="s">
        <v>9089</v>
      </c>
      <c r="M827" s="19" t="s">
        <v>9195</v>
      </c>
      <c r="N827" s="16"/>
      <c r="O827" s="16" t="s">
        <v>9196</v>
      </c>
      <c r="P827" s="16" t="str">
        <f>HYPERLINK("https://ceds.ed.gov/cedselementdetails.aspx?termid=28072")</f>
        <v>https://ceds.ed.gov/cedselementdetails.aspx?termid=28072</v>
      </c>
      <c r="Q827" s="16">
        <v>76082</v>
      </c>
    </row>
    <row r="828" spans="1:17" ht="57.6" x14ac:dyDescent="0.3">
      <c r="A828" s="16" t="s">
        <v>7596</v>
      </c>
      <c r="B828" s="16" t="s">
        <v>8869</v>
      </c>
      <c r="C828" s="16" t="s">
        <v>7718</v>
      </c>
      <c r="D828" s="16" t="s">
        <v>7597</v>
      </c>
      <c r="E828" s="16" t="s">
        <v>1402</v>
      </c>
      <c r="F828" s="16" t="s">
        <v>1403</v>
      </c>
      <c r="G828" s="16" t="s">
        <v>32</v>
      </c>
      <c r="H828" s="16"/>
      <c r="I828" s="16"/>
      <c r="J828" s="16" t="s">
        <v>106</v>
      </c>
      <c r="K828" s="16"/>
      <c r="L828" s="16" t="s">
        <v>131</v>
      </c>
      <c r="M828" s="19" t="s">
        <v>1404</v>
      </c>
      <c r="N828" s="16"/>
      <c r="O828" s="16" t="s">
        <v>1405</v>
      </c>
      <c r="P828" s="16" t="str">
        <f>HYPERLINK("https://ceds.ed.gov/cedselementdetails.aspx?termid=26518")</f>
        <v>https://ceds.ed.gov/cedselementdetails.aspx?termid=26518</v>
      </c>
      <c r="Q828" s="16">
        <v>75766</v>
      </c>
    </row>
    <row r="829" spans="1:17" ht="57.6" x14ac:dyDescent="0.3">
      <c r="A829" s="16" t="s">
        <v>7596</v>
      </c>
      <c r="B829" s="16" t="s">
        <v>8869</v>
      </c>
      <c r="C829" s="16"/>
      <c r="D829" s="16" t="s">
        <v>7597</v>
      </c>
      <c r="E829" s="16" t="s">
        <v>3254</v>
      </c>
      <c r="F829" s="16" t="s">
        <v>3255</v>
      </c>
      <c r="G829" s="16" t="s">
        <v>32</v>
      </c>
      <c r="H829" s="16" t="s">
        <v>1982</v>
      </c>
      <c r="I829" s="16"/>
      <c r="J829" s="16" t="s">
        <v>145</v>
      </c>
      <c r="K829" s="16"/>
      <c r="L829" s="16"/>
      <c r="M829" s="19" t="s">
        <v>3256</v>
      </c>
      <c r="N829" s="16"/>
      <c r="O829" s="16" t="s">
        <v>3257</v>
      </c>
      <c r="P829" s="16" t="str">
        <f>HYPERLINK("https://ceds.ed.gov/cedselementdetails.aspx?termid=26820")</f>
        <v>https://ceds.ed.gov/cedselementdetails.aspx?termid=26820</v>
      </c>
      <c r="Q829" s="16">
        <v>72269</v>
      </c>
    </row>
    <row r="830" spans="1:17" ht="28.8" x14ac:dyDescent="0.3">
      <c r="A830" s="16" t="s">
        <v>7596</v>
      </c>
      <c r="B830" s="16" t="s">
        <v>8869</v>
      </c>
      <c r="C830" s="16" t="s">
        <v>7718</v>
      </c>
      <c r="D830" s="16" t="s">
        <v>7597</v>
      </c>
      <c r="E830" s="16" t="s">
        <v>1406</v>
      </c>
      <c r="F830" s="16" t="s">
        <v>1407</v>
      </c>
      <c r="G830" s="16" t="s">
        <v>32</v>
      </c>
      <c r="H830" s="16"/>
      <c r="I830" s="16"/>
      <c r="J830" s="16" t="s">
        <v>106</v>
      </c>
      <c r="K830" s="16"/>
      <c r="L830" s="16"/>
      <c r="M830" s="19" t="s">
        <v>1408</v>
      </c>
      <c r="N830" s="16"/>
      <c r="O830" s="16" t="s">
        <v>1409</v>
      </c>
      <c r="P830" s="16" t="str">
        <f>HYPERLINK("https://ceds.ed.gov/cedselementdetails.aspx?termid=26517")</f>
        <v>https://ceds.ed.gov/cedselementdetails.aspx?termid=26517</v>
      </c>
      <c r="Q830" s="16">
        <v>75767</v>
      </c>
    </row>
    <row r="831" spans="1:17" ht="172.8" x14ac:dyDescent="0.3">
      <c r="A831" s="16" t="s">
        <v>7596</v>
      </c>
      <c r="B831" s="16" t="s">
        <v>8869</v>
      </c>
      <c r="C831" s="16"/>
      <c r="D831" s="16" t="s">
        <v>7597</v>
      </c>
      <c r="E831" s="16" t="s">
        <v>3250</v>
      </c>
      <c r="F831" s="16" t="s">
        <v>3251</v>
      </c>
      <c r="G831" s="16" t="s">
        <v>32</v>
      </c>
      <c r="H831" s="16" t="s">
        <v>1982</v>
      </c>
      <c r="I831" s="16"/>
      <c r="J831" s="16" t="s">
        <v>120</v>
      </c>
      <c r="K831" s="16"/>
      <c r="L831" s="16" t="s">
        <v>7817</v>
      </c>
      <c r="M831" s="19" t="s">
        <v>3252</v>
      </c>
      <c r="N831" s="16"/>
      <c r="O831" s="16" t="s">
        <v>3253</v>
      </c>
      <c r="P831" s="16" t="str">
        <f>HYPERLINK("https://ceds.ed.gov/cedselementdetails.aspx?termid=26819")</f>
        <v>https://ceds.ed.gov/cedselementdetails.aspx?termid=26819</v>
      </c>
      <c r="Q831" s="16">
        <v>72268</v>
      </c>
    </row>
    <row r="832" spans="1:17" ht="28.8" x14ac:dyDescent="0.3">
      <c r="A832" s="16" t="s">
        <v>7596</v>
      </c>
      <c r="B832" s="16" t="s">
        <v>8869</v>
      </c>
      <c r="C832" s="16"/>
      <c r="D832" s="16" t="s">
        <v>7597</v>
      </c>
      <c r="E832" s="16" t="s">
        <v>2021</v>
      </c>
      <c r="F832" s="16" t="s">
        <v>2022</v>
      </c>
      <c r="G832" s="16" t="s">
        <v>32</v>
      </c>
      <c r="H832" s="16" t="s">
        <v>2025</v>
      </c>
      <c r="I832" s="16"/>
      <c r="J832" s="16" t="s">
        <v>403</v>
      </c>
      <c r="K832" s="16"/>
      <c r="L832" s="16"/>
      <c r="M832" s="19" t="s">
        <v>2023</v>
      </c>
      <c r="N832" s="16"/>
      <c r="O832" s="16" t="s">
        <v>2024</v>
      </c>
      <c r="P832" s="16" t="str">
        <f>HYPERLINK("https://ceds.ed.gov/cedselementdetails.aspx?termid=26510")</f>
        <v>https://ceds.ed.gov/cedselementdetails.aspx?termid=26510</v>
      </c>
      <c r="Q832" s="16">
        <v>72270</v>
      </c>
    </row>
    <row r="833" spans="1:17" ht="172.8" x14ac:dyDescent="0.3">
      <c r="A833" s="16" t="s">
        <v>7596</v>
      </c>
      <c r="B833" s="16" t="s">
        <v>8869</v>
      </c>
      <c r="C833" s="16" t="s">
        <v>7718</v>
      </c>
      <c r="D833" s="16" t="s">
        <v>7597</v>
      </c>
      <c r="E833" s="16" t="s">
        <v>6810</v>
      </c>
      <c r="F833" s="16" t="s">
        <v>6811</v>
      </c>
      <c r="G833" s="16" t="s">
        <v>32</v>
      </c>
      <c r="H833" s="16" t="s">
        <v>6814</v>
      </c>
      <c r="I833" s="16"/>
      <c r="J833" s="16" t="s">
        <v>120</v>
      </c>
      <c r="K833" s="16"/>
      <c r="L833" s="16" t="s">
        <v>7817</v>
      </c>
      <c r="M833" s="19" t="s">
        <v>6812</v>
      </c>
      <c r="N833" s="16"/>
      <c r="O833" s="16" t="s">
        <v>6813</v>
      </c>
      <c r="P833" s="16" t="str">
        <f>HYPERLINK("https://ceds.ed.gov/cedselementdetails.aspx?termid=26156")</f>
        <v>https://ceds.ed.gov/cedselementdetails.aspx?termid=26156</v>
      </c>
      <c r="Q833" s="16">
        <v>75768</v>
      </c>
    </row>
    <row r="834" spans="1:17" ht="28.8" x14ac:dyDescent="0.3">
      <c r="A834" s="16" t="s">
        <v>7596</v>
      </c>
      <c r="B834" s="16" t="s">
        <v>8869</v>
      </c>
      <c r="C834" s="16"/>
      <c r="D834" s="16" t="s">
        <v>7597</v>
      </c>
      <c r="E834" s="16" t="s">
        <v>2026</v>
      </c>
      <c r="F834" s="16" t="s">
        <v>2027</v>
      </c>
      <c r="G834" s="16" t="s">
        <v>32</v>
      </c>
      <c r="H834" s="16" t="s">
        <v>2025</v>
      </c>
      <c r="I834" s="16"/>
      <c r="J834" s="16" t="s">
        <v>403</v>
      </c>
      <c r="K834" s="16"/>
      <c r="L834" s="16"/>
      <c r="M834" s="19" t="s">
        <v>2028</v>
      </c>
      <c r="N834" s="16"/>
      <c r="O834" s="16" t="s">
        <v>2029</v>
      </c>
      <c r="P834" s="16" t="str">
        <f>HYPERLINK("https://ceds.ed.gov/cedselementdetails.aspx?termid=26511")</f>
        <v>https://ceds.ed.gov/cedselementdetails.aspx?termid=26511</v>
      </c>
      <c r="Q834" s="16">
        <v>72271</v>
      </c>
    </row>
    <row r="835" spans="1:17" ht="259.2" x14ac:dyDescent="0.3">
      <c r="A835" s="16" t="s">
        <v>7596</v>
      </c>
      <c r="B835" s="16" t="s">
        <v>8869</v>
      </c>
      <c r="C835" s="16" t="s">
        <v>7718</v>
      </c>
      <c r="D835" s="16" t="s">
        <v>7597</v>
      </c>
      <c r="E835" s="16" t="s">
        <v>6805</v>
      </c>
      <c r="F835" s="16" t="s">
        <v>6806</v>
      </c>
      <c r="G835" s="16" t="s">
        <v>9342</v>
      </c>
      <c r="H835" s="16" t="s">
        <v>6809</v>
      </c>
      <c r="I835" s="16"/>
      <c r="J835" s="16"/>
      <c r="K835" s="16"/>
      <c r="L835" s="16"/>
      <c r="M835" s="19" t="s">
        <v>6807</v>
      </c>
      <c r="N835" s="16"/>
      <c r="O835" s="16" t="s">
        <v>6808</v>
      </c>
      <c r="P835" s="16" t="str">
        <f>HYPERLINK("https://ceds.ed.gov/cedselementdetails.aspx?termid=26162")</f>
        <v>https://ceds.ed.gov/cedselementdetails.aspx?termid=26162</v>
      </c>
      <c r="Q835" s="16">
        <v>75769</v>
      </c>
    </row>
    <row r="836" spans="1:17" ht="100.8" x14ac:dyDescent="0.3">
      <c r="A836" s="16" t="s">
        <v>7596</v>
      </c>
      <c r="B836" s="16" t="s">
        <v>8869</v>
      </c>
      <c r="C836" s="16"/>
      <c r="D836" s="16" t="s">
        <v>7597</v>
      </c>
      <c r="E836" s="16" t="s">
        <v>6599</v>
      </c>
      <c r="F836" s="16" t="s">
        <v>6600</v>
      </c>
      <c r="G836" s="16" t="s">
        <v>8828</v>
      </c>
      <c r="H836" s="16" t="s">
        <v>3007</v>
      </c>
      <c r="I836" s="16"/>
      <c r="J836" s="16"/>
      <c r="K836" s="16"/>
      <c r="L836" s="16"/>
      <c r="M836" s="19" t="s">
        <v>6601</v>
      </c>
      <c r="N836" s="16"/>
      <c r="O836" s="16" t="s">
        <v>6602</v>
      </c>
      <c r="P836" s="16" t="str">
        <f>HYPERLINK("https://ceds.ed.gov/cedselementdetails.aspx?termid=26352")</f>
        <v>https://ceds.ed.gov/cedselementdetails.aspx?termid=26352</v>
      </c>
      <c r="Q836" s="16">
        <v>72276</v>
      </c>
    </row>
    <row r="837" spans="1:17" ht="72" x14ac:dyDescent="0.3">
      <c r="A837" s="16" t="s">
        <v>7596</v>
      </c>
      <c r="B837" s="16" t="s">
        <v>8869</v>
      </c>
      <c r="C837" s="16" t="s">
        <v>7718</v>
      </c>
      <c r="D837" s="16" t="s">
        <v>7597</v>
      </c>
      <c r="E837" s="16" t="s">
        <v>7009</v>
      </c>
      <c r="F837" s="16" t="s">
        <v>7010</v>
      </c>
      <c r="G837" s="16" t="s">
        <v>32</v>
      </c>
      <c r="H837" s="16" t="s">
        <v>6997</v>
      </c>
      <c r="I837" s="16"/>
      <c r="J837" s="16" t="s">
        <v>742</v>
      </c>
      <c r="K837" s="16"/>
      <c r="L837" s="16"/>
      <c r="M837" s="19" t="s">
        <v>7011</v>
      </c>
      <c r="N837" s="16"/>
      <c r="O837" s="16" t="s">
        <v>7012</v>
      </c>
      <c r="P837" s="16" t="str">
        <f>HYPERLINK("https://ceds.ed.gov/cedselementdetails.aspx?termid=26651")</f>
        <v>https://ceds.ed.gov/cedselementdetails.aspx?termid=26651</v>
      </c>
      <c r="Q837" s="16">
        <v>75770</v>
      </c>
    </row>
    <row r="838" spans="1:17" ht="57.6" x14ac:dyDescent="0.3">
      <c r="A838" s="16" t="s">
        <v>7596</v>
      </c>
      <c r="B838" s="16" t="s">
        <v>8869</v>
      </c>
      <c r="C838" s="16"/>
      <c r="D838" s="16" t="s">
        <v>7597</v>
      </c>
      <c r="E838" s="16" t="s">
        <v>4311</v>
      </c>
      <c r="F838" s="16" t="s">
        <v>4312</v>
      </c>
      <c r="G838" s="16" t="s">
        <v>32</v>
      </c>
      <c r="H838" s="16" t="s">
        <v>3007</v>
      </c>
      <c r="I838" s="16"/>
      <c r="J838" s="16" t="s">
        <v>1481</v>
      </c>
      <c r="K838" s="16"/>
      <c r="L838" s="16"/>
      <c r="M838" s="19" t="s">
        <v>4313</v>
      </c>
      <c r="N838" s="16"/>
      <c r="O838" s="16" t="s">
        <v>4314</v>
      </c>
      <c r="P838" s="16" t="str">
        <f>HYPERLINK("https://ceds.ed.gov/cedselementdetails.aspx?termid=26353")</f>
        <v>https://ceds.ed.gov/cedselementdetails.aspx?termid=26353</v>
      </c>
      <c r="Q838" s="16">
        <v>72277</v>
      </c>
    </row>
    <row r="839" spans="1:17" ht="57.6" x14ac:dyDescent="0.3">
      <c r="A839" s="16" t="s">
        <v>7596</v>
      </c>
      <c r="B839" s="16" t="s">
        <v>8869</v>
      </c>
      <c r="C839" s="16" t="s">
        <v>7718</v>
      </c>
      <c r="D839" s="16" t="s">
        <v>7597</v>
      </c>
      <c r="E839" s="16" t="s">
        <v>7013</v>
      </c>
      <c r="F839" s="16" t="s">
        <v>7014</v>
      </c>
      <c r="G839" s="16" t="s">
        <v>32</v>
      </c>
      <c r="H839" s="16" t="s">
        <v>6997</v>
      </c>
      <c r="I839" s="16"/>
      <c r="J839" s="16" t="s">
        <v>106</v>
      </c>
      <c r="K839" s="16"/>
      <c r="L839" s="16" t="s">
        <v>7015</v>
      </c>
      <c r="M839" s="19" t="s">
        <v>7016</v>
      </c>
      <c r="N839" s="16"/>
      <c r="O839" s="16" t="s">
        <v>7017</v>
      </c>
      <c r="P839" s="16" t="str">
        <f>HYPERLINK("https://ceds.ed.gov/cedselementdetails.aspx?termid=26648")</f>
        <v>https://ceds.ed.gov/cedselementdetails.aspx?termid=26648</v>
      </c>
      <c r="Q839" s="16">
        <v>75771</v>
      </c>
    </row>
    <row r="840" spans="1:17" ht="57.6" x14ac:dyDescent="0.3">
      <c r="A840" s="16" t="s">
        <v>7596</v>
      </c>
      <c r="B840" s="16" t="s">
        <v>8869</v>
      </c>
      <c r="C840" s="16"/>
      <c r="D840" s="16" t="s">
        <v>7597</v>
      </c>
      <c r="E840" s="16" t="s">
        <v>3003</v>
      </c>
      <c r="F840" s="16" t="s">
        <v>3004</v>
      </c>
      <c r="G840" s="16" t="s">
        <v>32</v>
      </c>
      <c r="H840" s="16" t="s">
        <v>3007</v>
      </c>
      <c r="I840" s="16"/>
      <c r="J840" s="16" t="s">
        <v>305</v>
      </c>
      <c r="K840" s="16"/>
      <c r="L840" s="16"/>
      <c r="M840" s="19" t="s">
        <v>3005</v>
      </c>
      <c r="N840" s="16"/>
      <c r="O840" s="16" t="s">
        <v>3006</v>
      </c>
      <c r="P840" s="16" t="str">
        <f>HYPERLINK("https://ceds.ed.gov/cedselementdetails.aspx?termid=26354")</f>
        <v>https://ceds.ed.gov/cedselementdetails.aspx?termid=26354</v>
      </c>
      <c r="Q840" s="16">
        <v>72278</v>
      </c>
    </row>
    <row r="841" spans="1:17" ht="72" x14ac:dyDescent="0.3">
      <c r="A841" s="16" t="s">
        <v>7596</v>
      </c>
      <c r="B841" s="16" t="s">
        <v>8869</v>
      </c>
      <c r="C841" s="16" t="s">
        <v>7718</v>
      </c>
      <c r="D841" s="16" t="s">
        <v>7597</v>
      </c>
      <c r="E841" s="16" t="s">
        <v>7018</v>
      </c>
      <c r="F841" s="16" t="s">
        <v>8166</v>
      </c>
      <c r="G841" s="16" t="s">
        <v>8273</v>
      </c>
      <c r="H841" s="16" t="s">
        <v>6997</v>
      </c>
      <c r="I841" s="16"/>
      <c r="J841" s="16"/>
      <c r="K841" s="16"/>
      <c r="L841" s="16"/>
      <c r="M841" s="19" t="s">
        <v>7019</v>
      </c>
      <c r="N841" s="16"/>
      <c r="O841" s="16" t="s">
        <v>7020</v>
      </c>
      <c r="P841" s="16" t="str">
        <f>HYPERLINK("https://ceds.ed.gov/cedselementdetails.aspx?termid=26650")</f>
        <v>https://ceds.ed.gov/cedselementdetails.aspx?termid=26650</v>
      </c>
      <c r="Q841" s="16">
        <v>75772</v>
      </c>
    </row>
    <row r="842" spans="1:17" ht="115.2" x14ac:dyDescent="0.3">
      <c r="A842" s="16" t="s">
        <v>7596</v>
      </c>
      <c r="B842" s="16" t="s">
        <v>8869</v>
      </c>
      <c r="C842" s="16"/>
      <c r="D842" s="16" t="s">
        <v>7597</v>
      </c>
      <c r="E842" s="16" t="s">
        <v>3235</v>
      </c>
      <c r="F842" s="16" t="s">
        <v>7944</v>
      </c>
      <c r="G842" s="16" t="s">
        <v>8519</v>
      </c>
      <c r="H842" s="16" t="s">
        <v>3007</v>
      </c>
      <c r="I842" s="16"/>
      <c r="J842" s="16"/>
      <c r="K842" s="16"/>
      <c r="L842" s="16"/>
      <c r="M842" s="19" t="s">
        <v>3236</v>
      </c>
      <c r="N842" s="16"/>
      <c r="O842" s="16" t="s">
        <v>3237</v>
      </c>
      <c r="P842" s="16" t="str">
        <f>HYPERLINK("https://ceds.ed.gov/cedselementdetails.aspx?termid=26355")</f>
        <v>https://ceds.ed.gov/cedselementdetails.aspx?termid=26355</v>
      </c>
      <c r="Q842" s="16">
        <v>72279</v>
      </c>
    </row>
    <row r="843" spans="1:17" ht="28.8" x14ac:dyDescent="0.3">
      <c r="A843" s="16" t="s">
        <v>7596</v>
      </c>
      <c r="B843" s="16" t="s">
        <v>8869</v>
      </c>
      <c r="C843" s="16" t="s">
        <v>7718</v>
      </c>
      <c r="D843" s="16" t="s">
        <v>7597</v>
      </c>
      <c r="E843" s="16" t="s">
        <v>7021</v>
      </c>
      <c r="F843" s="16" t="s">
        <v>7022</v>
      </c>
      <c r="G843" s="16" t="s">
        <v>32</v>
      </c>
      <c r="H843" s="16" t="s">
        <v>6997</v>
      </c>
      <c r="I843" s="16"/>
      <c r="J843" s="16" t="s">
        <v>106</v>
      </c>
      <c r="K843" s="16"/>
      <c r="L843" s="16"/>
      <c r="M843" s="19" t="s">
        <v>7023</v>
      </c>
      <c r="N843" s="16"/>
      <c r="O843" s="16" t="s">
        <v>7024</v>
      </c>
      <c r="P843" s="16" t="str">
        <f>HYPERLINK("https://ceds.ed.gov/cedselementdetails.aspx?termid=26647")</f>
        <v>https://ceds.ed.gov/cedselementdetails.aspx?termid=26647</v>
      </c>
      <c r="Q843" s="16">
        <v>75773</v>
      </c>
    </row>
    <row r="844" spans="1:17" ht="28.8" x14ac:dyDescent="0.3">
      <c r="A844" s="16" t="s">
        <v>7596</v>
      </c>
      <c r="B844" s="16" t="s">
        <v>8869</v>
      </c>
      <c r="C844" s="16"/>
      <c r="D844" s="16" t="s">
        <v>7597</v>
      </c>
      <c r="E844" s="16" t="s">
        <v>3325</v>
      </c>
      <c r="F844" s="16" t="s">
        <v>3326</v>
      </c>
      <c r="G844" s="16" t="s">
        <v>32</v>
      </c>
      <c r="H844" s="16" t="s">
        <v>2025</v>
      </c>
      <c r="I844" s="16"/>
      <c r="J844" s="16" t="s">
        <v>3327</v>
      </c>
      <c r="K844" s="16"/>
      <c r="L844" s="16"/>
      <c r="M844" s="19" t="s">
        <v>3328</v>
      </c>
      <c r="N844" s="16"/>
      <c r="O844" s="16" t="s">
        <v>3329</v>
      </c>
      <c r="P844" s="16" t="str">
        <f>HYPERLINK("https://ceds.ed.gov/cedselementdetails.aspx?termid=26824")</f>
        <v>https://ceds.ed.gov/cedselementdetails.aspx?termid=26824</v>
      </c>
      <c r="Q844" s="16">
        <v>72281</v>
      </c>
    </row>
    <row r="845" spans="1:17" ht="57.6" x14ac:dyDescent="0.3">
      <c r="A845" s="16" t="s">
        <v>7596</v>
      </c>
      <c r="B845" s="16" t="s">
        <v>8869</v>
      </c>
      <c r="C845" s="16"/>
      <c r="D845" s="16" t="s">
        <v>7597</v>
      </c>
      <c r="E845" s="16" t="s">
        <v>3384</v>
      </c>
      <c r="F845" s="16" t="s">
        <v>7959</v>
      </c>
      <c r="G845" s="16" t="s">
        <v>32</v>
      </c>
      <c r="H845" s="16" t="s">
        <v>3308</v>
      </c>
      <c r="I845" s="16"/>
      <c r="J845" s="16" t="s">
        <v>305</v>
      </c>
      <c r="K845" s="16"/>
      <c r="L845" s="16"/>
      <c r="M845" s="19" t="s">
        <v>3385</v>
      </c>
      <c r="N845" s="16"/>
      <c r="O845" s="16" t="s">
        <v>3386</v>
      </c>
      <c r="P845" s="16" t="str">
        <f>HYPERLINK("https://ceds.ed.gov/cedselementdetails.aspx?termid=26626")</f>
        <v>https://ceds.ed.gov/cedselementdetails.aspx?termid=26626</v>
      </c>
      <c r="Q845" s="16">
        <v>72272</v>
      </c>
    </row>
    <row r="846" spans="1:17" ht="57.6" x14ac:dyDescent="0.3">
      <c r="A846" s="16" t="s">
        <v>7596</v>
      </c>
      <c r="B846" s="16" t="s">
        <v>8869</v>
      </c>
      <c r="C846" s="16"/>
      <c r="D846" s="16" t="s">
        <v>7597</v>
      </c>
      <c r="E846" s="16" t="s">
        <v>3305</v>
      </c>
      <c r="F846" s="16" t="s">
        <v>7954</v>
      </c>
      <c r="G846" s="16" t="s">
        <v>32</v>
      </c>
      <c r="H846" s="16" t="s">
        <v>3308</v>
      </c>
      <c r="I846" s="16"/>
      <c r="J846" s="16" t="s">
        <v>305</v>
      </c>
      <c r="K846" s="16"/>
      <c r="L846" s="16"/>
      <c r="M846" s="19" t="s">
        <v>3306</v>
      </c>
      <c r="N846" s="16"/>
      <c r="O846" s="16" t="s">
        <v>3307</v>
      </c>
      <c r="P846" s="16" t="str">
        <f>HYPERLINK("https://ceds.ed.gov/cedselementdetails.aspx?termid=27189")</f>
        <v>https://ceds.ed.gov/cedselementdetails.aspx?termid=27189</v>
      </c>
      <c r="Q846" s="16">
        <v>71961</v>
      </c>
    </row>
    <row r="847" spans="1:17" x14ac:dyDescent="0.3">
      <c r="A847" s="16" t="s">
        <v>7596</v>
      </c>
      <c r="B847" s="16" t="s">
        <v>8869</v>
      </c>
      <c r="C847" s="16"/>
      <c r="D847" s="16" t="s">
        <v>7597</v>
      </c>
      <c r="E847" s="16" t="s">
        <v>3293</v>
      </c>
      <c r="F847" s="16" t="s">
        <v>3294</v>
      </c>
      <c r="G847" s="16" t="s">
        <v>32</v>
      </c>
      <c r="H847" s="16"/>
      <c r="I847" s="16"/>
      <c r="J847" s="16" t="s">
        <v>305</v>
      </c>
      <c r="K847" s="16"/>
      <c r="L847" s="16"/>
      <c r="M847" s="19" t="s">
        <v>3295</v>
      </c>
      <c r="N847" s="16"/>
      <c r="O847" s="16" t="s">
        <v>3296</v>
      </c>
      <c r="P847" s="16" t="str">
        <f>HYPERLINK("https://ceds.ed.gov/cedselementdetails.aspx?termid=27295")</f>
        <v>https://ceds.ed.gov/cedselementdetails.aspx?termid=27295</v>
      </c>
      <c r="Q847" s="16">
        <v>73135</v>
      </c>
    </row>
    <row r="848" spans="1:17" ht="72" x14ac:dyDescent="0.3">
      <c r="A848" s="16" t="s">
        <v>7596</v>
      </c>
      <c r="B848" s="16" t="s">
        <v>8869</v>
      </c>
      <c r="C848" s="16"/>
      <c r="D848" s="16" t="s">
        <v>7597</v>
      </c>
      <c r="E848" s="16" t="s">
        <v>3297</v>
      </c>
      <c r="F848" s="16" t="s">
        <v>3298</v>
      </c>
      <c r="G848" s="16" t="s">
        <v>8524</v>
      </c>
      <c r="H848" s="16" t="s">
        <v>98</v>
      </c>
      <c r="I848" s="16"/>
      <c r="J848" s="16"/>
      <c r="K848" s="16"/>
      <c r="L848" s="16"/>
      <c r="M848" s="19" t="s">
        <v>3299</v>
      </c>
      <c r="N848" s="16"/>
      <c r="O848" s="16" t="s">
        <v>3300</v>
      </c>
      <c r="P848" s="16" t="str">
        <f>HYPERLINK("https://ceds.ed.gov/cedselementdetails.aspx?termid=26823")</f>
        <v>https://ceds.ed.gov/cedselementdetails.aspx?termid=26823</v>
      </c>
      <c r="Q848" s="16">
        <v>72275</v>
      </c>
    </row>
    <row r="849" spans="1:17" ht="43.2" x14ac:dyDescent="0.3">
      <c r="A849" s="16" t="s">
        <v>7596</v>
      </c>
      <c r="B849" s="16" t="s">
        <v>8869</v>
      </c>
      <c r="C849" s="16"/>
      <c r="D849" s="16" t="s">
        <v>7597</v>
      </c>
      <c r="E849" s="16" t="s">
        <v>6579</v>
      </c>
      <c r="F849" s="16" t="s">
        <v>6580</v>
      </c>
      <c r="G849" s="16" t="s">
        <v>22</v>
      </c>
      <c r="H849" s="16" t="s">
        <v>2025</v>
      </c>
      <c r="I849" s="16"/>
      <c r="J849" s="16"/>
      <c r="K849" s="16"/>
      <c r="L849" s="16"/>
      <c r="M849" s="19" t="s">
        <v>6581</v>
      </c>
      <c r="N849" s="16"/>
      <c r="O849" s="16" t="s">
        <v>6582</v>
      </c>
      <c r="P849" s="16" t="str">
        <f>HYPERLINK("https://ceds.ed.gov/cedselementdetails.aspx?termid=26821")</f>
        <v>https://ceds.ed.gov/cedselementdetails.aspx?termid=26821</v>
      </c>
      <c r="Q849" s="16">
        <v>72273</v>
      </c>
    </row>
    <row r="850" spans="1:17" ht="144" x14ac:dyDescent="0.3">
      <c r="A850" s="16" t="s">
        <v>7596</v>
      </c>
      <c r="B850" s="16" t="s">
        <v>8869</v>
      </c>
      <c r="C850" s="16"/>
      <c r="D850" s="16" t="s">
        <v>7597</v>
      </c>
      <c r="E850" s="16" t="s">
        <v>3246</v>
      </c>
      <c r="F850" s="16" t="s">
        <v>3247</v>
      </c>
      <c r="G850" s="16" t="s">
        <v>8520</v>
      </c>
      <c r="H850" s="16" t="s">
        <v>98</v>
      </c>
      <c r="I850" s="16"/>
      <c r="J850" s="16" t="s">
        <v>145</v>
      </c>
      <c r="K850" s="16"/>
      <c r="L850" s="16"/>
      <c r="M850" s="19" t="s">
        <v>3248</v>
      </c>
      <c r="N850" s="16"/>
      <c r="O850" s="16" t="s">
        <v>3249</v>
      </c>
      <c r="P850" s="16" t="str">
        <f>HYPERLINK("https://ceds.ed.gov/cedselementdetails.aspx?termid=26822")</f>
        <v>https://ceds.ed.gov/cedselementdetails.aspx?termid=26822</v>
      </c>
      <c r="Q850" s="16">
        <v>72274</v>
      </c>
    </row>
    <row r="851" spans="1:17" ht="43.2" x14ac:dyDescent="0.3">
      <c r="A851" s="16" t="s">
        <v>7596</v>
      </c>
      <c r="B851" s="16" t="s">
        <v>8869</v>
      </c>
      <c r="C851" s="16"/>
      <c r="D851" s="16" t="s">
        <v>7597</v>
      </c>
      <c r="E851" s="16" t="s">
        <v>4883</v>
      </c>
      <c r="F851" s="16" t="s">
        <v>8076</v>
      </c>
      <c r="G851" s="16" t="s">
        <v>22</v>
      </c>
      <c r="H851" s="16"/>
      <c r="I851" s="16"/>
      <c r="J851" s="16"/>
      <c r="K851" s="16"/>
      <c r="L851" s="16"/>
      <c r="M851" s="19" t="s">
        <v>4884</v>
      </c>
      <c r="N851" s="16"/>
      <c r="O851" s="16" t="s">
        <v>4885</v>
      </c>
      <c r="P851" s="16" t="str">
        <f>HYPERLINK("https://ceds.ed.gov/cedselementdetails.aspx?termid=27190")</f>
        <v>https://ceds.ed.gov/cedselementdetails.aspx?termid=27190</v>
      </c>
      <c r="Q851" s="16">
        <v>71632</v>
      </c>
    </row>
    <row r="852" spans="1:17" ht="28.8" x14ac:dyDescent="0.3">
      <c r="A852" s="16" t="s">
        <v>7596</v>
      </c>
      <c r="B852" s="16" t="s">
        <v>8869</v>
      </c>
      <c r="C852" s="16"/>
      <c r="D852" s="16" t="s">
        <v>7597</v>
      </c>
      <c r="E852" s="16" t="s">
        <v>7818</v>
      </c>
      <c r="F852" s="16" t="s">
        <v>7819</v>
      </c>
      <c r="G852" s="16" t="s">
        <v>32</v>
      </c>
      <c r="H852" s="16"/>
      <c r="I852" s="16"/>
      <c r="J852" s="16" t="s">
        <v>136</v>
      </c>
      <c r="K852" s="16"/>
      <c r="L852" s="16"/>
      <c r="M852" s="19" t="s">
        <v>8174</v>
      </c>
      <c r="N852" s="16"/>
      <c r="O852" s="16" t="s">
        <v>7820</v>
      </c>
      <c r="P852" s="16" t="str">
        <f>HYPERLINK("https://ceds.ed.gov/cedselementdetails.aspx?termid=27972")</f>
        <v>https://ceds.ed.gov/cedselementdetails.aspx?termid=27972</v>
      </c>
      <c r="Q852" s="16">
        <v>75742</v>
      </c>
    </row>
    <row r="853" spans="1:17" ht="43.2" x14ac:dyDescent="0.3">
      <c r="A853" s="16" t="s">
        <v>7596</v>
      </c>
      <c r="B853" s="16" t="s">
        <v>8869</v>
      </c>
      <c r="C853" s="16"/>
      <c r="D853" s="16" t="s">
        <v>7597</v>
      </c>
      <c r="E853" s="16" t="s">
        <v>7821</v>
      </c>
      <c r="F853" s="16" t="s">
        <v>7822</v>
      </c>
      <c r="G853" s="16" t="s">
        <v>8197</v>
      </c>
      <c r="H853" s="16"/>
      <c r="I853" s="16"/>
      <c r="J853" s="16" t="s">
        <v>2</v>
      </c>
      <c r="K853" s="16"/>
      <c r="L853" s="16"/>
      <c r="M853" s="19" t="s">
        <v>8175</v>
      </c>
      <c r="N853" s="16"/>
      <c r="O853" s="16" t="s">
        <v>7823</v>
      </c>
      <c r="P853" s="16" t="str">
        <f>HYPERLINK("https://ceds.ed.gov/cedselementdetails.aspx?termid=27973")</f>
        <v>https://ceds.ed.gov/cedselementdetails.aspx?termid=27973</v>
      </c>
      <c r="Q853" s="16">
        <v>75743</v>
      </c>
    </row>
    <row r="854" spans="1:17" ht="28.8" x14ac:dyDescent="0.3">
      <c r="A854" s="16" t="s">
        <v>7596</v>
      </c>
      <c r="B854" s="16" t="s">
        <v>8869</v>
      </c>
      <c r="C854" s="16"/>
      <c r="D854" s="16" t="s">
        <v>7597</v>
      </c>
      <c r="E854" s="16" t="s">
        <v>1410</v>
      </c>
      <c r="F854" s="16" t="s">
        <v>1411</v>
      </c>
      <c r="G854" s="16" t="s">
        <v>32</v>
      </c>
      <c r="H854" s="16"/>
      <c r="I854" s="16"/>
      <c r="J854" s="16" t="s">
        <v>106</v>
      </c>
      <c r="K854" s="16"/>
      <c r="L854" s="16"/>
      <c r="M854" s="19" t="s">
        <v>1412</v>
      </c>
      <c r="N854" s="16"/>
      <c r="O854" s="16" t="s">
        <v>1413</v>
      </c>
      <c r="P854" s="16" t="str">
        <f>HYPERLINK("https://ceds.ed.gov/cedselementdetails.aspx?termid=27630")</f>
        <v>https://ceds.ed.gov/cedselementdetails.aspx?termid=27630</v>
      </c>
      <c r="Q854" s="16">
        <v>75744</v>
      </c>
    </row>
    <row r="855" spans="1:17" ht="86.4" x14ac:dyDescent="0.3">
      <c r="A855" s="16" t="s">
        <v>7596</v>
      </c>
      <c r="B855" s="16" t="s">
        <v>8869</v>
      </c>
      <c r="C855" s="16"/>
      <c r="D855" s="16" t="s">
        <v>7597</v>
      </c>
      <c r="E855" s="16" t="s">
        <v>1419</v>
      </c>
      <c r="F855" s="16" t="s">
        <v>1420</v>
      </c>
      <c r="G855" s="16" t="s">
        <v>8211</v>
      </c>
      <c r="H855" s="16"/>
      <c r="I855" s="16"/>
      <c r="J855" s="16"/>
      <c r="K855" s="16"/>
      <c r="L855" s="16"/>
      <c r="M855" s="19" t="s">
        <v>1421</v>
      </c>
      <c r="N855" s="16"/>
      <c r="O855" s="16" t="s">
        <v>1422</v>
      </c>
      <c r="P855" s="16" t="str">
        <f>HYPERLINK("https://ceds.ed.gov/cedselementdetails.aspx?termid=26076")</f>
        <v>https://ceds.ed.gov/cedselementdetails.aspx?termid=26076</v>
      </c>
      <c r="Q855" s="16">
        <v>75745</v>
      </c>
    </row>
    <row r="856" spans="1:17" ht="28.8" x14ac:dyDescent="0.3">
      <c r="A856" s="16" t="s">
        <v>7596</v>
      </c>
      <c r="B856" s="16" t="s">
        <v>8869</v>
      </c>
      <c r="C856" s="16"/>
      <c r="D856" s="16" t="s">
        <v>7597</v>
      </c>
      <c r="E856" s="16" t="s">
        <v>2528</v>
      </c>
      <c r="F856" s="16" t="s">
        <v>2529</v>
      </c>
      <c r="G856" s="16" t="s">
        <v>32</v>
      </c>
      <c r="H856" s="16" t="s">
        <v>1927</v>
      </c>
      <c r="I856" s="16"/>
      <c r="J856" s="16" t="s">
        <v>106</v>
      </c>
      <c r="K856" s="16"/>
      <c r="L856" s="16"/>
      <c r="M856" s="19" t="s">
        <v>2530</v>
      </c>
      <c r="N856" s="16"/>
      <c r="O856" s="16" t="s">
        <v>2531</v>
      </c>
      <c r="P856" s="16" t="str">
        <f>HYPERLINK("https://ceds.ed.gov/cedselementdetails.aspx?termid=26054")</f>
        <v>https://ceds.ed.gov/cedselementdetails.aspx?termid=26054</v>
      </c>
      <c r="Q856" s="16">
        <v>75746</v>
      </c>
    </row>
    <row r="857" spans="1:17" ht="144" x14ac:dyDescent="0.3">
      <c r="A857" s="16" t="s">
        <v>7596</v>
      </c>
      <c r="B857" s="16" t="s">
        <v>8869</v>
      </c>
      <c r="C857" s="16"/>
      <c r="D857" s="16" t="s">
        <v>7597</v>
      </c>
      <c r="E857" s="16" t="s">
        <v>2536</v>
      </c>
      <c r="F857" s="16" t="s">
        <v>2537</v>
      </c>
      <c r="G857" s="16" t="s">
        <v>8217</v>
      </c>
      <c r="H857" s="16" t="s">
        <v>1484</v>
      </c>
      <c r="I857" s="16"/>
      <c r="J857" s="16"/>
      <c r="K857" s="16"/>
      <c r="L857" s="16"/>
      <c r="M857" s="19" t="s">
        <v>2538</v>
      </c>
      <c r="N857" s="16"/>
      <c r="O857" s="16" t="s">
        <v>2539</v>
      </c>
      <c r="P857" s="16" t="str">
        <f>HYPERLINK("https://ceds.ed.gov/cedselementdetails.aspx?termid=26056")</f>
        <v>https://ceds.ed.gov/cedselementdetails.aspx?termid=26056</v>
      </c>
      <c r="Q857" s="16">
        <v>75747</v>
      </c>
    </row>
    <row r="858" spans="1:17" ht="57.6" x14ac:dyDescent="0.3">
      <c r="A858" s="16" t="s">
        <v>7596</v>
      </c>
      <c r="B858" s="16" t="s">
        <v>8869</v>
      </c>
      <c r="C858" s="16"/>
      <c r="D858" s="16" t="s">
        <v>7597</v>
      </c>
      <c r="E858" s="16" t="s">
        <v>2565</v>
      </c>
      <c r="F858" s="16" t="s">
        <v>2566</v>
      </c>
      <c r="G858" s="16" t="s">
        <v>32</v>
      </c>
      <c r="H858" s="16" t="s">
        <v>1927</v>
      </c>
      <c r="I858" s="16"/>
      <c r="J858" s="16" t="s">
        <v>106</v>
      </c>
      <c r="K858" s="16"/>
      <c r="L858" s="16" t="s">
        <v>131</v>
      </c>
      <c r="M858" s="19" t="s">
        <v>2567</v>
      </c>
      <c r="N858" s="16"/>
      <c r="O858" s="16" t="s">
        <v>2568</v>
      </c>
      <c r="P858" s="16" t="str">
        <f>HYPERLINK("https://ceds.ed.gov/cedselementdetails.aspx?termid=26059")</f>
        <v>https://ceds.ed.gov/cedselementdetails.aspx?termid=26059</v>
      </c>
      <c r="Q858" s="16">
        <v>75748</v>
      </c>
    </row>
    <row r="859" spans="1:17" ht="302.39999999999998" x14ac:dyDescent="0.3">
      <c r="A859" s="16" t="s">
        <v>7596</v>
      </c>
      <c r="B859" s="16" t="s">
        <v>8869</v>
      </c>
      <c r="C859" s="16"/>
      <c r="D859" s="16" t="s">
        <v>7597</v>
      </c>
      <c r="E859" s="16" t="s">
        <v>2610</v>
      </c>
      <c r="F859" s="16" t="s">
        <v>2611</v>
      </c>
      <c r="G859" s="16" t="s">
        <v>8218</v>
      </c>
      <c r="H859" s="16"/>
      <c r="I859" s="16"/>
      <c r="J859" s="16"/>
      <c r="K859" s="16"/>
      <c r="L859" s="16"/>
      <c r="M859" s="19" t="s">
        <v>2612</v>
      </c>
      <c r="N859" s="16"/>
      <c r="O859" s="16" t="s">
        <v>2613</v>
      </c>
      <c r="P859" s="16" t="str">
        <f>HYPERLINK("https://ceds.ed.gov/cedselementdetails.aspx?termid=27278")</f>
        <v>https://ceds.ed.gov/cedselementdetails.aspx?termid=27278</v>
      </c>
      <c r="Q859" s="16">
        <v>75749</v>
      </c>
    </row>
    <row r="860" spans="1:17" ht="172.8" x14ac:dyDescent="0.3">
      <c r="A860" s="16" t="s">
        <v>7596</v>
      </c>
      <c r="B860" s="16" t="s">
        <v>8869</v>
      </c>
      <c r="C860" s="16"/>
      <c r="D860" s="16" t="s">
        <v>7597</v>
      </c>
      <c r="E860" s="16" t="s">
        <v>2642</v>
      </c>
      <c r="F860" s="16" t="s">
        <v>2643</v>
      </c>
      <c r="G860" s="16" t="s">
        <v>32</v>
      </c>
      <c r="H860" s="16"/>
      <c r="I860" s="16"/>
      <c r="J860" s="16" t="s">
        <v>106</v>
      </c>
      <c r="K860" s="16"/>
      <c r="L860" s="16" t="s">
        <v>2645</v>
      </c>
      <c r="M860" s="19" t="s">
        <v>2646</v>
      </c>
      <c r="N860" s="16"/>
      <c r="O860" s="16" t="s">
        <v>2647</v>
      </c>
      <c r="P860" s="16" t="str">
        <f>HYPERLINK("https://ceds.ed.gov/cedselementdetails.aspx?termid=26976")</f>
        <v>https://ceds.ed.gov/cedselementdetails.aspx?termid=26976</v>
      </c>
      <c r="Q860" s="16">
        <v>75750</v>
      </c>
    </row>
    <row r="861" spans="1:17" ht="115.2" x14ac:dyDescent="0.3">
      <c r="A861" s="16" t="s">
        <v>7596</v>
      </c>
      <c r="B861" s="16" t="s">
        <v>8869</v>
      </c>
      <c r="C861" s="16"/>
      <c r="D861" s="16" t="s">
        <v>7597</v>
      </c>
      <c r="E861" s="16" t="s">
        <v>2648</v>
      </c>
      <c r="F861" s="16" t="s">
        <v>2649</v>
      </c>
      <c r="G861" s="16" t="s">
        <v>32</v>
      </c>
      <c r="H861" s="16"/>
      <c r="I861" s="16"/>
      <c r="J861" s="16" t="s">
        <v>106</v>
      </c>
      <c r="K861" s="16"/>
      <c r="L861" s="16" t="s">
        <v>2650</v>
      </c>
      <c r="M861" s="19" t="s">
        <v>2651</v>
      </c>
      <c r="N861" s="16"/>
      <c r="O861" s="16" t="s">
        <v>2652</v>
      </c>
      <c r="P861" s="16" t="str">
        <f>HYPERLINK("https://ceds.ed.gov/cedselementdetails.aspx?termid=26975")</f>
        <v>https://ceds.ed.gov/cedselementdetails.aspx?termid=26975</v>
      </c>
      <c r="Q861" s="16">
        <v>75751</v>
      </c>
    </row>
    <row r="862" spans="1:17" ht="28.8" x14ac:dyDescent="0.3">
      <c r="A862" s="16" t="s">
        <v>7596</v>
      </c>
      <c r="B862" s="16" t="s">
        <v>8869</v>
      </c>
      <c r="C862" s="16"/>
      <c r="D862" s="16" t="s">
        <v>7597</v>
      </c>
      <c r="E862" s="16" t="s">
        <v>7945</v>
      </c>
      <c r="F862" s="16" t="s">
        <v>7946</v>
      </c>
      <c r="G862" s="16" t="s">
        <v>32</v>
      </c>
      <c r="H862" s="16"/>
      <c r="I862" s="16"/>
      <c r="J862" s="16" t="s">
        <v>136</v>
      </c>
      <c r="K862" s="16"/>
      <c r="L862" s="16"/>
      <c r="M862" s="19" t="s">
        <v>8178</v>
      </c>
      <c r="N862" s="16"/>
      <c r="O862" s="16" t="s">
        <v>7947</v>
      </c>
      <c r="P862" s="16" t="str">
        <f>HYPERLINK("https://ceds.ed.gov/cedselementdetails.aspx?termid=27976")</f>
        <v>https://ceds.ed.gov/cedselementdetails.aspx?termid=27976</v>
      </c>
      <c r="Q862" s="16">
        <v>75752</v>
      </c>
    </row>
    <row r="863" spans="1:17" ht="28.8" x14ac:dyDescent="0.3">
      <c r="A863" s="16" t="s">
        <v>7596</v>
      </c>
      <c r="B863" s="16" t="s">
        <v>8869</v>
      </c>
      <c r="C863" s="16"/>
      <c r="D863" s="16" t="s">
        <v>7597</v>
      </c>
      <c r="E863" s="16" t="s">
        <v>7948</v>
      </c>
      <c r="F863" s="16" t="s">
        <v>7949</v>
      </c>
      <c r="G863" s="16" t="s">
        <v>32</v>
      </c>
      <c r="H863" s="16"/>
      <c r="I863" s="16"/>
      <c r="J863" s="16" t="s">
        <v>136</v>
      </c>
      <c r="K863" s="16"/>
      <c r="L863" s="16"/>
      <c r="M863" s="19" t="s">
        <v>8179</v>
      </c>
      <c r="N863" s="16"/>
      <c r="O863" s="16" t="s">
        <v>7950</v>
      </c>
      <c r="P863" s="16" t="str">
        <f>HYPERLINK("https://ceds.ed.gov/cedselementdetails.aspx?termid=27977")</f>
        <v>https://ceds.ed.gov/cedselementdetails.aspx?termid=27977</v>
      </c>
      <c r="Q863" s="16">
        <v>75753</v>
      </c>
    </row>
    <row r="864" spans="1:17" ht="172.8" x14ac:dyDescent="0.3">
      <c r="A864" s="16" t="s">
        <v>7596</v>
      </c>
      <c r="B864" s="16" t="s">
        <v>8869</v>
      </c>
      <c r="C864" s="16"/>
      <c r="D864" s="16" t="s">
        <v>7597</v>
      </c>
      <c r="E864" s="16" t="s">
        <v>3526</v>
      </c>
      <c r="F864" s="16" t="s">
        <v>3527</v>
      </c>
      <c r="G864" s="16" t="s">
        <v>32</v>
      </c>
      <c r="H864" s="16" t="s">
        <v>3530</v>
      </c>
      <c r="I864" s="16"/>
      <c r="J864" s="16" t="s">
        <v>106</v>
      </c>
      <c r="K864" s="16"/>
      <c r="L864" s="16"/>
      <c r="M864" s="19" t="s">
        <v>3528</v>
      </c>
      <c r="N864" s="16"/>
      <c r="O864" s="16" t="s">
        <v>3529</v>
      </c>
      <c r="P864" s="16" t="str">
        <f>HYPERLINK("https://ceds.ed.gov/cedselementdetails.aspx?termid=26097")</f>
        <v>https://ceds.ed.gov/cedselementdetails.aspx?termid=26097</v>
      </c>
      <c r="Q864" s="16">
        <v>75754</v>
      </c>
    </row>
    <row r="865" spans="1:17" ht="43.2" x14ac:dyDescent="0.3">
      <c r="A865" s="16" t="s">
        <v>7596</v>
      </c>
      <c r="B865" s="16" t="s">
        <v>8869</v>
      </c>
      <c r="C865" s="16"/>
      <c r="D865" s="16" t="s">
        <v>7597</v>
      </c>
      <c r="E865" s="16" t="s">
        <v>3561</v>
      </c>
      <c r="F865" s="16" t="s">
        <v>3562</v>
      </c>
      <c r="G865" s="16" t="s">
        <v>8221</v>
      </c>
      <c r="H865" s="16" t="s">
        <v>2661</v>
      </c>
      <c r="I865" s="16"/>
      <c r="J865" s="16"/>
      <c r="K865" s="16"/>
      <c r="L865" s="16"/>
      <c r="M865" s="19" t="s">
        <v>3564</v>
      </c>
      <c r="N865" s="16"/>
      <c r="O865" s="16" t="s">
        <v>3565</v>
      </c>
      <c r="P865" s="16" t="str">
        <f>HYPERLINK("https://ceds.ed.gov/cedselementdetails.aspx?termid=26108")</f>
        <v>https://ceds.ed.gov/cedselementdetails.aspx?termid=26108</v>
      </c>
      <c r="Q865" s="16">
        <v>75755</v>
      </c>
    </row>
    <row r="866" spans="1:17" ht="100.8" x14ac:dyDescent="0.3">
      <c r="A866" s="16" t="s">
        <v>7596</v>
      </c>
      <c r="B866" s="16" t="s">
        <v>8869</v>
      </c>
      <c r="C866" s="16"/>
      <c r="D866" s="16" t="s">
        <v>7597</v>
      </c>
      <c r="E866" s="16" t="s">
        <v>5507</v>
      </c>
      <c r="F866" s="16" t="s">
        <v>5508</v>
      </c>
      <c r="G866" s="16" t="s">
        <v>32</v>
      </c>
      <c r="H866" s="16" t="s">
        <v>5511</v>
      </c>
      <c r="I866" s="16"/>
      <c r="J866" s="16" t="s">
        <v>1481</v>
      </c>
      <c r="K866" s="16"/>
      <c r="L866" s="16"/>
      <c r="M866" s="19" t="s">
        <v>5509</v>
      </c>
      <c r="N866" s="16"/>
      <c r="O866" s="16" t="s">
        <v>5510</v>
      </c>
      <c r="P866" s="16" t="str">
        <f>HYPERLINK("https://ceds.ed.gov/cedselementdetails.aspx?termid=26201")</f>
        <v>https://ceds.ed.gov/cedselementdetails.aspx?termid=26201</v>
      </c>
      <c r="Q866" s="16">
        <v>75756</v>
      </c>
    </row>
    <row r="867" spans="1:17" ht="230.4" x14ac:dyDescent="0.3">
      <c r="A867" s="16" t="s">
        <v>7596</v>
      </c>
      <c r="B867" s="16" t="s">
        <v>8869</v>
      </c>
      <c r="C867" s="16"/>
      <c r="D867" s="16" t="s">
        <v>7597</v>
      </c>
      <c r="E867" s="16" t="s">
        <v>5516</v>
      </c>
      <c r="F867" s="16" t="s">
        <v>5517</v>
      </c>
      <c r="G867" s="16" t="s">
        <v>32</v>
      </c>
      <c r="H867" s="16" t="s">
        <v>5520</v>
      </c>
      <c r="I867" s="16"/>
      <c r="J867" s="16" t="s">
        <v>1481</v>
      </c>
      <c r="K867" s="16"/>
      <c r="L867" s="16" t="s">
        <v>8095</v>
      </c>
      <c r="M867" s="19" t="s">
        <v>5518</v>
      </c>
      <c r="N867" s="16"/>
      <c r="O867" s="16" t="s">
        <v>5519</v>
      </c>
      <c r="P867" s="16" t="str">
        <f>HYPERLINK("https://ceds.ed.gov/cedselementdetails.aspx?termid=26202")</f>
        <v>https://ceds.ed.gov/cedselementdetails.aspx?termid=26202</v>
      </c>
      <c r="Q867" s="16">
        <v>75757</v>
      </c>
    </row>
    <row r="868" spans="1:17" ht="409.6" x14ac:dyDescent="0.3">
      <c r="A868" s="16" t="s">
        <v>7596</v>
      </c>
      <c r="B868" s="16" t="s">
        <v>8869</v>
      </c>
      <c r="C868" s="16"/>
      <c r="D868" s="16" t="s">
        <v>7597</v>
      </c>
      <c r="E868" s="16" t="s">
        <v>6130</v>
      </c>
      <c r="F868" s="16" t="s">
        <v>6131</v>
      </c>
      <c r="G868" s="16" t="s">
        <v>9420</v>
      </c>
      <c r="H868" s="16" t="s">
        <v>64</v>
      </c>
      <c r="I868" s="16"/>
      <c r="J868" s="16"/>
      <c r="K868" s="16"/>
      <c r="L868" s="16"/>
      <c r="M868" s="19" t="s">
        <v>6132</v>
      </c>
      <c r="N868" s="16"/>
      <c r="O868" s="16" t="s">
        <v>6133</v>
      </c>
      <c r="P868" s="16" t="str">
        <f>HYPERLINK("https://ceds.ed.gov/cedselementdetails.aspx?termid=26225")</f>
        <v>https://ceds.ed.gov/cedselementdetails.aspx?termid=26225</v>
      </c>
      <c r="Q868" s="16">
        <v>75758</v>
      </c>
    </row>
    <row r="869" spans="1:17" ht="187.2" x14ac:dyDescent="0.3">
      <c r="A869" s="16" t="s">
        <v>7596</v>
      </c>
      <c r="B869" s="16" t="s">
        <v>8869</v>
      </c>
      <c r="C869" s="16"/>
      <c r="D869" s="16" t="s">
        <v>7597</v>
      </c>
      <c r="E869" s="16" t="s">
        <v>6363</v>
      </c>
      <c r="F869" s="16" t="s">
        <v>6364</v>
      </c>
      <c r="G869" s="16" t="s">
        <v>9339</v>
      </c>
      <c r="H869" s="16" t="s">
        <v>214</v>
      </c>
      <c r="I869" s="16"/>
      <c r="J869" s="16"/>
      <c r="K869" s="16"/>
      <c r="L869" s="16"/>
      <c r="M869" s="19" t="s">
        <v>6365</v>
      </c>
      <c r="N869" s="16"/>
      <c r="O869" s="16" t="s">
        <v>6366</v>
      </c>
      <c r="P869" s="16" t="str">
        <f>HYPERLINK("https://ceds.ed.gov/cedselementdetails.aspx?termid=26588")</f>
        <v>https://ceds.ed.gov/cedselementdetails.aspx?termid=26588</v>
      </c>
      <c r="Q869" s="16">
        <v>75759</v>
      </c>
    </row>
    <row r="870" spans="1:17" ht="115.2" x14ac:dyDescent="0.3">
      <c r="A870" s="16" t="s">
        <v>7596</v>
      </c>
      <c r="B870" s="16" t="s">
        <v>8869</v>
      </c>
      <c r="C870" s="16"/>
      <c r="D870" s="16" t="s">
        <v>7597</v>
      </c>
      <c r="E870" s="16" t="s">
        <v>6489</v>
      </c>
      <c r="F870" s="16" t="s">
        <v>6490</v>
      </c>
      <c r="G870" s="16" t="s">
        <v>7313</v>
      </c>
      <c r="H870" s="16"/>
      <c r="I870" s="16"/>
      <c r="J870" s="16"/>
      <c r="K870" s="16"/>
      <c r="L870" s="16" t="s">
        <v>8136</v>
      </c>
      <c r="M870" s="19" t="s">
        <v>6491</v>
      </c>
      <c r="N870" s="16" t="s">
        <v>6492</v>
      </c>
      <c r="O870" s="16" t="s">
        <v>6493</v>
      </c>
      <c r="P870" s="16" t="str">
        <f>HYPERLINK("https://ceds.ed.gov/cedselementdetails.aspx?termid=27490")</f>
        <v>https://ceds.ed.gov/cedselementdetails.aspx?termid=27490</v>
      </c>
      <c r="Q870" s="16">
        <v>75760</v>
      </c>
    </row>
    <row r="871" spans="1:17" ht="100.8" x14ac:dyDescent="0.3">
      <c r="A871" s="16" t="s">
        <v>7596</v>
      </c>
      <c r="B871" s="16" t="s">
        <v>8869</v>
      </c>
      <c r="C871" s="16"/>
      <c r="D871" s="16" t="s">
        <v>7597</v>
      </c>
      <c r="E871" s="16" t="s">
        <v>6494</v>
      </c>
      <c r="F871" s="16" t="s">
        <v>8137</v>
      </c>
      <c r="G871" s="16" t="s">
        <v>8259</v>
      </c>
      <c r="H871" s="16"/>
      <c r="I871" s="16"/>
      <c r="J871" s="16"/>
      <c r="K871" s="16"/>
      <c r="L871" s="16"/>
      <c r="M871" s="19" t="s">
        <v>6495</v>
      </c>
      <c r="N871" s="16" t="s">
        <v>6496</v>
      </c>
      <c r="O871" s="16" t="s">
        <v>6497</v>
      </c>
      <c r="P871" s="16" t="str">
        <f>HYPERLINK("https://ceds.ed.gov/cedselementdetails.aspx?termid=27488")</f>
        <v>https://ceds.ed.gov/cedselementdetails.aspx?termid=27488</v>
      </c>
      <c r="Q871" s="16">
        <v>75761</v>
      </c>
    </row>
    <row r="872" spans="1:17" ht="345.6" x14ac:dyDescent="0.3">
      <c r="A872" s="16" t="s">
        <v>7596</v>
      </c>
      <c r="B872" s="16" t="s">
        <v>8869</v>
      </c>
      <c r="C872" s="16"/>
      <c r="D872" s="16" t="s">
        <v>7597</v>
      </c>
      <c r="E872" s="16" t="s">
        <v>6498</v>
      </c>
      <c r="F872" s="16" t="s">
        <v>6499</v>
      </c>
      <c r="G872" s="16" t="s">
        <v>8260</v>
      </c>
      <c r="H872" s="16"/>
      <c r="I872" s="16"/>
      <c r="J872" s="16"/>
      <c r="K872" s="16"/>
      <c r="L872" s="16" t="s">
        <v>8138</v>
      </c>
      <c r="M872" s="19" t="s">
        <v>6500</v>
      </c>
      <c r="N872" s="16" t="s">
        <v>6501</v>
      </c>
      <c r="O872" s="16" t="s">
        <v>6502</v>
      </c>
      <c r="P872" s="16" t="str">
        <f>HYPERLINK("https://ceds.ed.gov/cedselementdetails.aspx?termid=27491")</f>
        <v>https://ceds.ed.gov/cedselementdetails.aspx?termid=27491</v>
      </c>
      <c r="Q872" s="16">
        <v>75762</v>
      </c>
    </row>
    <row r="873" spans="1:17" ht="100.8" x14ac:dyDescent="0.3">
      <c r="A873" s="16" t="s">
        <v>7596</v>
      </c>
      <c r="B873" s="16" t="s">
        <v>8869</v>
      </c>
      <c r="C873" s="16"/>
      <c r="D873" s="16" t="s">
        <v>7597</v>
      </c>
      <c r="E873" s="16" t="s">
        <v>6510</v>
      </c>
      <c r="F873" s="16" t="s">
        <v>6511</v>
      </c>
      <c r="G873" s="16" t="s">
        <v>32</v>
      </c>
      <c r="H873" s="16" t="s">
        <v>1484</v>
      </c>
      <c r="I873" s="16"/>
      <c r="J873" s="16" t="s">
        <v>2697</v>
      </c>
      <c r="K873" s="16"/>
      <c r="L873" s="16" t="s">
        <v>6512</v>
      </c>
      <c r="M873" s="19" t="s">
        <v>6513</v>
      </c>
      <c r="N873" s="16" t="s">
        <v>6514</v>
      </c>
      <c r="O873" s="16" t="s">
        <v>6515</v>
      </c>
      <c r="P873" s="16" t="str">
        <f>HYPERLINK("https://ceds.ed.gov/cedselementdetails.aspx?termid=26250")</f>
        <v>https://ceds.ed.gov/cedselementdetails.aspx?termid=26250</v>
      </c>
      <c r="Q873" s="16">
        <v>75763</v>
      </c>
    </row>
    <row r="874" spans="1:17" ht="158.4" x14ac:dyDescent="0.3">
      <c r="A874" s="16" t="s">
        <v>7596</v>
      </c>
      <c r="B874" s="16" t="s">
        <v>8869</v>
      </c>
      <c r="C874" s="16"/>
      <c r="D874" s="16" t="s">
        <v>7597</v>
      </c>
      <c r="E874" s="16" t="s">
        <v>6932</v>
      </c>
      <c r="F874" s="16" t="s">
        <v>6933</v>
      </c>
      <c r="G874" s="16" t="s">
        <v>9344</v>
      </c>
      <c r="H874" s="16" t="s">
        <v>6936</v>
      </c>
      <c r="I874" s="16"/>
      <c r="J874" s="16"/>
      <c r="K874" s="16"/>
      <c r="L874" s="16"/>
      <c r="M874" s="19" t="s">
        <v>6934</v>
      </c>
      <c r="N874" s="16"/>
      <c r="O874" s="16" t="s">
        <v>6935</v>
      </c>
      <c r="P874" s="16" t="str">
        <f>HYPERLINK("https://ceds.ed.gov/cedselementdetails.aspx?termid=26163")</f>
        <v>https://ceds.ed.gov/cedselementdetails.aspx?termid=26163</v>
      </c>
      <c r="Q874" s="16">
        <v>75764</v>
      </c>
    </row>
    <row r="875" spans="1:17" ht="172.8" x14ac:dyDescent="0.3">
      <c r="A875" s="16" t="s">
        <v>7596</v>
      </c>
      <c r="B875" s="16" t="s">
        <v>8869</v>
      </c>
      <c r="C875" s="16"/>
      <c r="D875" s="16" t="s">
        <v>7597</v>
      </c>
      <c r="E875" s="16" t="s">
        <v>6937</v>
      </c>
      <c r="F875" s="16" t="s">
        <v>6938</v>
      </c>
      <c r="G875" s="16" t="s">
        <v>32</v>
      </c>
      <c r="H875" s="16" t="s">
        <v>6936</v>
      </c>
      <c r="I875" s="16"/>
      <c r="J875" s="16" t="s">
        <v>120</v>
      </c>
      <c r="K875" s="16"/>
      <c r="L875" s="16" t="s">
        <v>7817</v>
      </c>
      <c r="M875" s="19" t="s">
        <v>6939</v>
      </c>
      <c r="N875" s="16"/>
      <c r="O875" s="16" t="s">
        <v>6940</v>
      </c>
      <c r="P875" s="16" t="str">
        <f>HYPERLINK("https://ceds.ed.gov/cedselementdetails.aspx?termid=26157")</f>
        <v>https://ceds.ed.gov/cedselementdetails.aspx?termid=26157</v>
      </c>
      <c r="Q875" s="16">
        <v>75765</v>
      </c>
    </row>
    <row r="876" spans="1:17" ht="115.2" x14ac:dyDescent="0.3">
      <c r="A876" s="16" t="s">
        <v>7596</v>
      </c>
      <c r="B876" s="16" t="s">
        <v>8869</v>
      </c>
      <c r="C876" s="16"/>
      <c r="D876" s="16" t="s">
        <v>7597</v>
      </c>
      <c r="E876" s="16" t="s">
        <v>8896</v>
      </c>
      <c r="F876" s="16" t="s">
        <v>8897</v>
      </c>
      <c r="G876" s="16" t="s">
        <v>32</v>
      </c>
      <c r="H876" s="16"/>
      <c r="I876" s="16"/>
      <c r="J876" s="16" t="s">
        <v>4030</v>
      </c>
      <c r="K876" s="16"/>
      <c r="L876" s="16" t="s">
        <v>8898</v>
      </c>
      <c r="M876" s="19" t="s">
        <v>8899</v>
      </c>
      <c r="N876" s="16"/>
      <c r="O876" s="16" t="s">
        <v>8900</v>
      </c>
      <c r="P876" s="16" t="str">
        <f>HYPERLINK("https://ceds.ed.gov/cedselementdetails.aspx?termid=28001")</f>
        <v>https://ceds.ed.gov/cedselementdetails.aspx?termid=28001</v>
      </c>
      <c r="Q876" s="16">
        <v>76118</v>
      </c>
    </row>
    <row r="877" spans="1:17" ht="28.8" x14ac:dyDescent="0.3">
      <c r="A877" s="16" t="s">
        <v>7596</v>
      </c>
      <c r="B877" s="16" t="s">
        <v>8869</v>
      </c>
      <c r="C877" s="16"/>
      <c r="D877" s="16" t="s">
        <v>7597</v>
      </c>
      <c r="E877" s="16" t="s">
        <v>8901</v>
      </c>
      <c r="F877" s="16" t="s">
        <v>8902</v>
      </c>
      <c r="G877" s="16" t="s">
        <v>32</v>
      </c>
      <c r="H877" s="16"/>
      <c r="I877" s="16"/>
      <c r="J877" s="16" t="s">
        <v>4030</v>
      </c>
      <c r="K877" s="16"/>
      <c r="L877" s="16"/>
      <c r="M877" s="19" t="s">
        <v>8903</v>
      </c>
      <c r="N877" s="16"/>
      <c r="O877" s="16" t="s">
        <v>8904</v>
      </c>
      <c r="P877" s="16" t="str">
        <f>HYPERLINK("https://ceds.ed.gov/cedselementdetails.aspx?termid=28002")</f>
        <v>https://ceds.ed.gov/cedselementdetails.aspx?termid=28002</v>
      </c>
      <c r="Q877" s="16">
        <v>76119</v>
      </c>
    </row>
    <row r="878" spans="1:17" ht="28.8" x14ac:dyDescent="0.3">
      <c r="A878" s="16" t="s">
        <v>7596</v>
      </c>
      <c r="B878" s="16" t="s">
        <v>8869</v>
      </c>
      <c r="C878" s="16"/>
      <c r="D878" s="16" t="s">
        <v>7597</v>
      </c>
      <c r="E878" s="16" t="s">
        <v>8905</v>
      </c>
      <c r="F878" s="16" t="s">
        <v>8906</v>
      </c>
      <c r="G878" s="16" t="s">
        <v>32</v>
      </c>
      <c r="H878" s="16"/>
      <c r="I878" s="16"/>
      <c r="J878" s="16" t="s">
        <v>4030</v>
      </c>
      <c r="K878" s="16"/>
      <c r="L878" s="16"/>
      <c r="M878" s="19" t="s">
        <v>8907</v>
      </c>
      <c r="N878" s="16"/>
      <c r="O878" s="16" t="s">
        <v>8908</v>
      </c>
      <c r="P878" s="16" t="str">
        <f>HYPERLINK("https://ceds.ed.gov/cedselementdetails.aspx?termid=28003")</f>
        <v>https://ceds.ed.gov/cedselementdetails.aspx?termid=28003</v>
      </c>
      <c r="Q878" s="16">
        <v>76120</v>
      </c>
    </row>
    <row r="879" spans="1:17" ht="187.2" x14ac:dyDescent="0.3">
      <c r="A879" s="16" t="s">
        <v>7596</v>
      </c>
      <c r="B879" s="16" t="s">
        <v>7664</v>
      </c>
      <c r="C879" s="16" t="s">
        <v>7599</v>
      </c>
      <c r="D879" s="16" t="s">
        <v>7597</v>
      </c>
      <c r="E879" s="16" t="s">
        <v>158</v>
      </c>
      <c r="F879" s="16" t="s">
        <v>159</v>
      </c>
      <c r="G879" s="16" t="s">
        <v>32</v>
      </c>
      <c r="H879" s="16" t="s">
        <v>163</v>
      </c>
      <c r="I879" s="16"/>
      <c r="J879" s="16" t="s">
        <v>145</v>
      </c>
      <c r="K879" s="16"/>
      <c r="L879" s="16"/>
      <c r="M879" s="19" t="s">
        <v>161</v>
      </c>
      <c r="N879" s="16"/>
      <c r="O879" s="16" t="s">
        <v>162</v>
      </c>
      <c r="P879" s="16" t="str">
        <f>HYPERLINK("https://ceds.ed.gov/cedselementdetails.aspx?termid=26019")</f>
        <v>https://ceds.ed.gov/cedselementdetails.aspx?termid=26019</v>
      </c>
      <c r="Q879" s="16">
        <v>75720</v>
      </c>
    </row>
    <row r="880" spans="1:17" ht="57.6" x14ac:dyDescent="0.3">
      <c r="A880" s="16" t="s">
        <v>7596</v>
      </c>
      <c r="B880" s="16" t="s">
        <v>7664</v>
      </c>
      <c r="C880" s="16"/>
      <c r="D880" s="16" t="s">
        <v>7597</v>
      </c>
      <c r="E880" s="16" t="s">
        <v>1502</v>
      </c>
      <c r="F880" s="16" t="s">
        <v>1503</v>
      </c>
      <c r="G880" s="16" t="s">
        <v>8370</v>
      </c>
      <c r="H880" s="16"/>
      <c r="I880" s="16"/>
      <c r="J880" s="16"/>
      <c r="K880" s="16"/>
      <c r="L880" s="16"/>
      <c r="M880" s="19" t="s">
        <v>1505</v>
      </c>
      <c r="N880" s="16"/>
      <c r="O880" s="16" t="s">
        <v>1506</v>
      </c>
      <c r="P880" s="16" t="str">
        <f>HYPERLINK("https://ceds.ed.gov/cedselementdetails.aspx?termid=27561")</f>
        <v>https://ceds.ed.gov/cedselementdetails.aspx?termid=27561</v>
      </c>
      <c r="Q880" s="16">
        <v>74037</v>
      </c>
    </row>
    <row r="881" spans="1:17" ht="72" x14ac:dyDescent="0.3">
      <c r="A881" s="16" t="s">
        <v>7596</v>
      </c>
      <c r="B881" s="16" t="s">
        <v>7664</v>
      </c>
      <c r="C881" s="16" t="s">
        <v>7617</v>
      </c>
      <c r="D881" s="16" t="s">
        <v>7597</v>
      </c>
      <c r="E881" s="16" t="s">
        <v>8974</v>
      </c>
      <c r="F881" s="16" t="s">
        <v>8975</v>
      </c>
      <c r="G881" s="16" t="s">
        <v>32</v>
      </c>
      <c r="H881" s="16"/>
      <c r="I881" s="16"/>
      <c r="J881" s="16" t="s">
        <v>120</v>
      </c>
      <c r="K881" s="16"/>
      <c r="L881" s="16" t="s">
        <v>8976</v>
      </c>
      <c r="M881" s="19" t="s">
        <v>8977</v>
      </c>
      <c r="N881" s="16"/>
      <c r="O881" s="16" t="s">
        <v>8978</v>
      </c>
      <c r="P881" s="16" t="str">
        <f>HYPERLINK("https://ceds.ed.gov/cedselementdetails.aspx?termid=28020")</f>
        <v>https://ceds.ed.gov/cedselementdetails.aspx?termid=28020</v>
      </c>
      <c r="Q881" s="16">
        <v>76051</v>
      </c>
    </row>
    <row r="882" spans="1:17" ht="187.2" x14ac:dyDescent="0.3">
      <c r="A882" s="16" t="s">
        <v>7596</v>
      </c>
      <c r="B882" s="16" t="s">
        <v>7664</v>
      </c>
      <c r="C882" s="16" t="s">
        <v>7599</v>
      </c>
      <c r="D882" s="16" t="s">
        <v>7597</v>
      </c>
      <c r="E882" s="16" t="s">
        <v>172</v>
      </c>
      <c r="F882" s="16" t="s">
        <v>173</v>
      </c>
      <c r="G882" s="16" t="s">
        <v>32</v>
      </c>
      <c r="H882" s="16" t="s">
        <v>163</v>
      </c>
      <c r="I882" s="16"/>
      <c r="J882" s="16" t="s">
        <v>174</v>
      </c>
      <c r="K882" s="16"/>
      <c r="L882" s="16"/>
      <c r="M882" s="19" t="s">
        <v>175</v>
      </c>
      <c r="N882" s="16"/>
      <c r="O882" s="16" t="s">
        <v>176</v>
      </c>
      <c r="P882" s="16" t="str">
        <f>HYPERLINK("https://ceds.ed.gov/cedselementdetails.aspx?termid=26214")</f>
        <v>https://ceds.ed.gov/cedselementdetails.aspx?termid=26214</v>
      </c>
      <c r="Q882" s="16">
        <v>75721</v>
      </c>
    </row>
    <row r="883" spans="1:17" ht="158.4" x14ac:dyDescent="0.3">
      <c r="A883" s="16" t="s">
        <v>7596</v>
      </c>
      <c r="B883" s="16" t="s">
        <v>7664</v>
      </c>
      <c r="C883" s="16"/>
      <c r="D883" s="16" t="s">
        <v>7597</v>
      </c>
      <c r="E883" s="16" t="s">
        <v>3301</v>
      </c>
      <c r="F883" s="16" t="s">
        <v>3302</v>
      </c>
      <c r="G883" s="16" t="s">
        <v>8525</v>
      </c>
      <c r="H883" s="16"/>
      <c r="I883" s="16"/>
      <c r="J883" s="16"/>
      <c r="K883" s="16"/>
      <c r="L883" s="16"/>
      <c r="M883" s="19" t="s">
        <v>3303</v>
      </c>
      <c r="N883" s="16"/>
      <c r="O883" s="16" t="s">
        <v>3304</v>
      </c>
      <c r="P883" s="16" t="str">
        <f>HYPERLINK("https://ceds.ed.gov/cedselementdetails.aspx?termid=27582")</f>
        <v>https://ceds.ed.gov/cedselementdetails.aspx?termid=27582</v>
      </c>
      <c r="Q883" s="16">
        <v>74072</v>
      </c>
    </row>
    <row r="884" spans="1:17" ht="72" x14ac:dyDescent="0.3">
      <c r="A884" s="16" t="s">
        <v>7596</v>
      </c>
      <c r="B884" s="16" t="s">
        <v>7664</v>
      </c>
      <c r="C884" s="16" t="s">
        <v>7617</v>
      </c>
      <c r="D884" s="16" t="s">
        <v>7597</v>
      </c>
      <c r="E884" s="16" t="s">
        <v>8979</v>
      </c>
      <c r="F884" s="16" t="s">
        <v>8980</v>
      </c>
      <c r="G884" s="16" t="s">
        <v>32</v>
      </c>
      <c r="H884" s="16"/>
      <c r="I884" s="16"/>
      <c r="J884" s="16" t="s">
        <v>1481</v>
      </c>
      <c r="K884" s="16"/>
      <c r="L884" s="16" t="s">
        <v>8976</v>
      </c>
      <c r="M884" s="19" t="s">
        <v>8981</v>
      </c>
      <c r="N884" s="16"/>
      <c r="O884" s="16" t="s">
        <v>8982</v>
      </c>
      <c r="P884" s="16" t="str">
        <f>HYPERLINK("https://ceds.ed.gov/cedselementdetails.aspx?termid=28021")</f>
        <v>https://ceds.ed.gov/cedselementdetails.aspx?termid=28021</v>
      </c>
      <c r="Q884" s="16">
        <v>76052</v>
      </c>
    </row>
    <row r="885" spans="1:17" ht="187.2" x14ac:dyDescent="0.3">
      <c r="A885" s="16" t="s">
        <v>7596</v>
      </c>
      <c r="B885" s="16" t="s">
        <v>7664</v>
      </c>
      <c r="C885" s="16" t="s">
        <v>7599</v>
      </c>
      <c r="D885" s="16" t="s">
        <v>7597</v>
      </c>
      <c r="E885" s="16" t="s">
        <v>177</v>
      </c>
      <c r="F885" s="16" t="s">
        <v>178</v>
      </c>
      <c r="G885" s="16" t="s">
        <v>32</v>
      </c>
      <c r="H885" s="16" t="s">
        <v>163</v>
      </c>
      <c r="I885" s="16"/>
      <c r="J885" s="16" t="s">
        <v>179</v>
      </c>
      <c r="K885" s="16"/>
      <c r="L885" s="16"/>
      <c r="M885" s="19" t="s">
        <v>180</v>
      </c>
      <c r="N885" s="16"/>
      <c r="O885" s="16" t="s">
        <v>181</v>
      </c>
      <c r="P885" s="16" t="str">
        <f>HYPERLINK("https://ceds.ed.gov/cedselementdetails.aspx?termid=26269")</f>
        <v>https://ceds.ed.gov/cedselementdetails.aspx?termid=26269</v>
      </c>
      <c r="Q885" s="16">
        <v>75722</v>
      </c>
    </row>
    <row r="886" spans="1:17" ht="288" x14ac:dyDescent="0.3">
      <c r="A886" s="16" t="s">
        <v>7596</v>
      </c>
      <c r="B886" s="16" t="s">
        <v>7664</v>
      </c>
      <c r="C886" s="16"/>
      <c r="D886" s="16" t="s">
        <v>7597</v>
      </c>
      <c r="E886" s="16" t="s">
        <v>3377</v>
      </c>
      <c r="F886" s="16" t="s">
        <v>7958</v>
      </c>
      <c r="G886" s="16" t="s">
        <v>8536</v>
      </c>
      <c r="H886" s="16"/>
      <c r="I886" s="16"/>
      <c r="J886" s="16"/>
      <c r="K886" s="16"/>
      <c r="L886" s="16"/>
      <c r="M886" s="19" t="s">
        <v>3378</v>
      </c>
      <c r="N886" s="16"/>
      <c r="O886" s="16" t="s">
        <v>3379</v>
      </c>
      <c r="P886" s="16" t="str">
        <f>HYPERLINK("https://ceds.ed.gov/cedselementdetails.aspx?termid=27584")</f>
        <v>https://ceds.ed.gov/cedselementdetails.aspx?termid=27584</v>
      </c>
      <c r="Q886" s="16">
        <v>74074</v>
      </c>
    </row>
    <row r="887" spans="1:17" ht="57.6" x14ac:dyDescent="0.3">
      <c r="A887" s="16" t="s">
        <v>7596</v>
      </c>
      <c r="B887" s="16" t="s">
        <v>7664</v>
      </c>
      <c r="C887" s="16" t="s">
        <v>7617</v>
      </c>
      <c r="D887" s="16" t="s">
        <v>7597</v>
      </c>
      <c r="E887" s="16" t="s">
        <v>12783</v>
      </c>
      <c r="F887" s="16" t="s">
        <v>12784</v>
      </c>
      <c r="G887" s="16" t="s">
        <v>32</v>
      </c>
      <c r="H887" s="16"/>
      <c r="I887" s="16" t="s">
        <v>155</v>
      </c>
      <c r="J887" s="16" t="s">
        <v>136</v>
      </c>
      <c r="K887" s="16" t="s">
        <v>12636</v>
      </c>
      <c r="L887" s="16"/>
      <c r="M887" s="19" t="s">
        <v>12785</v>
      </c>
      <c r="N887" s="16"/>
      <c r="O887" s="16" t="s">
        <v>12786</v>
      </c>
      <c r="P887" s="16" t="str">
        <f>HYPERLINK("https://ceds.ed.gov/cedselementdetails.aspx?termid=28118")</f>
        <v>https://ceds.ed.gov/cedselementdetails.aspx?termid=28118</v>
      </c>
      <c r="Q887" s="16">
        <v>76630</v>
      </c>
    </row>
    <row r="888" spans="1:17" ht="43.2" x14ac:dyDescent="0.3">
      <c r="A888" s="16" t="s">
        <v>7596</v>
      </c>
      <c r="B888" s="16" t="s">
        <v>7664</v>
      </c>
      <c r="C888" s="16" t="s">
        <v>7617</v>
      </c>
      <c r="D888" s="16" t="s">
        <v>7597</v>
      </c>
      <c r="E888" s="16" t="s">
        <v>12787</v>
      </c>
      <c r="F888" s="16" t="s">
        <v>12788</v>
      </c>
      <c r="G888" s="16" t="s">
        <v>32</v>
      </c>
      <c r="H888" s="16"/>
      <c r="I888" s="16" t="s">
        <v>155</v>
      </c>
      <c r="J888" s="16" t="s">
        <v>9103</v>
      </c>
      <c r="K888" s="16" t="s">
        <v>12636</v>
      </c>
      <c r="L888" s="16"/>
      <c r="M888" s="19" t="s">
        <v>12789</v>
      </c>
      <c r="N888" s="16"/>
      <c r="O888" s="16" t="s">
        <v>12790</v>
      </c>
      <c r="P888" s="16" t="str">
        <f>HYPERLINK("https://ceds.ed.gov/cedselementdetails.aspx?termid=28117")</f>
        <v>https://ceds.ed.gov/cedselementdetails.aspx?termid=28117</v>
      </c>
      <c r="Q888" s="16">
        <v>76623</v>
      </c>
    </row>
    <row r="889" spans="1:17" ht="43.2" x14ac:dyDescent="0.3">
      <c r="A889" s="16" t="s">
        <v>7596</v>
      </c>
      <c r="B889" s="16" t="s">
        <v>7664</v>
      </c>
      <c r="C889" s="16" t="s">
        <v>7617</v>
      </c>
      <c r="D889" s="16" t="s">
        <v>7597</v>
      </c>
      <c r="E889" s="16" t="s">
        <v>12791</v>
      </c>
      <c r="F889" s="16" t="s">
        <v>12792</v>
      </c>
      <c r="G889" s="16" t="s">
        <v>32</v>
      </c>
      <c r="H889" s="16"/>
      <c r="I889" s="16" t="s">
        <v>155</v>
      </c>
      <c r="J889" s="16" t="s">
        <v>106</v>
      </c>
      <c r="K889" s="16" t="s">
        <v>12636</v>
      </c>
      <c r="L889" s="16"/>
      <c r="M889" s="19" t="s">
        <v>12793</v>
      </c>
      <c r="N889" s="16"/>
      <c r="O889" s="16" t="s">
        <v>12794</v>
      </c>
      <c r="P889" s="16" t="str">
        <f>HYPERLINK("https://ceds.ed.gov/cedselementdetails.aspx?termid=28116")</f>
        <v>https://ceds.ed.gov/cedselementdetails.aspx?termid=28116</v>
      </c>
      <c r="Q889" s="16">
        <v>76616</v>
      </c>
    </row>
    <row r="890" spans="1:17" ht="43.2" x14ac:dyDescent="0.3">
      <c r="A890" s="16" t="s">
        <v>7596</v>
      </c>
      <c r="B890" s="16" t="s">
        <v>7664</v>
      </c>
      <c r="C890" s="16" t="s">
        <v>7617</v>
      </c>
      <c r="D890" s="16" t="s">
        <v>7597</v>
      </c>
      <c r="E890" s="16" t="s">
        <v>12795</v>
      </c>
      <c r="F890" s="16" t="s">
        <v>12796</v>
      </c>
      <c r="G890" s="16" t="s">
        <v>12891</v>
      </c>
      <c r="H890" s="16"/>
      <c r="I890" s="16" t="s">
        <v>155</v>
      </c>
      <c r="J890" s="16" t="s">
        <v>2</v>
      </c>
      <c r="K890" s="16" t="s">
        <v>12636</v>
      </c>
      <c r="L890" s="16"/>
      <c r="M890" s="19" t="s">
        <v>12797</v>
      </c>
      <c r="N890" s="16"/>
      <c r="O890" s="16" t="s">
        <v>12798</v>
      </c>
      <c r="P890" s="16" t="str">
        <f>HYPERLINK("https://ceds.ed.gov/cedselementdetails.aspx?termid=28114")</f>
        <v>https://ceds.ed.gov/cedselementdetails.aspx?termid=28114</v>
      </c>
      <c r="Q890" s="16">
        <v>76602</v>
      </c>
    </row>
    <row r="891" spans="1:17" ht="43.2" x14ac:dyDescent="0.3">
      <c r="A891" s="16" t="s">
        <v>7596</v>
      </c>
      <c r="B891" s="16" t="s">
        <v>7664</v>
      </c>
      <c r="C891" s="16" t="s">
        <v>7617</v>
      </c>
      <c r="D891" s="16" t="s">
        <v>7597</v>
      </c>
      <c r="E891" s="16" t="s">
        <v>12799</v>
      </c>
      <c r="F891" s="16" t="s">
        <v>12800</v>
      </c>
      <c r="G891" s="16" t="s">
        <v>32</v>
      </c>
      <c r="H891" s="16"/>
      <c r="I891" s="16" t="s">
        <v>155</v>
      </c>
      <c r="J891" s="16" t="s">
        <v>106</v>
      </c>
      <c r="K891" s="16" t="s">
        <v>12636</v>
      </c>
      <c r="L891" s="16"/>
      <c r="M891" s="19" t="s">
        <v>12801</v>
      </c>
      <c r="N891" s="16"/>
      <c r="O891" s="16" t="s">
        <v>12802</v>
      </c>
      <c r="P891" s="16" t="str">
        <f>HYPERLINK("https://ceds.ed.gov/cedselementdetails.aspx?termid=28115")</f>
        <v>https://ceds.ed.gov/cedselementdetails.aspx?termid=28115</v>
      </c>
      <c r="Q891" s="16">
        <v>76609</v>
      </c>
    </row>
    <row r="892" spans="1:17" ht="100.8" x14ac:dyDescent="0.3">
      <c r="A892" s="16" t="s">
        <v>7596</v>
      </c>
      <c r="B892" s="16" t="s">
        <v>7664</v>
      </c>
      <c r="C892" s="16" t="s">
        <v>7617</v>
      </c>
      <c r="D892" s="16" t="s">
        <v>7597</v>
      </c>
      <c r="E892" s="16" t="s">
        <v>12803</v>
      </c>
      <c r="F892" s="16" t="s">
        <v>12804</v>
      </c>
      <c r="G892" s="16" t="s">
        <v>12911</v>
      </c>
      <c r="H892" s="16"/>
      <c r="I892" s="16" t="s">
        <v>155</v>
      </c>
      <c r="J892" s="16" t="s">
        <v>2</v>
      </c>
      <c r="K892" s="16" t="s">
        <v>12636</v>
      </c>
      <c r="L892" s="16"/>
      <c r="M892" s="19" t="s">
        <v>12805</v>
      </c>
      <c r="N892" s="16"/>
      <c r="O892" s="16" t="s">
        <v>12806</v>
      </c>
      <c r="P892" s="16" t="str">
        <f>HYPERLINK("https://ceds.ed.gov/cedselementdetails.aspx?termid=28120")</f>
        <v>https://ceds.ed.gov/cedselementdetails.aspx?termid=28120</v>
      </c>
      <c r="Q892" s="16">
        <v>76644</v>
      </c>
    </row>
    <row r="893" spans="1:17" ht="72" x14ac:dyDescent="0.3">
      <c r="A893" s="16" t="s">
        <v>7596</v>
      </c>
      <c r="B893" s="16" t="s">
        <v>7664</v>
      </c>
      <c r="C893" s="16" t="s">
        <v>7617</v>
      </c>
      <c r="D893" s="16" t="s">
        <v>7597</v>
      </c>
      <c r="E893" s="16" t="s">
        <v>12807</v>
      </c>
      <c r="F893" s="16" t="s">
        <v>12808</v>
      </c>
      <c r="G893" s="16" t="s">
        <v>12912</v>
      </c>
      <c r="H893" s="16"/>
      <c r="I893" s="16" t="s">
        <v>155</v>
      </c>
      <c r="J893" s="16" t="s">
        <v>2</v>
      </c>
      <c r="K893" s="16" t="s">
        <v>12636</v>
      </c>
      <c r="L893" s="16"/>
      <c r="M893" s="19" t="s">
        <v>12809</v>
      </c>
      <c r="N893" s="16"/>
      <c r="O893" s="16" t="s">
        <v>12810</v>
      </c>
      <c r="P893" s="16" t="str">
        <f>HYPERLINK("https://ceds.ed.gov/cedselementdetails.aspx?termid=28119")</f>
        <v>https://ceds.ed.gov/cedselementdetails.aspx?termid=28119</v>
      </c>
      <c r="Q893" s="16">
        <v>76637</v>
      </c>
    </row>
    <row r="894" spans="1:17" ht="72" x14ac:dyDescent="0.3">
      <c r="A894" s="16" t="s">
        <v>7596</v>
      </c>
      <c r="B894" s="16" t="s">
        <v>7664</v>
      </c>
      <c r="C894" s="16" t="s">
        <v>7599</v>
      </c>
      <c r="D894" s="16" t="s">
        <v>7597</v>
      </c>
      <c r="E894" s="16" t="s">
        <v>187</v>
      </c>
      <c r="F894" s="16" t="s">
        <v>188</v>
      </c>
      <c r="G894" s="16" t="s">
        <v>8205</v>
      </c>
      <c r="H894" s="16" t="s">
        <v>64</v>
      </c>
      <c r="I894" s="16"/>
      <c r="J894" s="16" t="s">
        <v>81</v>
      </c>
      <c r="K894" s="16"/>
      <c r="L894" s="16"/>
      <c r="M894" s="19" t="s">
        <v>189</v>
      </c>
      <c r="N894" s="16"/>
      <c r="O894" s="16" t="s">
        <v>190</v>
      </c>
      <c r="P894" s="16" t="str">
        <f>HYPERLINK("https://ceds.ed.gov/cedselementdetails.aspx?termid=26644")</f>
        <v>https://ceds.ed.gov/cedselementdetails.aspx?termid=26644</v>
      </c>
      <c r="Q894" s="16">
        <v>75723</v>
      </c>
    </row>
    <row r="895" spans="1:17" ht="115.2" x14ac:dyDescent="0.3">
      <c r="A895" s="16" t="s">
        <v>7596</v>
      </c>
      <c r="B895" s="16" t="s">
        <v>7664</v>
      </c>
      <c r="C895" s="16"/>
      <c r="D895" s="16" t="s">
        <v>7597</v>
      </c>
      <c r="E895" s="16" t="s">
        <v>3860</v>
      </c>
      <c r="F895" s="16" t="s">
        <v>3861</v>
      </c>
      <c r="G895" s="16" t="s">
        <v>32</v>
      </c>
      <c r="H895" s="16" t="s">
        <v>214</v>
      </c>
      <c r="I895" s="16"/>
      <c r="J895" s="16" t="s">
        <v>1481</v>
      </c>
      <c r="K895" s="16"/>
      <c r="L895" s="16"/>
      <c r="M895" s="19" t="s">
        <v>3863</v>
      </c>
      <c r="N895" s="16"/>
      <c r="O895" s="16" t="s">
        <v>3864</v>
      </c>
      <c r="P895" s="16" t="str">
        <f>HYPERLINK("https://ceds.ed.gov/cedselementdetails.aspx?termid=26540")</f>
        <v>https://ceds.ed.gov/cedselementdetails.aspx?termid=26540</v>
      </c>
      <c r="Q895" s="16">
        <v>73162</v>
      </c>
    </row>
    <row r="896" spans="1:17" ht="43.2" x14ac:dyDescent="0.3">
      <c r="A896" s="16" t="s">
        <v>7596</v>
      </c>
      <c r="B896" s="16" t="s">
        <v>7664</v>
      </c>
      <c r="C896" s="16" t="s">
        <v>7599</v>
      </c>
      <c r="D896" s="16" t="s">
        <v>7597</v>
      </c>
      <c r="E896" s="16" t="s">
        <v>1761</v>
      </c>
      <c r="F896" s="16" t="s">
        <v>1762</v>
      </c>
      <c r="G896" s="16" t="s">
        <v>32</v>
      </c>
      <c r="H896" s="16"/>
      <c r="I896" s="16"/>
      <c r="J896" s="16" t="s">
        <v>145</v>
      </c>
      <c r="K896" s="16"/>
      <c r="L896" s="16"/>
      <c r="M896" s="19" t="s">
        <v>1763</v>
      </c>
      <c r="N896" s="16"/>
      <c r="O896" s="16" t="s">
        <v>1764</v>
      </c>
      <c r="P896" s="16" t="str">
        <f>HYPERLINK("https://ceds.ed.gov/cedselementdetails.aspx?termid=26595")</f>
        <v>https://ceds.ed.gov/cedselementdetails.aspx?termid=26595</v>
      </c>
      <c r="Q896" s="16">
        <v>75724</v>
      </c>
    </row>
    <row r="897" spans="1:17" ht="409.6" x14ac:dyDescent="0.3">
      <c r="A897" s="16" t="s">
        <v>7596</v>
      </c>
      <c r="B897" s="16" t="s">
        <v>7664</v>
      </c>
      <c r="C897" s="16"/>
      <c r="D897" s="16" t="s">
        <v>7597</v>
      </c>
      <c r="E897" s="16" t="s">
        <v>8011</v>
      </c>
      <c r="F897" s="16" t="s">
        <v>8012</v>
      </c>
      <c r="G897" s="16" t="s">
        <v>8227</v>
      </c>
      <c r="H897" s="16"/>
      <c r="I897" s="16"/>
      <c r="J897" s="16"/>
      <c r="K897" s="16"/>
      <c r="L897" s="16" t="s">
        <v>8013</v>
      </c>
      <c r="M897" s="19" t="s">
        <v>3887</v>
      </c>
      <c r="N897" s="16"/>
      <c r="O897" s="16" t="s">
        <v>8014</v>
      </c>
      <c r="P897" s="16" t="str">
        <f>HYPERLINK("https://ceds.ed.gov/cedselementdetails.aspx?termid=27440")</f>
        <v>https://ceds.ed.gov/cedselementdetails.aspx?termid=27440</v>
      </c>
      <c r="Q897" s="16">
        <v>74124</v>
      </c>
    </row>
    <row r="898" spans="1:17" ht="57.6" x14ac:dyDescent="0.3">
      <c r="A898" s="16" t="s">
        <v>7596</v>
      </c>
      <c r="B898" s="16" t="s">
        <v>7664</v>
      </c>
      <c r="C898" s="16" t="s">
        <v>7599</v>
      </c>
      <c r="D898" s="16" t="s">
        <v>7597</v>
      </c>
      <c r="E898" s="16" t="s">
        <v>3175</v>
      </c>
      <c r="F898" s="16" t="s">
        <v>3176</v>
      </c>
      <c r="G898" s="16" t="s">
        <v>2987</v>
      </c>
      <c r="H898" s="16"/>
      <c r="I898" s="16"/>
      <c r="J898" s="16"/>
      <c r="K898" s="16"/>
      <c r="L898" s="16"/>
      <c r="M898" s="19" t="s">
        <v>3177</v>
      </c>
      <c r="N898" s="16"/>
      <c r="O898" s="16" t="s">
        <v>3178</v>
      </c>
      <c r="P898" s="16" t="str">
        <f>HYPERLINK("https://ceds.ed.gov/cedselementdetails.aspx?termid=27905")</f>
        <v>https://ceds.ed.gov/cedselementdetails.aspx?termid=27905</v>
      </c>
      <c r="Q898" s="16">
        <v>75725</v>
      </c>
    </row>
    <row r="899" spans="1:17" ht="86.4" x14ac:dyDescent="0.3">
      <c r="A899" s="16" t="s">
        <v>7596</v>
      </c>
      <c r="B899" s="16" t="s">
        <v>7664</v>
      </c>
      <c r="C899" s="16"/>
      <c r="D899" s="16" t="s">
        <v>7597</v>
      </c>
      <c r="E899" s="16" t="s">
        <v>6311</v>
      </c>
      <c r="F899" s="16" t="s">
        <v>6312</v>
      </c>
      <c r="G899" s="16" t="s">
        <v>8820</v>
      </c>
      <c r="H899" s="16"/>
      <c r="I899" s="16"/>
      <c r="J899" s="16"/>
      <c r="K899" s="16"/>
      <c r="L899" s="16"/>
      <c r="M899" s="19" t="s">
        <v>6313</v>
      </c>
      <c r="N899" s="16"/>
      <c r="O899" s="16" t="s">
        <v>6314</v>
      </c>
      <c r="P899" s="16" t="str">
        <f>HYPERLINK("https://ceds.ed.gov/cedselementdetails.aspx?termid=27601")</f>
        <v>https://ceds.ed.gov/cedselementdetails.aspx?termid=27601</v>
      </c>
      <c r="Q899" s="16">
        <v>74100</v>
      </c>
    </row>
    <row r="900" spans="1:17" ht="187.2" x14ac:dyDescent="0.3">
      <c r="A900" s="16" t="s">
        <v>7596</v>
      </c>
      <c r="B900" s="16" t="s">
        <v>7664</v>
      </c>
      <c r="C900" s="16" t="s">
        <v>7599</v>
      </c>
      <c r="D900" s="16" t="s">
        <v>7597</v>
      </c>
      <c r="E900" s="16" t="s">
        <v>164</v>
      </c>
      <c r="F900" s="16" t="s">
        <v>165</v>
      </c>
      <c r="G900" s="16" t="s">
        <v>32</v>
      </c>
      <c r="H900" s="16" t="s">
        <v>163</v>
      </c>
      <c r="I900" s="16"/>
      <c r="J900" s="16" t="s">
        <v>81</v>
      </c>
      <c r="K900" s="16"/>
      <c r="L900" s="16"/>
      <c r="M900" s="19" t="s">
        <v>166</v>
      </c>
      <c r="N900" s="16"/>
      <c r="O900" s="16" t="s">
        <v>167</v>
      </c>
      <c r="P900" s="16" t="str">
        <f>HYPERLINK("https://ceds.ed.gov/cedselementdetails.aspx?termid=26040")</f>
        <v>https://ceds.ed.gov/cedselementdetails.aspx?termid=26040</v>
      </c>
      <c r="Q900" s="16">
        <v>75726</v>
      </c>
    </row>
    <row r="901" spans="1:17" ht="144" x14ac:dyDescent="0.3">
      <c r="A901" s="16" t="s">
        <v>7596</v>
      </c>
      <c r="B901" s="16" t="s">
        <v>7664</v>
      </c>
      <c r="C901" s="16"/>
      <c r="D901" s="16" t="s">
        <v>7597</v>
      </c>
      <c r="E901" s="16" t="s">
        <v>1522</v>
      </c>
      <c r="F901" s="16" t="s">
        <v>1523</v>
      </c>
      <c r="G901" s="16" t="s">
        <v>8212</v>
      </c>
      <c r="H901" s="16"/>
      <c r="I901" s="16"/>
      <c r="J901" s="16"/>
      <c r="K901" s="16"/>
      <c r="L901" s="16" t="s">
        <v>1524</v>
      </c>
      <c r="M901" s="19" t="s">
        <v>1525</v>
      </c>
      <c r="N901" s="16"/>
      <c r="O901" s="16" t="s">
        <v>1526</v>
      </c>
      <c r="P901" s="16" t="str">
        <f>HYPERLINK("https://ceds.ed.gov/cedselementdetails.aspx?termid=27253")</f>
        <v>https://ceds.ed.gov/cedselementdetails.aspx?termid=27253</v>
      </c>
      <c r="Q901" s="16">
        <v>75704</v>
      </c>
    </row>
    <row r="902" spans="1:17" ht="187.2" x14ac:dyDescent="0.3">
      <c r="A902" s="16" t="s">
        <v>7596</v>
      </c>
      <c r="B902" s="16" t="s">
        <v>7664</v>
      </c>
      <c r="C902" s="16" t="s">
        <v>7599</v>
      </c>
      <c r="D902" s="16" t="s">
        <v>7597</v>
      </c>
      <c r="E902" s="16" t="s">
        <v>168</v>
      </c>
      <c r="F902" s="16" t="s">
        <v>169</v>
      </c>
      <c r="G902" s="16" t="s">
        <v>32</v>
      </c>
      <c r="H902" s="16" t="s">
        <v>163</v>
      </c>
      <c r="I902" s="16"/>
      <c r="J902" s="16" t="s">
        <v>81</v>
      </c>
      <c r="K902" s="16"/>
      <c r="L902" s="16"/>
      <c r="M902" s="19" t="s">
        <v>170</v>
      </c>
      <c r="N902" s="16"/>
      <c r="O902" s="16" t="s">
        <v>171</v>
      </c>
      <c r="P902" s="16" t="str">
        <f>HYPERLINK("https://ceds.ed.gov/cedselementdetails.aspx?termid=26190")</f>
        <v>https://ceds.ed.gov/cedselementdetails.aspx?termid=26190</v>
      </c>
      <c r="Q902" s="16">
        <v>75727</v>
      </c>
    </row>
    <row r="903" spans="1:17" ht="302.39999999999998" x14ac:dyDescent="0.3">
      <c r="A903" s="16" t="s">
        <v>7596</v>
      </c>
      <c r="B903" s="16" t="s">
        <v>7664</v>
      </c>
      <c r="C903" s="16"/>
      <c r="D903" s="16" t="s">
        <v>7597</v>
      </c>
      <c r="E903" s="16" t="s">
        <v>2610</v>
      </c>
      <c r="F903" s="16" t="s">
        <v>2611</v>
      </c>
      <c r="G903" s="16" t="s">
        <v>8218</v>
      </c>
      <c r="H903" s="16"/>
      <c r="I903" s="16"/>
      <c r="J903" s="16"/>
      <c r="K903" s="16"/>
      <c r="L903" s="16"/>
      <c r="M903" s="19" t="s">
        <v>2612</v>
      </c>
      <c r="N903" s="16"/>
      <c r="O903" s="16" t="s">
        <v>2613</v>
      </c>
      <c r="P903" s="16" t="str">
        <f>HYPERLINK("https://ceds.ed.gov/cedselementdetails.aspx?termid=27278")</f>
        <v>https://ceds.ed.gov/cedselementdetails.aspx?termid=27278</v>
      </c>
      <c r="Q903" s="16">
        <v>75705</v>
      </c>
    </row>
    <row r="904" spans="1:17" ht="86.4" x14ac:dyDescent="0.3">
      <c r="A904" s="16" t="s">
        <v>7596</v>
      </c>
      <c r="B904" s="16" t="s">
        <v>7664</v>
      </c>
      <c r="C904" s="16"/>
      <c r="D904" s="16" t="s">
        <v>7597</v>
      </c>
      <c r="E904" s="16" t="s">
        <v>3874</v>
      </c>
      <c r="F904" s="16" t="s">
        <v>3875</v>
      </c>
      <c r="G904" s="16" t="s">
        <v>8224</v>
      </c>
      <c r="H904" s="16"/>
      <c r="I904" s="16"/>
      <c r="J904" s="16"/>
      <c r="K904" s="16"/>
      <c r="L904" s="16"/>
      <c r="M904" s="19" t="s">
        <v>3876</v>
      </c>
      <c r="N904" s="16"/>
      <c r="O904" s="16" t="s">
        <v>3877</v>
      </c>
      <c r="P904" s="16" t="str">
        <f>HYPERLINK("https://ceds.ed.gov/cedselementdetails.aspx?termid=27312")</f>
        <v>https://ceds.ed.gov/cedselementdetails.aspx?termid=27312</v>
      </c>
      <c r="Q904" s="16">
        <v>75706</v>
      </c>
    </row>
    <row r="905" spans="1:17" ht="409.6" x14ac:dyDescent="0.3">
      <c r="A905" s="16" t="s">
        <v>7596</v>
      </c>
      <c r="B905" s="16" t="s">
        <v>7664</v>
      </c>
      <c r="C905" s="16" t="s">
        <v>7599</v>
      </c>
      <c r="D905" s="16" t="s">
        <v>7597</v>
      </c>
      <c r="E905" s="16" t="s">
        <v>6840</v>
      </c>
      <c r="F905" s="16" t="s">
        <v>6841</v>
      </c>
      <c r="G905" s="16" t="s">
        <v>8266</v>
      </c>
      <c r="H905" s="16" t="s">
        <v>6844</v>
      </c>
      <c r="I905" s="16"/>
      <c r="J905" s="16"/>
      <c r="K905" s="16"/>
      <c r="L905" s="16"/>
      <c r="M905" s="19" t="s">
        <v>6842</v>
      </c>
      <c r="N905" s="16"/>
      <c r="O905" s="16" t="s">
        <v>6843</v>
      </c>
      <c r="P905" s="16" t="str">
        <f>HYPERLINK("https://ceds.ed.gov/cedselementdetails.aspx?termid=26267")</f>
        <v>https://ceds.ed.gov/cedselementdetails.aspx?termid=26267</v>
      </c>
      <c r="Q905" s="16">
        <v>75728</v>
      </c>
    </row>
    <row r="906" spans="1:17" ht="28.8" x14ac:dyDescent="0.3">
      <c r="A906" s="16" t="s">
        <v>7596</v>
      </c>
      <c r="B906" s="16" t="s">
        <v>7664</v>
      </c>
      <c r="C906" s="16"/>
      <c r="D906" s="16" t="s">
        <v>7597</v>
      </c>
      <c r="E906" s="16" t="s">
        <v>3878</v>
      </c>
      <c r="F906" s="16" t="s">
        <v>7987</v>
      </c>
      <c r="G906" s="16" t="s">
        <v>32</v>
      </c>
      <c r="H906" s="16"/>
      <c r="I906" s="16"/>
      <c r="J906" s="16" t="s">
        <v>101</v>
      </c>
      <c r="K906" s="16"/>
      <c r="L906" s="16"/>
      <c r="M906" s="19" t="s">
        <v>3879</v>
      </c>
      <c r="N906" s="16"/>
      <c r="O906" s="16" t="s">
        <v>3880</v>
      </c>
      <c r="P906" s="16" t="str">
        <f>HYPERLINK("https://ceds.ed.gov/cedselementdetails.aspx?termid=27313")</f>
        <v>https://ceds.ed.gov/cedselementdetails.aspx?termid=27313</v>
      </c>
      <c r="Q906" s="16">
        <v>75707</v>
      </c>
    </row>
    <row r="907" spans="1:17" ht="43.2" x14ac:dyDescent="0.3">
      <c r="A907" s="16" t="s">
        <v>7596</v>
      </c>
      <c r="B907" s="16" t="s">
        <v>7664</v>
      </c>
      <c r="C907" s="16"/>
      <c r="D907" s="16" t="s">
        <v>7597</v>
      </c>
      <c r="E907" s="16" t="s">
        <v>3904</v>
      </c>
      <c r="F907" s="16" t="s">
        <v>3905</v>
      </c>
      <c r="G907" s="16" t="s">
        <v>32</v>
      </c>
      <c r="H907" s="16"/>
      <c r="I907" s="16"/>
      <c r="J907" s="16" t="s">
        <v>1481</v>
      </c>
      <c r="K907" s="16"/>
      <c r="L907" s="16"/>
      <c r="M907" s="19" t="s">
        <v>3906</v>
      </c>
      <c r="N907" s="16"/>
      <c r="O907" s="16" t="s">
        <v>3907</v>
      </c>
      <c r="P907" s="16" t="str">
        <f>HYPERLINK("https://ceds.ed.gov/cedselementdetails.aspx?termid=27317")</f>
        <v>https://ceds.ed.gov/cedselementdetails.aspx?termid=27317</v>
      </c>
      <c r="Q907" s="16">
        <v>75708</v>
      </c>
    </row>
    <row r="908" spans="1:17" ht="43.2" x14ac:dyDescent="0.3">
      <c r="A908" s="16" t="s">
        <v>7596</v>
      </c>
      <c r="B908" s="16" t="s">
        <v>7664</v>
      </c>
      <c r="C908" s="16"/>
      <c r="D908" s="16" t="s">
        <v>7597</v>
      </c>
      <c r="E908" s="16" t="s">
        <v>3908</v>
      </c>
      <c r="F908" s="16" t="s">
        <v>3909</v>
      </c>
      <c r="G908" s="16" t="s">
        <v>32</v>
      </c>
      <c r="H908" s="16"/>
      <c r="I908" s="16"/>
      <c r="J908" s="16" t="s">
        <v>1481</v>
      </c>
      <c r="K908" s="16"/>
      <c r="L908" s="16"/>
      <c r="M908" s="19" t="s">
        <v>3910</v>
      </c>
      <c r="N908" s="16"/>
      <c r="O908" s="16" t="s">
        <v>3911</v>
      </c>
      <c r="P908" s="16" t="str">
        <f>HYPERLINK("https://ceds.ed.gov/cedselementdetails.aspx?termid=27318")</f>
        <v>https://ceds.ed.gov/cedselementdetails.aspx?termid=27318</v>
      </c>
      <c r="Q908" s="16">
        <v>75709</v>
      </c>
    </row>
    <row r="909" spans="1:17" ht="57.6" x14ac:dyDescent="0.3">
      <c r="A909" s="16" t="s">
        <v>7596</v>
      </c>
      <c r="B909" s="16" t="s">
        <v>7664</v>
      </c>
      <c r="C909" s="16"/>
      <c r="D909" s="16" t="s">
        <v>7597</v>
      </c>
      <c r="E909" s="16" t="s">
        <v>3912</v>
      </c>
      <c r="F909" s="16" t="s">
        <v>3913</v>
      </c>
      <c r="G909" s="16" t="s">
        <v>32</v>
      </c>
      <c r="H909" s="16"/>
      <c r="I909" s="16"/>
      <c r="J909" s="16" t="s">
        <v>1481</v>
      </c>
      <c r="K909" s="16"/>
      <c r="L909" s="16" t="s">
        <v>3914</v>
      </c>
      <c r="M909" s="19" t="s">
        <v>3915</v>
      </c>
      <c r="N909" s="16"/>
      <c r="O909" s="16" t="s">
        <v>3916</v>
      </c>
      <c r="P909" s="16" t="str">
        <f>HYPERLINK("https://ceds.ed.gov/cedselementdetails.aspx?termid=27625")</f>
        <v>https://ceds.ed.gov/cedselementdetails.aspx?termid=27625</v>
      </c>
      <c r="Q909" s="16">
        <v>75710</v>
      </c>
    </row>
    <row r="910" spans="1:17" ht="43.2" x14ac:dyDescent="0.3">
      <c r="A910" s="16" t="s">
        <v>7596</v>
      </c>
      <c r="B910" s="16" t="s">
        <v>7664</v>
      </c>
      <c r="C910" s="16"/>
      <c r="D910" s="16" t="s">
        <v>7597</v>
      </c>
      <c r="E910" s="16" t="s">
        <v>4006</v>
      </c>
      <c r="F910" s="16" t="s">
        <v>8049</v>
      </c>
      <c r="G910" s="16" t="s">
        <v>32</v>
      </c>
      <c r="H910" s="16"/>
      <c r="I910" s="16"/>
      <c r="J910" s="16" t="s">
        <v>1807</v>
      </c>
      <c r="K910" s="16"/>
      <c r="L910" s="16"/>
      <c r="M910" s="19" t="s">
        <v>4007</v>
      </c>
      <c r="N910" s="16"/>
      <c r="O910" s="16" t="s">
        <v>4008</v>
      </c>
      <c r="P910" s="16" t="str">
        <f>HYPERLINK("https://ceds.ed.gov/cedselementdetails.aspx?termid=27620")</f>
        <v>https://ceds.ed.gov/cedselementdetails.aspx?termid=27620</v>
      </c>
      <c r="Q910" s="16">
        <v>75711</v>
      </c>
    </row>
    <row r="911" spans="1:17" ht="187.2" x14ac:dyDescent="0.3">
      <c r="A911" s="16" t="s">
        <v>7596</v>
      </c>
      <c r="B911" s="16" t="s">
        <v>7664</v>
      </c>
      <c r="C911" s="16"/>
      <c r="D911" s="16" t="s">
        <v>7597</v>
      </c>
      <c r="E911" s="16" t="s">
        <v>5582</v>
      </c>
      <c r="F911" s="16" t="s">
        <v>5583</v>
      </c>
      <c r="G911" s="16" t="s">
        <v>8247</v>
      </c>
      <c r="H911" s="16" t="s">
        <v>98</v>
      </c>
      <c r="I911" s="16"/>
      <c r="J911" s="16"/>
      <c r="K911" s="16"/>
      <c r="L911" s="16"/>
      <c r="M911" s="19" t="s">
        <v>5584</v>
      </c>
      <c r="N911" s="16"/>
      <c r="O911" s="16" t="s">
        <v>5585</v>
      </c>
      <c r="P911" s="16" t="str">
        <f>HYPERLINK("https://ceds.ed.gov/cedselementdetails.aspx?termid=26827")</f>
        <v>https://ceds.ed.gov/cedselementdetails.aspx?termid=26827</v>
      </c>
      <c r="Q911" s="16">
        <v>75712</v>
      </c>
    </row>
    <row r="912" spans="1:17" ht="172.8" x14ac:dyDescent="0.3">
      <c r="A912" s="16" t="s">
        <v>7596</v>
      </c>
      <c r="B912" s="16" t="s">
        <v>7664</v>
      </c>
      <c r="C912" s="16"/>
      <c r="D912" s="16" t="s">
        <v>7597</v>
      </c>
      <c r="E912" s="16" t="s">
        <v>5586</v>
      </c>
      <c r="F912" s="16" t="s">
        <v>5587</v>
      </c>
      <c r="G912" s="16" t="s">
        <v>32</v>
      </c>
      <c r="H912" s="16" t="s">
        <v>98</v>
      </c>
      <c r="I912" s="16"/>
      <c r="J912" s="16" t="s">
        <v>120</v>
      </c>
      <c r="K912" s="16"/>
      <c r="L912" s="16" t="s">
        <v>7817</v>
      </c>
      <c r="M912" s="19" t="s">
        <v>5588</v>
      </c>
      <c r="N912" s="16"/>
      <c r="O912" s="16" t="s">
        <v>5589</v>
      </c>
      <c r="P912" s="16" t="str">
        <f>HYPERLINK("https://ceds.ed.gov/cedselementdetails.aspx?termid=26825")</f>
        <v>https://ceds.ed.gov/cedselementdetails.aspx?termid=26825</v>
      </c>
      <c r="Q912" s="16">
        <v>75713</v>
      </c>
    </row>
    <row r="913" spans="1:17" ht="43.2" x14ac:dyDescent="0.3">
      <c r="A913" s="16" t="s">
        <v>7596</v>
      </c>
      <c r="B913" s="16" t="s">
        <v>7664</v>
      </c>
      <c r="C913" s="16"/>
      <c r="D913" s="16" t="s">
        <v>7597</v>
      </c>
      <c r="E913" s="16" t="s">
        <v>5598</v>
      </c>
      <c r="F913" s="16" t="s">
        <v>5599</v>
      </c>
      <c r="G913" s="16" t="s">
        <v>32</v>
      </c>
      <c r="H913" s="16" t="s">
        <v>195</v>
      </c>
      <c r="I913" s="16"/>
      <c r="J913" s="16" t="s">
        <v>145</v>
      </c>
      <c r="K913" s="16"/>
      <c r="L913" s="16"/>
      <c r="M913" s="19" t="s">
        <v>5600</v>
      </c>
      <c r="N913" s="16"/>
      <c r="O913" s="16" t="s">
        <v>5601</v>
      </c>
      <c r="P913" s="16" t="str">
        <f>HYPERLINK("https://ceds.ed.gov/cedselementdetails.aspx?termid=26204")</f>
        <v>https://ceds.ed.gov/cedselementdetails.aspx?termid=26204</v>
      </c>
      <c r="Q913" s="16">
        <v>75714</v>
      </c>
    </row>
    <row r="914" spans="1:17" ht="43.2" x14ac:dyDescent="0.3">
      <c r="A914" s="16" t="s">
        <v>7596</v>
      </c>
      <c r="B914" s="16" t="s">
        <v>7664</v>
      </c>
      <c r="C914" s="16"/>
      <c r="D914" s="16" t="s">
        <v>7597</v>
      </c>
      <c r="E914" s="16" t="s">
        <v>5602</v>
      </c>
      <c r="F914" s="16" t="s">
        <v>5603</v>
      </c>
      <c r="G914" s="16" t="s">
        <v>8248</v>
      </c>
      <c r="H914" s="16"/>
      <c r="I914" s="16"/>
      <c r="J914" s="16"/>
      <c r="K914" s="16"/>
      <c r="L914" s="16"/>
      <c r="M914" s="19" t="s">
        <v>5604</v>
      </c>
      <c r="N914" s="16"/>
      <c r="O914" s="16" t="s">
        <v>5605</v>
      </c>
      <c r="P914" s="16" t="str">
        <f>HYPERLINK("https://ceds.ed.gov/cedselementdetails.aspx?termid=27387")</f>
        <v>https://ceds.ed.gov/cedselementdetails.aspx?termid=27387</v>
      </c>
      <c r="Q914" s="16">
        <v>75715</v>
      </c>
    </row>
    <row r="915" spans="1:17" ht="172.8" x14ac:dyDescent="0.3">
      <c r="A915" s="16" t="s">
        <v>7596</v>
      </c>
      <c r="B915" s="16" t="s">
        <v>7664</v>
      </c>
      <c r="C915" s="16"/>
      <c r="D915" s="16" t="s">
        <v>7597</v>
      </c>
      <c r="E915" s="16" t="s">
        <v>6074</v>
      </c>
      <c r="F915" s="16" t="s">
        <v>6075</v>
      </c>
      <c r="G915" s="16" t="s">
        <v>32</v>
      </c>
      <c r="H915" s="16" t="s">
        <v>2564</v>
      </c>
      <c r="I915" s="16"/>
      <c r="J915" s="16" t="s">
        <v>120</v>
      </c>
      <c r="K915" s="16"/>
      <c r="L915" s="16" t="s">
        <v>7817</v>
      </c>
      <c r="M915" s="19" t="s">
        <v>6076</v>
      </c>
      <c r="N915" s="16"/>
      <c r="O915" s="16" t="s">
        <v>6077</v>
      </c>
      <c r="P915" s="16" t="str">
        <f>HYPERLINK("https://ceds.ed.gov/cedselementdetails.aspx?termid=26618")</f>
        <v>https://ceds.ed.gov/cedselementdetails.aspx?termid=26618</v>
      </c>
      <c r="Q915" s="16">
        <v>75716</v>
      </c>
    </row>
    <row r="916" spans="1:17" ht="43.2" x14ac:dyDescent="0.3">
      <c r="A916" s="16" t="s">
        <v>7596</v>
      </c>
      <c r="B916" s="16" t="s">
        <v>7664</v>
      </c>
      <c r="C916" s="16"/>
      <c r="D916" s="16" t="s">
        <v>7597</v>
      </c>
      <c r="E916" s="16" t="s">
        <v>6089</v>
      </c>
      <c r="F916" s="16" t="s">
        <v>6090</v>
      </c>
      <c r="G916" s="16" t="s">
        <v>32</v>
      </c>
      <c r="H916" s="16" t="s">
        <v>2564</v>
      </c>
      <c r="I916" s="16"/>
      <c r="J916" s="16" t="s">
        <v>145</v>
      </c>
      <c r="K916" s="16"/>
      <c r="L916" s="16"/>
      <c r="M916" s="19" t="s">
        <v>6091</v>
      </c>
      <c r="N916" s="16"/>
      <c r="O916" s="16" t="s">
        <v>6092</v>
      </c>
      <c r="P916" s="16" t="str">
        <f>HYPERLINK("https://ceds.ed.gov/cedselementdetails.aspx?termid=26619")</f>
        <v>https://ceds.ed.gov/cedselementdetails.aspx?termid=26619</v>
      </c>
      <c r="Q916" s="16">
        <v>75717</v>
      </c>
    </row>
    <row r="917" spans="1:17" ht="201.6" x14ac:dyDescent="0.3">
      <c r="A917" s="16" t="s">
        <v>7596</v>
      </c>
      <c r="B917" s="16" t="s">
        <v>7664</v>
      </c>
      <c r="C917" s="16"/>
      <c r="D917" s="16" t="s">
        <v>7597</v>
      </c>
      <c r="E917" s="16" t="s">
        <v>6122</v>
      </c>
      <c r="F917" s="16" t="s">
        <v>6123</v>
      </c>
      <c r="G917" s="16" t="s">
        <v>8255</v>
      </c>
      <c r="H917" s="16"/>
      <c r="I917" s="16"/>
      <c r="J917" s="16"/>
      <c r="K917" s="16"/>
      <c r="L917" s="16"/>
      <c r="M917" s="19" t="s">
        <v>6124</v>
      </c>
      <c r="N917" s="16"/>
      <c r="O917" s="16" t="s">
        <v>6125</v>
      </c>
      <c r="P917" s="16" t="str">
        <f>HYPERLINK("https://ceds.ed.gov/cedselementdetails.aspx?termid=26692")</f>
        <v>https://ceds.ed.gov/cedselementdetails.aspx?termid=26692</v>
      </c>
      <c r="Q917" s="16">
        <v>75718</v>
      </c>
    </row>
    <row r="918" spans="1:17" ht="409.6" x14ac:dyDescent="0.3">
      <c r="A918" s="16" t="s">
        <v>7596</v>
      </c>
      <c r="B918" s="16" t="s">
        <v>7664</v>
      </c>
      <c r="C918" s="16"/>
      <c r="D918" s="16" t="s">
        <v>7597</v>
      </c>
      <c r="E918" s="16" t="s">
        <v>6130</v>
      </c>
      <c r="F918" s="16" t="s">
        <v>6131</v>
      </c>
      <c r="G918" s="16" t="s">
        <v>9420</v>
      </c>
      <c r="H918" s="16" t="s">
        <v>64</v>
      </c>
      <c r="I918" s="16"/>
      <c r="J918" s="16"/>
      <c r="K918" s="16"/>
      <c r="L918" s="16"/>
      <c r="M918" s="19" t="s">
        <v>6132</v>
      </c>
      <c r="N918" s="16"/>
      <c r="O918" s="16" t="s">
        <v>6133</v>
      </c>
      <c r="P918" s="16" t="str">
        <f>HYPERLINK("https://ceds.ed.gov/cedselementdetails.aspx?termid=26225")</f>
        <v>https://ceds.ed.gov/cedselementdetails.aspx?termid=26225</v>
      </c>
      <c r="Q918" s="16">
        <v>75719</v>
      </c>
    </row>
    <row r="919" spans="1:17" ht="57.6" x14ac:dyDescent="0.3">
      <c r="A919" s="16" t="s">
        <v>7596</v>
      </c>
      <c r="B919" s="16" t="s">
        <v>9413</v>
      </c>
      <c r="C919" s="16" t="s">
        <v>7628</v>
      </c>
      <c r="D919" s="16" t="s">
        <v>7597</v>
      </c>
      <c r="E919" s="16" t="s">
        <v>9263</v>
      </c>
      <c r="F919" s="16" t="s">
        <v>9264</v>
      </c>
      <c r="G919" s="16" t="s">
        <v>2987</v>
      </c>
      <c r="H919" s="16"/>
      <c r="I919" s="16"/>
      <c r="J919" s="16" t="s">
        <v>2</v>
      </c>
      <c r="K919" s="16"/>
      <c r="L919" s="16"/>
      <c r="M919" s="19" t="s">
        <v>9265</v>
      </c>
      <c r="N919" s="16"/>
      <c r="O919" s="16" t="s">
        <v>9266</v>
      </c>
      <c r="P919" s="16" t="str">
        <f>HYPERLINK("https://ceds.ed.gov/cedselementdetails.aspx?termid=28089")</f>
        <v>https://ceds.ed.gov/cedselementdetails.aspx?termid=28089</v>
      </c>
      <c r="Q919" s="16">
        <v>76086</v>
      </c>
    </row>
    <row r="920" spans="1:17" ht="43.2" x14ac:dyDescent="0.3">
      <c r="A920" s="16" t="s">
        <v>7596</v>
      </c>
      <c r="B920" s="16" t="s">
        <v>9414</v>
      </c>
      <c r="C920" s="16" t="s">
        <v>7616</v>
      </c>
      <c r="D920" s="16" t="s">
        <v>7597</v>
      </c>
      <c r="E920" s="16" t="s">
        <v>8946</v>
      </c>
      <c r="F920" s="16" t="s">
        <v>8947</v>
      </c>
      <c r="G920" s="16" t="s">
        <v>22</v>
      </c>
      <c r="H920" s="16"/>
      <c r="I920" s="16"/>
      <c r="J920" s="16" t="s">
        <v>2</v>
      </c>
      <c r="K920" s="16"/>
      <c r="L920" s="16"/>
      <c r="M920" s="19" t="s">
        <v>8948</v>
      </c>
      <c r="N920" s="16"/>
      <c r="O920" s="16" t="s">
        <v>8949</v>
      </c>
      <c r="P920" s="16" t="str">
        <f>HYPERLINK("https://ceds.ed.gov/cedselementdetails.aspx?termid=28013")</f>
        <v>https://ceds.ed.gov/cedselementdetails.aspx?termid=28013</v>
      </c>
      <c r="Q920" s="16">
        <v>76121</v>
      </c>
    </row>
    <row r="921" spans="1:17" ht="43.2" x14ac:dyDescent="0.3">
      <c r="A921" s="16" t="s">
        <v>7596</v>
      </c>
      <c r="B921" s="16" t="s">
        <v>9414</v>
      </c>
      <c r="C921" s="16" t="s">
        <v>7607</v>
      </c>
      <c r="D921" s="16" t="s">
        <v>7597</v>
      </c>
      <c r="E921" s="16" t="s">
        <v>9229</v>
      </c>
      <c r="F921" s="16" t="s">
        <v>9230</v>
      </c>
      <c r="G921" s="16" t="s">
        <v>32</v>
      </c>
      <c r="H921" s="16"/>
      <c r="I921" s="16"/>
      <c r="J921" s="16" t="s">
        <v>316</v>
      </c>
      <c r="K921" s="16"/>
      <c r="L921" s="16"/>
      <c r="M921" s="19" t="s">
        <v>9231</v>
      </c>
      <c r="N921" s="16"/>
      <c r="O921" s="16" t="s">
        <v>9232</v>
      </c>
      <c r="P921" s="16" t="str">
        <f>HYPERLINK("https://ceds.ed.gov/cedselementdetails.aspx?termid=28081")</f>
        <v>https://ceds.ed.gov/cedselementdetails.aspx?termid=28081</v>
      </c>
      <c r="Q921" s="16">
        <v>76087</v>
      </c>
    </row>
    <row r="922" spans="1:17" ht="28.8" x14ac:dyDescent="0.3">
      <c r="A922" s="16" t="s">
        <v>7596</v>
      </c>
      <c r="B922" s="16" t="s">
        <v>9414</v>
      </c>
      <c r="C922" s="16" t="s">
        <v>7607</v>
      </c>
      <c r="D922" s="16" t="s">
        <v>7597</v>
      </c>
      <c r="E922" s="16" t="s">
        <v>9233</v>
      </c>
      <c r="F922" s="16" t="s">
        <v>9234</v>
      </c>
      <c r="G922" s="16" t="s">
        <v>32</v>
      </c>
      <c r="H922" s="16"/>
      <c r="I922" s="16"/>
      <c r="J922" s="16" t="s">
        <v>145</v>
      </c>
      <c r="K922" s="16"/>
      <c r="L922" s="16"/>
      <c r="M922" s="19" t="s">
        <v>9235</v>
      </c>
      <c r="N922" s="16"/>
      <c r="O922" s="16" t="s">
        <v>9236</v>
      </c>
      <c r="P922" s="16" t="str">
        <f>HYPERLINK("https://ceds.ed.gov/cedselementdetails.aspx?termid=28082")</f>
        <v>https://ceds.ed.gov/cedselementdetails.aspx?termid=28082</v>
      </c>
      <c r="Q922" s="16">
        <v>76088</v>
      </c>
    </row>
    <row r="923" spans="1:17" ht="57.6" x14ac:dyDescent="0.3">
      <c r="A923" s="16" t="s">
        <v>7596</v>
      </c>
      <c r="B923" s="16" t="s">
        <v>9414</v>
      </c>
      <c r="C923" s="16" t="s">
        <v>7607</v>
      </c>
      <c r="D923" s="16" t="s">
        <v>7597</v>
      </c>
      <c r="E923" s="16" t="s">
        <v>9237</v>
      </c>
      <c r="F923" s="16" t="s">
        <v>9238</v>
      </c>
      <c r="G923" s="16" t="s">
        <v>32</v>
      </c>
      <c r="H923" s="16"/>
      <c r="I923" s="16"/>
      <c r="J923" s="16" t="s">
        <v>145</v>
      </c>
      <c r="K923" s="16"/>
      <c r="L923" s="16"/>
      <c r="M923" s="19" t="s">
        <v>9239</v>
      </c>
      <c r="N923" s="16"/>
      <c r="O923" s="16" t="s">
        <v>9240</v>
      </c>
      <c r="P923" s="16" t="str">
        <f>HYPERLINK("https://ceds.ed.gov/cedselementdetails.aspx?termid=28083")</f>
        <v>https://ceds.ed.gov/cedselementdetails.aspx?termid=28083</v>
      </c>
      <c r="Q923" s="16">
        <v>76089</v>
      </c>
    </row>
    <row r="924" spans="1:17" ht="28.8" x14ac:dyDescent="0.3">
      <c r="A924" s="16" t="s">
        <v>7596</v>
      </c>
      <c r="B924" s="16" t="s">
        <v>9414</v>
      </c>
      <c r="C924" s="16" t="s">
        <v>7607</v>
      </c>
      <c r="D924" s="16" t="s">
        <v>7597</v>
      </c>
      <c r="E924" s="16" t="s">
        <v>9241</v>
      </c>
      <c r="F924" s="16" t="s">
        <v>9242</v>
      </c>
      <c r="G924" s="16" t="s">
        <v>32</v>
      </c>
      <c r="H924" s="16"/>
      <c r="I924" s="16"/>
      <c r="J924" s="16" t="s">
        <v>1481</v>
      </c>
      <c r="K924" s="16"/>
      <c r="L924" s="16"/>
      <c r="M924" s="19" t="s">
        <v>9243</v>
      </c>
      <c r="N924" s="16"/>
      <c r="O924" s="16" t="s">
        <v>9244</v>
      </c>
      <c r="P924" s="16" t="str">
        <f>HYPERLINK("https://ceds.ed.gov/cedselementdetails.aspx?termid=28084")</f>
        <v>https://ceds.ed.gov/cedselementdetails.aspx?termid=28084</v>
      </c>
      <c r="Q924" s="16">
        <v>76090</v>
      </c>
    </row>
    <row r="925" spans="1:17" ht="43.2" x14ac:dyDescent="0.3">
      <c r="A925" s="16" t="s">
        <v>7665</v>
      </c>
      <c r="B925" s="16" t="s">
        <v>7666</v>
      </c>
      <c r="C925" s="16"/>
      <c r="D925" s="16" t="s">
        <v>7597</v>
      </c>
      <c r="E925" s="16" t="s">
        <v>5590</v>
      </c>
      <c r="F925" s="16" t="s">
        <v>5591</v>
      </c>
      <c r="G925" s="16" t="s">
        <v>32</v>
      </c>
      <c r="H925" s="16"/>
      <c r="I925" s="16"/>
      <c r="J925" s="16" t="s">
        <v>50</v>
      </c>
      <c r="K925" s="16"/>
      <c r="L925" s="16"/>
      <c r="M925" s="19" t="s">
        <v>5592</v>
      </c>
      <c r="N925" s="16"/>
      <c r="O925" s="16" t="s">
        <v>5593</v>
      </c>
      <c r="P925" s="16" t="str">
        <f>HYPERLINK("https://ceds.ed.gov/cedselementdetails.aspx?termid=27644")</f>
        <v>https://ceds.ed.gov/cedselementdetails.aspx?termid=27644</v>
      </c>
      <c r="Q925" s="16">
        <v>74977</v>
      </c>
    </row>
    <row r="926" spans="1:17" ht="28.8" x14ac:dyDescent="0.3">
      <c r="A926" s="16" t="s">
        <v>7665</v>
      </c>
      <c r="B926" s="16" t="s">
        <v>7666</v>
      </c>
      <c r="C926" s="16"/>
      <c r="D926" s="16" t="s">
        <v>7597</v>
      </c>
      <c r="E926" s="16" t="s">
        <v>5606</v>
      </c>
      <c r="F926" s="16" t="s">
        <v>5607</v>
      </c>
      <c r="G926" s="16" t="s">
        <v>32</v>
      </c>
      <c r="H926" s="16"/>
      <c r="I926" s="16"/>
      <c r="J926" s="16" t="s">
        <v>2807</v>
      </c>
      <c r="K926" s="16"/>
      <c r="L926" s="16"/>
      <c r="M926" s="19" t="s">
        <v>5608</v>
      </c>
      <c r="N926" s="16"/>
      <c r="O926" s="16" t="s">
        <v>5609</v>
      </c>
      <c r="P926" s="16" t="str">
        <f>HYPERLINK("https://ceds.ed.gov/cedselementdetails.aspx?termid=27731")</f>
        <v>https://ceds.ed.gov/cedselementdetails.aspx?termid=27731</v>
      </c>
      <c r="Q926" s="16">
        <v>74984</v>
      </c>
    </row>
    <row r="927" spans="1:17" ht="43.2" x14ac:dyDescent="0.3">
      <c r="A927" s="16" t="s">
        <v>7665</v>
      </c>
      <c r="B927" s="16" t="s">
        <v>7666</v>
      </c>
      <c r="C927" s="16"/>
      <c r="D927" s="16" t="s">
        <v>7597</v>
      </c>
      <c r="E927" s="16" t="s">
        <v>5602</v>
      </c>
      <c r="F927" s="16" t="s">
        <v>5603</v>
      </c>
      <c r="G927" s="16" t="s">
        <v>8248</v>
      </c>
      <c r="H927" s="16"/>
      <c r="I927" s="16"/>
      <c r="J927" s="16"/>
      <c r="K927" s="16"/>
      <c r="L927" s="16"/>
      <c r="M927" s="19" t="s">
        <v>5604</v>
      </c>
      <c r="N927" s="16"/>
      <c r="O927" s="16" t="s">
        <v>5605</v>
      </c>
      <c r="P927" s="16" t="str">
        <f>HYPERLINK("https://ceds.ed.gov/cedselementdetails.aspx?termid=27387")</f>
        <v>https://ceds.ed.gov/cedselementdetails.aspx?termid=27387</v>
      </c>
      <c r="Q927" s="16">
        <v>73299</v>
      </c>
    </row>
    <row r="928" spans="1:17" ht="28.8" x14ac:dyDescent="0.3">
      <c r="A928" s="16" t="s">
        <v>7665</v>
      </c>
      <c r="B928" s="16" t="s">
        <v>7666</v>
      </c>
      <c r="C928" s="16"/>
      <c r="D928" s="16" t="s">
        <v>7597</v>
      </c>
      <c r="E928" s="16" t="s">
        <v>5570</v>
      </c>
      <c r="F928" s="16" t="s">
        <v>5571</v>
      </c>
      <c r="G928" s="16" t="s">
        <v>32</v>
      </c>
      <c r="H928" s="16" t="s">
        <v>214</v>
      </c>
      <c r="I928" s="16"/>
      <c r="J928" s="16" t="s">
        <v>106</v>
      </c>
      <c r="K928" s="16"/>
      <c r="L928" s="16"/>
      <c r="M928" s="19" t="s">
        <v>5572</v>
      </c>
      <c r="N928" s="16"/>
      <c r="O928" s="16" t="s">
        <v>5573</v>
      </c>
      <c r="P928" s="16" t="str">
        <f>HYPERLINK("https://ceds.ed.gov/cedselementdetails.aspx?termid=26525")</f>
        <v>https://ceds.ed.gov/cedselementdetails.aspx?termid=26525</v>
      </c>
      <c r="Q928" s="16">
        <v>75927</v>
      </c>
    </row>
    <row r="929" spans="1:17" ht="172.8" x14ac:dyDescent="0.3">
      <c r="A929" s="16" t="s">
        <v>7665</v>
      </c>
      <c r="B929" s="16" t="s">
        <v>7666</v>
      </c>
      <c r="C929" s="16" t="s">
        <v>7598</v>
      </c>
      <c r="D929" s="16" t="s">
        <v>7597</v>
      </c>
      <c r="E929" s="16" t="s">
        <v>5586</v>
      </c>
      <c r="F929" s="16" t="s">
        <v>5587</v>
      </c>
      <c r="G929" s="16" t="s">
        <v>32</v>
      </c>
      <c r="H929" s="16" t="s">
        <v>98</v>
      </c>
      <c r="I929" s="16"/>
      <c r="J929" s="16" t="s">
        <v>120</v>
      </c>
      <c r="K929" s="16"/>
      <c r="L929" s="16" t="s">
        <v>7817</v>
      </c>
      <c r="M929" s="19" t="s">
        <v>5588</v>
      </c>
      <c r="N929" s="16"/>
      <c r="O929" s="16" t="s">
        <v>5589</v>
      </c>
      <c r="P929" s="16" t="str">
        <f>HYPERLINK("https://ceds.ed.gov/cedselementdetails.aspx?termid=26825")</f>
        <v>https://ceds.ed.gov/cedselementdetails.aspx?termid=26825</v>
      </c>
      <c r="Q929" s="16">
        <v>73715</v>
      </c>
    </row>
    <row r="930" spans="1:17" ht="187.2" x14ac:dyDescent="0.3">
      <c r="A930" s="16" t="s">
        <v>7665</v>
      </c>
      <c r="B930" s="16" t="s">
        <v>7666</v>
      </c>
      <c r="C930" s="16" t="s">
        <v>7598</v>
      </c>
      <c r="D930" s="16" t="s">
        <v>7597</v>
      </c>
      <c r="E930" s="16" t="s">
        <v>5582</v>
      </c>
      <c r="F930" s="16" t="s">
        <v>5583</v>
      </c>
      <c r="G930" s="16" t="s">
        <v>8247</v>
      </c>
      <c r="H930" s="16" t="s">
        <v>98</v>
      </c>
      <c r="I930" s="16"/>
      <c r="J930" s="16"/>
      <c r="K930" s="16"/>
      <c r="L930" s="16"/>
      <c r="M930" s="19" t="s">
        <v>5584</v>
      </c>
      <c r="N930" s="16"/>
      <c r="O930" s="16" t="s">
        <v>5585</v>
      </c>
      <c r="P930" s="16" t="str">
        <f>HYPERLINK("https://ceds.ed.gov/cedselementdetails.aspx?termid=26827")</f>
        <v>https://ceds.ed.gov/cedselementdetails.aspx?termid=26827</v>
      </c>
      <c r="Q930" s="16">
        <v>73717</v>
      </c>
    </row>
    <row r="931" spans="1:17" ht="43.2" x14ac:dyDescent="0.3">
      <c r="A931" s="16" t="s">
        <v>7665</v>
      </c>
      <c r="B931" s="16" t="s">
        <v>7666</v>
      </c>
      <c r="C931" s="16" t="s">
        <v>7598</v>
      </c>
      <c r="D931" s="16" t="s">
        <v>7597</v>
      </c>
      <c r="E931" s="16" t="s">
        <v>5598</v>
      </c>
      <c r="F931" s="16" t="s">
        <v>5599</v>
      </c>
      <c r="G931" s="16" t="s">
        <v>32</v>
      </c>
      <c r="H931" s="16" t="s">
        <v>195</v>
      </c>
      <c r="I931" s="16"/>
      <c r="J931" s="16" t="s">
        <v>145</v>
      </c>
      <c r="K931" s="16"/>
      <c r="L931" s="16"/>
      <c r="M931" s="19" t="s">
        <v>5600</v>
      </c>
      <c r="N931" s="16"/>
      <c r="O931" s="16" t="s">
        <v>5601</v>
      </c>
      <c r="P931" s="16" t="str">
        <f>HYPERLINK("https://ceds.ed.gov/cedselementdetails.aspx?termid=26204")</f>
        <v>https://ceds.ed.gov/cedselementdetails.aspx?termid=26204</v>
      </c>
      <c r="Q931" s="16">
        <v>73713</v>
      </c>
    </row>
    <row r="932" spans="1:17" ht="409.6" x14ac:dyDescent="0.3">
      <c r="A932" s="16" t="s">
        <v>7665</v>
      </c>
      <c r="B932" s="16" t="s">
        <v>7666</v>
      </c>
      <c r="C932" s="16" t="s">
        <v>7598</v>
      </c>
      <c r="D932" s="16" t="s">
        <v>7597</v>
      </c>
      <c r="E932" s="16" t="s">
        <v>5618</v>
      </c>
      <c r="F932" s="16" t="s">
        <v>5619</v>
      </c>
      <c r="G932" s="16" t="s">
        <v>9335</v>
      </c>
      <c r="H932" s="16"/>
      <c r="I932" s="16"/>
      <c r="J932" s="16"/>
      <c r="K932" s="16"/>
      <c r="L932" s="16" t="s">
        <v>5620</v>
      </c>
      <c r="M932" s="19" t="s">
        <v>5621</v>
      </c>
      <c r="N932" s="16"/>
      <c r="O932" s="16" t="s">
        <v>5622</v>
      </c>
      <c r="P932" s="16" t="str">
        <f>HYPERLINK("https://ceds.ed.gov/cedselementdetails.aspx?termid=27165")</f>
        <v>https://ceds.ed.gov/cedselementdetails.aspx?termid=27165</v>
      </c>
      <c r="Q932" s="16">
        <v>74122</v>
      </c>
    </row>
    <row r="933" spans="1:17" ht="86.4" x14ac:dyDescent="0.3">
      <c r="A933" s="16" t="s">
        <v>7665</v>
      </c>
      <c r="B933" s="16" t="s">
        <v>7666</v>
      </c>
      <c r="C933" s="16" t="s">
        <v>7598</v>
      </c>
      <c r="D933" s="16" t="s">
        <v>7597</v>
      </c>
      <c r="E933" s="16" t="s">
        <v>1955</v>
      </c>
      <c r="F933" s="16" t="s">
        <v>1956</v>
      </c>
      <c r="G933" s="16" t="s">
        <v>8431</v>
      </c>
      <c r="H933" s="16" t="s">
        <v>214</v>
      </c>
      <c r="I933" s="16" t="s">
        <v>160</v>
      </c>
      <c r="J933" s="16"/>
      <c r="K933" s="16" t="s">
        <v>12940</v>
      </c>
      <c r="L933" s="16"/>
      <c r="M933" s="19" t="s">
        <v>1958</v>
      </c>
      <c r="N933" s="16"/>
      <c r="O933" s="16" t="s">
        <v>1959</v>
      </c>
      <c r="P933" s="16" t="str">
        <f>HYPERLINK("https://ceds.ed.gov/cedselementdetails.aspx?termid=27631")</f>
        <v>https://ceds.ed.gov/cedselementdetails.aspx?termid=27631</v>
      </c>
      <c r="Q933" s="16">
        <v>74345</v>
      </c>
    </row>
    <row r="934" spans="1:17" ht="86.4" x14ac:dyDescent="0.3">
      <c r="A934" s="16" t="s">
        <v>7665</v>
      </c>
      <c r="B934" s="16" t="s">
        <v>7666</v>
      </c>
      <c r="C934" s="16" t="s">
        <v>7598</v>
      </c>
      <c r="D934" s="16" t="s">
        <v>7597</v>
      </c>
      <c r="E934" s="16" t="s">
        <v>5610</v>
      </c>
      <c r="F934" s="16" t="s">
        <v>5611</v>
      </c>
      <c r="G934" s="16" t="s">
        <v>8249</v>
      </c>
      <c r="H934" s="16"/>
      <c r="I934" s="16"/>
      <c r="J934" s="16"/>
      <c r="K934" s="16"/>
      <c r="L934" s="16" t="s">
        <v>8099</v>
      </c>
      <c r="M934" s="19" t="s">
        <v>5612</v>
      </c>
      <c r="N934" s="16"/>
      <c r="O934" s="16" t="s">
        <v>5613</v>
      </c>
      <c r="P934" s="16" t="str">
        <f>HYPERLINK("https://ceds.ed.gov/cedselementdetails.aspx?termid=27886")</f>
        <v>https://ceds.ed.gov/cedselementdetails.aspx?termid=27886</v>
      </c>
      <c r="Q934" s="16">
        <v>75154</v>
      </c>
    </row>
    <row r="935" spans="1:17" ht="86.4" x14ac:dyDescent="0.3">
      <c r="A935" s="16" t="s">
        <v>7665</v>
      </c>
      <c r="B935" s="16" t="s">
        <v>7666</v>
      </c>
      <c r="C935" s="16" t="s">
        <v>7598</v>
      </c>
      <c r="D935" s="16" t="s">
        <v>7597</v>
      </c>
      <c r="E935" s="16" t="s">
        <v>8142</v>
      </c>
      <c r="F935" s="16" t="s">
        <v>8143</v>
      </c>
      <c r="G935" s="16" t="s">
        <v>32</v>
      </c>
      <c r="H935" s="16"/>
      <c r="I935" s="16"/>
      <c r="J935" s="16" t="s">
        <v>81</v>
      </c>
      <c r="K935" s="16"/>
      <c r="L935" s="16" t="s">
        <v>6671</v>
      </c>
      <c r="M935" s="19" t="s">
        <v>6672</v>
      </c>
      <c r="N935" s="16"/>
      <c r="O935" s="16" t="s">
        <v>8144</v>
      </c>
      <c r="P935" s="16" t="str">
        <f>HYPERLINK("https://ceds.ed.gov/cedselementdetails.aspx?termid=27459")</f>
        <v>https://ceds.ed.gov/cedselementdetails.aspx?termid=27459</v>
      </c>
      <c r="Q935" s="16">
        <v>75928</v>
      </c>
    </row>
    <row r="936" spans="1:17" ht="72" x14ac:dyDescent="0.3">
      <c r="A936" s="16" t="s">
        <v>7665</v>
      </c>
      <c r="B936" s="16" t="s">
        <v>7666</v>
      </c>
      <c r="C936" s="16" t="s">
        <v>7599</v>
      </c>
      <c r="D936" s="16" t="s">
        <v>7597</v>
      </c>
      <c r="E936" s="16" t="s">
        <v>187</v>
      </c>
      <c r="F936" s="16" t="s">
        <v>188</v>
      </c>
      <c r="G936" s="16" t="s">
        <v>8205</v>
      </c>
      <c r="H936" s="16" t="s">
        <v>64</v>
      </c>
      <c r="I936" s="16"/>
      <c r="J936" s="16" t="s">
        <v>81</v>
      </c>
      <c r="K936" s="16"/>
      <c r="L936" s="16"/>
      <c r="M936" s="19" t="s">
        <v>189</v>
      </c>
      <c r="N936" s="16"/>
      <c r="O936" s="16" t="s">
        <v>190</v>
      </c>
      <c r="P936" s="16" t="str">
        <f>HYPERLINK("https://ceds.ed.gov/cedselementdetails.aspx?termid=26644")</f>
        <v>https://ceds.ed.gov/cedselementdetails.aspx?termid=26644</v>
      </c>
      <c r="Q936" s="16">
        <v>73719</v>
      </c>
    </row>
    <row r="937" spans="1:17" ht="187.2" x14ac:dyDescent="0.3">
      <c r="A937" s="16" t="s">
        <v>7665</v>
      </c>
      <c r="B937" s="16" t="s">
        <v>7666</v>
      </c>
      <c r="C937" s="16" t="s">
        <v>7599</v>
      </c>
      <c r="D937" s="16" t="s">
        <v>7597</v>
      </c>
      <c r="E937" s="16" t="s">
        <v>177</v>
      </c>
      <c r="F937" s="16" t="s">
        <v>178</v>
      </c>
      <c r="G937" s="16" t="s">
        <v>32</v>
      </c>
      <c r="H937" s="16" t="s">
        <v>163</v>
      </c>
      <c r="I937" s="16"/>
      <c r="J937" s="16" t="s">
        <v>179</v>
      </c>
      <c r="K937" s="16"/>
      <c r="L937" s="16"/>
      <c r="M937" s="19" t="s">
        <v>180</v>
      </c>
      <c r="N937" s="16"/>
      <c r="O937" s="16" t="s">
        <v>181</v>
      </c>
      <c r="P937" s="16" t="str">
        <f>HYPERLINK("https://ceds.ed.gov/cedselementdetails.aspx?termid=26269")</f>
        <v>https://ceds.ed.gov/cedselementdetails.aspx?termid=26269</v>
      </c>
      <c r="Q937" s="16">
        <v>73721</v>
      </c>
    </row>
    <row r="938" spans="1:17" ht="187.2" x14ac:dyDescent="0.3">
      <c r="A938" s="16" t="s">
        <v>7665</v>
      </c>
      <c r="B938" s="16" t="s">
        <v>7666</v>
      </c>
      <c r="C938" s="16" t="s">
        <v>7599</v>
      </c>
      <c r="D938" s="16" t="s">
        <v>7597</v>
      </c>
      <c r="E938" s="16" t="s">
        <v>158</v>
      </c>
      <c r="F938" s="16" t="s">
        <v>159</v>
      </c>
      <c r="G938" s="16" t="s">
        <v>32</v>
      </c>
      <c r="H938" s="16" t="s">
        <v>163</v>
      </c>
      <c r="I938" s="16"/>
      <c r="J938" s="16" t="s">
        <v>145</v>
      </c>
      <c r="K938" s="16"/>
      <c r="L938" s="16"/>
      <c r="M938" s="19" t="s">
        <v>161</v>
      </c>
      <c r="N938" s="16"/>
      <c r="O938" s="16" t="s">
        <v>162</v>
      </c>
      <c r="P938" s="16" t="str">
        <f>HYPERLINK("https://ceds.ed.gov/cedselementdetails.aspx?termid=26019")</f>
        <v>https://ceds.ed.gov/cedselementdetails.aspx?termid=26019</v>
      </c>
      <c r="Q938" s="16">
        <v>73723</v>
      </c>
    </row>
    <row r="939" spans="1:17" ht="187.2" x14ac:dyDescent="0.3">
      <c r="A939" s="16" t="s">
        <v>7665</v>
      </c>
      <c r="B939" s="16" t="s">
        <v>7666</v>
      </c>
      <c r="C939" s="16" t="s">
        <v>7599</v>
      </c>
      <c r="D939" s="16" t="s">
        <v>7597</v>
      </c>
      <c r="E939" s="16" t="s">
        <v>164</v>
      </c>
      <c r="F939" s="16" t="s">
        <v>165</v>
      </c>
      <c r="G939" s="16" t="s">
        <v>32</v>
      </c>
      <c r="H939" s="16" t="s">
        <v>163</v>
      </c>
      <c r="I939" s="16"/>
      <c r="J939" s="16" t="s">
        <v>81</v>
      </c>
      <c r="K939" s="16"/>
      <c r="L939" s="16"/>
      <c r="M939" s="19" t="s">
        <v>166</v>
      </c>
      <c r="N939" s="16"/>
      <c r="O939" s="16" t="s">
        <v>167</v>
      </c>
      <c r="P939" s="16" t="str">
        <f>HYPERLINK("https://ceds.ed.gov/cedselementdetails.aspx?termid=26040")</f>
        <v>https://ceds.ed.gov/cedselementdetails.aspx?termid=26040</v>
      </c>
      <c r="Q939" s="16">
        <v>73725</v>
      </c>
    </row>
    <row r="940" spans="1:17" ht="409.6" x14ac:dyDescent="0.3">
      <c r="A940" s="16" t="s">
        <v>7665</v>
      </c>
      <c r="B940" s="16" t="s">
        <v>7666</v>
      </c>
      <c r="C940" s="16" t="s">
        <v>7599</v>
      </c>
      <c r="D940" s="16" t="s">
        <v>7597</v>
      </c>
      <c r="E940" s="16" t="s">
        <v>6840</v>
      </c>
      <c r="F940" s="16" t="s">
        <v>6841</v>
      </c>
      <c r="G940" s="16" t="s">
        <v>8266</v>
      </c>
      <c r="H940" s="16" t="s">
        <v>6844</v>
      </c>
      <c r="I940" s="16"/>
      <c r="J940" s="16"/>
      <c r="K940" s="16"/>
      <c r="L940" s="16"/>
      <c r="M940" s="19" t="s">
        <v>6842</v>
      </c>
      <c r="N940" s="16"/>
      <c r="O940" s="16" t="s">
        <v>6843</v>
      </c>
      <c r="P940" s="16" t="str">
        <f>HYPERLINK("https://ceds.ed.gov/cedselementdetails.aspx?termid=26267")</f>
        <v>https://ceds.ed.gov/cedselementdetails.aspx?termid=26267</v>
      </c>
      <c r="Q940" s="16">
        <v>73727</v>
      </c>
    </row>
    <row r="941" spans="1:17" ht="187.2" x14ac:dyDescent="0.3">
      <c r="A941" s="16" t="s">
        <v>7665</v>
      </c>
      <c r="B941" s="16" t="s">
        <v>7666</v>
      </c>
      <c r="C941" s="16" t="s">
        <v>7599</v>
      </c>
      <c r="D941" s="16" t="s">
        <v>7597</v>
      </c>
      <c r="E941" s="16" t="s">
        <v>172</v>
      </c>
      <c r="F941" s="16" t="s">
        <v>173</v>
      </c>
      <c r="G941" s="16" t="s">
        <v>32</v>
      </c>
      <c r="H941" s="16" t="s">
        <v>163</v>
      </c>
      <c r="I941" s="16"/>
      <c r="J941" s="16" t="s">
        <v>174</v>
      </c>
      <c r="K941" s="16"/>
      <c r="L941" s="16"/>
      <c r="M941" s="19" t="s">
        <v>175</v>
      </c>
      <c r="N941" s="16"/>
      <c r="O941" s="16" t="s">
        <v>176</v>
      </c>
      <c r="P941" s="16" t="str">
        <f>HYPERLINK("https://ceds.ed.gov/cedselementdetails.aspx?termid=26214")</f>
        <v>https://ceds.ed.gov/cedselementdetails.aspx?termid=26214</v>
      </c>
      <c r="Q941" s="16">
        <v>73729</v>
      </c>
    </row>
    <row r="942" spans="1:17" ht="187.2" x14ac:dyDescent="0.3">
      <c r="A942" s="16" t="s">
        <v>7665</v>
      </c>
      <c r="B942" s="16" t="s">
        <v>7666</v>
      </c>
      <c r="C942" s="16" t="s">
        <v>7599</v>
      </c>
      <c r="D942" s="16" t="s">
        <v>7597</v>
      </c>
      <c r="E942" s="16" t="s">
        <v>168</v>
      </c>
      <c r="F942" s="16" t="s">
        <v>169</v>
      </c>
      <c r="G942" s="16" t="s">
        <v>32</v>
      </c>
      <c r="H942" s="16" t="s">
        <v>163</v>
      </c>
      <c r="I942" s="16"/>
      <c r="J942" s="16" t="s">
        <v>81</v>
      </c>
      <c r="K942" s="16"/>
      <c r="L942" s="16"/>
      <c r="M942" s="19" t="s">
        <v>170</v>
      </c>
      <c r="N942" s="16"/>
      <c r="O942" s="16" t="s">
        <v>171</v>
      </c>
      <c r="P942" s="16" t="str">
        <f>HYPERLINK("https://ceds.ed.gov/cedselementdetails.aspx?termid=26190")</f>
        <v>https://ceds.ed.gov/cedselementdetails.aspx?termid=26190</v>
      </c>
      <c r="Q942" s="16">
        <v>73731</v>
      </c>
    </row>
    <row r="943" spans="1:17" ht="158.4" x14ac:dyDescent="0.3">
      <c r="A943" s="16" t="s">
        <v>7665</v>
      </c>
      <c r="B943" s="16" t="s">
        <v>7666</v>
      </c>
      <c r="C943" s="16" t="s">
        <v>7599</v>
      </c>
      <c r="D943" s="16" t="s">
        <v>7597</v>
      </c>
      <c r="E943" s="16" t="s">
        <v>2493</v>
      </c>
      <c r="F943" s="16" t="s">
        <v>2494</v>
      </c>
      <c r="G943" s="16" t="s">
        <v>32</v>
      </c>
      <c r="H943" s="16"/>
      <c r="I943" s="16"/>
      <c r="J943" s="16" t="s">
        <v>2495</v>
      </c>
      <c r="K943" s="16"/>
      <c r="L943" s="16"/>
      <c r="M943" s="19" t="s">
        <v>2496</v>
      </c>
      <c r="N943" s="16"/>
      <c r="O943" s="16" t="s">
        <v>2497</v>
      </c>
      <c r="P943" s="16" t="str">
        <f>HYPERLINK("https://ceds.ed.gov/cedselementdetails.aspx?termid=27176")</f>
        <v>https://ceds.ed.gov/cedselementdetails.aspx?termid=27176</v>
      </c>
      <c r="Q943" s="16">
        <v>74390</v>
      </c>
    </row>
    <row r="944" spans="1:17" ht="43.2" x14ac:dyDescent="0.3">
      <c r="A944" s="16" t="s">
        <v>7665</v>
      </c>
      <c r="B944" s="16" t="s">
        <v>7666</v>
      </c>
      <c r="C944" s="16" t="s">
        <v>7599</v>
      </c>
      <c r="D944" s="16" t="s">
        <v>7597</v>
      </c>
      <c r="E944" s="16" t="s">
        <v>1761</v>
      </c>
      <c r="F944" s="16" t="s">
        <v>1762</v>
      </c>
      <c r="G944" s="16" t="s">
        <v>32</v>
      </c>
      <c r="H944" s="16"/>
      <c r="I944" s="16"/>
      <c r="J944" s="16" t="s">
        <v>145</v>
      </c>
      <c r="K944" s="16"/>
      <c r="L944" s="16"/>
      <c r="M944" s="19" t="s">
        <v>1763</v>
      </c>
      <c r="N944" s="16"/>
      <c r="O944" s="16" t="s">
        <v>1764</v>
      </c>
      <c r="P944" s="16" t="str">
        <f>HYPERLINK("https://ceds.ed.gov/cedselementdetails.aspx?termid=26595")</f>
        <v>https://ceds.ed.gov/cedselementdetails.aspx?termid=26595</v>
      </c>
      <c r="Q944" s="16">
        <v>74123</v>
      </c>
    </row>
    <row r="945" spans="1:17" ht="57.6" x14ac:dyDescent="0.3">
      <c r="A945" s="16" t="s">
        <v>7665</v>
      </c>
      <c r="B945" s="16" t="s">
        <v>7666</v>
      </c>
      <c r="C945" s="16" t="s">
        <v>7599</v>
      </c>
      <c r="D945" s="16" t="s">
        <v>7597</v>
      </c>
      <c r="E945" s="16" t="s">
        <v>4902</v>
      </c>
      <c r="F945" s="16" t="s">
        <v>4903</v>
      </c>
      <c r="G945" s="16" t="s">
        <v>32</v>
      </c>
      <c r="H945" s="16"/>
      <c r="I945" s="16"/>
      <c r="J945" s="16" t="s">
        <v>1130</v>
      </c>
      <c r="K945" s="16"/>
      <c r="L945" s="16"/>
      <c r="M945" s="19" t="s">
        <v>4904</v>
      </c>
      <c r="N945" s="16"/>
      <c r="O945" s="16" t="s">
        <v>4902</v>
      </c>
      <c r="P945" s="16" t="str">
        <f>HYPERLINK("https://ceds.ed.gov/cedselementdetails.aspx?termid=26599")</f>
        <v>https://ceds.ed.gov/cedselementdetails.aspx?termid=26599</v>
      </c>
      <c r="Q945" s="16">
        <v>74271</v>
      </c>
    </row>
    <row r="946" spans="1:17" ht="57.6" x14ac:dyDescent="0.3">
      <c r="A946" s="16" t="s">
        <v>7665</v>
      </c>
      <c r="B946" s="16" t="s">
        <v>7666</v>
      </c>
      <c r="C946" s="16" t="s">
        <v>7599</v>
      </c>
      <c r="D946" s="16" t="s">
        <v>7597</v>
      </c>
      <c r="E946" s="16" t="s">
        <v>5285</v>
      </c>
      <c r="F946" s="16" t="s">
        <v>5286</v>
      </c>
      <c r="G946" s="16" t="s">
        <v>32</v>
      </c>
      <c r="H946" s="16"/>
      <c r="I946" s="16"/>
      <c r="J946" s="16" t="s">
        <v>1130</v>
      </c>
      <c r="K946" s="16"/>
      <c r="L946" s="16"/>
      <c r="M946" s="19" t="s">
        <v>5287</v>
      </c>
      <c r="N946" s="16"/>
      <c r="O946" s="16" t="s">
        <v>5285</v>
      </c>
      <c r="P946" s="16" t="str">
        <f>HYPERLINK("https://ceds.ed.gov/cedselementdetails.aspx?termid=26600")</f>
        <v>https://ceds.ed.gov/cedselementdetails.aspx?termid=26600</v>
      </c>
      <c r="Q946" s="16">
        <v>74294</v>
      </c>
    </row>
    <row r="947" spans="1:17" ht="57.6" x14ac:dyDescent="0.3">
      <c r="A947" s="16" t="s">
        <v>7665</v>
      </c>
      <c r="B947" s="16" t="s">
        <v>7666</v>
      </c>
      <c r="C947" s="16" t="s">
        <v>7599</v>
      </c>
      <c r="D947" s="16" t="s">
        <v>7597</v>
      </c>
      <c r="E947" s="16" t="s">
        <v>3175</v>
      </c>
      <c r="F947" s="16" t="s">
        <v>3176</v>
      </c>
      <c r="G947" s="16" t="s">
        <v>2987</v>
      </c>
      <c r="H947" s="16"/>
      <c r="I947" s="16"/>
      <c r="J947" s="16"/>
      <c r="K947" s="16"/>
      <c r="L947" s="16"/>
      <c r="M947" s="19" t="s">
        <v>3177</v>
      </c>
      <c r="N947" s="16"/>
      <c r="O947" s="16" t="s">
        <v>3178</v>
      </c>
      <c r="P947" s="16" t="str">
        <f>HYPERLINK("https://ceds.ed.gov/cedselementdetails.aspx?termid=27905")</f>
        <v>https://ceds.ed.gov/cedselementdetails.aspx?termid=27905</v>
      </c>
      <c r="Q947" s="16">
        <v>75356</v>
      </c>
    </row>
    <row r="948" spans="1:17" ht="72" x14ac:dyDescent="0.3">
      <c r="A948" s="16" t="s">
        <v>7665</v>
      </c>
      <c r="B948" s="16" t="s">
        <v>7666</v>
      </c>
      <c r="C948" s="16" t="s">
        <v>7600</v>
      </c>
      <c r="D948" s="16" t="s">
        <v>7597</v>
      </c>
      <c r="E948" s="16" t="s">
        <v>7053</v>
      </c>
      <c r="F948" s="16" t="s">
        <v>7054</v>
      </c>
      <c r="G948" s="16" t="s">
        <v>32</v>
      </c>
      <c r="H948" s="16" t="s">
        <v>64</v>
      </c>
      <c r="I948" s="16"/>
      <c r="J948" s="16" t="s">
        <v>7055</v>
      </c>
      <c r="K948" s="16"/>
      <c r="L948" s="16"/>
      <c r="M948" s="19" t="s">
        <v>7056</v>
      </c>
      <c r="N948" s="16"/>
      <c r="O948" s="16" t="s">
        <v>7057</v>
      </c>
      <c r="P948" s="16" t="str">
        <f>HYPERLINK("https://ceds.ed.gov/cedselementdetails.aspx?termid=26279")</f>
        <v>https://ceds.ed.gov/cedselementdetails.aspx?termid=26279</v>
      </c>
      <c r="Q948" s="16">
        <v>74394</v>
      </c>
    </row>
    <row r="949" spans="1:17" ht="115.2" x14ac:dyDescent="0.3">
      <c r="A949" s="16" t="s">
        <v>7665</v>
      </c>
      <c r="B949" s="16" t="s">
        <v>7666</v>
      </c>
      <c r="C949" s="16" t="s">
        <v>7600</v>
      </c>
      <c r="D949" s="16" t="s">
        <v>7597</v>
      </c>
      <c r="E949" s="16" t="s">
        <v>4703</v>
      </c>
      <c r="F949" s="16" t="s">
        <v>4704</v>
      </c>
      <c r="G949" s="16" t="s">
        <v>8662</v>
      </c>
      <c r="H949" s="16"/>
      <c r="I949" s="16"/>
      <c r="J949" s="16"/>
      <c r="K949" s="16"/>
      <c r="L949" s="16"/>
      <c r="M949" s="19" t="s">
        <v>4705</v>
      </c>
      <c r="N949" s="16"/>
      <c r="O949" s="16" t="s">
        <v>4706</v>
      </c>
      <c r="P949" s="16" t="str">
        <f>HYPERLINK("https://ceds.ed.gov/cedselementdetails.aspx?termid=26167")</f>
        <v>https://ceds.ed.gov/cedselementdetails.aspx?termid=26167</v>
      </c>
      <c r="Q949" s="16">
        <v>74392</v>
      </c>
    </row>
    <row r="950" spans="1:17" ht="72" x14ac:dyDescent="0.3">
      <c r="A950" s="16" t="s">
        <v>7665</v>
      </c>
      <c r="B950" s="16" t="s">
        <v>7666</v>
      </c>
      <c r="C950" s="16" t="s">
        <v>7600</v>
      </c>
      <c r="D950" s="16" t="s">
        <v>7597</v>
      </c>
      <c r="E950" s="16" t="s">
        <v>5865</v>
      </c>
      <c r="F950" s="16" t="s">
        <v>5866</v>
      </c>
      <c r="G950" s="16" t="s">
        <v>22</v>
      </c>
      <c r="H950" s="16" t="s">
        <v>64</v>
      </c>
      <c r="I950" s="16"/>
      <c r="J950" s="16"/>
      <c r="K950" s="16"/>
      <c r="L950" s="16"/>
      <c r="M950" s="19" t="s">
        <v>5867</v>
      </c>
      <c r="N950" s="16"/>
      <c r="O950" s="16" t="s">
        <v>5868</v>
      </c>
      <c r="P950" s="16" t="str">
        <f>HYPERLINK("https://ceds.ed.gov/cedselementdetails.aspx?termid=26219")</f>
        <v>https://ceds.ed.gov/cedselementdetails.aspx?termid=26219</v>
      </c>
      <c r="Q950" s="16">
        <v>74393</v>
      </c>
    </row>
    <row r="951" spans="1:17" ht="57.6" x14ac:dyDescent="0.3">
      <c r="A951" s="16" t="s">
        <v>7665</v>
      </c>
      <c r="B951" s="16" t="s">
        <v>7666</v>
      </c>
      <c r="C951" s="16" t="s">
        <v>7600</v>
      </c>
      <c r="D951" s="16" t="s">
        <v>7597</v>
      </c>
      <c r="E951" s="16" t="s">
        <v>3175</v>
      </c>
      <c r="F951" s="16" t="s">
        <v>3176</v>
      </c>
      <c r="G951" s="16" t="s">
        <v>2987</v>
      </c>
      <c r="H951" s="16"/>
      <c r="I951" s="16"/>
      <c r="J951" s="16"/>
      <c r="K951" s="16"/>
      <c r="L951" s="16"/>
      <c r="M951" s="19" t="s">
        <v>3177</v>
      </c>
      <c r="N951" s="16"/>
      <c r="O951" s="16" t="s">
        <v>3178</v>
      </c>
      <c r="P951" s="16" t="str">
        <f>HYPERLINK("https://ceds.ed.gov/cedselementdetails.aspx?termid=27905")</f>
        <v>https://ceds.ed.gov/cedselementdetails.aspx?termid=27905</v>
      </c>
      <c r="Q951" s="16">
        <v>75363</v>
      </c>
    </row>
    <row r="952" spans="1:17" ht="57.6" x14ac:dyDescent="0.3">
      <c r="A952" s="16" t="s">
        <v>7665</v>
      </c>
      <c r="B952" s="16" t="s">
        <v>7666</v>
      </c>
      <c r="C952" s="16" t="s">
        <v>7600</v>
      </c>
      <c r="D952" s="16" t="s">
        <v>7597</v>
      </c>
      <c r="E952" s="16" t="s">
        <v>7058</v>
      </c>
      <c r="F952" s="16" t="s">
        <v>7059</v>
      </c>
      <c r="G952" s="16" t="s">
        <v>8848</v>
      </c>
      <c r="H952" s="16"/>
      <c r="I952" s="16"/>
      <c r="J952" s="16"/>
      <c r="K952" s="16"/>
      <c r="L952" s="16"/>
      <c r="M952" s="19" t="s">
        <v>7060</v>
      </c>
      <c r="N952" s="16"/>
      <c r="O952" s="16" t="s">
        <v>7061</v>
      </c>
      <c r="P952" s="16" t="str">
        <f>HYPERLINK("https://ceds.ed.gov/cedselementdetails.aspx?termid=27911")</f>
        <v>https://ceds.ed.gov/cedselementdetails.aspx?termid=27911</v>
      </c>
      <c r="Q952" s="16">
        <v>75364</v>
      </c>
    </row>
    <row r="953" spans="1:17" ht="72" x14ac:dyDescent="0.3">
      <c r="A953" s="16" t="s">
        <v>7665</v>
      </c>
      <c r="B953" s="16" t="s">
        <v>7666</v>
      </c>
      <c r="C953" s="16" t="s">
        <v>7601</v>
      </c>
      <c r="D953" s="16" t="s">
        <v>7597</v>
      </c>
      <c r="E953" s="16" t="s">
        <v>5773</v>
      </c>
      <c r="F953" s="16" t="s">
        <v>5774</v>
      </c>
      <c r="G953" s="16" t="s">
        <v>32</v>
      </c>
      <c r="H953" s="16" t="s">
        <v>64</v>
      </c>
      <c r="I953" s="16"/>
      <c r="J953" s="16" t="s">
        <v>1304</v>
      </c>
      <c r="K953" s="16"/>
      <c r="L953" s="16"/>
      <c r="M953" s="19" t="s">
        <v>5775</v>
      </c>
      <c r="N953" s="16"/>
      <c r="O953" s="16" t="s">
        <v>5776</v>
      </c>
      <c r="P953" s="16" t="str">
        <f>HYPERLINK("https://ceds.ed.gov/cedselementdetails.aspx?termid=26213")</f>
        <v>https://ceds.ed.gov/cedselementdetails.aspx?termid=26213</v>
      </c>
      <c r="Q953" s="16">
        <v>74180</v>
      </c>
    </row>
    <row r="954" spans="1:17" ht="86.4" x14ac:dyDescent="0.3">
      <c r="A954" s="16" t="s">
        <v>7665</v>
      </c>
      <c r="B954" s="16" t="s">
        <v>7666</v>
      </c>
      <c r="C954" s="16" t="s">
        <v>7601</v>
      </c>
      <c r="D954" s="16" t="s">
        <v>7597</v>
      </c>
      <c r="E954" s="16" t="s">
        <v>5855</v>
      </c>
      <c r="F954" s="16" t="s">
        <v>5856</v>
      </c>
      <c r="G954" s="16" t="s">
        <v>22</v>
      </c>
      <c r="H954" s="16"/>
      <c r="I954" s="16"/>
      <c r="J954" s="16"/>
      <c r="K954" s="16"/>
      <c r="L954" s="16"/>
      <c r="M954" s="19" t="s">
        <v>5857</v>
      </c>
      <c r="N954" s="16"/>
      <c r="O954" s="16" t="s">
        <v>5858</v>
      </c>
      <c r="P954" s="16" t="str">
        <f>HYPERLINK("https://ceds.ed.gov/cedselementdetails.aspx?termid=27397")</f>
        <v>https://ceds.ed.gov/cedselementdetails.aspx?termid=27397</v>
      </c>
      <c r="Q954" s="16">
        <v>74179</v>
      </c>
    </row>
    <row r="955" spans="1:17" ht="28.8" x14ac:dyDescent="0.3">
      <c r="A955" s="16" t="s">
        <v>7665</v>
      </c>
      <c r="B955" s="16" t="s">
        <v>7666</v>
      </c>
      <c r="C955" s="16" t="s">
        <v>7601</v>
      </c>
      <c r="D955" s="16" t="s">
        <v>7597</v>
      </c>
      <c r="E955" s="16" t="s">
        <v>7262</v>
      </c>
      <c r="F955" s="16" t="s">
        <v>7263</v>
      </c>
      <c r="G955" s="16" t="s">
        <v>32</v>
      </c>
      <c r="H955" s="16" t="s">
        <v>214</v>
      </c>
      <c r="I955" s="16"/>
      <c r="J955" s="16" t="s">
        <v>101</v>
      </c>
      <c r="K955" s="16"/>
      <c r="L955" s="16"/>
      <c r="M955" s="19" t="s">
        <v>7264</v>
      </c>
      <c r="N955" s="16"/>
      <c r="O955" s="16" t="s">
        <v>7265</v>
      </c>
      <c r="P955" s="16" t="str">
        <f>HYPERLINK("https://ceds.ed.gov/cedselementdetails.aspx?termid=26300")</f>
        <v>https://ceds.ed.gov/cedselementdetails.aspx?termid=26300</v>
      </c>
      <c r="Q955" s="16">
        <v>74173</v>
      </c>
    </row>
    <row r="956" spans="1:17" ht="158.4" x14ac:dyDescent="0.3">
      <c r="A956" s="16" t="s">
        <v>7665</v>
      </c>
      <c r="B956" s="16" t="s">
        <v>7666</v>
      </c>
      <c r="C956" s="16" t="s">
        <v>7602</v>
      </c>
      <c r="D956" s="16" t="s">
        <v>7597</v>
      </c>
      <c r="E956" s="16" t="s">
        <v>3990</v>
      </c>
      <c r="F956" s="16" t="s">
        <v>3991</v>
      </c>
      <c r="G956" s="16" t="s">
        <v>32</v>
      </c>
      <c r="H956" s="16" t="s">
        <v>3994</v>
      </c>
      <c r="I956" s="16"/>
      <c r="J956" s="16" t="s">
        <v>7426</v>
      </c>
      <c r="K956" s="16"/>
      <c r="L956" s="16" t="s">
        <v>8047</v>
      </c>
      <c r="M956" s="19" t="s">
        <v>3992</v>
      </c>
      <c r="N956" s="16"/>
      <c r="O956" s="16" t="s">
        <v>3993</v>
      </c>
      <c r="P956" s="16" t="str">
        <f>HYPERLINK("https://ceds.ed.gov/cedselementdetails.aspx?termid=26115")</f>
        <v>https://ceds.ed.gov/cedselementdetails.aspx?termid=26115</v>
      </c>
      <c r="Q956" s="16">
        <v>74184</v>
      </c>
    </row>
    <row r="957" spans="1:17" ht="158.4" x14ac:dyDescent="0.3">
      <c r="A957" s="16" t="s">
        <v>7665</v>
      </c>
      <c r="B957" s="16" t="s">
        <v>7666</v>
      </c>
      <c r="C957" s="16" t="s">
        <v>7602</v>
      </c>
      <c r="D957" s="16" t="s">
        <v>7597</v>
      </c>
      <c r="E957" s="16" t="s">
        <v>5328</v>
      </c>
      <c r="F957" s="16" t="s">
        <v>5329</v>
      </c>
      <c r="G957" s="16" t="s">
        <v>32</v>
      </c>
      <c r="H957" s="16" t="s">
        <v>3994</v>
      </c>
      <c r="I957" s="16"/>
      <c r="J957" s="16" t="s">
        <v>7426</v>
      </c>
      <c r="K957" s="16"/>
      <c r="L957" s="16" t="s">
        <v>8053</v>
      </c>
      <c r="M957" s="19" t="s">
        <v>5330</v>
      </c>
      <c r="N957" s="16"/>
      <c r="O957" s="16" t="s">
        <v>5331</v>
      </c>
      <c r="P957" s="16" t="str">
        <f>HYPERLINK("https://ceds.ed.gov/cedselementdetails.aspx?termid=26184")</f>
        <v>https://ceds.ed.gov/cedselementdetails.aspx?termid=26184</v>
      </c>
      <c r="Q957" s="16">
        <v>74182</v>
      </c>
    </row>
    <row r="958" spans="1:17" ht="158.4" x14ac:dyDescent="0.3">
      <c r="A958" s="16" t="s">
        <v>7665</v>
      </c>
      <c r="B958" s="16" t="s">
        <v>7666</v>
      </c>
      <c r="C958" s="16" t="s">
        <v>7602</v>
      </c>
      <c r="D958" s="16" t="s">
        <v>7597</v>
      </c>
      <c r="E958" s="16" t="s">
        <v>4893</v>
      </c>
      <c r="F958" s="16" t="s">
        <v>4894</v>
      </c>
      <c r="G958" s="16" t="s">
        <v>32</v>
      </c>
      <c r="H958" s="16" t="s">
        <v>3994</v>
      </c>
      <c r="I958" s="16"/>
      <c r="J958" s="16" t="s">
        <v>7426</v>
      </c>
      <c r="K958" s="16"/>
      <c r="L958" s="16" t="s">
        <v>8053</v>
      </c>
      <c r="M958" s="19" t="s">
        <v>4895</v>
      </c>
      <c r="N958" s="16" t="s">
        <v>4896</v>
      </c>
      <c r="O958" s="16" t="s">
        <v>4897</v>
      </c>
      <c r="P958" s="16" t="str">
        <f>HYPERLINK("https://ceds.ed.gov/cedselementdetails.aspx?termid=26172")</f>
        <v>https://ceds.ed.gov/cedselementdetails.aspx?termid=26172</v>
      </c>
      <c r="Q958" s="16">
        <v>74181</v>
      </c>
    </row>
    <row r="959" spans="1:17" ht="129.6" x14ac:dyDescent="0.3">
      <c r="A959" s="16" t="s">
        <v>7665</v>
      </c>
      <c r="B959" s="16" t="s">
        <v>7666</v>
      </c>
      <c r="C959" s="16" t="s">
        <v>7602</v>
      </c>
      <c r="D959" s="16" t="s">
        <v>7597</v>
      </c>
      <c r="E959" s="16" t="s">
        <v>4054</v>
      </c>
      <c r="F959" s="16" t="s">
        <v>4055</v>
      </c>
      <c r="G959" s="16" t="s">
        <v>32</v>
      </c>
      <c r="H959" s="16" t="s">
        <v>4059</v>
      </c>
      <c r="I959" s="16"/>
      <c r="J959" s="16" t="s">
        <v>2697</v>
      </c>
      <c r="K959" s="16"/>
      <c r="L959" s="16" t="s">
        <v>8053</v>
      </c>
      <c r="M959" s="19" t="s">
        <v>4057</v>
      </c>
      <c r="N959" s="16"/>
      <c r="O959" s="16" t="s">
        <v>4058</v>
      </c>
      <c r="P959" s="16" t="str">
        <f>HYPERLINK("https://ceds.ed.gov/cedselementdetails.aspx?termid=26121")</f>
        <v>https://ceds.ed.gov/cedselementdetails.aspx?termid=26121</v>
      </c>
      <c r="Q959" s="16">
        <v>74185</v>
      </c>
    </row>
    <row r="960" spans="1:17" ht="86.4" x14ac:dyDescent="0.3">
      <c r="A960" s="16" t="s">
        <v>7665</v>
      </c>
      <c r="B960" s="16" t="s">
        <v>7666</v>
      </c>
      <c r="C960" s="16" t="s">
        <v>7602</v>
      </c>
      <c r="D960" s="16" t="s">
        <v>7597</v>
      </c>
      <c r="E960" s="16" t="s">
        <v>5760</v>
      </c>
      <c r="F960" s="16" t="s">
        <v>5761</v>
      </c>
      <c r="G960" s="16" t="s">
        <v>32</v>
      </c>
      <c r="H960" s="16" t="s">
        <v>5765</v>
      </c>
      <c r="I960" s="16"/>
      <c r="J960" s="16" t="s">
        <v>81</v>
      </c>
      <c r="K960" s="16"/>
      <c r="L960" s="16"/>
      <c r="M960" s="19" t="s">
        <v>5762</v>
      </c>
      <c r="N960" s="16" t="s">
        <v>5763</v>
      </c>
      <c r="O960" s="16" t="s">
        <v>5764</v>
      </c>
      <c r="P960" s="16" t="str">
        <f>HYPERLINK("https://ceds.ed.gov/cedselementdetails.aspx?termid=26212")</f>
        <v>https://ceds.ed.gov/cedselementdetails.aspx?termid=26212</v>
      </c>
      <c r="Q960" s="16">
        <v>74183</v>
      </c>
    </row>
    <row r="961" spans="1:17" ht="72" x14ac:dyDescent="0.3">
      <c r="A961" s="16" t="s">
        <v>7665</v>
      </c>
      <c r="B961" s="16" t="s">
        <v>7666</v>
      </c>
      <c r="C961" s="16" t="s">
        <v>7603</v>
      </c>
      <c r="D961" s="16" t="s">
        <v>7597</v>
      </c>
      <c r="E961" s="16" t="s">
        <v>187</v>
      </c>
      <c r="F961" s="16" t="s">
        <v>188</v>
      </c>
      <c r="G961" s="16" t="s">
        <v>8205</v>
      </c>
      <c r="H961" s="16" t="s">
        <v>64</v>
      </c>
      <c r="I961" s="16"/>
      <c r="J961" s="16" t="s">
        <v>81</v>
      </c>
      <c r="K961" s="16"/>
      <c r="L961" s="16"/>
      <c r="M961" s="19" t="s">
        <v>189</v>
      </c>
      <c r="N961" s="16"/>
      <c r="O961" s="16" t="s">
        <v>190</v>
      </c>
      <c r="P961" s="16" t="str">
        <f>HYPERLINK("https://ceds.ed.gov/cedselementdetails.aspx?termid=26644")</f>
        <v>https://ceds.ed.gov/cedselementdetails.aspx?termid=26644</v>
      </c>
      <c r="Q961" s="16">
        <v>74189</v>
      </c>
    </row>
    <row r="962" spans="1:17" ht="187.2" x14ac:dyDescent="0.3">
      <c r="A962" s="16" t="s">
        <v>7665</v>
      </c>
      <c r="B962" s="16" t="s">
        <v>7666</v>
      </c>
      <c r="C962" s="16" t="s">
        <v>7603</v>
      </c>
      <c r="D962" s="16" t="s">
        <v>7597</v>
      </c>
      <c r="E962" s="16" t="s">
        <v>177</v>
      </c>
      <c r="F962" s="16" t="s">
        <v>178</v>
      </c>
      <c r="G962" s="16" t="s">
        <v>32</v>
      </c>
      <c r="H962" s="16" t="s">
        <v>163</v>
      </c>
      <c r="I962" s="16"/>
      <c r="J962" s="16" t="s">
        <v>179</v>
      </c>
      <c r="K962" s="16"/>
      <c r="L962" s="16"/>
      <c r="M962" s="19" t="s">
        <v>180</v>
      </c>
      <c r="N962" s="16"/>
      <c r="O962" s="16" t="s">
        <v>181</v>
      </c>
      <c r="P962" s="16" t="str">
        <f>HYPERLINK("https://ceds.ed.gov/cedselementdetails.aspx?termid=26269")</f>
        <v>https://ceds.ed.gov/cedselementdetails.aspx?termid=26269</v>
      </c>
      <c r="Q962" s="16">
        <v>74188</v>
      </c>
    </row>
    <row r="963" spans="1:17" ht="187.2" x14ac:dyDescent="0.3">
      <c r="A963" s="16" t="s">
        <v>7665</v>
      </c>
      <c r="B963" s="16" t="s">
        <v>7666</v>
      </c>
      <c r="C963" s="16" t="s">
        <v>7603</v>
      </c>
      <c r="D963" s="16" t="s">
        <v>7597</v>
      </c>
      <c r="E963" s="16" t="s">
        <v>158</v>
      </c>
      <c r="F963" s="16" t="s">
        <v>159</v>
      </c>
      <c r="G963" s="16" t="s">
        <v>32</v>
      </c>
      <c r="H963" s="16" t="s">
        <v>163</v>
      </c>
      <c r="I963" s="16"/>
      <c r="J963" s="16" t="s">
        <v>145</v>
      </c>
      <c r="K963" s="16"/>
      <c r="L963" s="16"/>
      <c r="M963" s="19" t="s">
        <v>161</v>
      </c>
      <c r="N963" s="16"/>
      <c r="O963" s="16" t="s">
        <v>162</v>
      </c>
      <c r="P963" s="16" t="str">
        <f>HYPERLINK("https://ceds.ed.gov/cedselementdetails.aspx?termid=26019")</f>
        <v>https://ceds.ed.gov/cedselementdetails.aspx?termid=26019</v>
      </c>
      <c r="Q963" s="16">
        <v>74190</v>
      </c>
    </row>
    <row r="964" spans="1:17" ht="187.2" x14ac:dyDescent="0.3">
      <c r="A964" s="16" t="s">
        <v>7665</v>
      </c>
      <c r="B964" s="16" t="s">
        <v>7666</v>
      </c>
      <c r="C964" s="16" t="s">
        <v>7603</v>
      </c>
      <c r="D964" s="16" t="s">
        <v>7597</v>
      </c>
      <c r="E964" s="16" t="s">
        <v>164</v>
      </c>
      <c r="F964" s="16" t="s">
        <v>165</v>
      </c>
      <c r="G964" s="16" t="s">
        <v>32</v>
      </c>
      <c r="H964" s="16" t="s">
        <v>163</v>
      </c>
      <c r="I964" s="16"/>
      <c r="J964" s="16" t="s">
        <v>81</v>
      </c>
      <c r="K964" s="16"/>
      <c r="L964" s="16"/>
      <c r="M964" s="19" t="s">
        <v>166</v>
      </c>
      <c r="N964" s="16"/>
      <c r="O964" s="16" t="s">
        <v>167</v>
      </c>
      <c r="P964" s="16" t="str">
        <f>HYPERLINK("https://ceds.ed.gov/cedselementdetails.aspx?termid=26040")</f>
        <v>https://ceds.ed.gov/cedselementdetails.aspx?termid=26040</v>
      </c>
      <c r="Q964" s="16">
        <v>74191</v>
      </c>
    </row>
    <row r="965" spans="1:17" ht="409.6" x14ac:dyDescent="0.3">
      <c r="A965" s="16" t="s">
        <v>7665</v>
      </c>
      <c r="B965" s="16" t="s">
        <v>7666</v>
      </c>
      <c r="C965" s="16" t="s">
        <v>7603</v>
      </c>
      <c r="D965" s="16" t="s">
        <v>7597</v>
      </c>
      <c r="E965" s="16" t="s">
        <v>6840</v>
      </c>
      <c r="F965" s="16" t="s">
        <v>6841</v>
      </c>
      <c r="G965" s="16" t="s">
        <v>8266</v>
      </c>
      <c r="H965" s="16" t="s">
        <v>6844</v>
      </c>
      <c r="I965" s="16"/>
      <c r="J965" s="16"/>
      <c r="K965" s="16"/>
      <c r="L965" s="16"/>
      <c r="M965" s="19" t="s">
        <v>6842</v>
      </c>
      <c r="N965" s="16"/>
      <c r="O965" s="16" t="s">
        <v>6843</v>
      </c>
      <c r="P965" s="16" t="str">
        <f>HYPERLINK("https://ceds.ed.gov/cedselementdetails.aspx?termid=26267")</f>
        <v>https://ceds.ed.gov/cedselementdetails.aspx?termid=26267</v>
      </c>
      <c r="Q965" s="16">
        <v>74187</v>
      </c>
    </row>
    <row r="966" spans="1:17" ht="187.2" x14ac:dyDescent="0.3">
      <c r="A966" s="16" t="s">
        <v>7665</v>
      </c>
      <c r="B966" s="16" t="s">
        <v>7666</v>
      </c>
      <c r="C966" s="16" t="s">
        <v>7603</v>
      </c>
      <c r="D966" s="16" t="s">
        <v>7597</v>
      </c>
      <c r="E966" s="16" t="s">
        <v>172</v>
      </c>
      <c r="F966" s="16" t="s">
        <v>173</v>
      </c>
      <c r="G966" s="16" t="s">
        <v>32</v>
      </c>
      <c r="H966" s="16" t="s">
        <v>163</v>
      </c>
      <c r="I966" s="16"/>
      <c r="J966" s="16" t="s">
        <v>174</v>
      </c>
      <c r="K966" s="16"/>
      <c r="L966" s="16"/>
      <c r="M966" s="19" t="s">
        <v>175</v>
      </c>
      <c r="N966" s="16"/>
      <c r="O966" s="16" t="s">
        <v>176</v>
      </c>
      <c r="P966" s="16" t="str">
        <f>HYPERLINK("https://ceds.ed.gov/cedselementdetails.aspx?termid=26214")</f>
        <v>https://ceds.ed.gov/cedselementdetails.aspx?termid=26214</v>
      </c>
      <c r="Q966" s="16">
        <v>74193</v>
      </c>
    </row>
    <row r="967" spans="1:17" ht="187.2" x14ac:dyDescent="0.3">
      <c r="A967" s="16" t="s">
        <v>7665</v>
      </c>
      <c r="B967" s="16" t="s">
        <v>7666</v>
      </c>
      <c r="C967" s="16" t="s">
        <v>7603</v>
      </c>
      <c r="D967" s="16" t="s">
        <v>7597</v>
      </c>
      <c r="E967" s="16" t="s">
        <v>168</v>
      </c>
      <c r="F967" s="16" t="s">
        <v>169</v>
      </c>
      <c r="G967" s="16" t="s">
        <v>32</v>
      </c>
      <c r="H967" s="16" t="s">
        <v>163</v>
      </c>
      <c r="I967" s="16"/>
      <c r="J967" s="16" t="s">
        <v>81</v>
      </c>
      <c r="K967" s="16"/>
      <c r="L967" s="16"/>
      <c r="M967" s="19" t="s">
        <v>170</v>
      </c>
      <c r="N967" s="16"/>
      <c r="O967" s="16" t="s">
        <v>171</v>
      </c>
      <c r="P967" s="16" t="str">
        <f>HYPERLINK("https://ceds.ed.gov/cedselementdetails.aspx?termid=26190")</f>
        <v>https://ceds.ed.gov/cedselementdetails.aspx?termid=26190</v>
      </c>
      <c r="Q967" s="16">
        <v>74186</v>
      </c>
    </row>
    <row r="968" spans="1:17" ht="409.6" x14ac:dyDescent="0.3">
      <c r="A968" s="16" t="s">
        <v>7665</v>
      </c>
      <c r="B968" s="16" t="s">
        <v>7666</v>
      </c>
      <c r="C968" s="16" t="s">
        <v>7603</v>
      </c>
      <c r="D968" s="16" t="s">
        <v>7597</v>
      </c>
      <c r="E968" s="16" t="s">
        <v>2483</v>
      </c>
      <c r="F968" s="16" t="s">
        <v>2484</v>
      </c>
      <c r="G968" s="16" t="s">
        <v>8454</v>
      </c>
      <c r="H968" s="16" t="s">
        <v>2487</v>
      </c>
      <c r="I968" s="16"/>
      <c r="J968" s="16"/>
      <c r="K968" s="16"/>
      <c r="L968" s="16" t="s">
        <v>7915</v>
      </c>
      <c r="M968" s="19" t="s">
        <v>2485</v>
      </c>
      <c r="N968" s="16"/>
      <c r="O968" s="16" t="s">
        <v>2486</v>
      </c>
      <c r="P968" s="16" t="str">
        <f>HYPERLINK("https://ceds.ed.gov/cedselementdetails.aspx?termid=26050")</f>
        <v>https://ceds.ed.gov/cedselementdetails.aspx?termid=26050</v>
      </c>
      <c r="Q968" s="16">
        <v>74192</v>
      </c>
    </row>
    <row r="969" spans="1:17" ht="158.4" x14ac:dyDescent="0.3">
      <c r="A969" s="16" t="s">
        <v>7665</v>
      </c>
      <c r="B969" s="16" t="s">
        <v>7666</v>
      </c>
      <c r="C969" s="16" t="s">
        <v>7603</v>
      </c>
      <c r="D969" s="16" t="s">
        <v>7597</v>
      </c>
      <c r="E969" s="16" t="s">
        <v>2493</v>
      </c>
      <c r="F969" s="16" t="s">
        <v>2494</v>
      </c>
      <c r="G969" s="16" t="s">
        <v>32</v>
      </c>
      <c r="H969" s="16"/>
      <c r="I969" s="16"/>
      <c r="J969" s="16" t="s">
        <v>2495</v>
      </c>
      <c r="K969" s="16"/>
      <c r="L969" s="16"/>
      <c r="M969" s="19" t="s">
        <v>2496</v>
      </c>
      <c r="N969" s="16"/>
      <c r="O969" s="16" t="s">
        <v>2497</v>
      </c>
      <c r="P969" s="16" t="str">
        <f>HYPERLINK("https://ceds.ed.gov/cedselementdetails.aspx?termid=27176")</f>
        <v>https://ceds.ed.gov/cedselementdetails.aspx?termid=27176</v>
      </c>
      <c r="Q969" s="16">
        <v>74391</v>
      </c>
    </row>
    <row r="970" spans="1:17" ht="57.6" x14ac:dyDescent="0.3">
      <c r="A970" s="16" t="s">
        <v>7665</v>
      </c>
      <c r="B970" s="16" t="s">
        <v>7666</v>
      </c>
      <c r="C970" s="16" t="s">
        <v>7603</v>
      </c>
      <c r="D970" s="16" t="s">
        <v>7597</v>
      </c>
      <c r="E970" s="16" t="s">
        <v>4902</v>
      </c>
      <c r="F970" s="16" t="s">
        <v>4903</v>
      </c>
      <c r="G970" s="16" t="s">
        <v>32</v>
      </c>
      <c r="H970" s="16"/>
      <c r="I970" s="16"/>
      <c r="J970" s="16" t="s">
        <v>1130</v>
      </c>
      <c r="K970" s="16"/>
      <c r="L970" s="16"/>
      <c r="M970" s="19" t="s">
        <v>4904</v>
      </c>
      <c r="N970" s="16"/>
      <c r="O970" s="16" t="s">
        <v>4902</v>
      </c>
      <c r="P970" s="16" t="str">
        <f>HYPERLINK("https://ceds.ed.gov/cedselementdetails.aspx?termid=26599")</f>
        <v>https://ceds.ed.gov/cedselementdetails.aspx?termid=26599</v>
      </c>
      <c r="Q970" s="16">
        <v>74274</v>
      </c>
    </row>
    <row r="971" spans="1:17" ht="57.6" x14ac:dyDescent="0.3">
      <c r="A971" s="16" t="s">
        <v>7665</v>
      </c>
      <c r="B971" s="16" t="s">
        <v>7666</v>
      </c>
      <c r="C971" s="16" t="s">
        <v>7603</v>
      </c>
      <c r="D971" s="16" t="s">
        <v>7597</v>
      </c>
      <c r="E971" s="16" t="s">
        <v>5285</v>
      </c>
      <c r="F971" s="16" t="s">
        <v>5286</v>
      </c>
      <c r="G971" s="16" t="s">
        <v>32</v>
      </c>
      <c r="H971" s="16"/>
      <c r="I971" s="16"/>
      <c r="J971" s="16" t="s">
        <v>1130</v>
      </c>
      <c r="K971" s="16"/>
      <c r="L971" s="16"/>
      <c r="M971" s="19" t="s">
        <v>5287</v>
      </c>
      <c r="N971" s="16"/>
      <c r="O971" s="16" t="s">
        <v>5285</v>
      </c>
      <c r="P971" s="16" t="str">
        <f>HYPERLINK("https://ceds.ed.gov/cedselementdetails.aspx?termid=26600")</f>
        <v>https://ceds.ed.gov/cedselementdetails.aspx?termid=26600</v>
      </c>
      <c r="Q971" s="16">
        <v>74297</v>
      </c>
    </row>
    <row r="972" spans="1:17" ht="57.6" x14ac:dyDescent="0.3">
      <c r="A972" s="16" t="s">
        <v>7665</v>
      </c>
      <c r="B972" s="16" t="s">
        <v>7666</v>
      </c>
      <c r="C972" s="16" t="s">
        <v>7603</v>
      </c>
      <c r="D972" s="16" t="s">
        <v>7597</v>
      </c>
      <c r="E972" s="16" t="s">
        <v>3175</v>
      </c>
      <c r="F972" s="16" t="s">
        <v>3176</v>
      </c>
      <c r="G972" s="16" t="s">
        <v>2987</v>
      </c>
      <c r="H972" s="16"/>
      <c r="I972" s="16"/>
      <c r="J972" s="16"/>
      <c r="K972" s="16"/>
      <c r="L972" s="16"/>
      <c r="M972" s="19" t="s">
        <v>3177</v>
      </c>
      <c r="N972" s="16"/>
      <c r="O972" s="16" t="s">
        <v>3178</v>
      </c>
      <c r="P972" s="16" t="str">
        <f>HYPERLINK("https://ceds.ed.gov/cedselementdetails.aspx?termid=27905")</f>
        <v>https://ceds.ed.gov/cedselementdetails.aspx?termid=27905</v>
      </c>
      <c r="Q972" s="16">
        <v>75357</v>
      </c>
    </row>
    <row r="973" spans="1:17" ht="72" x14ac:dyDescent="0.3">
      <c r="A973" s="16" t="s">
        <v>7665</v>
      </c>
      <c r="B973" s="16" t="s">
        <v>7666</v>
      </c>
      <c r="C973" s="16" t="s">
        <v>7605</v>
      </c>
      <c r="D973" s="16" t="s">
        <v>7597</v>
      </c>
      <c r="E973" s="16" t="s">
        <v>3406</v>
      </c>
      <c r="F973" s="16" t="s">
        <v>3407</v>
      </c>
      <c r="G973" s="16" t="s">
        <v>32</v>
      </c>
      <c r="H973" s="16" t="s">
        <v>64</v>
      </c>
      <c r="I973" s="16"/>
      <c r="J973" s="16" t="s">
        <v>3408</v>
      </c>
      <c r="K973" s="16"/>
      <c r="L973" s="16"/>
      <c r="M973" s="19" t="s">
        <v>3409</v>
      </c>
      <c r="N973" s="16" t="s">
        <v>3410</v>
      </c>
      <c r="O973" s="16" t="s">
        <v>3411</v>
      </c>
      <c r="P973" s="16" t="str">
        <f>HYPERLINK("https://ceds.ed.gov/cedselementdetails.aspx?termid=26088")</f>
        <v>https://ceds.ed.gov/cedselementdetails.aspx?termid=26088</v>
      </c>
      <c r="Q973" s="16">
        <v>74194</v>
      </c>
    </row>
    <row r="974" spans="1:17" ht="72" x14ac:dyDescent="0.3">
      <c r="A974" s="16" t="s">
        <v>7665</v>
      </c>
      <c r="B974" s="16" t="s">
        <v>7666</v>
      </c>
      <c r="C974" s="16" t="s">
        <v>7605</v>
      </c>
      <c r="D974" s="16" t="s">
        <v>7597</v>
      </c>
      <c r="E974" s="16" t="s">
        <v>3412</v>
      </c>
      <c r="F974" s="16" t="s">
        <v>3413</v>
      </c>
      <c r="G974" s="16" t="s">
        <v>9330</v>
      </c>
      <c r="H974" s="16" t="s">
        <v>64</v>
      </c>
      <c r="I974" s="16"/>
      <c r="J974" s="16"/>
      <c r="K974" s="16"/>
      <c r="L974" s="16"/>
      <c r="M974" s="19" t="s">
        <v>3414</v>
      </c>
      <c r="N974" s="16" t="s">
        <v>3415</v>
      </c>
      <c r="O974" s="16" t="s">
        <v>3416</v>
      </c>
      <c r="P974" s="16" t="str">
        <f>HYPERLINK("https://ceds.ed.gov/cedselementdetails.aspx?termid=26089")</f>
        <v>https://ceds.ed.gov/cedselementdetails.aspx?termid=26089</v>
      </c>
      <c r="Q974" s="16">
        <v>74195</v>
      </c>
    </row>
    <row r="975" spans="1:17" ht="57.6" x14ac:dyDescent="0.3">
      <c r="A975" s="16" t="s">
        <v>7665</v>
      </c>
      <c r="B975" s="16" t="s">
        <v>7666</v>
      </c>
      <c r="C975" s="16" t="s">
        <v>7605</v>
      </c>
      <c r="D975" s="16" t="s">
        <v>7597</v>
      </c>
      <c r="E975" s="16" t="s">
        <v>3175</v>
      </c>
      <c r="F975" s="16" t="s">
        <v>3176</v>
      </c>
      <c r="G975" s="16" t="s">
        <v>2987</v>
      </c>
      <c r="H975" s="16"/>
      <c r="I975" s="16"/>
      <c r="J975" s="16"/>
      <c r="K975" s="16"/>
      <c r="L975" s="16"/>
      <c r="M975" s="19" t="s">
        <v>3177</v>
      </c>
      <c r="N975" s="16"/>
      <c r="O975" s="16" t="s">
        <v>3178</v>
      </c>
      <c r="P975" s="16" t="str">
        <f>HYPERLINK("https://ceds.ed.gov/cedselementdetails.aspx?termid=27905")</f>
        <v>https://ceds.ed.gov/cedselementdetails.aspx?termid=27905</v>
      </c>
      <c r="Q975" s="16">
        <v>75358</v>
      </c>
    </row>
    <row r="976" spans="1:17" ht="72" x14ac:dyDescent="0.3">
      <c r="A976" s="16" t="s">
        <v>7665</v>
      </c>
      <c r="B976" s="16" t="s">
        <v>7666</v>
      </c>
      <c r="C976" s="16" t="s">
        <v>7604</v>
      </c>
      <c r="D976" s="16" t="s">
        <v>7597</v>
      </c>
      <c r="E976" s="16" t="s">
        <v>7053</v>
      </c>
      <c r="F976" s="16" t="s">
        <v>7054</v>
      </c>
      <c r="G976" s="16" t="s">
        <v>32</v>
      </c>
      <c r="H976" s="16" t="s">
        <v>64</v>
      </c>
      <c r="I976" s="16"/>
      <c r="J976" s="16" t="s">
        <v>7055</v>
      </c>
      <c r="K976" s="16"/>
      <c r="L976" s="16"/>
      <c r="M976" s="19" t="s">
        <v>7056</v>
      </c>
      <c r="N976" s="16"/>
      <c r="O976" s="16" t="s">
        <v>7057</v>
      </c>
      <c r="P976" s="16" t="str">
        <f>HYPERLINK("https://ceds.ed.gov/cedselementdetails.aspx?termid=26279")</f>
        <v>https://ceds.ed.gov/cedselementdetails.aspx?termid=26279</v>
      </c>
      <c r="Q976" s="16">
        <v>74196</v>
      </c>
    </row>
    <row r="977" spans="1:17" ht="86.4" x14ac:dyDescent="0.3">
      <c r="A977" s="16" t="s">
        <v>7665</v>
      </c>
      <c r="B977" s="16" t="s">
        <v>7666</v>
      </c>
      <c r="C977" s="16" t="s">
        <v>7604</v>
      </c>
      <c r="D977" s="16" t="s">
        <v>7597</v>
      </c>
      <c r="E977" s="16" t="s">
        <v>7062</v>
      </c>
      <c r="F977" s="16" t="s">
        <v>7063</v>
      </c>
      <c r="G977" s="16" t="s">
        <v>8849</v>
      </c>
      <c r="H977" s="16" t="s">
        <v>64</v>
      </c>
      <c r="I977" s="16"/>
      <c r="J977" s="16" t="s">
        <v>2500</v>
      </c>
      <c r="K977" s="16"/>
      <c r="L977" s="16"/>
      <c r="M977" s="19" t="s">
        <v>7064</v>
      </c>
      <c r="N977" s="16"/>
      <c r="O977" s="16" t="s">
        <v>7065</v>
      </c>
      <c r="P977" s="16" t="str">
        <f>HYPERLINK("https://ceds.ed.gov/cedselementdetails.aspx?termid=26280")</f>
        <v>https://ceds.ed.gov/cedselementdetails.aspx?termid=26280</v>
      </c>
      <c r="Q977" s="16">
        <v>74197</v>
      </c>
    </row>
    <row r="978" spans="1:17" ht="72" x14ac:dyDescent="0.3">
      <c r="A978" s="16" t="s">
        <v>7665</v>
      </c>
      <c r="B978" s="16" t="s">
        <v>7666</v>
      </c>
      <c r="C978" s="16" t="s">
        <v>7604</v>
      </c>
      <c r="D978" s="16" t="s">
        <v>7597</v>
      </c>
      <c r="E978" s="16" t="s">
        <v>5865</v>
      </c>
      <c r="F978" s="16" t="s">
        <v>5866</v>
      </c>
      <c r="G978" s="16" t="s">
        <v>22</v>
      </c>
      <c r="H978" s="16" t="s">
        <v>64</v>
      </c>
      <c r="I978" s="16"/>
      <c r="J978" s="16"/>
      <c r="K978" s="16"/>
      <c r="L978" s="16"/>
      <c r="M978" s="19" t="s">
        <v>5867</v>
      </c>
      <c r="N978" s="16"/>
      <c r="O978" s="16" t="s">
        <v>5868</v>
      </c>
      <c r="P978" s="16" t="str">
        <f>HYPERLINK("https://ceds.ed.gov/cedselementdetails.aspx?termid=26219")</f>
        <v>https://ceds.ed.gov/cedselementdetails.aspx?termid=26219</v>
      </c>
      <c r="Q978" s="16">
        <v>74198</v>
      </c>
    </row>
    <row r="979" spans="1:17" ht="57.6" x14ac:dyDescent="0.3">
      <c r="A979" s="16" t="s">
        <v>7665</v>
      </c>
      <c r="B979" s="16" t="s">
        <v>7666</v>
      </c>
      <c r="C979" s="16" t="s">
        <v>7604</v>
      </c>
      <c r="D979" s="16" t="s">
        <v>7597</v>
      </c>
      <c r="E979" s="16" t="s">
        <v>3175</v>
      </c>
      <c r="F979" s="16" t="s">
        <v>3176</v>
      </c>
      <c r="G979" s="16" t="s">
        <v>2987</v>
      </c>
      <c r="H979" s="16"/>
      <c r="I979" s="16"/>
      <c r="J979" s="16"/>
      <c r="K979" s="16"/>
      <c r="L979" s="16"/>
      <c r="M979" s="19" t="s">
        <v>3177</v>
      </c>
      <c r="N979" s="16"/>
      <c r="O979" s="16" t="s">
        <v>3178</v>
      </c>
      <c r="P979" s="16" t="str">
        <f>HYPERLINK("https://ceds.ed.gov/cedselementdetails.aspx?termid=27905")</f>
        <v>https://ceds.ed.gov/cedselementdetails.aspx?termid=27905</v>
      </c>
      <c r="Q979" s="16">
        <v>75359</v>
      </c>
    </row>
    <row r="980" spans="1:17" ht="57.6" x14ac:dyDescent="0.3">
      <c r="A980" s="16" t="s">
        <v>7665</v>
      </c>
      <c r="B980" s="16" t="s">
        <v>7666</v>
      </c>
      <c r="C980" s="16" t="s">
        <v>7604</v>
      </c>
      <c r="D980" s="16" t="s">
        <v>7597</v>
      </c>
      <c r="E980" s="16" t="s">
        <v>7058</v>
      </c>
      <c r="F980" s="16" t="s">
        <v>7059</v>
      </c>
      <c r="G980" s="16" t="s">
        <v>8848</v>
      </c>
      <c r="H980" s="16"/>
      <c r="I980" s="16"/>
      <c r="J980" s="16"/>
      <c r="K980" s="16"/>
      <c r="L980" s="16"/>
      <c r="M980" s="19" t="s">
        <v>7060</v>
      </c>
      <c r="N980" s="16"/>
      <c r="O980" s="16" t="s">
        <v>7061</v>
      </c>
      <c r="P980" s="16" t="str">
        <f>HYPERLINK("https://ceds.ed.gov/cedselementdetails.aspx?termid=27911")</f>
        <v>https://ceds.ed.gov/cedselementdetails.aspx?termid=27911</v>
      </c>
      <c r="Q980" s="16">
        <v>75360</v>
      </c>
    </row>
    <row r="981" spans="1:17" ht="28.8" x14ac:dyDescent="0.3">
      <c r="A981" s="16" t="s">
        <v>7665</v>
      </c>
      <c r="B981" s="16" t="s">
        <v>7666</v>
      </c>
      <c r="C981" s="16" t="s">
        <v>7606</v>
      </c>
      <c r="D981" s="16" t="s">
        <v>7597</v>
      </c>
      <c r="E981" s="16" t="s">
        <v>5631</v>
      </c>
      <c r="F981" s="16" t="s">
        <v>5632</v>
      </c>
      <c r="G981" s="16" t="s">
        <v>32</v>
      </c>
      <c r="H981" s="16"/>
      <c r="I981" s="16"/>
      <c r="J981" s="16" t="s">
        <v>1266</v>
      </c>
      <c r="K981" s="16"/>
      <c r="L981" s="16" t="s">
        <v>5633</v>
      </c>
      <c r="M981" s="19" t="s">
        <v>5634</v>
      </c>
      <c r="N981" s="16"/>
      <c r="O981" s="16" t="s">
        <v>5635</v>
      </c>
      <c r="P981" s="16" t="str">
        <f>HYPERLINK("https://ceds.ed.gov/cedselementdetails.aspx?termid=27486")</f>
        <v>https://ceds.ed.gov/cedselementdetails.aspx?termid=27486</v>
      </c>
      <c r="Q981" s="16">
        <v>74200</v>
      </c>
    </row>
    <row r="982" spans="1:17" ht="28.8" x14ac:dyDescent="0.3">
      <c r="A982" s="16" t="s">
        <v>7665</v>
      </c>
      <c r="B982" s="16" t="s">
        <v>7666</v>
      </c>
      <c r="C982" s="16" t="s">
        <v>7606</v>
      </c>
      <c r="D982" s="16" t="s">
        <v>7597</v>
      </c>
      <c r="E982" s="16" t="s">
        <v>5641</v>
      </c>
      <c r="F982" s="16" t="s">
        <v>5642</v>
      </c>
      <c r="G982" s="16" t="s">
        <v>32</v>
      </c>
      <c r="H982" s="16"/>
      <c r="I982" s="16"/>
      <c r="J982" s="16" t="s">
        <v>1266</v>
      </c>
      <c r="K982" s="16"/>
      <c r="L982" s="16" t="s">
        <v>5643</v>
      </c>
      <c r="M982" s="19" t="s">
        <v>5644</v>
      </c>
      <c r="N982" s="16"/>
      <c r="O982" s="16" t="s">
        <v>5645</v>
      </c>
      <c r="P982" s="16" t="str">
        <f>HYPERLINK("https://ceds.ed.gov/cedselementdetails.aspx?termid=27487")</f>
        <v>https://ceds.ed.gov/cedselementdetails.aspx?termid=27487</v>
      </c>
      <c r="Q982" s="16">
        <v>74201</v>
      </c>
    </row>
    <row r="983" spans="1:17" ht="28.8" x14ac:dyDescent="0.3">
      <c r="A983" s="16" t="s">
        <v>7665</v>
      </c>
      <c r="B983" s="16" t="s">
        <v>7666</v>
      </c>
      <c r="C983" s="16" t="s">
        <v>7606</v>
      </c>
      <c r="D983" s="16" t="s">
        <v>7597</v>
      </c>
      <c r="E983" s="16" t="s">
        <v>5636</v>
      </c>
      <c r="F983" s="16" t="s">
        <v>5637</v>
      </c>
      <c r="G983" s="16" t="s">
        <v>32</v>
      </c>
      <c r="H983" s="16"/>
      <c r="I983" s="16"/>
      <c r="J983" s="16" t="s">
        <v>1266</v>
      </c>
      <c r="K983" s="16"/>
      <c r="L983" s="16" t="s">
        <v>5638</v>
      </c>
      <c r="M983" s="19" t="s">
        <v>5639</v>
      </c>
      <c r="N983" s="16"/>
      <c r="O983" s="16" t="s">
        <v>5640</v>
      </c>
      <c r="P983" s="16" t="str">
        <f>HYPERLINK("https://ceds.ed.gov/cedselementdetails.aspx?termid=27485")</f>
        <v>https://ceds.ed.gov/cedselementdetails.aspx?termid=27485</v>
      </c>
      <c r="Q983" s="16">
        <v>74199</v>
      </c>
    </row>
    <row r="984" spans="1:17" ht="129.6" x14ac:dyDescent="0.3">
      <c r="A984" s="16" t="s">
        <v>7665</v>
      </c>
      <c r="B984" s="16" t="s">
        <v>7666</v>
      </c>
      <c r="C984" s="16" t="s">
        <v>7606</v>
      </c>
      <c r="D984" s="16" t="s">
        <v>7597</v>
      </c>
      <c r="E984" s="16" t="s">
        <v>5646</v>
      </c>
      <c r="F984" s="16" t="s">
        <v>5647</v>
      </c>
      <c r="G984" s="16" t="s">
        <v>32</v>
      </c>
      <c r="H984" s="16" t="s">
        <v>4059</v>
      </c>
      <c r="I984" s="16"/>
      <c r="J984" s="16" t="s">
        <v>120</v>
      </c>
      <c r="K984" s="16"/>
      <c r="L984" s="16"/>
      <c r="M984" s="19" t="s">
        <v>5648</v>
      </c>
      <c r="N984" s="16"/>
      <c r="O984" s="16" t="s">
        <v>5649</v>
      </c>
      <c r="P984" s="16" t="str">
        <f>HYPERLINK("https://ceds.ed.gov/cedselementdetails.aspx?termid=26206")</f>
        <v>https://ceds.ed.gov/cedselementdetails.aspx?termid=26206</v>
      </c>
      <c r="Q984" s="16">
        <v>74203</v>
      </c>
    </row>
    <row r="985" spans="1:17" ht="115.2" x14ac:dyDescent="0.3">
      <c r="A985" s="16" t="s">
        <v>7665</v>
      </c>
      <c r="B985" s="16" t="s">
        <v>7666</v>
      </c>
      <c r="C985" s="16" t="s">
        <v>7606</v>
      </c>
      <c r="D985" s="16" t="s">
        <v>7597</v>
      </c>
      <c r="E985" s="16" t="s">
        <v>5650</v>
      </c>
      <c r="F985" s="16" t="s">
        <v>5651</v>
      </c>
      <c r="G985" s="16" t="s">
        <v>8746</v>
      </c>
      <c r="H985" s="16" t="s">
        <v>5654</v>
      </c>
      <c r="I985" s="16"/>
      <c r="J985" s="16" t="s">
        <v>81</v>
      </c>
      <c r="K985" s="16"/>
      <c r="L985" s="16"/>
      <c r="M985" s="19" t="s">
        <v>5652</v>
      </c>
      <c r="N985" s="16"/>
      <c r="O985" s="16" t="s">
        <v>5653</v>
      </c>
      <c r="P985" s="16" t="str">
        <f>HYPERLINK("https://ceds.ed.gov/cedselementdetails.aspx?termid=26627")</f>
        <v>https://ceds.ed.gov/cedselementdetails.aspx?termid=26627</v>
      </c>
      <c r="Q985" s="16">
        <v>74202</v>
      </c>
    </row>
    <row r="986" spans="1:17" ht="409.6" x14ac:dyDescent="0.3">
      <c r="A986" s="16" t="s">
        <v>7665</v>
      </c>
      <c r="B986" s="16" t="s">
        <v>7666</v>
      </c>
      <c r="C986" s="16" t="s">
        <v>7607</v>
      </c>
      <c r="D986" s="16" t="s">
        <v>7597</v>
      </c>
      <c r="E986" s="16" t="s">
        <v>4037</v>
      </c>
      <c r="F986" s="16" t="s">
        <v>4038</v>
      </c>
      <c r="G986" s="16" t="s">
        <v>8606</v>
      </c>
      <c r="H986" s="16" t="s">
        <v>3397</v>
      </c>
      <c r="I986" s="16"/>
      <c r="J986" s="16"/>
      <c r="K986" s="16"/>
      <c r="L986" s="16"/>
      <c r="M986" s="19" t="s">
        <v>4039</v>
      </c>
      <c r="N986" s="16"/>
      <c r="O986" s="16" t="s">
        <v>4040</v>
      </c>
      <c r="P986" s="16" t="str">
        <f>HYPERLINK("https://ceds.ed.gov/cedselementdetails.aspx?termid=26866")</f>
        <v>https://ceds.ed.gov/cedselementdetails.aspx?termid=26866</v>
      </c>
      <c r="Q986" s="16">
        <v>75361</v>
      </c>
    </row>
    <row r="987" spans="1:17" ht="409.6" x14ac:dyDescent="0.3">
      <c r="A987" s="16" t="s">
        <v>7665</v>
      </c>
      <c r="B987" s="16" t="s">
        <v>7666</v>
      </c>
      <c r="C987" s="16" t="s">
        <v>7607</v>
      </c>
      <c r="D987" s="16" t="s">
        <v>7597</v>
      </c>
      <c r="E987" s="16" t="s">
        <v>5680</v>
      </c>
      <c r="F987" s="16" t="s">
        <v>5681</v>
      </c>
      <c r="G987" s="16" t="s">
        <v>8606</v>
      </c>
      <c r="H987" s="16" t="s">
        <v>3397</v>
      </c>
      <c r="I987" s="16"/>
      <c r="J987" s="16"/>
      <c r="K987" s="16"/>
      <c r="L987" s="16"/>
      <c r="M987" s="19" t="s">
        <v>5682</v>
      </c>
      <c r="N987" s="16"/>
      <c r="O987" s="16" t="s">
        <v>5683</v>
      </c>
      <c r="P987" s="16" t="str">
        <f>HYPERLINK("https://ceds.ed.gov/cedselementdetails.aspx?termid=26867")</f>
        <v>https://ceds.ed.gov/cedselementdetails.aspx?termid=26867</v>
      </c>
      <c r="Q987" s="16">
        <v>75362</v>
      </c>
    </row>
    <row r="988" spans="1:17" ht="43.2" x14ac:dyDescent="0.3">
      <c r="A988" s="16" t="s">
        <v>7665</v>
      </c>
      <c r="B988" s="16" t="s">
        <v>7666</v>
      </c>
      <c r="C988" s="16" t="s">
        <v>7607</v>
      </c>
      <c r="D988" s="16" t="s">
        <v>7597</v>
      </c>
      <c r="E988" s="16" t="s">
        <v>9229</v>
      </c>
      <c r="F988" s="16" t="s">
        <v>9230</v>
      </c>
      <c r="G988" s="16" t="s">
        <v>32</v>
      </c>
      <c r="H988" s="16"/>
      <c r="I988" s="16"/>
      <c r="J988" s="16" t="s">
        <v>316</v>
      </c>
      <c r="K988" s="16"/>
      <c r="L988" s="16"/>
      <c r="M988" s="19" t="s">
        <v>9231</v>
      </c>
      <c r="N988" s="16"/>
      <c r="O988" s="16" t="s">
        <v>9232</v>
      </c>
      <c r="P988" s="16" t="str">
        <f>HYPERLINK("https://ceds.ed.gov/cedselementdetails.aspx?termid=28081")</f>
        <v>https://ceds.ed.gov/cedselementdetails.aspx?termid=28081</v>
      </c>
      <c r="Q988" s="16">
        <v>76278</v>
      </c>
    </row>
    <row r="989" spans="1:17" ht="28.8" x14ac:dyDescent="0.3">
      <c r="A989" s="16" t="s">
        <v>7665</v>
      </c>
      <c r="B989" s="16" t="s">
        <v>7666</v>
      </c>
      <c r="C989" s="16" t="s">
        <v>7607</v>
      </c>
      <c r="D989" s="16" t="s">
        <v>7597</v>
      </c>
      <c r="E989" s="16" t="s">
        <v>9233</v>
      </c>
      <c r="F989" s="16" t="s">
        <v>9234</v>
      </c>
      <c r="G989" s="16" t="s">
        <v>32</v>
      </c>
      <c r="H989" s="16"/>
      <c r="I989" s="16"/>
      <c r="J989" s="16" t="s">
        <v>145</v>
      </c>
      <c r="K989" s="16"/>
      <c r="L989" s="16"/>
      <c r="M989" s="19" t="s">
        <v>9235</v>
      </c>
      <c r="N989" s="16"/>
      <c r="O989" s="16" t="s">
        <v>9236</v>
      </c>
      <c r="P989" s="16" t="str">
        <f>HYPERLINK("https://ceds.ed.gov/cedselementdetails.aspx?termid=28082")</f>
        <v>https://ceds.ed.gov/cedselementdetails.aspx?termid=28082</v>
      </c>
      <c r="Q989" s="16">
        <v>76279</v>
      </c>
    </row>
    <row r="990" spans="1:17" ht="57.6" x14ac:dyDescent="0.3">
      <c r="A990" s="16" t="s">
        <v>7665</v>
      </c>
      <c r="B990" s="16" t="s">
        <v>7666</v>
      </c>
      <c r="C990" s="16" t="s">
        <v>7607</v>
      </c>
      <c r="D990" s="16" t="s">
        <v>7597</v>
      </c>
      <c r="E990" s="16" t="s">
        <v>9237</v>
      </c>
      <c r="F990" s="16" t="s">
        <v>9238</v>
      </c>
      <c r="G990" s="16" t="s">
        <v>32</v>
      </c>
      <c r="H990" s="16"/>
      <c r="I990" s="16"/>
      <c r="J990" s="16" t="s">
        <v>145</v>
      </c>
      <c r="K990" s="16"/>
      <c r="L990" s="16"/>
      <c r="M990" s="19" t="s">
        <v>9239</v>
      </c>
      <c r="N990" s="16"/>
      <c r="O990" s="16" t="s">
        <v>9240</v>
      </c>
      <c r="P990" s="16" t="str">
        <f>HYPERLINK("https://ceds.ed.gov/cedselementdetails.aspx?termid=28083")</f>
        <v>https://ceds.ed.gov/cedselementdetails.aspx?termid=28083</v>
      </c>
      <c r="Q990" s="16">
        <v>76280</v>
      </c>
    </row>
    <row r="991" spans="1:17" ht="28.8" x14ac:dyDescent="0.3">
      <c r="A991" s="16" t="s">
        <v>7665</v>
      </c>
      <c r="B991" s="16" t="s">
        <v>7666</v>
      </c>
      <c r="C991" s="16" t="s">
        <v>7607</v>
      </c>
      <c r="D991" s="16" t="s">
        <v>7597</v>
      </c>
      <c r="E991" s="16" t="s">
        <v>9241</v>
      </c>
      <c r="F991" s="16" t="s">
        <v>9242</v>
      </c>
      <c r="G991" s="16" t="s">
        <v>32</v>
      </c>
      <c r="H991" s="16"/>
      <c r="I991" s="16"/>
      <c r="J991" s="16" t="s">
        <v>1481</v>
      </c>
      <c r="K991" s="16"/>
      <c r="L991" s="16"/>
      <c r="M991" s="19" t="s">
        <v>9243</v>
      </c>
      <c r="N991" s="16"/>
      <c r="O991" s="16" t="s">
        <v>9244</v>
      </c>
      <c r="P991" s="16" t="str">
        <f>HYPERLINK("https://ceds.ed.gov/cedselementdetails.aspx?termid=28084")</f>
        <v>https://ceds.ed.gov/cedselementdetails.aspx?termid=28084</v>
      </c>
      <c r="Q991" s="16">
        <v>76281</v>
      </c>
    </row>
    <row r="992" spans="1:17" ht="100.8" x14ac:dyDescent="0.3">
      <c r="A992" s="16" t="s">
        <v>7665</v>
      </c>
      <c r="B992" s="16" t="s">
        <v>7666</v>
      </c>
      <c r="C992" s="16" t="s">
        <v>9409</v>
      </c>
      <c r="D992" s="16" t="s">
        <v>7597</v>
      </c>
      <c r="E992" s="16" t="s">
        <v>8909</v>
      </c>
      <c r="F992" s="16" t="s">
        <v>8910</v>
      </c>
      <c r="G992" s="16" t="s">
        <v>9288</v>
      </c>
      <c r="H992" s="16"/>
      <c r="I992" s="16"/>
      <c r="J992" s="16" t="s">
        <v>2</v>
      </c>
      <c r="K992" s="16"/>
      <c r="L992" s="16"/>
      <c r="M992" s="19" t="s">
        <v>8911</v>
      </c>
      <c r="N992" s="16"/>
      <c r="O992" s="16" t="s">
        <v>8912</v>
      </c>
      <c r="P992" s="16" t="str">
        <f>HYPERLINK("https://ceds.ed.gov/cedselementdetails.aspx?termid=28004")</f>
        <v>https://ceds.ed.gov/cedselementdetails.aspx?termid=28004</v>
      </c>
      <c r="Q992" s="16">
        <v>76334</v>
      </c>
    </row>
    <row r="993" spans="1:17" ht="28.8" x14ac:dyDescent="0.3">
      <c r="A993" s="16" t="s">
        <v>7665</v>
      </c>
      <c r="B993" s="16" t="s">
        <v>7666</v>
      </c>
      <c r="C993" s="16" t="s">
        <v>9409</v>
      </c>
      <c r="D993" s="16" t="s">
        <v>7597</v>
      </c>
      <c r="E993" s="16" t="s">
        <v>8913</v>
      </c>
      <c r="F993" s="16" t="s">
        <v>8914</v>
      </c>
      <c r="G993" s="16" t="s">
        <v>32</v>
      </c>
      <c r="H993" s="16"/>
      <c r="I993" s="16"/>
      <c r="J993" s="16" t="s">
        <v>106</v>
      </c>
      <c r="K993" s="16"/>
      <c r="L993" s="16"/>
      <c r="M993" s="19" t="s">
        <v>8915</v>
      </c>
      <c r="N993" s="16"/>
      <c r="O993" s="16" t="s">
        <v>8916</v>
      </c>
      <c r="P993" s="16" t="str">
        <f>HYPERLINK("https://ceds.ed.gov/cedselementdetails.aspx?termid=28005")</f>
        <v>https://ceds.ed.gov/cedselementdetails.aspx?termid=28005</v>
      </c>
      <c r="Q993" s="16">
        <v>76335</v>
      </c>
    </row>
    <row r="994" spans="1:17" ht="28.8" x14ac:dyDescent="0.3">
      <c r="A994" s="16" t="s">
        <v>7665</v>
      </c>
      <c r="B994" s="16" t="s">
        <v>7666</v>
      </c>
      <c r="C994" s="16" t="s">
        <v>9409</v>
      </c>
      <c r="D994" s="16" t="s">
        <v>7597</v>
      </c>
      <c r="E994" s="16" t="s">
        <v>8917</v>
      </c>
      <c r="F994" s="16" t="s">
        <v>8918</v>
      </c>
      <c r="G994" s="16" t="s">
        <v>32</v>
      </c>
      <c r="H994" s="16"/>
      <c r="I994" s="16"/>
      <c r="J994" s="16" t="s">
        <v>106</v>
      </c>
      <c r="K994" s="16"/>
      <c r="L994" s="16"/>
      <c r="M994" s="19" t="s">
        <v>8919</v>
      </c>
      <c r="N994" s="16"/>
      <c r="O994" s="16" t="s">
        <v>8920</v>
      </c>
      <c r="P994" s="16" t="str">
        <f>HYPERLINK("https://ceds.ed.gov/cedselementdetails.aspx?termid=28006")</f>
        <v>https://ceds.ed.gov/cedselementdetails.aspx?termid=28006</v>
      </c>
      <c r="Q994" s="16">
        <v>76336</v>
      </c>
    </row>
    <row r="995" spans="1:17" ht="57.6" x14ac:dyDescent="0.3">
      <c r="A995" s="16" t="s">
        <v>7665</v>
      </c>
      <c r="B995" s="16" t="s">
        <v>7666</v>
      </c>
      <c r="C995" s="16" t="s">
        <v>9409</v>
      </c>
      <c r="D995" s="16" t="s">
        <v>7597</v>
      </c>
      <c r="E995" s="16" t="s">
        <v>8921</v>
      </c>
      <c r="F995" s="16" t="s">
        <v>8922</v>
      </c>
      <c r="G995" s="16" t="s">
        <v>9289</v>
      </c>
      <c r="H995" s="16"/>
      <c r="I995" s="16"/>
      <c r="J995" s="16" t="s">
        <v>2</v>
      </c>
      <c r="K995" s="16"/>
      <c r="L995" s="16"/>
      <c r="M995" s="19" t="s">
        <v>8923</v>
      </c>
      <c r="N995" s="16"/>
      <c r="O995" s="16" t="s">
        <v>8924</v>
      </c>
      <c r="P995" s="16" t="str">
        <f>HYPERLINK("https://ceds.ed.gov/cedselementdetails.aspx?termid=28007")</f>
        <v>https://ceds.ed.gov/cedselementdetails.aspx?termid=28007</v>
      </c>
      <c r="Q995" s="16">
        <v>76337</v>
      </c>
    </row>
    <row r="996" spans="1:17" ht="57.6" x14ac:dyDescent="0.3">
      <c r="A996" s="16" t="s">
        <v>7665</v>
      </c>
      <c r="B996" s="16" t="s">
        <v>7666</v>
      </c>
      <c r="C996" s="16" t="s">
        <v>9410</v>
      </c>
      <c r="D996" s="16" t="s">
        <v>7597</v>
      </c>
      <c r="E996" s="16" t="s">
        <v>8929</v>
      </c>
      <c r="F996" s="16" t="s">
        <v>8930</v>
      </c>
      <c r="G996" s="16" t="s">
        <v>9290</v>
      </c>
      <c r="H996" s="16"/>
      <c r="I996" s="16"/>
      <c r="J996" s="16" t="s">
        <v>2</v>
      </c>
      <c r="K996" s="16"/>
      <c r="L996" s="16"/>
      <c r="M996" s="19" t="s">
        <v>8931</v>
      </c>
      <c r="N996" s="16"/>
      <c r="O996" s="16" t="s">
        <v>8932</v>
      </c>
      <c r="P996" s="16" t="str">
        <f>HYPERLINK("https://ceds.ed.gov/cedselementdetails.aspx?termid=28009")</f>
        <v>https://ceds.ed.gov/cedselementdetails.aspx?termid=28009</v>
      </c>
      <c r="Q996" s="16">
        <v>76265</v>
      </c>
    </row>
    <row r="997" spans="1:17" ht="72" x14ac:dyDescent="0.3">
      <c r="A997" s="16" t="s">
        <v>7665</v>
      </c>
      <c r="B997" s="16" t="s">
        <v>7666</v>
      </c>
      <c r="C997" s="16" t="s">
        <v>9410</v>
      </c>
      <c r="D997" s="16" t="s">
        <v>7597</v>
      </c>
      <c r="E997" s="16" t="s">
        <v>8954</v>
      </c>
      <c r="F997" s="16" t="s">
        <v>8955</v>
      </c>
      <c r="G997" s="16" t="s">
        <v>9422</v>
      </c>
      <c r="H997" s="16"/>
      <c r="I997" s="16"/>
      <c r="J997" s="16" t="s">
        <v>2</v>
      </c>
      <c r="K997" s="16"/>
      <c r="L997" s="16"/>
      <c r="M997" s="19" t="s">
        <v>8956</v>
      </c>
      <c r="N997" s="16"/>
      <c r="O997" s="16" t="s">
        <v>8957</v>
      </c>
      <c r="P997" s="16" t="str">
        <f>HYPERLINK("https://ceds.ed.gov/cedselementdetails.aspx?termid=28015")</f>
        <v>https://ceds.ed.gov/cedselementdetails.aspx?termid=28015</v>
      </c>
      <c r="Q997" s="16">
        <v>76266</v>
      </c>
    </row>
    <row r="998" spans="1:17" ht="72" x14ac:dyDescent="0.3">
      <c r="A998" s="16" t="s">
        <v>7665</v>
      </c>
      <c r="B998" s="16" t="s">
        <v>7666</v>
      </c>
      <c r="C998" s="16" t="s">
        <v>9410</v>
      </c>
      <c r="D998" s="16" t="s">
        <v>7597</v>
      </c>
      <c r="E998" s="16" t="s">
        <v>9000</v>
      </c>
      <c r="F998" s="16" t="s">
        <v>9001</v>
      </c>
      <c r="G998" s="16" t="s">
        <v>9293</v>
      </c>
      <c r="H998" s="16"/>
      <c r="I998" s="16"/>
      <c r="J998" s="16" t="s">
        <v>2</v>
      </c>
      <c r="K998" s="16"/>
      <c r="L998" s="16"/>
      <c r="M998" s="19" t="s">
        <v>9002</v>
      </c>
      <c r="N998" s="16"/>
      <c r="O998" s="16" t="s">
        <v>9003</v>
      </c>
      <c r="P998" s="16" t="str">
        <f>HYPERLINK("https://ceds.ed.gov/cedselementdetails.aspx?termid=28026")</f>
        <v>https://ceds.ed.gov/cedselementdetails.aspx?termid=28026</v>
      </c>
      <c r="Q998" s="16">
        <v>76267</v>
      </c>
    </row>
    <row r="999" spans="1:17" ht="28.8" x14ac:dyDescent="0.3">
      <c r="A999" s="16" t="s">
        <v>7665</v>
      </c>
      <c r="B999" s="16" t="s">
        <v>7666</v>
      </c>
      <c r="C999" s="16" t="s">
        <v>9410</v>
      </c>
      <c r="D999" s="16" t="s">
        <v>7597</v>
      </c>
      <c r="E999" s="16" t="s">
        <v>9004</v>
      </c>
      <c r="F999" s="16" t="s">
        <v>9005</v>
      </c>
      <c r="G999" s="16" t="s">
        <v>32</v>
      </c>
      <c r="H999" s="16"/>
      <c r="I999" s="16"/>
      <c r="J999" s="16" t="s">
        <v>120</v>
      </c>
      <c r="K999" s="16"/>
      <c r="L999" s="16"/>
      <c r="M999" s="19" t="s">
        <v>9006</v>
      </c>
      <c r="N999" s="16"/>
      <c r="O999" s="16" t="s">
        <v>9007</v>
      </c>
      <c r="P999" s="16" t="str">
        <f>HYPERLINK("https://ceds.ed.gov/cedselementdetails.aspx?termid=28027")</f>
        <v>https://ceds.ed.gov/cedselementdetails.aspx?termid=28027</v>
      </c>
      <c r="Q999" s="16">
        <v>76268</v>
      </c>
    </row>
    <row r="1000" spans="1:17" ht="57.6" x14ac:dyDescent="0.3">
      <c r="A1000" s="16" t="s">
        <v>7665</v>
      </c>
      <c r="B1000" s="16" t="s">
        <v>7666</v>
      </c>
      <c r="C1000" s="16" t="s">
        <v>9410</v>
      </c>
      <c r="D1000" s="16" t="s">
        <v>7597</v>
      </c>
      <c r="E1000" s="16" t="s">
        <v>9008</v>
      </c>
      <c r="F1000" s="16" t="s">
        <v>9009</v>
      </c>
      <c r="G1000" s="16" t="s">
        <v>32</v>
      </c>
      <c r="H1000" s="16"/>
      <c r="I1000" s="16"/>
      <c r="J1000" s="16" t="s">
        <v>106</v>
      </c>
      <c r="K1000" s="16"/>
      <c r="L1000" s="16"/>
      <c r="M1000" s="19" t="s">
        <v>9010</v>
      </c>
      <c r="N1000" s="16"/>
      <c r="O1000" s="16" t="s">
        <v>9011</v>
      </c>
      <c r="P1000" s="16" t="str">
        <f>HYPERLINK("https://ceds.ed.gov/cedselementdetails.aspx?termid=28028")</f>
        <v>https://ceds.ed.gov/cedselementdetails.aspx?termid=28028</v>
      </c>
      <c r="Q1000" s="16">
        <v>76269</v>
      </c>
    </row>
    <row r="1001" spans="1:17" ht="72" x14ac:dyDescent="0.3">
      <c r="A1001" s="16" t="s">
        <v>7665</v>
      </c>
      <c r="B1001" s="16" t="s">
        <v>7666</v>
      </c>
      <c r="C1001" s="16" t="s">
        <v>9410</v>
      </c>
      <c r="D1001" s="16" t="s">
        <v>7597</v>
      </c>
      <c r="E1001" s="16" t="s">
        <v>9012</v>
      </c>
      <c r="F1001" s="16" t="s">
        <v>9013</v>
      </c>
      <c r="G1001" s="16" t="s">
        <v>9293</v>
      </c>
      <c r="H1001" s="16"/>
      <c r="I1001" s="16"/>
      <c r="J1001" s="16" t="s">
        <v>2</v>
      </c>
      <c r="K1001" s="16"/>
      <c r="L1001" s="16"/>
      <c r="M1001" s="19" t="s">
        <v>9014</v>
      </c>
      <c r="N1001" s="16"/>
      <c r="O1001" s="16" t="s">
        <v>9015</v>
      </c>
      <c r="P1001" s="16" t="str">
        <f>HYPERLINK("https://ceds.ed.gov/cedselementdetails.aspx?termid=28029")</f>
        <v>https://ceds.ed.gov/cedselementdetails.aspx?termid=28029</v>
      </c>
      <c r="Q1001" s="16">
        <v>76270</v>
      </c>
    </row>
    <row r="1002" spans="1:17" ht="28.8" x14ac:dyDescent="0.3">
      <c r="A1002" s="16" t="s">
        <v>7665</v>
      </c>
      <c r="B1002" s="16" t="s">
        <v>7666</v>
      </c>
      <c r="C1002" s="16" t="s">
        <v>9410</v>
      </c>
      <c r="D1002" s="16" t="s">
        <v>7597</v>
      </c>
      <c r="E1002" s="16" t="s">
        <v>9016</v>
      </c>
      <c r="F1002" s="16" t="s">
        <v>9017</v>
      </c>
      <c r="G1002" s="16" t="s">
        <v>32</v>
      </c>
      <c r="H1002" s="16"/>
      <c r="I1002" s="16"/>
      <c r="J1002" s="16" t="s">
        <v>120</v>
      </c>
      <c r="K1002" s="16"/>
      <c r="L1002" s="16"/>
      <c r="M1002" s="19" t="s">
        <v>9018</v>
      </c>
      <c r="N1002" s="16"/>
      <c r="O1002" s="16" t="s">
        <v>9019</v>
      </c>
      <c r="P1002" s="16" t="str">
        <f>HYPERLINK("https://ceds.ed.gov/cedselementdetails.aspx?termid=28030")</f>
        <v>https://ceds.ed.gov/cedselementdetails.aspx?termid=28030</v>
      </c>
      <c r="Q1002" s="16">
        <v>76271</v>
      </c>
    </row>
    <row r="1003" spans="1:17" ht="86.4" x14ac:dyDescent="0.3">
      <c r="A1003" s="16" t="s">
        <v>7665</v>
      </c>
      <c r="B1003" s="16" t="s">
        <v>7666</v>
      </c>
      <c r="C1003" s="16" t="s">
        <v>9410</v>
      </c>
      <c r="D1003" s="16" t="s">
        <v>7597</v>
      </c>
      <c r="E1003" s="16" t="s">
        <v>9020</v>
      </c>
      <c r="F1003" s="16" t="s">
        <v>9021</v>
      </c>
      <c r="G1003" s="16" t="s">
        <v>9294</v>
      </c>
      <c r="H1003" s="16"/>
      <c r="I1003" s="16"/>
      <c r="J1003" s="16" t="s">
        <v>2</v>
      </c>
      <c r="K1003" s="16"/>
      <c r="L1003" s="16"/>
      <c r="M1003" s="19" t="s">
        <v>9022</v>
      </c>
      <c r="N1003" s="16"/>
      <c r="O1003" s="16" t="s">
        <v>9023</v>
      </c>
      <c r="P1003" s="16" t="str">
        <f>HYPERLINK("https://ceds.ed.gov/cedselementdetails.aspx?termid=28031")</f>
        <v>https://ceds.ed.gov/cedselementdetails.aspx?termid=28031</v>
      </c>
      <c r="Q1003" s="16">
        <v>76272</v>
      </c>
    </row>
    <row r="1004" spans="1:17" ht="86.4" x14ac:dyDescent="0.3">
      <c r="A1004" s="16" t="s">
        <v>7665</v>
      </c>
      <c r="B1004" s="16" t="s">
        <v>7666</v>
      </c>
      <c r="C1004" s="16" t="s">
        <v>9410</v>
      </c>
      <c r="D1004" s="16" t="s">
        <v>7597</v>
      </c>
      <c r="E1004" s="16" t="s">
        <v>9024</v>
      </c>
      <c r="F1004" s="16" t="s">
        <v>9025</v>
      </c>
      <c r="G1004" s="16" t="s">
        <v>9423</v>
      </c>
      <c r="H1004" s="16"/>
      <c r="I1004" s="16"/>
      <c r="J1004" s="16" t="s">
        <v>2</v>
      </c>
      <c r="K1004" s="16"/>
      <c r="L1004" s="16" t="s">
        <v>9026</v>
      </c>
      <c r="M1004" s="19" t="s">
        <v>9027</v>
      </c>
      <c r="N1004" s="16"/>
      <c r="O1004" s="16" t="s">
        <v>9028</v>
      </c>
      <c r="P1004" s="16" t="str">
        <f>HYPERLINK("https://ceds.ed.gov/cedselementdetails.aspx?termid=28032")</f>
        <v>https://ceds.ed.gov/cedselementdetails.aspx?termid=28032</v>
      </c>
      <c r="Q1004" s="16">
        <v>76273</v>
      </c>
    </row>
    <row r="1005" spans="1:17" ht="28.8" x14ac:dyDescent="0.3">
      <c r="A1005" s="16" t="s">
        <v>7665</v>
      </c>
      <c r="B1005" s="16" t="s">
        <v>7666</v>
      </c>
      <c r="C1005" s="16" t="s">
        <v>9410</v>
      </c>
      <c r="D1005" s="16" t="s">
        <v>7597</v>
      </c>
      <c r="E1005" s="16" t="s">
        <v>9029</v>
      </c>
      <c r="F1005" s="16" t="s">
        <v>9030</v>
      </c>
      <c r="G1005" s="16" t="s">
        <v>32</v>
      </c>
      <c r="H1005" s="16"/>
      <c r="I1005" s="16"/>
      <c r="J1005" s="16" t="s">
        <v>106</v>
      </c>
      <c r="K1005" s="16"/>
      <c r="L1005" s="16" t="s">
        <v>9031</v>
      </c>
      <c r="M1005" s="19" t="s">
        <v>9032</v>
      </c>
      <c r="N1005" s="16"/>
      <c r="O1005" s="16" t="s">
        <v>9033</v>
      </c>
      <c r="P1005" s="16" t="str">
        <f>HYPERLINK("https://ceds.ed.gov/cedselementdetails.aspx?termid=28033")</f>
        <v>https://ceds.ed.gov/cedselementdetails.aspx?termid=28033</v>
      </c>
      <c r="Q1005" s="16">
        <v>76274</v>
      </c>
    </row>
    <row r="1006" spans="1:17" ht="28.8" x14ac:dyDescent="0.3">
      <c r="A1006" s="16" t="s">
        <v>7665</v>
      </c>
      <c r="B1006" s="16" t="s">
        <v>7666</v>
      </c>
      <c r="C1006" s="16" t="s">
        <v>9410</v>
      </c>
      <c r="D1006" s="16" t="s">
        <v>7597</v>
      </c>
      <c r="E1006" s="16" t="s">
        <v>9071</v>
      </c>
      <c r="F1006" s="16" t="s">
        <v>9072</v>
      </c>
      <c r="G1006" s="16" t="s">
        <v>8200</v>
      </c>
      <c r="H1006" s="16"/>
      <c r="I1006" s="16"/>
      <c r="J1006" s="16" t="s">
        <v>2</v>
      </c>
      <c r="K1006" s="16"/>
      <c r="L1006" s="16"/>
      <c r="M1006" s="19" t="s">
        <v>9073</v>
      </c>
      <c r="N1006" s="16"/>
      <c r="O1006" s="16" t="s">
        <v>9074</v>
      </c>
      <c r="P1006" s="16" t="str">
        <f>HYPERLINK("https://ceds.ed.gov/cedselementdetails.aspx?termid=28043")</f>
        <v>https://ceds.ed.gov/cedselementdetails.aspx?termid=28043</v>
      </c>
      <c r="Q1006" s="16">
        <v>76275</v>
      </c>
    </row>
    <row r="1007" spans="1:17" ht="28.8" x14ac:dyDescent="0.3">
      <c r="A1007" s="16" t="s">
        <v>7665</v>
      </c>
      <c r="B1007" s="16" t="s">
        <v>7666</v>
      </c>
      <c r="C1007" s="16" t="s">
        <v>9410</v>
      </c>
      <c r="D1007" s="16" t="s">
        <v>7597</v>
      </c>
      <c r="E1007" s="16" t="s">
        <v>9075</v>
      </c>
      <c r="F1007" s="16" t="s">
        <v>9076</v>
      </c>
      <c r="G1007" s="16" t="s">
        <v>8200</v>
      </c>
      <c r="H1007" s="16"/>
      <c r="I1007" s="16"/>
      <c r="J1007" s="16" t="s">
        <v>2</v>
      </c>
      <c r="K1007" s="16"/>
      <c r="L1007" s="16"/>
      <c r="M1007" s="19" t="s">
        <v>9077</v>
      </c>
      <c r="N1007" s="16"/>
      <c r="O1007" s="16" t="s">
        <v>9078</v>
      </c>
      <c r="P1007" s="16" t="str">
        <f>HYPERLINK("https://ceds.ed.gov/cedselementdetails.aspx?termid=28044")</f>
        <v>https://ceds.ed.gov/cedselementdetails.aspx?termid=28044</v>
      </c>
      <c r="Q1007" s="16">
        <v>76276</v>
      </c>
    </row>
    <row r="1008" spans="1:17" ht="72" x14ac:dyDescent="0.3">
      <c r="A1008" s="16" t="s">
        <v>7665</v>
      </c>
      <c r="B1008" s="16" t="s">
        <v>7666</v>
      </c>
      <c r="C1008" s="16" t="s">
        <v>9411</v>
      </c>
      <c r="D1008" s="16" t="s">
        <v>7597</v>
      </c>
      <c r="E1008" s="16" t="s">
        <v>9201</v>
      </c>
      <c r="F1008" s="16" t="s">
        <v>9202</v>
      </c>
      <c r="G1008" s="16" t="s">
        <v>32</v>
      </c>
      <c r="H1008" s="16"/>
      <c r="I1008" s="16"/>
      <c r="J1008" s="16" t="s">
        <v>955</v>
      </c>
      <c r="K1008" s="16"/>
      <c r="L1008" s="16"/>
      <c r="M1008" s="19" t="s">
        <v>9203</v>
      </c>
      <c r="N1008" s="16"/>
      <c r="O1008" s="16" t="s">
        <v>9204</v>
      </c>
      <c r="P1008" s="16" t="str">
        <f>HYPERLINK("https://ceds.ed.gov/cedselementdetails.aspx?termid=28074")</f>
        <v>https://ceds.ed.gov/cedselementdetails.aspx?termid=28074</v>
      </c>
      <c r="Q1008" s="16">
        <v>76277</v>
      </c>
    </row>
    <row r="1009" spans="1:17" ht="43.2" x14ac:dyDescent="0.3">
      <c r="A1009" s="16" t="s">
        <v>7665</v>
      </c>
      <c r="B1009" s="16" t="s">
        <v>7667</v>
      </c>
      <c r="C1009" s="16"/>
      <c r="D1009" s="16" t="s">
        <v>7597</v>
      </c>
      <c r="E1009" s="16" t="s">
        <v>5590</v>
      </c>
      <c r="F1009" s="16" t="s">
        <v>5591</v>
      </c>
      <c r="G1009" s="16" t="s">
        <v>32</v>
      </c>
      <c r="H1009" s="16"/>
      <c r="I1009" s="16"/>
      <c r="J1009" s="16" t="s">
        <v>50</v>
      </c>
      <c r="K1009" s="16"/>
      <c r="L1009" s="16"/>
      <c r="M1009" s="19" t="s">
        <v>5592</v>
      </c>
      <c r="N1009" s="16"/>
      <c r="O1009" s="16" t="s">
        <v>5593</v>
      </c>
      <c r="P1009" s="16" t="str">
        <f>HYPERLINK("https://ceds.ed.gov/cedselementdetails.aspx?termid=27644")</f>
        <v>https://ceds.ed.gov/cedselementdetails.aspx?termid=27644</v>
      </c>
      <c r="Q1009" s="16">
        <v>74975</v>
      </c>
    </row>
    <row r="1010" spans="1:17" ht="28.8" x14ac:dyDescent="0.3">
      <c r="A1010" s="16" t="s">
        <v>7665</v>
      </c>
      <c r="B1010" s="16" t="s">
        <v>7667</v>
      </c>
      <c r="C1010" s="16"/>
      <c r="D1010" s="16" t="s">
        <v>7597</v>
      </c>
      <c r="E1010" s="16" t="s">
        <v>5606</v>
      </c>
      <c r="F1010" s="16" t="s">
        <v>5607</v>
      </c>
      <c r="G1010" s="16" t="s">
        <v>32</v>
      </c>
      <c r="H1010" s="16"/>
      <c r="I1010" s="16"/>
      <c r="J1010" s="16" t="s">
        <v>2807</v>
      </c>
      <c r="K1010" s="16"/>
      <c r="L1010" s="16"/>
      <c r="M1010" s="19" t="s">
        <v>5608</v>
      </c>
      <c r="N1010" s="16"/>
      <c r="O1010" s="16" t="s">
        <v>5609</v>
      </c>
      <c r="P1010" s="16" t="str">
        <f>HYPERLINK("https://ceds.ed.gov/cedselementdetails.aspx?termid=27731")</f>
        <v>https://ceds.ed.gov/cedselementdetails.aspx?termid=27731</v>
      </c>
      <c r="Q1010" s="16">
        <v>74982</v>
      </c>
    </row>
    <row r="1011" spans="1:17" ht="172.8" x14ac:dyDescent="0.3">
      <c r="A1011" s="16" t="s">
        <v>7665</v>
      </c>
      <c r="B1011" s="16" t="s">
        <v>7667</v>
      </c>
      <c r="C1011" s="16" t="s">
        <v>7598</v>
      </c>
      <c r="D1011" s="16" t="s">
        <v>7597</v>
      </c>
      <c r="E1011" s="16" t="s">
        <v>6524</v>
      </c>
      <c r="F1011" s="16" t="s">
        <v>268</v>
      </c>
      <c r="G1011" s="16" t="s">
        <v>32</v>
      </c>
      <c r="H1011" s="16" t="s">
        <v>6523</v>
      </c>
      <c r="I1011" s="16"/>
      <c r="J1011" s="16" t="s">
        <v>120</v>
      </c>
      <c r="K1011" s="16"/>
      <c r="L1011" s="16" t="s">
        <v>7817</v>
      </c>
      <c r="M1011" s="19" t="s">
        <v>6525</v>
      </c>
      <c r="N1011" s="16"/>
      <c r="O1011" s="16" t="s">
        <v>6526</v>
      </c>
      <c r="P1011" s="16" t="str">
        <f>HYPERLINK("https://ceds.ed.gov/cedselementdetails.aspx?termid=26155")</f>
        <v>https://ceds.ed.gov/cedselementdetails.aspx?termid=26155</v>
      </c>
      <c r="Q1011" s="16">
        <v>70825</v>
      </c>
    </row>
    <row r="1012" spans="1:17" ht="187.2" x14ac:dyDescent="0.3">
      <c r="A1012" s="16" t="s">
        <v>7665</v>
      </c>
      <c r="B1012" s="16" t="s">
        <v>7667</v>
      </c>
      <c r="C1012" s="16" t="s">
        <v>7598</v>
      </c>
      <c r="D1012" s="16" t="s">
        <v>7597</v>
      </c>
      <c r="E1012" s="16" t="s">
        <v>6520</v>
      </c>
      <c r="F1012" s="16" t="s">
        <v>263</v>
      </c>
      <c r="G1012" s="16" t="s">
        <v>8261</v>
      </c>
      <c r="H1012" s="16" t="s">
        <v>6523</v>
      </c>
      <c r="I1012" s="16"/>
      <c r="J1012" s="16"/>
      <c r="K1012" s="16"/>
      <c r="L1012" s="16"/>
      <c r="M1012" s="19" t="s">
        <v>6521</v>
      </c>
      <c r="N1012" s="16"/>
      <c r="O1012" s="16" t="s">
        <v>6522</v>
      </c>
      <c r="P1012" s="16" t="str">
        <f>HYPERLINK("https://ceds.ed.gov/cedselementdetails.aspx?termid=26161")</f>
        <v>https://ceds.ed.gov/cedselementdetails.aspx?termid=26161</v>
      </c>
      <c r="Q1012" s="16">
        <v>70826</v>
      </c>
    </row>
    <row r="1013" spans="1:17" ht="187.2" x14ac:dyDescent="0.3">
      <c r="A1013" s="16" t="s">
        <v>7665</v>
      </c>
      <c r="B1013" s="16" t="s">
        <v>7667</v>
      </c>
      <c r="C1013" s="16" t="s">
        <v>7598</v>
      </c>
      <c r="D1013" s="16" t="s">
        <v>7597</v>
      </c>
      <c r="E1013" s="16" t="s">
        <v>5431</v>
      </c>
      <c r="F1013" s="16" t="s">
        <v>5432</v>
      </c>
      <c r="G1013" s="16" t="s">
        <v>32</v>
      </c>
      <c r="H1013" s="16" t="s">
        <v>5435</v>
      </c>
      <c r="I1013" s="16"/>
      <c r="J1013" s="16" t="s">
        <v>145</v>
      </c>
      <c r="K1013" s="16"/>
      <c r="L1013" s="16"/>
      <c r="M1013" s="19" t="s">
        <v>5433</v>
      </c>
      <c r="N1013" s="16"/>
      <c r="O1013" s="16" t="s">
        <v>5434</v>
      </c>
      <c r="P1013" s="16" t="str">
        <f>HYPERLINK("https://ceds.ed.gov/cedselementdetails.aspx?termid=26191")</f>
        <v>https://ceds.ed.gov/cedselementdetails.aspx?termid=26191</v>
      </c>
      <c r="Q1013" s="16">
        <v>70831</v>
      </c>
    </row>
    <row r="1014" spans="1:17" ht="86.4" x14ac:dyDescent="0.3">
      <c r="A1014" s="16" t="s">
        <v>7665</v>
      </c>
      <c r="B1014" s="16" t="s">
        <v>7667</v>
      </c>
      <c r="C1014" s="16" t="s">
        <v>7598</v>
      </c>
      <c r="D1014" s="16" t="s">
        <v>7597</v>
      </c>
      <c r="E1014" s="16" t="s">
        <v>8142</v>
      </c>
      <c r="F1014" s="16" t="s">
        <v>8143</v>
      </c>
      <c r="G1014" s="16" t="s">
        <v>32</v>
      </c>
      <c r="H1014" s="16"/>
      <c r="I1014" s="16"/>
      <c r="J1014" s="16" t="s">
        <v>81</v>
      </c>
      <c r="K1014" s="16"/>
      <c r="L1014" s="16" t="s">
        <v>6671</v>
      </c>
      <c r="M1014" s="19" t="s">
        <v>6672</v>
      </c>
      <c r="N1014" s="16"/>
      <c r="O1014" s="16" t="s">
        <v>8144</v>
      </c>
      <c r="P1014" s="16" t="str">
        <f>HYPERLINK("https://ceds.ed.gov/cedselementdetails.aspx?termid=27459")</f>
        <v>https://ceds.ed.gov/cedselementdetails.aspx?termid=27459</v>
      </c>
      <c r="Q1014" s="16">
        <v>73423</v>
      </c>
    </row>
    <row r="1015" spans="1:17" ht="409.6" x14ac:dyDescent="0.3">
      <c r="A1015" s="16" t="s">
        <v>7665</v>
      </c>
      <c r="B1015" s="16" t="s">
        <v>7667</v>
      </c>
      <c r="C1015" s="16" t="s">
        <v>7598</v>
      </c>
      <c r="D1015" s="16" t="s">
        <v>7597</v>
      </c>
      <c r="E1015" s="16" t="s">
        <v>5618</v>
      </c>
      <c r="F1015" s="16" t="s">
        <v>5619</v>
      </c>
      <c r="G1015" s="16" t="s">
        <v>9335</v>
      </c>
      <c r="H1015" s="16"/>
      <c r="I1015" s="16"/>
      <c r="J1015" s="16"/>
      <c r="K1015" s="16"/>
      <c r="L1015" s="16" t="s">
        <v>5620</v>
      </c>
      <c r="M1015" s="19" t="s">
        <v>5621</v>
      </c>
      <c r="N1015" s="16"/>
      <c r="O1015" s="16" t="s">
        <v>5622</v>
      </c>
      <c r="P1015" s="16" t="str">
        <f>HYPERLINK("https://ceds.ed.gov/cedselementdetails.aspx?termid=27165")</f>
        <v>https://ceds.ed.gov/cedselementdetails.aspx?termid=27165</v>
      </c>
      <c r="Q1015" s="16">
        <v>71809</v>
      </c>
    </row>
    <row r="1016" spans="1:17" ht="86.4" x14ac:dyDescent="0.3">
      <c r="A1016" s="16" t="s">
        <v>7665</v>
      </c>
      <c r="B1016" s="16" t="s">
        <v>7667</v>
      </c>
      <c r="C1016" s="16" t="s">
        <v>7598</v>
      </c>
      <c r="D1016" s="16" t="s">
        <v>7597</v>
      </c>
      <c r="E1016" s="16" t="s">
        <v>5610</v>
      </c>
      <c r="F1016" s="16" t="s">
        <v>5611</v>
      </c>
      <c r="G1016" s="16" t="s">
        <v>8249</v>
      </c>
      <c r="H1016" s="16"/>
      <c r="I1016" s="16"/>
      <c r="J1016" s="16"/>
      <c r="K1016" s="16"/>
      <c r="L1016" s="16" t="s">
        <v>8099</v>
      </c>
      <c r="M1016" s="19" t="s">
        <v>5612</v>
      </c>
      <c r="N1016" s="16"/>
      <c r="O1016" s="16" t="s">
        <v>5613</v>
      </c>
      <c r="P1016" s="16" t="str">
        <f>HYPERLINK("https://ceds.ed.gov/cedselementdetails.aspx?termid=27886")</f>
        <v>https://ceds.ed.gov/cedselementdetails.aspx?termid=27886</v>
      </c>
      <c r="Q1016" s="16">
        <v>75146</v>
      </c>
    </row>
    <row r="1017" spans="1:17" ht="72" x14ac:dyDescent="0.3">
      <c r="A1017" s="16" t="s">
        <v>7665</v>
      </c>
      <c r="B1017" s="16" t="s">
        <v>7667</v>
      </c>
      <c r="C1017" s="16" t="s">
        <v>7599</v>
      </c>
      <c r="D1017" s="16" t="s">
        <v>7597</v>
      </c>
      <c r="E1017" s="16" t="s">
        <v>187</v>
      </c>
      <c r="F1017" s="16" t="s">
        <v>188</v>
      </c>
      <c r="G1017" s="16" t="s">
        <v>8205</v>
      </c>
      <c r="H1017" s="16" t="s">
        <v>64</v>
      </c>
      <c r="I1017" s="16"/>
      <c r="J1017" s="16" t="s">
        <v>81</v>
      </c>
      <c r="K1017" s="16"/>
      <c r="L1017" s="16"/>
      <c r="M1017" s="19" t="s">
        <v>189</v>
      </c>
      <c r="N1017" s="16"/>
      <c r="O1017" s="16" t="s">
        <v>190</v>
      </c>
      <c r="P1017" s="16" t="str">
        <f>HYPERLINK("https://ceds.ed.gov/cedselementdetails.aspx?termid=26644")</f>
        <v>https://ceds.ed.gov/cedselementdetails.aspx?termid=26644</v>
      </c>
      <c r="Q1017" s="16">
        <v>70880</v>
      </c>
    </row>
    <row r="1018" spans="1:17" ht="187.2" x14ac:dyDescent="0.3">
      <c r="A1018" s="16" t="s">
        <v>7665</v>
      </c>
      <c r="B1018" s="16" t="s">
        <v>7667</v>
      </c>
      <c r="C1018" s="16" t="s">
        <v>7599</v>
      </c>
      <c r="D1018" s="16" t="s">
        <v>7597</v>
      </c>
      <c r="E1018" s="16" t="s">
        <v>177</v>
      </c>
      <c r="F1018" s="16" t="s">
        <v>178</v>
      </c>
      <c r="G1018" s="16" t="s">
        <v>32</v>
      </c>
      <c r="H1018" s="16" t="s">
        <v>163</v>
      </c>
      <c r="I1018" s="16"/>
      <c r="J1018" s="16" t="s">
        <v>179</v>
      </c>
      <c r="K1018" s="16"/>
      <c r="L1018" s="16"/>
      <c r="M1018" s="19" t="s">
        <v>180</v>
      </c>
      <c r="N1018" s="16"/>
      <c r="O1018" s="16" t="s">
        <v>181</v>
      </c>
      <c r="P1018" s="16" t="str">
        <f>HYPERLINK("https://ceds.ed.gov/cedselementdetails.aspx?termid=26269")</f>
        <v>https://ceds.ed.gov/cedselementdetails.aspx?termid=26269</v>
      </c>
      <c r="Q1018" s="16">
        <v>70851</v>
      </c>
    </row>
    <row r="1019" spans="1:17" ht="187.2" x14ac:dyDescent="0.3">
      <c r="A1019" s="16" t="s">
        <v>7665</v>
      </c>
      <c r="B1019" s="16" t="s">
        <v>7667</v>
      </c>
      <c r="C1019" s="16" t="s">
        <v>7599</v>
      </c>
      <c r="D1019" s="16" t="s">
        <v>7597</v>
      </c>
      <c r="E1019" s="16" t="s">
        <v>158</v>
      </c>
      <c r="F1019" s="16" t="s">
        <v>159</v>
      </c>
      <c r="G1019" s="16" t="s">
        <v>32</v>
      </c>
      <c r="H1019" s="16" t="s">
        <v>163</v>
      </c>
      <c r="I1019" s="16"/>
      <c r="J1019" s="16" t="s">
        <v>145</v>
      </c>
      <c r="K1019" s="16"/>
      <c r="L1019" s="16"/>
      <c r="M1019" s="19" t="s">
        <v>161</v>
      </c>
      <c r="N1019" s="16"/>
      <c r="O1019" s="16" t="s">
        <v>162</v>
      </c>
      <c r="P1019" s="16" t="str">
        <f>HYPERLINK("https://ceds.ed.gov/cedselementdetails.aspx?termid=26019")</f>
        <v>https://ceds.ed.gov/cedselementdetails.aspx?termid=26019</v>
      </c>
      <c r="Q1019" s="16">
        <v>72145</v>
      </c>
    </row>
    <row r="1020" spans="1:17" ht="187.2" x14ac:dyDescent="0.3">
      <c r="A1020" s="16" t="s">
        <v>7665</v>
      </c>
      <c r="B1020" s="16" t="s">
        <v>7667</v>
      </c>
      <c r="C1020" s="16" t="s">
        <v>7599</v>
      </c>
      <c r="D1020" s="16" t="s">
        <v>7597</v>
      </c>
      <c r="E1020" s="16" t="s">
        <v>164</v>
      </c>
      <c r="F1020" s="16" t="s">
        <v>165</v>
      </c>
      <c r="G1020" s="16" t="s">
        <v>32</v>
      </c>
      <c r="H1020" s="16" t="s">
        <v>163</v>
      </c>
      <c r="I1020" s="16"/>
      <c r="J1020" s="16" t="s">
        <v>81</v>
      </c>
      <c r="K1020" s="16"/>
      <c r="L1020" s="16"/>
      <c r="M1020" s="19" t="s">
        <v>166</v>
      </c>
      <c r="N1020" s="16"/>
      <c r="O1020" s="16" t="s">
        <v>167</v>
      </c>
      <c r="P1020" s="16" t="str">
        <f>HYPERLINK("https://ceds.ed.gov/cedselementdetails.aspx?termid=26040")</f>
        <v>https://ceds.ed.gov/cedselementdetails.aspx?termid=26040</v>
      </c>
      <c r="Q1020" s="16">
        <v>70818</v>
      </c>
    </row>
    <row r="1021" spans="1:17" ht="409.6" x14ac:dyDescent="0.3">
      <c r="A1021" s="16" t="s">
        <v>7665</v>
      </c>
      <c r="B1021" s="16" t="s">
        <v>7667</v>
      </c>
      <c r="C1021" s="16" t="s">
        <v>7599</v>
      </c>
      <c r="D1021" s="16" t="s">
        <v>7597</v>
      </c>
      <c r="E1021" s="16" t="s">
        <v>6840</v>
      </c>
      <c r="F1021" s="16" t="s">
        <v>6841</v>
      </c>
      <c r="G1021" s="16" t="s">
        <v>8266</v>
      </c>
      <c r="H1021" s="16" t="s">
        <v>6844</v>
      </c>
      <c r="I1021" s="16"/>
      <c r="J1021" s="16"/>
      <c r="K1021" s="16"/>
      <c r="L1021" s="16"/>
      <c r="M1021" s="19" t="s">
        <v>6842</v>
      </c>
      <c r="N1021" s="16"/>
      <c r="O1021" s="16" t="s">
        <v>6843</v>
      </c>
      <c r="P1021" s="16" t="str">
        <f>HYPERLINK("https://ceds.ed.gov/cedselementdetails.aspx?termid=26267")</f>
        <v>https://ceds.ed.gov/cedselementdetails.aspx?termid=26267</v>
      </c>
      <c r="Q1021" s="16">
        <v>70850</v>
      </c>
    </row>
    <row r="1022" spans="1:17" ht="187.2" x14ac:dyDescent="0.3">
      <c r="A1022" s="16" t="s">
        <v>7665</v>
      </c>
      <c r="B1022" s="16" t="s">
        <v>7667</v>
      </c>
      <c r="C1022" s="16" t="s">
        <v>7599</v>
      </c>
      <c r="D1022" s="16" t="s">
        <v>7597</v>
      </c>
      <c r="E1022" s="16" t="s">
        <v>172</v>
      </c>
      <c r="F1022" s="16" t="s">
        <v>173</v>
      </c>
      <c r="G1022" s="16" t="s">
        <v>32</v>
      </c>
      <c r="H1022" s="16" t="s">
        <v>163</v>
      </c>
      <c r="I1022" s="16"/>
      <c r="J1022" s="16" t="s">
        <v>174</v>
      </c>
      <c r="K1022" s="16"/>
      <c r="L1022" s="16"/>
      <c r="M1022" s="19" t="s">
        <v>175</v>
      </c>
      <c r="N1022" s="16"/>
      <c r="O1022" s="16" t="s">
        <v>176</v>
      </c>
      <c r="P1022" s="16" t="str">
        <f>HYPERLINK("https://ceds.ed.gov/cedselementdetails.aspx?termid=26214")</f>
        <v>https://ceds.ed.gov/cedselementdetails.aspx?termid=26214</v>
      </c>
      <c r="Q1022" s="16">
        <v>70836</v>
      </c>
    </row>
    <row r="1023" spans="1:17" ht="187.2" x14ac:dyDescent="0.3">
      <c r="A1023" s="16" t="s">
        <v>7665</v>
      </c>
      <c r="B1023" s="16" t="s">
        <v>7667</v>
      </c>
      <c r="C1023" s="16" t="s">
        <v>7599</v>
      </c>
      <c r="D1023" s="16" t="s">
        <v>7597</v>
      </c>
      <c r="E1023" s="16" t="s">
        <v>168</v>
      </c>
      <c r="F1023" s="16" t="s">
        <v>169</v>
      </c>
      <c r="G1023" s="16" t="s">
        <v>32</v>
      </c>
      <c r="H1023" s="16" t="s">
        <v>163</v>
      </c>
      <c r="I1023" s="16"/>
      <c r="J1023" s="16" t="s">
        <v>81</v>
      </c>
      <c r="K1023" s="16"/>
      <c r="L1023" s="16"/>
      <c r="M1023" s="19" t="s">
        <v>170</v>
      </c>
      <c r="N1023" s="16"/>
      <c r="O1023" s="16" t="s">
        <v>171</v>
      </c>
      <c r="P1023" s="16" t="str">
        <f>HYPERLINK("https://ceds.ed.gov/cedselementdetails.aspx?termid=26190")</f>
        <v>https://ceds.ed.gov/cedselementdetails.aspx?termid=26190</v>
      </c>
      <c r="Q1023" s="16">
        <v>70830</v>
      </c>
    </row>
    <row r="1024" spans="1:17" ht="158.4" x14ac:dyDescent="0.3">
      <c r="A1024" s="16" t="s">
        <v>7665</v>
      </c>
      <c r="B1024" s="16" t="s">
        <v>7667</v>
      </c>
      <c r="C1024" s="16" t="s">
        <v>7599</v>
      </c>
      <c r="D1024" s="16" t="s">
        <v>7597</v>
      </c>
      <c r="E1024" s="16" t="s">
        <v>2493</v>
      </c>
      <c r="F1024" s="16" t="s">
        <v>2494</v>
      </c>
      <c r="G1024" s="16" t="s">
        <v>32</v>
      </c>
      <c r="H1024" s="16"/>
      <c r="I1024" s="16"/>
      <c r="J1024" s="16" t="s">
        <v>2495</v>
      </c>
      <c r="K1024" s="16"/>
      <c r="L1024" s="16"/>
      <c r="M1024" s="19" t="s">
        <v>2496</v>
      </c>
      <c r="N1024" s="16"/>
      <c r="O1024" s="16" t="s">
        <v>2497</v>
      </c>
      <c r="P1024" s="16" t="str">
        <f>HYPERLINK("https://ceds.ed.gov/cedselementdetails.aspx?termid=27176")</f>
        <v>https://ceds.ed.gov/cedselementdetails.aspx?termid=27176</v>
      </c>
      <c r="Q1024" s="16">
        <v>70820</v>
      </c>
    </row>
    <row r="1025" spans="1:17" ht="43.2" x14ac:dyDescent="0.3">
      <c r="A1025" s="16" t="s">
        <v>7665</v>
      </c>
      <c r="B1025" s="16" t="s">
        <v>7667</v>
      </c>
      <c r="C1025" s="16" t="s">
        <v>7599</v>
      </c>
      <c r="D1025" s="16" t="s">
        <v>7597</v>
      </c>
      <c r="E1025" s="16" t="s">
        <v>1761</v>
      </c>
      <c r="F1025" s="16" t="s">
        <v>1762</v>
      </c>
      <c r="G1025" s="16" t="s">
        <v>32</v>
      </c>
      <c r="H1025" s="16"/>
      <c r="I1025" s="16"/>
      <c r="J1025" s="16" t="s">
        <v>145</v>
      </c>
      <c r="K1025" s="16"/>
      <c r="L1025" s="16"/>
      <c r="M1025" s="19" t="s">
        <v>1763</v>
      </c>
      <c r="N1025" s="16"/>
      <c r="O1025" s="16" t="s">
        <v>1764</v>
      </c>
      <c r="P1025" s="16" t="str">
        <f>HYPERLINK("https://ceds.ed.gov/cedselementdetails.aspx?termid=26595")</f>
        <v>https://ceds.ed.gov/cedselementdetails.aspx?termid=26595</v>
      </c>
      <c r="Q1025" s="16">
        <v>70877</v>
      </c>
    </row>
    <row r="1026" spans="1:17" ht="57.6" x14ac:dyDescent="0.3">
      <c r="A1026" s="16" t="s">
        <v>7665</v>
      </c>
      <c r="B1026" s="16" t="s">
        <v>7667</v>
      </c>
      <c r="C1026" s="16" t="s">
        <v>7599</v>
      </c>
      <c r="D1026" s="16" t="s">
        <v>7597</v>
      </c>
      <c r="E1026" s="16" t="s">
        <v>4902</v>
      </c>
      <c r="F1026" s="16" t="s">
        <v>4903</v>
      </c>
      <c r="G1026" s="16" t="s">
        <v>32</v>
      </c>
      <c r="H1026" s="16"/>
      <c r="I1026" s="16"/>
      <c r="J1026" s="16" t="s">
        <v>1130</v>
      </c>
      <c r="K1026" s="16"/>
      <c r="L1026" s="16"/>
      <c r="M1026" s="19" t="s">
        <v>4904</v>
      </c>
      <c r="N1026" s="16"/>
      <c r="O1026" s="16" t="s">
        <v>4902</v>
      </c>
      <c r="P1026" s="16" t="str">
        <f>HYPERLINK("https://ceds.ed.gov/cedselementdetails.aspx?termid=26599")</f>
        <v>https://ceds.ed.gov/cedselementdetails.aspx?termid=26599</v>
      </c>
      <c r="Q1026" s="16">
        <v>70878</v>
      </c>
    </row>
    <row r="1027" spans="1:17" ht="57.6" x14ac:dyDescent="0.3">
      <c r="A1027" s="16" t="s">
        <v>7665</v>
      </c>
      <c r="B1027" s="16" t="s">
        <v>7667</v>
      </c>
      <c r="C1027" s="16" t="s">
        <v>7599</v>
      </c>
      <c r="D1027" s="16" t="s">
        <v>7597</v>
      </c>
      <c r="E1027" s="16" t="s">
        <v>5285</v>
      </c>
      <c r="F1027" s="16" t="s">
        <v>5286</v>
      </c>
      <c r="G1027" s="16" t="s">
        <v>32</v>
      </c>
      <c r="H1027" s="16"/>
      <c r="I1027" s="16"/>
      <c r="J1027" s="16" t="s">
        <v>1130</v>
      </c>
      <c r="K1027" s="16"/>
      <c r="L1027" s="16"/>
      <c r="M1027" s="19" t="s">
        <v>5287</v>
      </c>
      <c r="N1027" s="16"/>
      <c r="O1027" s="16" t="s">
        <v>5285</v>
      </c>
      <c r="P1027" s="16" t="str">
        <f>HYPERLINK("https://ceds.ed.gov/cedselementdetails.aspx?termid=26600")</f>
        <v>https://ceds.ed.gov/cedselementdetails.aspx?termid=26600</v>
      </c>
      <c r="Q1027" s="16">
        <v>70879</v>
      </c>
    </row>
    <row r="1028" spans="1:17" ht="409.6" x14ac:dyDescent="0.3">
      <c r="A1028" s="16" t="s">
        <v>7665</v>
      </c>
      <c r="B1028" s="16" t="s">
        <v>7667</v>
      </c>
      <c r="C1028" s="16" t="s">
        <v>7599</v>
      </c>
      <c r="D1028" s="16" t="s">
        <v>7597</v>
      </c>
      <c r="E1028" s="16" t="s">
        <v>6852</v>
      </c>
      <c r="F1028" s="16" t="s">
        <v>6853</v>
      </c>
      <c r="G1028" s="16" t="s">
        <v>8268</v>
      </c>
      <c r="H1028" s="16" t="s">
        <v>6856</v>
      </c>
      <c r="I1028" s="16"/>
      <c r="J1028" s="16"/>
      <c r="K1028" s="16"/>
      <c r="L1028" s="16"/>
      <c r="M1028" s="19" t="s">
        <v>6854</v>
      </c>
      <c r="N1028" s="16"/>
      <c r="O1028" s="16" t="s">
        <v>6855</v>
      </c>
      <c r="P1028" s="16" t="str">
        <f>HYPERLINK("https://ceds.ed.gov/cedselementdetails.aspx?termid=26414")</f>
        <v>https://ceds.ed.gov/cedselementdetails.aspx?termid=26414</v>
      </c>
      <c r="Q1028" s="16">
        <v>75168</v>
      </c>
    </row>
    <row r="1029" spans="1:17" ht="57.6" x14ac:dyDescent="0.3">
      <c r="A1029" s="16" t="s">
        <v>7665</v>
      </c>
      <c r="B1029" s="16" t="s">
        <v>7667</v>
      </c>
      <c r="C1029" s="16" t="s">
        <v>7599</v>
      </c>
      <c r="D1029" s="16" t="s">
        <v>7597</v>
      </c>
      <c r="E1029" s="16" t="s">
        <v>3175</v>
      </c>
      <c r="F1029" s="16" t="s">
        <v>3176</v>
      </c>
      <c r="G1029" s="16" t="s">
        <v>2987</v>
      </c>
      <c r="H1029" s="16"/>
      <c r="I1029" s="16"/>
      <c r="J1029" s="16"/>
      <c r="K1029" s="16"/>
      <c r="L1029" s="16"/>
      <c r="M1029" s="19" t="s">
        <v>3177</v>
      </c>
      <c r="N1029" s="16"/>
      <c r="O1029" s="16" t="s">
        <v>3178</v>
      </c>
      <c r="P1029" s="16" t="str">
        <f>HYPERLINK("https://ceds.ed.gov/cedselementdetails.aspx?termid=27905")</f>
        <v>https://ceds.ed.gov/cedselementdetails.aspx?termid=27905</v>
      </c>
      <c r="Q1029" s="16">
        <v>75314</v>
      </c>
    </row>
    <row r="1030" spans="1:17" ht="216" x14ac:dyDescent="0.3">
      <c r="A1030" s="16" t="s">
        <v>7665</v>
      </c>
      <c r="B1030" s="16" t="s">
        <v>7667</v>
      </c>
      <c r="C1030" s="16" t="s">
        <v>7599</v>
      </c>
      <c r="D1030" s="16" t="s">
        <v>7597</v>
      </c>
      <c r="E1030" s="16" t="s">
        <v>12811</v>
      </c>
      <c r="F1030" s="16" t="s">
        <v>12812</v>
      </c>
      <c r="G1030" s="16" t="s">
        <v>12913</v>
      </c>
      <c r="H1030" s="16"/>
      <c r="I1030" s="16" t="s">
        <v>155</v>
      </c>
      <c r="J1030" s="16" t="s">
        <v>12813</v>
      </c>
      <c r="K1030" s="16" t="s">
        <v>12636</v>
      </c>
      <c r="L1030" s="16" t="s">
        <v>12814</v>
      </c>
      <c r="M1030" s="19" t="s">
        <v>12815</v>
      </c>
      <c r="N1030" s="16"/>
      <c r="O1030" s="16" t="s">
        <v>12816</v>
      </c>
      <c r="P1030" s="16" t="str">
        <f>HYPERLINK("https://ceds.ed.gov/cedselementdetails.aspx?termid=28111")</f>
        <v>https://ceds.ed.gov/cedselementdetails.aspx?termid=28111</v>
      </c>
      <c r="Q1030" s="16">
        <v>76589</v>
      </c>
    </row>
    <row r="1031" spans="1:17" ht="72" x14ac:dyDescent="0.3">
      <c r="A1031" s="16" t="s">
        <v>7665</v>
      </c>
      <c r="B1031" s="16" t="s">
        <v>7667</v>
      </c>
      <c r="C1031" s="16" t="s">
        <v>7600</v>
      </c>
      <c r="D1031" s="16" t="s">
        <v>7597</v>
      </c>
      <c r="E1031" s="16" t="s">
        <v>7053</v>
      </c>
      <c r="F1031" s="16" t="s">
        <v>7054</v>
      </c>
      <c r="G1031" s="16" t="s">
        <v>32</v>
      </c>
      <c r="H1031" s="16" t="s">
        <v>64</v>
      </c>
      <c r="I1031" s="16"/>
      <c r="J1031" s="16" t="s">
        <v>7055</v>
      </c>
      <c r="K1031" s="16"/>
      <c r="L1031" s="16"/>
      <c r="M1031" s="19" t="s">
        <v>7056</v>
      </c>
      <c r="N1031" s="16"/>
      <c r="O1031" s="16" t="s">
        <v>7057</v>
      </c>
      <c r="P1031" s="16" t="str">
        <f>HYPERLINK("https://ceds.ed.gov/cedselementdetails.aspx?termid=26279")</f>
        <v>https://ceds.ed.gov/cedselementdetails.aspx?termid=26279</v>
      </c>
      <c r="Q1031" s="16">
        <v>70853</v>
      </c>
    </row>
    <row r="1032" spans="1:17" ht="115.2" x14ac:dyDescent="0.3">
      <c r="A1032" s="16" t="s">
        <v>7665</v>
      </c>
      <c r="B1032" s="16" t="s">
        <v>7667</v>
      </c>
      <c r="C1032" s="16" t="s">
        <v>7600</v>
      </c>
      <c r="D1032" s="16" t="s">
        <v>7597</v>
      </c>
      <c r="E1032" s="16" t="s">
        <v>4703</v>
      </c>
      <c r="F1032" s="16" t="s">
        <v>4704</v>
      </c>
      <c r="G1032" s="16" t="s">
        <v>8662</v>
      </c>
      <c r="H1032" s="16"/>
      <c r="I1032" s="16"/>
      <c r="J1032" s="16"/>
      <c r="K1032" s="16"/>
      <c r="L1032" s="16"/>
      <c r="M1032" s="19" t="s">
        <v>4705</v>
      </c>
      <c r="N1032" s="16"/>
      <c r="O1032" s="16" t="s">
        <v>4706</v>
      </c>
      <c r="P1032" s="16" t="str">
        <f>HYPERLINK("https://ceds.ed.gov/cedselementdetails.aspx?termid=26167")</f>
        <v>https://ceds.ed.gov/cedselementdetails.aspx?termid=26167</v>
      </c>
      <c r="Q1032" s="16">
        <v>70828</v>
      </c>
    </row>
    <row r="1033" spans="1:17" ht="72" x14ac:dyDescent="0.3">
      <c r="A1033" s="16" t="s">
        <v>7665</v>
      </c>
      <c r="B1033" s="16" t="s">
        <v>7667</v>
      </c>
      <c r="C1033" s="16" t="s">
        <v>7600</v>
      </c>
      <c r="D1033" s="16" t="s">
        <v>7597</v>
      </c>
      <c r="E1033" s="16" t="s">
        <v>5865</v>
      </c>
      <c r="F1033" s="16" t="s">
        <v>5866</v>
      </c>
      <c r="G1033" s="16" t="s">
        <v>22</v>
      </c>
      <c r="H1033" s="16" t="s">
        <v>64</v>
      </c>
      <c r="I1033" s="16"/>
      <c r="J1033" s="16"/>
      <c r="K1033" s="16"/>
      <c r="L1033" s="16"/>
      <c r="M1033" s="19" t="s">
        <v>5867</v>
      </c>
      <c r="N1033" s="16"/>
      <c r="O1033" s="16" t="s">
        <v>5868</v>
      </c>
      <c r="P1033" s="16" t="str">
        <f>HYPERLINK("https://ceds.ed.gov/cedselementdetails.aspx?termid=26219")</f>
        <v>https://ceds.ed.gov/cedselementdetails.aspx?termid=26219</v>
      </c>
      <c r="Q1033" s="16">
        <v>70837</v>
      </c>
    </row>
    <row r="1034" spans="1:17" ht="57.6" x14ac:dyDescent="0.3">
      <c r="A1034" s="16" t="s">
        <v>7665</v>
      </c>
      <c r="B1034" s="16" t="s">
        <v>7667</v>
      </c>
      <c r="C1034" s="16" t="s">
        <v>7600</v>
      </c>
      <c r="D1034" s="16" t="s">
        <v>7597</v>
      </c>
      <c r="E1034" s="16" t="s">
        <v>3175</v>
      </c>
      <c r="F1034" s="16" t="s">
        <v>3176</v>
      </c>
      <c r="G1034" s="16" t="s">
        <v>2987</v>
      </c>
      <c r="H1034" s="16"/>
      <c r="I1034" s="16"/>
      <c r="J1034" s="16"/>
      <c r="K1034" s="16"/>
      <c r="L1034" s="16"/>
      <c r="M1034" s="19" t="s">
        <v>3177</v>
      </c>
      <c r="N1034" s="16"/>
      <c r="O1034" s="16" t="s">
        <v>3178</v>
      </c>
      <c r="P1034" s="16" t="str">
        <f>HYPERLINK("https://ceds.ed.gov/cedselementdetails.aspx?termid=27905")</f>
        <v>https://ceds.ed.gov/cedselementdetails.aspx?termid=27905</v>
      </c>
      <c r="Q1034" s="16">
        <v>75316</v>
      </c>
    </row>
    <row r="1035" spans="1:17" ht="57.6" x14ac:dyDescent="0.3">
      <c r="A1035" s="16" t="s">
        <v>7665</v>
      </c>
      <c r="B1035" s="16" t="s">
        <v>7667</v>
      </c>
      <c r="C1035" s="16" t="s">
        <v>7600</v>
      </c>
      <c r="D1035" s="16" t="s">
        <v>7597</v>
      </c>
      <c r="E1035" s="16" t="s">
        <v>7058</v>
      </c>
      <c r="F1035" s="16" t="s">
        <v>7059</v>
      </c>
      <c r="G1035" s="16" t="s">
        <v>8848</v>
      </c>
      <c r="H1035" s="16"/>
      <c r="I1035" s="16"/>
      <c r="J1035" s="16"/>
      <c r="K1035" s="16"/>
      <c r="L1035" s="16"/>
      <c r="M1035" s="19" t="s">
        <v>7060</v>
      </c>
      <c r="N1035" s="16"/>
      <c r="O1035" s="16" t="s">
        <v>7061</v>
      </c>
      <c r="P1035" s="16" t="str">
        <f>HYPERLINK("https://ceds.ed.gov/cedselementdetails.aspx?termid=27911")</f>
        <v>https://ceds.ed.gov/cedselementdetails.aspx?termid=27911</v>
      </c>
      <c r="Q1035" s="16">
        <v>75317</v>
      </c>
    </row>
    <row r="1036" spans="1:17" ht="86.4" x14ac:dyDescent="0.3">
      <c r="A1036" s="16" t="s">
        <v>7665</v>
      </c>
      <c r="B1036" s="16" t="s">
        <v>7667</v>
      </c>
      <c r="C1036" s="16" t="s">
        <v>7608</v>
      </c>
      <c r="D1036" s="16" t="s">
        <v>7597</v>
      </c>
      <c r="E1036" s="16" t="s">
        <v>6559</v>
      </c>
      <c r="F1036" s="16" t="s">
        <v>8140</v>
      </c>
      <c r="G1036" s="16" t="s">
        <v>8826</v>
      </c>
      <c r="H1036" s="16" t="s">
        <v>64</v>
      </c>
      <c r="I1036" s="16"/>
      <c r="J1036" s="16"/>
      <c r="K1036" s="16"/>
      <c r="L1036" s="16"/>
      <c r="M1036" s="19" t="s">
        <v>6560</v>
      </c>
      <c r="N1036" s="16"/>
      <c r="O1036" s="16" t="s">
        <v>6561</v>
      </c>
      <c r="P1036" s="16" t="str">
        <f>HYPERLINK("https://ceds.ed.gov/cedselementdetails.aspx?termid=26242")</f>
        <v>https://ceds.ed.gov/cedselementdetails.aspx?termid=26242</v>
      </c>
      <c r="Q1036" s="16">
        <v>70846</v>
      </c>
    </row>
    <row r="1037" spans="1:17" ht="187.2" x14ac:dyDescent="0.3">
      <c r="A1037" s="16" t="s">
        <v>7665</v>
      </c>
      <c r="B1037" s="16" t="s">
        <v>7667</v>
      </c>
      <c r="C1037" s="16" t="s">
        <v>7608</v>
      </c>
      <c r="D1037" s="16" t="s">
        <v>7597</v>
      </c>
      <c r="E1037" s="16" t="s">
        <v>6551</v>
      </c>
      <c r="F1037" s="16" t="s">
        <v>6552</v>
      </c>
      <c r="G1037" s="16" t="s">
        <v>8262</v>
      </c>
      <c r="H1037" s="16"/>
      <c r="I1037" s="16"/>
      <c r="J1037" s="16"/>
      <c r="K1037" s="16"/>
      <c r="L1037" s="16"/>
      <c r="M1037" s="19" t="s">
        <v>6553</v>
      </c>
      <c r="N1037" s="16"/>
      <c r="O1037" s="16" t="s">
        <v>6554</v>
      </c>
      <c r="P1037" s="16" t="str">
        <f>HYPERLINK("https://ceds.ed.gov/cedselementdetails.aspx?termid=26241")</f>
        <v>https://ceds.ed.gov/cedselementdetails.aspx?termid=26241</v>
      </c>
      <c r="Q1037" s="16">
        <v>70845</v>
      </c>
    </row>
    <row r="1038" spans="1:17" ht="129.6" x14ac:dyDescent="0.3">
      <c r="A1038" s="16" t="s">
        <v>7665</v>
      </c>
      <c r="B1038" s="16" t="s">
        <v>7667</v>
      </c>
      <c r="C1038" s="16" t="s">
        <v>7608</v>
      </c>
      <c r="D1038" s="16" t="s">
        <v>7597</v>
      </c>
      <c r="E1038" s="16" t="s">
        <v>5292</v>
      </c>
      <c r="F1038" s="16" t="s">
        <v>5293</v>
      </c>
      <c r="G1038" s="16" t="s">
        <v>8714</v>
      </c>
      <c r="H1038" s="16" t="s">
        <v>64</v>
      </c>
      <c r="I1038" s="16"/>
      <c r="J1038" s="16"/>
      <c r="K1038" s="16"/>
      <c r="L1038" s="16"/>
      <c r="M1038" s="19" t="s">
        <v>5294</v>
      </c>
      <c r="N1038" s="16"/>
      <c r="O1038" s="16" t="s">
        <v>5295</v>
      </c>
      <c r="P1038" s="16" t="str">
        <f>HYPERLINK("https://ceds.ed.gov/cedselementdetails.aspx?termid=26181")</f>
        <v>https://ceds.ed.gov/cedselementdetails.aspx?termid=26181</v>
      </c>
      <c r="Q1038" s="16">
        <v>70829</v>
      </c>
    </row>
    <row r="1039" spans="1:17" ht="331.2" x14ac:dyDescent="0.3">
      <c r="A1039" s="16" t="s">
        <v>7665</v>
      </c>
      <c r="B1039" s="16" t="s">
        <v>7667</v>
      </c>
      <c r="C1039" s="16" t="s">
        <v>7608</v>
      </c>
      <c r="D1039" s="16" t="s">
        <v>7597</v>
      </c>
      <c r="E1039" s="16" t="s">
        <v>4177</v>
      </c>
      <c r="F1039" s="16" t="s">
        <v>4178</v>
      </c>
      <c r="G1039" s="16" t="s">
        <v>8235</v>
      </c>
      <c r="H1039" s="16" t="s">
        <v>64</v>
      </c>
      <c r="I1039" s="16"/>
      <c r="J1039" s="16"/>
      <c r="K1039" s="16"/>
      <c r="L1039" s="16"/>
      <c r="M1039" s="19" t="s">
        <v>4179</v>
      </c>
      <c r="N1039" s="16"/>
      <c r="O1039" s="16" t="s">
        <v>4180</v>
      </c>
      <c r="P1039" s="16" t="str">
        <f>HYPERLINK("https://ceds.ed.gov/cedselementdetails.aspx?termid=26131")</f>
        <v>https://ceds.ed.gov/cedselementdetails.aspx?termid=26131</v>
      </c>
      <c r="Q1039" s="16">
        <v>70822</v>
      </c>
    </row>
    <row r="1040" spans="1:17" ht="57.6" x14ac:dyDescent="0.3">
      <c r="A1040" s="16" t="s">
        <v>7665</v>
      </c>
      <c r="B1040" s="16" t="s">
        <v>7667</v>
      </c>
      <c r="C1040" s="16" t="s">
        <v>7608</v>
      </c>
      <c r="D1040" s="16" t="s">
        <v>7597</v>
      </c>
      <c r="E1040" s="16" t="s">
        <v>215</v>
      </c>
      <c r="F1040" s="16" t="s">
        <v>216</v>
      </c>
      <c r="G1040" s="16" t="s">
        <v>8206</v>
      </c>
      <c r="H1040" s="16"/>
      <c r="I1040" s="16"/>
      <c r="J1040" s="16"/>
      <c r="K1040" s="16"/>
      <c r="L1040" s="16"/>
      <c r="M1040" s="19" t="s">
        <v>218</v>
      </c>
      <c r="N1040" s="16"/>
      <c r="O1040" s="16" t="s">
        <v>219</v>
      </c>
      <c r="P1040" s="16" t="str">
        <f>HYPERLINK("https://ceds.ed.gov/cedselementdetails.aspx?termid=26012")</f>
        <v>https://ceds.ed.gov/cedselementdetails.aspx?termid=26012</v>
      </c>
      <c r="Q1040" s="16">
        <v>70813</v>
      </c>
    </row>
    <row r="1041" spans="1:17" ht="129.6" x14ac:dyDescent="0.3">
      <c r="A1041" s="16" t="s">
        <v>7665</v>
      </c>
      <c r="B1041" s="16" t="s">
        <v>7667</v>
      </c>
      <c r="C1041" s="16" t="s">
        <v>7608</v>
      </c>
      <c r="D1041" s="16" t="s">
        <v>7597</v>
      </c>
      <c r="E1041" s="16" t="s">
        <v>6555</v>
      </c>
      <c r="F1041" s="16" t="s">
        <v>6556</v>
      </c>
      <c r="G1041" s="16" t="s">
        <v>8263</v>
      </c>
      <c r="H1041" s="16" t="s">
        <v>214</v>
      </c>
      <c r="I1041" s="16"/>
      <c r="J1041" s="16"/>
      <c r="K1041" s="16"/>
      <c r="L1041" s="16"/>
      <c r="M1041" s="19" t="s">
        <v>6557</v>
      </c>
      <c r="N1041" s="16"/>
      <c r="O1041" s="16" t="s">
        <v>6558</v>
      </c>
      <c r="P1041" s="16" t="str">
        <f>HYPERLINK("https://ceds.ed.gov/cedselementdetails.aspx?termid=26524")</f>
        <v>https://ceds.ed.gov/cedselementdetails.aspx?termid=26524</v>
      </c>
      <c r="Q1041" s="16">
        <v>70868</v>
      </c>
    </row>
    <row r="1042" spans="1:17" ht="28.8" x14ac:dyDescent="0.3">
      <c r="A1042" s="16" t="s">
        <v>7665</v>
      </c>
      <c r="B1042" s="16" t="s">
        <v>7667</v>
      </c>
      <c r="C1042" s="16" t="s">
        <v>7608</v>
      </c>
      <c r="D1042" s="16" t="s">
        <v>7597</v>
      </c>
      <c r="E1042" s="16" t="s">
        <v>5570</v>
      </c>
      <c r="F1042" s="16" t="s">
        <v>5571</v>
      </c>
      <c r="G1042" s="16" t="s">
        <v>32</v>
      </c>
      <c r="H1042" s="16" t="s">
        <v>214</v>
      </c>
      <c r="I1042" s="16"/>
      <c r="J1042" s="16" t="s">
        <v>106</v>
      </c>
      <c r="K1042" s="16"/>
      <c r="L1042" s="16"/>
      <c r="M1042" s="19" t="s">
        <v>5572</v>
      </c>
      <c r="N1042" s="16"/>
      <c r="O1042" s="16" t="s">
        <v>5573</v>
      </c>
      <c r="P1042" s="16" t="str">
        <f>HYPERLINK("https://ceds.ed.gov/cedselementdetails.aspx?termid=26525")</f>
        <v>https://ceds.ed.gov/cedselementdetails.aspx?termid=26525</v>
      </c>
      <c r="Q1042" s="16">
        <v>70869</v>
      </c>
    </row>
    <row r="1043" spans="1:17" ht="100.8" x14ac:dyDescent="0.3">
      <c r="A1043" s="16" t="s">
        <v>7665</v>
      </c>
      <c r="B1043" s="16" t="s">
        <v>7667</v>
      </c>
      <c r="C1043" s="16" t="s">
        <v>7608</v>
      </c>
      <c r="D1043" s="16" t="s">
        <v>7597</v>
      </c>
      <c r="E1043" s="16" t="s">
        <v>6547</v>
      </c>
      <c r="F1043" s="16" t="s">
        <v>6548</v>
      </c>
      <c r="G1043" s="16" t="s">
        <v>8825</v>
      </c>
      <c r="H1043" s="16" t="s">
        <v>214</v>
      </c>
      <c r="I1043" s="16"/>
      <c r="J1043" s="16"/>
      <c r="K1043" s="16"/>
      <c r="L1043" s="16"/>
      <c r="M1043" s="19" t="s">
        <v>6549</v>
      </c>
      <c r="N1043" s="16"/>
      <c r="O1043" s="16" t="s">
        <v>6550</v>
      </c>
      <c r="P1043" s="16" t="str">
        <f>HYPERLINK("https://ceds.ed.gov/cedselementdetails.aspx?termid=26240")</f>
        <v>https://ceds.ed.gov/cedselementdetails.aspx?termid=26240</v>
      </c>
      <c r="Q1043" s="16">
        <v>70844</v>
      </c>
    </row>
    <row r="1044" spans="1:17" ht="409.6" x14ac:dyDescent="0.3">
      <c r="A1044" s="16" t="s">
        <v>7665</v>
      </c>
      <c r="B1044" s="16" t="s">
        <v>7667</v>
      </c>
      <c r="C1044" s="16" t="s">
        <v>7608</v>
      </c>
      <c r="D1044" s="16" t="s">
        <v>7597</v>
      </c>
      <c r="E1044" s="16" t="s">
        <v>6130</v>
      </c>
      <c r="F1044" s="16" t="s">
        <v>6131</v>
      </c>
      <c r="G1044" s="16" t="s">
        <v>9420</v>
      </c>
      <c r="H1044" s="16" t="s">
        <v>64</v>
      </c>
      <c r="I1044" s="16"/>
      <c r="J1044" s="16"/>
      <c r="K1044" s="16"/>
      <c r="L1044" s="16"/>
      <c r="M1044" s="19" t="s">
        <v>6132</v>
      </c>
      <c r="N1044" s="16"/>
      <c r="O1044" s="16" t="s">
        <v>6133</v>
      </c>
      <c r="P1044" s="16" t="str">
        <f>HYPERLINK("https://ceds.ed.gov/cedselementdetails.aspx?termid=26225")</f>
        <v>https://ceds.ed.gov/cedselementdetails.aspx?termid=26225</v>
      </c>
      <c r="Q1044" s="16">
        <v>70839</v>
      </c>
    </row>
    <row r="1045" spans="1:17" ht="100.8" x14ac:dyDescent="0.3">
      <c r="A1045" s="16" t="s">
        <v>7665</v>
      </c>
      <c r="B1045" s="16" t="s">
        <v>7667</v>
      </c>
      <c r="C1045" s="16" t="s">
        <v>7608</v>
      </c>
      <c r="D1045" s="16" t="s">
        <v>7597</v>
      </c>
      <c r="E1045" s="16" t="s">
        <v>344</v>
      </c>
      <c r="F1045" s="16" t="s">
        <v>345</v>
      </c>
      <c r="G1045" s="16" t="s">
        <v>8318</v>
      </c>
      <c r="H1045" s="16" t="s">
        <v>25</v>
      </c>
      <c r="I1045" s="16"/>
      <c r="J1045" s="16"/>
      <c r="K1045" s="16"/>
      <c r="L1045" s="16"/>
      <c r="M1045" s="19" t="s">
        <v>346</v>
      </c>
      <c r="N1045" s="16"/>
      <c r="O1045" s="16" t="s">
        <v>347</v>
      </c>
      <c r="P1045" s="16" t="str">
        <f>HYPERLINK("https://ceds.ed.gov/cedselementdetails.aspx?termid=26015")</f>
        <v>https://ceds.ed.gov/cedselementdetails.aspx?termid=26015</v>
      </c>
      <c r="Q1045" s="16">
        <v>70815</v>
      </c>
    </row>
    <row r="1046" spans="1:17" ht="57.6" x14ac:dyDescent="0.3">
      <c r="A1046" s="16" t="s">
        <v>7665</v>
      </c>
      <c r="B1046" s="16" t="s">
        <v>7667</v>
      </c>
      <c r="C1046" s="16" t="s">
        <v>7608</v>
      </c>
      <c r="D1046" s="16" t="s">
        <v>7597</v>
      </c>
      <c r="E1046" s="16" t="s">
        <v>298</v>
      </c>
      <c r="F1046" s="16" t="s">
        <v>299</v>
      </c>
      <c r="G1046" s="16" t="s">
        <v>22</v>
      </c>
      <c r="H1046" s="16" t="s">
        <v>25</v>
      </c>
      <c r="I1046" s="16"/>
      <c r="J1046" s="16"/>
      <c r="K1046" s="16"/>
      <c r="L1046" s="16"/>
      <c r="M1046" s="19" t="s">
        <v>300</v>
      </c>
      <c r="N1046" s="16" t="s">
        <v>301</v>
      </c>
      <c r="O1046" s="16" t="s">
        <v>302</v>
      </c>
      <c r="P1046" s="16" t="str">
        <f>HYPERLINK("https://ceds.ed.gov/cedselementdetails.aspx?termid=26017")</f>
        <v>https://ceds.ed.gov/cedselementdetails.aspx?termid=26017</v>
      </c>
      <c r="Q1046" s="16">
        <v>70816</v>
      </c>
    </row>
    <row r="1047" spans="1:17" ht="115.2" x14ac:dyDescent="0.3">
      <c r="A1047" s="16" t="s">
        <v>7665</v>
      </c>
      <c r="B1047" s="16" t="s">
        <v>7667</v>
      </c>
      <c r="C1047" s="16" t="s">
        <v>7608</v>
      </c>
      <c r="D1047" s="16" t="s">
        <v>7597</v>
      </c>
      <c r="E1047" s="16" t="s">
        <v>1949</v>
      </c>
      <c r="F1047" s="16" t="s">
        <v>1950</v>
      </c>
      <c r="G1047" s="16" t="s">
        <v>22</v>
      </c>
      <c r="H1047" s="16" t="s">
        <v>64</v>
      </c>
      <c r="I1047" s="16"/>
      <c r="J1047" s="16"/>
      <c r="K1047" s="16"/>
      <c r="L1047" s="16" t="s">
        <v>1952</v>
      </c>
      <c r="M1047" s="19" t="s">
        <v>1953</v>
      </c>
      <c r="N1047" s="16"/>
      <c r="O1047" s="16" t="s">
        <v>1954</v>
      </c>
      <c r="P1047" s="16" t="str">
        <f>HYPERLINK("https://ceds.ed.gov/cedselementdetails.aspx?termid=26039")</f>
        <v>https://ceds.ed.gov/cedselementdetails.aspx?termid=26039</v>
      </c>
      <c r="Q1047" s="16">
        <v>70817</v>
      </c>
    </row>
    <row r="1048" spans="1:17" ht="57.6" x14ac:dyDescent="0.3">
      <c r="A1048" s="16" t="s">
        <v>7665</v>
      </c>
      <c r="B1048" s="16" t="s">
        <v>7667</v>
      </c>
      <c r="C1048" s="16" t="s">
        <v>7608</v>
      </c>
      <c r="D1048" s="16" t="s">
        <v>7597</v>
      </c>
      <c r="E1048" s="16" t="s">
        <v>1964</v>
      </c>
      <c r="F1048" s="16" t="s">
        <v>1965</v>
      </c>
      <c r="G1048" s="16" t="s">
        <v>8432</v>
      </c>
      <c r="H1048" s="16"/>
      <c r="I1048" s="16"/>
      <c r="J1048" s="16"/>
      <c r="K1048" s="16"/>
      <c r="L1048" s="16"/>
      <c r="M1048" s="19" t="s">
        <v>1966</v>
      </c>
      <c r="N1048" s="16"/>
      <c r="O1048" s="16" t="s">
        <v>1967</v>
      </c>
      <c r="P1048" s="16" t="str">
        <f>HYPERLINK("https://ceds.ed.gov/cedselementdetails.aspx?termid=26686")</f>
        <v>https://ceds.ed.gov/cedselementdetails.aspx?termid=26686</v>
      </c>
      <c r="Q1048" s="16">
        <v>70881</v>
      </c>
    </row>
    <row r="1049" spans="1:17" ht="57.6" x14ac:dyDescent="0.3">
      <c r="A1049" s="16" t="s">
        <v>7665</v>
      </c>
      <c r="B1049" s="16" t="s">
        <v>7667</v>
      </c>
      <c r="C1049" s="16" t="s">
        <v>7608</v>
      </c>
      <c r="D1049" s="16" t="s">
        <v>7597</v>
      </c>
      <c r="E1049" s="16" t="s">
        <v>1941</v>
      </c>
      <c r="F1049" s="16" t="s">
        <v>1942</v>
      </c>
      <c r="G1049" s="16" t="s">
        <v>32</v>
      </c>
      <c r="H1049" s="16" t="s">
        <v>214</v>
      </c>
      <c r="I1049" s="16"/>
      <c r="J1049" s="16" t="s">
        <v>81</v>
      </c>
      <c r="K1049" s="16"/>
      <c r="L1049" s="16"/>
      <c r="M1049" s="19" t="s">
        <v>1943</v>
      </c>
      <c r="N1049" s="16"/>
      <c r="O1049" s="16" t="s">
        <v>1944</v>
      </c>
      <c r="P1049" s="16" t="str">
        <f>HYPERLINK("https://ceds.ed.gov/cedselementdetails.aspx?termid=27632")</f>
        <v>https://ceds.ed.gov/cedselementdetails.aspx?termid=27632</v>
      </c>
      <c r="Q1049" s="16">
        <v>74346</v>
      </c>
    </row>
    <row r="1050" spans="1:17" ht="72" x14ac:dyDescent="0.3">
      <c r="A1050" s="16" t="s">
        <v>7665</v>
      </c>
      <c r="B1050" s="16" t="s">
        <v>7667</v>
      </c>
      <c r="C1050" s="16" t="s">
        <v>7608</v>
      </c>
      <c r="D1050" s="16" t="s">
        <v>7597</v>
      </c>
      <c r="E1050" s="16" t="s">
        <v>1937</v>
      </c>
      <c r="F1050" s="16" t="s">
        <v>1938</v>
      </c>
      <c r="G1050" s="16" t="s">
        <v>32</v>
      </c>
      <c r="H1050" s="16" t="s">
        <v>214</v>
      </c>
      <c r="I1050" s="16"/>
      <c r="J1050" s="16" t="s">
        <v>106</v>
      </c>
      <c r="K1050" s="16"/>
      <c r="L1050" s="16"/>
      <c r="M1050" s="19" t="s">
        <v>1939</v>
      </c>
      <c r="N1050" s="16"/>
      <c r="O1050" s="16" t="s">
        <v>1940</v>
      </c>
      <c r="P1050" s="16" t="str">
        <f>HYPERLINK("https://ceds.ed.gov/cedselementdetails.aspx?termid=27633")</f>
        <v>https://ceds.ed.gov/cedselementdetails.aspx?termid=27633</v>
      </c>
      <c r="Q1050" s="16">
        <v>74347</v>
      </c>
    </row>
    <row r="1051" spans="1:17" ht="28.8" x14ac:dyDescent="0.3">
      <c r="A1051" s="16" t="s">
        <v>7665</v>
      </c>
      <c r="B1051" s="16" t="s">
        <v>7667</v>
      </c>
      <c r="C1051" s="16" t="s">
        <v>7608</v>
      </c>
      <c r="D1051" s="16" t="s">
        <v>7597</v>
      </c>
      <c r="E1051" s="16" t="s">
        <v>1928</v>
      </c>
      <c r="F1051" s="16" t="s">
        <v>1929</v>
      </c>
      <c r="G1051" s="16" t="s">
        <v>32</v>
      </c>
      <c r="H1051" s="16"/>
      <c r="I1051" s="16"/>
      <c r="J1051" s="16" t="s">
        <v>78</v>
      </c>
      <c r="K1051" s="16"/>
      <c r="L1051" s="16"/>
      <c r="M1051" s="19" t="s">
        <v>1930</v>
      </c>
      <c r="N1051" s="16"/>
      <c r="O1051" s="16" t="s">
        <v>1931</v>
      </c>
      <c r="P1051" s="16" t="str">
        <f>HYPERLINK("https://ceds.ed.gov/cedselementdetails.aspx?termid=27259")</f>
        <v>https://ceds.ed.gov/cedselementdetails.aspx?termid=27259</v>
      </c>
      <c r="Q1051" s="16">
        <v>73087</v>
      </c>
    </row>
    <row r="1052" spans="1:17" ht="72" x14ac:dyDescent="0.3">
      <c r="A1052" s="16" t="s">
        <v>7665</v>
      </c>
      <c r="B1052" s="16" t="s">
        <v>7667</v>
      </c>
      <c r="C1052" s="16" t="s">
        <v>7608</v>
      </c>
      <c r="D1052" s="16" t="s">
        <v>7597</v>
      </c>
      <c r="E1052" s="16" t="s">
        <v>1945</v>
      </c>
      <c r="F1052" s="16" t="s">
        <v>1946</v>
      </c>
      <c r="G1052" s="16" t="s">
        <v>32</v>
      </c>
      <c r="H1052" s="16" t="s">
        <v>214</v>
      </c>
      <c r="I1052" s="16"/>
      <c r="J1052" s="16" t="s">
        <v>106</v>
      </c>
      <c r="K1052" s="16"/>
      <c r="L1052" s="16"/>
      <c r="M1052" s="19" t="s">
        <v>1947</v>
      </c>
      <c r="N1052" s="16"/>
      <c r="O1052" s="16" t="s">
        <v>1948</v>
      </c>
      <c r="P1052" s="16" t="str">
        <f>HYPERLINK("https://ceds.ed.gov/cedselementdetails.aspx?termid=27634")</f>
        <v>https://ceds.ed.gov/cedselementdetails.aspx?termid=27634</v>
      </c>
      <c r="Q1052" s="16">
        <v>74348</v>
      </c>
    </row>
    <row r="1053" spans="1:17" ht="43.2" x14ac:dyDescent="0.3">
      <c r="A1053" s="16" t="s">
        <v>7665</v>
      </c>
      <c r="B1053" s="16" t="s">
        <v>7667</v>
      </c>
      <c r="C1053" s="16" t="s">
        <v>7608</v>
      </c>
      <c r="D1053" s="16" t="s">
        <v>7597</v>
      </c>
      <c r="E1053" s="16" t="s">
        <v>1960</v>
      </c>
      <c r="F1053" s="16" t="s">
        <v>1961</v>
      </c>
      <c r="G1053" s="16" t="s">
        <v>22</v>
      </c>
      <c r="H1053" s="16"/>
      <c r="I1053" s="16"/>
      <c r="J1053" s="16"/>
      <c r="K1053" s="16"/>
      <c r="L1053" s="16"/>
      <c r="M1053" s="19" t="s">
        <v>1962</v>
      </c>
      <c r="N1053" s="16"/>
      <c r="O1053" s="16" t="s">
        <v>1963</v>
      </c>
      <c r="P1053" s="16" t="str">
        <f>HYPERLINK("https://ceds.ed.gov/cedselementdetails.aspx?termid=27524")</f>
        <v>https://ceds.ed.gov/cedselementdetails.aspx?termid=27524</v>
      </c>
      <c r="Q1053" s="16">
        <v>73831</v>
      </c>
    </row>
    <row r="1054" spans="1:17" ht="86.4" x14ac:dyDescent="0.3">
      <c r="A1054" s="16" t="s">
        <v>7665</v>
      </c>
      <c r="B1054" s="16" t="s">
        <v>7667</v>
      </c>
      <c r="C1054" s="16" t="s">
        <v>7608</v>
      </c>
      <c r="D1054" s="16" t="s">
        <v>7597</v>
      </c>
      <c r="E1054" s="16" t="s">
        <v>6667</v>
      </c>
      <c r="F1054" s="16" t="s">
        <v>6668</v>
      </c>
      <c r="G1054" s="16" t="s">
        <v>22</v>
      </c>
      <c r="H1054" s="16" t="s">
        <v>214</v>
      </c>
      <c r="I1054" s="16"/>
      <c r="J1054" s="16"/>
      <c r="K1054" s="16"/>
      <c r="L1054" s="16"/>
      <c r="M1054" s="19" t="s">
        <v>6669</v>
      </c>
      <c r="N1054" s="16"/>
      <c r="O1054" s="16" t="s">
        <v>6670</v>
      </c>
      <c r="P1054" s="16" t="str">
        <f>HYPERLINK("https://ceds.ed.gov/cedselementdetails.aspx?termid=26257")</f>
        <v>https://ceds.ed.gov/cedselementdetails.aspx?termid=26257</v>
      </c>
      <c r="Q1054" s="16">
        <v>70849</v>
      </c>
    </row>
    <row r="1055" spans="1:17" ht="115.2" x14ac:dyDescent="0.3">
      <c r="A1055" s="16" t="s">
        <v>7665</v>
      </c>
      <c r="B1055" s="16" t="s">
        <v>7667</v>
      </c>
      <c r="C1055" s="16" t="s">
        <v>7608</v>
      </c>
      <c r="D1055" s="16" t="s">
        <v>7597</v>
      </c>
      <c r="E1055" s="16" t="s">
        <v>7227</v>
      </c>
      <c r="F1055" s="16" t="s">
        <v>8171</v>
      </c>
      <c r="G1055" s="16" t="s">
        <v>22</v>
      </c>
      <c r="H1055" s="16"/>
      <c r="I1055" s="16"/>
      <c r="J1055" s="16"/>
      <c r="K1055" s="16"/>
      <c r="L1055" s="16"/>
      <c r="M1055" s="19" t="s">
        <v>7228</v>
      </c>
      <c r="N1055" s="16"/>
      <c r="O1055" s="16" t="s">
        <v>7229</v>
      </c>
      <c r="P1055" s="16" t="str">
        <f>HYPERLINK("https://ceds.ed.gov/cedselementdetails.aspx?termid=27167")</f>
        <v>https://ceds.ed.gov/cedselementdetails.aspx?termid=27167</v>
      </c>
      <c r="Q1055" s="16">
        <v>71575</v>
      </c>
    </row>
    <row r="1056" spans="1:17" ht="28.8" x14ac:dyDescent="0.3">
      <c r="A1056" s="16" t="s">
        <v>7665</v>
      </c>
      <c r="B1056" s="16" t="s">
        <v>7667</v>
      </c>
      <c r="C1056" s="16" t="s">
        <v>7608</v>
      </c>
      <c r="D1056" s="16" t="s">
        <v>7597</v>
      </c>
      <c r="E1056" s="16" t="s">
        <v>7262</v>
      </c>
      <c r="F1056" s="16" t="s">
        <v>7263</v>
      </c>
      <c r="G1056" s="16" t="s">
        <v>32</v>
      </c>
      <c r="H1056" s="16" t="s">
        <v>214</v>
      </c>
      <c r="I1056" s="16"/>
      <c r="J1056" s="16" t="s">
        <v>101</v>
      </c>
      <c r="K1056" s="16"/>
      <c r="L1056" s="16"/>
      <c r="M1056" s="19" t="s">
        <v>7264</v>
      </c>
      <c r="N1056" s="16"/>
      <c r="O1056" s="16" t="s">
        <v>7265</v>
      </c>
      <c r="P1056" s="16" t="str">
        <f>HYPERLINK("https://ceds.ed.gov/cedselementdetails.aspx?termid=26300")</f>
        <v>https://ceds.ed.gov/cedselementdetails.aspx?termid=26300</v>
      </c>
      <c r="Q1056" s="16">
        <v>70856</v>
      </c>
    </row>
    <row r="1057" spans="1:17" ht="43.2" x14ac:dyDescent="0.3">
      <c r="A1057" s="16" t="s">
        <v>7665</v>
      </c>
      <c r="B1057" s="16" t="s">
        <v>7667</v>
      </c>
      <c r="C1057" s="16" t="s">
        <v>7608</v>
      </c>
      <c r="D1057" s="16" t="s">
        <v>7597</v>
      </c>
      <c r="E1057" s="16" t="s">
        <v>4769</v>
      </c>
      <c r="F1057" s="16" t="s">
        <v>4770</v>
      </c>
      <c r="G1057" s="16" t="s">
        <v>8238</v>
      </c>
      <c r="H1057" s="16" t="s">
        <v>214</v>
      </c>
      <c r="I1057" s="16"/>
      <c r="J1057" s="16"/>
      <c r="K1057" s="16"/>
      <c r="L1057" s="16"/>
      <c r="M1057" s="19" t="s">
        <v>4771</v>
      </c>
      <c r="N1057" s="16"/>
      <c r="O1057" s="16" t="s">
        <v>4772</v>
      </c>
      <c r="P1057" s="16" t="str">
        <f>HYPERLINK("https://ceds.ed.gov/cedselementdetails.aspx?termid=26580")</f>
        <v>https://ceds.ed.gov/cedselementdetails.aspx?termid=26580</v>
      </c>
      <c r="Q1057" s="16">
        <v>70875</v>
      </c>
    </row>
    <row r="1058" spans="1:17" ht="86.4" x14ac:dyDescent="0.3">
      <c r="A1058" s="16" t="s">
        <v>7665</v>
      </c>
      <c r="B1058" s="16" t="s">
        <v>7667</v>
      </c>
      <c r="C1058" s="16" t="s">
        <v>7608</v>
      </c>
      <c r="D1058" s="16" t="s">
        <v>7597</v>
      </c>
      <c r="E1058" s="16" t="s">
        <v>7230</v>
      </c>
      <c r="F1058" s="16" t="s">
        <v>8172</v>
      </c>
      <c r="G1058" s="16" t="s">
        <v>8278</v>
      </c>
      <c r="H1058" s="16"/>
      <c r="I1058" s="16"/>
      <c r="J1058" s="16"/>
      <c r="K1058" s="16"/>
      <c r="L1058" s="16"/>
      <c r="M1058" s="19" t="s">
        <v>7231</v>
      </c>
      <c r="N1058" s="16"/>
      <c r="O1058" s="16" t="s">
        <v>7232</v>
      </c>
      <c r="P1058" s="16" t="str">
        <f>HYPERLINK("https://ceds.ed.gov/cedselementdetails.aspx?termid=27747")</f>
        <v>https://ceds.ed.gov/cedselementdetails.aspx?termid=27747</v>
      </c>
      <c r="Q1058" s="16">
        <v>75145</v>
      </c>
    </row>
    <row r="1059" spans="1:17" ht="144" x14ac:dyDescent="0.3">
      <c r="A1059" s="16" t="s">
        <v>7665</v>
      </c>
      <c r="B1059" s="16" t="s">
        <v>7667</v>
      </c>
      <c r="C1059" s="16" t="s">
        <v>7608</v>
      </c>
      <c r="D1059" s="16" t="s">
        <v>7597</v>
      </c>
      <c r="E1059" s="16" t="s">
        <v>1522</v>
      </c>
      <c r="F1059" s="16" t="s">
        <v>1523</v>
      </c>
      <c r="G1059" s="16" t="s">
        <v>8212</v>
      </c>
      <c r="H1059" s="16"/>
      <c r="I1059" s="16"/>
      <c r="J1059" s="16"/>
      <c r="K1059" s="16"/>
      <c r="L1059" s="16" t="s">
        <v>1524</v>
      </c>
      <c r="M1059" s="19" t="s">
        <v>1525</v>
      </c>
      <c r="N1059" s="16"/>
      <c r="O1059" s="16" t="s">
        <v>1526</v>
      </c>
      <c r="P1059" s="16" t="str">
        <f>HYPERLINK("https://ceds.ed.gov/cedselementdetails.aspx?termid=27253")</f>
        <v>https://ceds.ed.gov/cedselementdetails.aspx?termid=27253</v>
      </c>
      <c r="Q1059" s="16">
        <v>75169</v>
      </c>
    </row>
    <row r="1060" spans="1:17" ht="57.6" x14ac:dyDescent="0.3">
      <c r="A1060" s="16" t="s">
        <v>7665</v>
      </c>
      <c r="B1060" s="16" t="s">
        <v>7667</v>
      </c>
      <c r="C1060" s="16" t="s">
        <v>7608</v>
      </c>
      <c r="D1060" s="16" t="s">
        <v>7597</v>
      </c>
      <c r="E1060" s="16" t="s">
        <v>6134</v>
      </c>
      <c r="F1060" s="16" t="s">
        <v>6135</v>
      </c>
      <c r="G1060" s="16" t="s">
        <v>8802</v>
      </c>
      <c r="H1060" s="16"/>
      <c r="I1060" s="16"/>
      <c r="J1060" s="16"/>
      <c r="K1060" s="16"/>
      <c r="L1060" s="16"/>
      <c r="M1060" s="19" t="s">
        <v>6136</v>
      </c>
      <c r="N1060" s="16"/>
      <c r="O1060" s="16" t="s">
        <v>6137</v>
      </c>
      <c r="P1060" s="16" t="str">
        <f>HYPERLINK("https://ceds.ed.gov/cedselementdetails.aspx?termid=27896")</f>
        <v>https://ceds.ed.gov/cedselementdetails.aspx?termid=27896</v>
      </c>
      <c r="Q1060" s="16">
        <v>75195</v>
      </c>
    </row>
    <row r="1061" spans="1:17" ht="57.6" x14ac:dyDescent="0.3">
      <c r="A1061" s="16" t="s">
        <v>7665</v>
      </c>
      <c r="B1061" s="16" t="s">
        <v>7667</v>
      </c>
      <c r="C1061" s="16" t="s">
        <v>7608</v>
      </c>
      <c r="D1061" s="16" t="s">
        <v>7597</v>
      </c>
      <c r="E1061" s="16" t="s">
        <v>6138</v>
      </c>
      <c r="F1061" s="16" t="s">
        <v>6139</v>
      </c>
      <c r="G1061" s="16" t="s">
        <v>32</v>
      </c>
      <c r="H1061" s="16"/>
      <c r="I1061" s="16"/>
      <c r="J1061" s="16"/>
      <c r="K1061" s="16"/>
      <c r="L1061" s="16"/>
      <c r="M1061" s="19" t="s">
        <v>6140</v>
      </c>
      <c r="N1061" s="16"/>
      <c r="O1061" s="16" t="s">
        <v>6141</v>
      </c>
      <c r="P1061" s="16" t="str">
        <f>HYPERLINK("https://ceds.ed.gov/cedselementdetails.aspx?termid=27897")</f>
        <v>https://ceds.ed.gov/cedselementdetails.aspx?termid=27897</v>
      </c>
      <c r="Q1061" s="16">
        <v>75196</v>
      </c>
    </row>
    <row r="1062" spans="1:17" ht="331.2" x14ac:dyDescent="0.3">
      <c r="A1062" s="16" t="s">
        <v>7665</v>
      </c>
      <c r="B1062" s="16" t="s">
        <v>7667</v>
      </c>
      <c r="C1062" s="16" t="s">
        <v>7608</v>
      </c>
      <c r="D1062" s="16" t="s">
        <v>7597</v>
      </c>
      <c r="E1062" s="16" t="s">
        <v>4138</v>
      </c>
      <c r="F1062" s="16" t="s">
        <v>4139</v>
      </c>
      <c r="G1062" s="16" t="s">
        <v>8235</v>
      </c>
      <c r="H1062" s="16"/>
      <c r="I1062" s="16"/>
      <c r="J1062" s="16"/>
      <c r="K1062" s="16"/>
      <c r="L1062" s="16"/>
      <c r="M1062" s="19" t="s">
        <v>4140</v>
      </c>
      <c r="N1062" s="16"/>
      <c r="O1062" s="16" t="s">
        <v>4141</v>
      </c>
      <c r="P1062" s="16" t="str">
        <f>HYPERLINK("https://ceds.ed.gov/cedselementdetails.aspx?termid=27907")</f>
        <v>https://ceds.ed.gov/cedselementdetails.aspx?termid=27907</v>
      </c>
      <c r="Q1062" s="16">
        <v>75315</v>
      </c>
    </row>
    <row r="1063" spans="1:17" ht="43.2" x14ac:dyDescent="0.3">
      <c r="A1063" s="16" t="s">
        <v>7665</v>
      </c>
      <c r="B1063" s="16" t="s">
        <v>7667</v>
      </c>
      <c r="C1063" s="16" t="s">
        <v>7608</v>
      </c>
      <c r="D1063" s="16" t="s">
        <v>7597</v>
      </c>
      <c r="E1063" s="16" t="s">
        <v>7966</v>
      </c>
      <c r="F1063" s="16" t="s">
        <v>7967</v>
      </c>
      <c r="G1063" s="16" t="s">
        <v>32</v>
      </c>
      <c r="H1063" s="16"/>
      <c r="I1063" s="16"/>
      <c r="J1063" s="16" t="s">
        <v>1662</v>
      </c>
      <c r="K1063" s="16"/>
      <c r="L1063" s="16" t="s">
        <v>7968</v>
      </c>
      <c r="M1063" s="19" t="s">
        <v>8181</v>
      </c>
      <c r="N1063" s="16"/>
      <c r="O1063" s="16" t="s">
        <v>7969</v>
      </c>
      <c r="P1063" s="16" t="str">
        <f>HYPERLINK("https://ceds.ed.gov/cedselementdetails.aspx?termid=27979")</f>
        <v>https://ceds.ed.gov/cedselementdetails.aspx?termid=27979</v>
      </c>
      <c r="Q1063" s="16">
        <v>75893</v>
      </c>
    </row>
    <row r="1064" spans="1:17" ht="100.8" x14ac:dyDescent="0.3">
      <c r="A1064" s="16" t="s">
        <v>7665</v>
      </c>
      <c r="B1064" s="16" t="s">
        <v>7667</v>
      </c>
      <c r="C1064" s="16" t="s">
        <v>7608</v>
      </c>
      <c r="D1064" s="16" t="s">
        <v>7597</v>
      </c>
      <c r="E1064" s="16" t="s">
        <v>8065</v>
      </c>
      <c r="F1064" s="16" t="s">
        <v>8066</v>
      </c>
      <c r="G1064" s="16" t="s">
        <v>22</v>
      </c>
      <c r="H1064" s="16"/>
      <c r="I1064" s="16"/>
      <c r="J1064" s="16" t="s">
        <v>2</v>
      </c>
      <c r="K1064" s="16"/>
      <c r="L1064" s="16"/>
      <c r="M1064" s="19" t="s">
        <v>8191</v>
      </c>
      <c r="N1064" s="16"/>
      <c r="O1064" s="16" t="s">
        <v>8067</v>
      </c>
      <c r="P1064" s="16" t="str">
        <f>HYPERLINK("https://ceds.ed.gov/cedselementdetails.aspx?termid=27989")</f>
        <v>https://ceds.ed.gov/cedselementdetails.aspx?termid=27989</v>
      </c>
      <c r="Q1064" s="16">
        <v>75894</v>
      </c>
    </row>
    <row r="1065" spans="1:17" ht="43.2" x14ac:dyDescent="0.3">
      <c r="A1065" s="16" t="s">
        <v>7665</v>
      </c>
      <c r="B1065" s="16" t="s">
        <v>7667</v>
      </c>
      <c r="C1065" s="16" t="s">
        <v>7608</v>
      </c>
      <c r="D1065" s="16" t="s">
        <v>7597</v>
      </c>
      <c r="E1065" s="16" t="s">
        <v>8108</v>
      </c>
      <c r="F1065" s="16" t="s">
        <v>8109</v>
      </c>
      <c r="G1065" s="16" t="s">
        <v>22</v>
      </c>
      <c r="H1065" s="16"/>
      <c r="I1065" s="16"/>
      <c r="J1065" s="16" t="s">
        <v>2</v>
      </c>
      <c r="K1065" s="16"/>
      <c r="L1065" s="16" t="s">
        <v>8110</v>
      </c>
      <c r="M1065" s="19" t="s">
        <v>8192</v>
      </c>
      <c r="N1065" s="16"/>
      <c r="O1065" s="16" t="s">
        <v>8111</v>
      </c>
      <c r="P1065" s="16" t="str">
        <f>HYPERLINK("https://ceds.ed.gov/cedselementdetails.aspx?termid=27990")</f>
        <v>https://ceds.ed.gov/cedselementdetails.aspx?termid=27990</v>
      </c>
      <c r="Q1065" s="16">
        <v>75895</v>
      </c>
    </row>
    <row r="1066" spans="1:17" ht="100.8" x14ac:dyDescent="0.3">
      <c r="A1066" s="16" t="s">
        <v>7665</v>
      </c>
      <c r="B1066" s="16" t="s">
        <v>7667</v>
      </c>
      <c r="C1066" s="16" t="s">
        <v>7608</v>
      </c>
      <c r="D1066" s="16" t="s">
        <v>7597</v>
      </c>
      <c r="E1066" s="16" t="s">
        <v>8117</v>
      </c>
      <c r="F1066" s="16" t="s">
        <v>8118</v>
      </c>
      <c r="G1066" s="16" t="s">
        <v>22</v>
      </c>
      <c r="H1066" s="16"/>
      <c r="I1066" s="16"/>
      <c r="J1066" s="16" t="s">
        <v>2</v>
      </c>
      <c r="K1066" s="16"/>
      <c r="L1066" s="16"/>
      <c r="M1066" s="19" t="s">
        <v>8193</v>
      </c>
      <c r="N1066" s="16"/>
      <c r="O1066" s="16" t="s">
        <v>8119</v>
      </c>
      <c r="P1066" s="16" t="str">
        <f>HYPERLINK("https://ceds.ed.gov/cedselementdetails.aspx?termid=27991")</f>
        <v>https://ceds.ed.gov/cedselementdetails.aspx?termid=27991</v>
      </c>
      <c r="Q1066" s="16">
        <v>75896</v>
      </c>
    </row>
    <row r="1067" spans="1:17" ht="72" x14ac:dyDescent="0.3">
      <c r="A1067" s="16" t="s">
        <v>7665</v>
      </c>
      <c r="B1067" s="16" t="s">
        <v>7667</v>
      </c>
      <c r="C1067" s="16" t="s">
        <v>7608</v>
      </c>
      <c r="D1067" s="16" t="s">
        <v>7597</v>
      </c>
      <c r="E1067" s="16" t="s">
        <v>8120</v>
      </c>
      <c r="F1067" s="16" t="s">
        <v>8121</v>
      </c>
      <c r="G1067" s="16" t="s">
        <v>8202</v>
      </c>
      <c r="H1067" s="16"/>
      <c r="I1067" s="16"/>
      <c r="J1067" s="16" t="s">
        <v>2</v>
      </c>
      <c r="K1067" s="16"/>
      <c r="L1067" s="16" t="s">
        <v>8122</v>
      </c>
      <c r="M1067" s="19" t="s">
        <v>8194</v>
      </c>
      <c r="N1067" s="16"/>
      <c r="O1067" s="16" t="s">
        <v>8123</v>
      </c>
      <c r="P1067" s="16" t="str">
        <f>HYPERLINK("https://ceds.ed.gov/cedselementdetails.aspx?termid=27992")</f>
        <v>https://ceds.ed.gov/cedselementdetails.aspx?termid=27992</v>
      </c>
      <c r="Q1067" s="16">
        <v>75897</v>
      </c>
    </row>
    <row r="1068" spans="1:17" ht="172.8" x14ac:dyDescent="0.3">
      <c r="A1068" s="16" t="s">
        <v>7665</v>
      </c>
      <c r="B1068" s="16" t="s">
        <v>7667</v>
      </c>
      <c r="C1068" s="16" t="s">
        <v>7668</v>
      </c>
      <c r="D1068" s="16" t="s">
        <v>7597</v>
      </c>
      <c r="E1068" s="16" t="s">
        <v>5586</v>
      </c>
      <c r="F1068" s="16" t="s">
        <v>5587</v>
      </c>
      <c r="G1068" s="16" t="s">
        <v>32</v>
      </c>
      <c r="H1068" s="16" t="s">
        <v>98</v>
      </c>
      <c r="I1068" s="16"/>
      <c r="J1068" s="16" t="s">
        <v>120</v>
      </c>
      <c r="K1068" s="16"/>
      <c r="L1068" s="16" t="s">
        <v>7817</v>
      </c>
      <c r="M1068" s="19" t="s">
        <v>5588</v>
      </c>
      <c r="N1068" s="16"/>
      <c r="O1068" s="16" t="s">
        <v>5589</v>
      </c>
      <c r="P1068" s="16" t="str">
        <f>HYPERLINK("https://ceds.ed.gov/cedselementdetails.aspx?termid=26825")</f>
        <v>https://ceds.ed.gov/cedselementdetails.aspx?termid=26825</v>
      </c>
      <c r="Q1068" s="16">
        <v>74299</v>
      </c>
    </row>
    <row r="1069" spans="1:17" ht="187.2" x14ac:dyDescent="0.3">
      <c r="A1069" s="16" t="s">
        <v>7665</v>
      </c>
      <c r="B1069" s="16" t="s">
        <v>7667</v>
      </c>
      <c r="C1069" s="16" t="s">
        <v>7668</v>
      </c>
      <c r="D1069" s="16" t="s">
        <v>7597</v>
      </c>
      <c r="E1069" s="16" t="s">
        <v>5582</v>
      </c>
      <c r="F1069" s="16" t="s">
        <v>5583</v>
      </c>
      <c r="G1069" s="16" t="s">
        <v>8247</v>
      </c>
      <c r="H1069" s="16" t="s">
        <v>98</v>
      </c>
      <c r="I1069" s="16"/>
      <c r="J1069" s="16"/>
      <c r="K1069" s="16"/>
      <c r="L1069" s="16"/>
      <c r="M1069" s="19" t="s">
        <v>5584</v>
      </c>
      <c r="N1069" s="16"/>
      <c r="O1069" s="16" t="s">
        <v>5585</v>
      </c>
      <c r="P1069" s="16" t="str">
        <f>HYPERLINK("https://ceds.ed.gov/cedselementdetails.aspx?termid=26827")</f>
        <v>https://ceds.ed.gov/cedselementdetails.aspx?termid=26827</v>
      </c>
      <c r="Q1069" s="16">
        <v>74300</v>
      </c>
    </row>
    <row r="1070" spans="1:17" ht="144" x14ac:dyDescent="0.3">
      <c r="A1070" s="16" t="s">
        <v>7665</v>
      </c>
      <c r="B1070" s="16" t="s">
        <v>7667</v>
      </c>
      <c r="C1070" s="16" t="s">
        <v>7668</v>
      </c>
      <c r="D1070" s="16" t="s">
        <v>7597</v>
      </c>
      <c r="E1070" s="16" t="s">
        <v>1932</v>
      </c>
      <c r="F1070" s="16" t="s">
        <v>1933</v>
      </c>
      <c r="G1070" s="16" t="s">
        <v>8430</v>
      </c>
      <c r="H1070" s="16"/>
      <c r="I1070" s="16"/>
      <c r="J1070" s="16"/>
      <c r="K1070" s="16"/>
      <c r="L1070" s="16"/>
      <c r="M1070" s="19" t="s">
        <v>1935</v>
      </c>
      <c r="N1070" s="16"/>
      <c r="O1070" s="16" t="s">
        <v>1936</v>
      </c>
      <c r="P1070" s="16" t="str">
        <f>HYPERLINK("https://ceds.ed.gov/cedselementdetails.aspx?termid=27258")</f>
        <v>https://ceds.ed.gov/cedselementdetails.aspx?termid=27258</v>
      </c>
      <c r="Q1070" s="16">
        <v>74301</v>
      </c>
    </row>
    <row r="1071" spans="1:17" ht="172.8" x14ac:dyDescent="0.3">
      <c r="A1071" s="16" t="s">
        <v>7665</v>
      </c>
      <c r="B1071" s="16" t="s">
        <v>7667</v>
      </c>
      <c r="C1071" s="16" t="s">
        <v>7669</v>
      </c>
      <c r="D1071" s="16" t="s">
        <v>7597</v>
      </c>
      <c r="E1071" s="16" t="s">
        <v>5586</v>
      </c>
      <c r="F1071" s="16" t="s">
        <v>5587</v>
      </c>
      <c r="G1071" s="16" t="s">
        <v>32</v>
      </c>
      <c r="H1071" s="16" t="s">
        <v>98</v>
      </c>
      <c r="I1071" s="16"/>
      <c r="J1071" s="16" t="s">
        <v>120</v>
      </c>
      <c r="K1071" s="16"/>
      <c r="L1071" s="16" t="s">
        <v>7817</v>
      </c>
      <c r="M1071" s="19" t="s">
        <v>5588</v>
      </c>
      <c r="N1071" s="16"/>
      <c r="O1071" s="16" t="s">
        <v>5589</v>
      </c>
      <c r="P1071" s="16" t="str">
        <f>HYPERLINK("https://ceds.ed.gov/cedselementdetails.aspx?termid=26825")</f>
        <v>https://ceds.ed.gov/cedselementdetails.aspx?termid=26825</v>
      </c>
      <c r="Q1071" s="16">
        <v>74302</v>
      </c>
    </row>
    <row r="1072" spans="1:17" ht="187.2" x14ac:dyDescent="0.3">
      <c r="A1072" s="16" t="s">
        <v>7665</v>
      </c>
      <c r="B1072" s="16" t="s">
        <v>7667</v>
      </c>
      <c r="C1072" s="16" t="s">
        <v>7669</v>
      </c>
      <c r="D1072" s="16" t="s">
        <v>7597</v>
      </c>
      <c r="E1072" s="16" t="s">
        <v>5582</v>
      </c>
      <c r="F1072" s="16" t="s">
        <v>5583</v>
      </c>
      <c r="G1072" s="16" t="s">
        <v>8247</v>
      </c>
      <c r="H1072" s="16" t="s">
        <v>98</v>
      </c>
      <c r="I1072" s="16"/>
      <c r="J1072" s="16"/>
      <c r="K1072" s="16"/>
      <c r="L1072" s="16"/>
      <c r="M1072" s="19" t="s">
        <v>5584</v>
      </c>
      <c r="N1072" s="16"/>
      <c r="O1072" s="16" t="s">
        <v>5585</v>
      </c>
      <c r="P1072" s="16" t="str">
        <f>HYPERLINK("https://ceds.ed.gov/cedselementdetails.aspx?termid=26827")</f>
        <v>https://ceds.ed.gov/cedselementdetails.aspx?termid=26827</v>
      </c>
      <c r="Q1072" s="16">
        <v>74303</v>
      </c>
    </row>
    <row r="1073" spans="1:17" ht="86.4" x14ac:dyDescent="0.3">
      <c r="A1073" s="16" t="s">
        <v>7665</v>
      </c>
      <c r="B1073" s="16" t="s">
        <v>7667</v>
      </c>
      <c r="C1073" s="16" t="s">
        <v>7669</v>
      </c>
      <c r="D1073" s="16" t="s">
        <v>7597</v>
      </c>
      <c r="E1073" s="16" t="s">
        <v>1955</v>
      </c>
      <c r="F1073" s="16" t="s">
        <v>1956</v>
      </c>
      <c r="G1073" s="16" t="s">
        <v>8431</v>
      </c>
      <c r="H1073" s="16" t="s">
        <v>214</v>
      </c>
      <c r="I1073" s="16" t="s">
        <v>160</v>
      </c>
      <c r="J1073" s="16"/>
      <c r="K1073" s="16" t="s">
        <v>12940</v>
      </c>
      <c r="L1073" s="16"/>
      <c r="M1073" s="19" t="s">
        <v>1958</v>
      </c>
      <c r="N1073" s="16"/>
      <c r="O1073" s="16" t="s">
        <v>1959</v>
      </c>
      <c r="P1073" s="16" t="str">
        <f>HYPERLINK("https://ceds.ed.gov/cedselementdetails.aspx?termid=27631")</f>
        <v>https://ceds.ed.gov/cedselementdetails.aspx?termid=27631</v>
      </c>
      <c r="Q1073" s="16">
        <v>74344</v>
      </c>
    </row>
    <row r="1074" spans="1:17" ht="57.6" x14ac:dyDescent="0.3">
      <c r="A1074" s="16" t="s">
        <v>7665</v>
      </c>
      <c r="B1074" s="16" t="s">
        <v>7667</v>
      </c>
      <c r="C1074" s="16" t="s">
        <v>7670</v>
      </c>
      <c r="D1074" s="16" t="s">
        <v>7597</v>
      </c>
      <c r="E1074" s="16" t="s">
        <v>20</v>
      </c>
      <c r="F1074" s="16" t="s">
        <v>21</v>
      </c>
      <c r="G1074" s="16" t="s">
        <v>22</v>
      </c>
      <c r="H1074" s="16" t="s">
        <v>25</v>
      </c>
      <c r="I1074" s="16"/>
      <c r="J1074" s="16"/>
      <c r="K1074" s="16"/>
      <c r="L1074" s="16"/>
      <c r="M1074" s="19" t="s">
        <v>23</v>
      </c>
      <c r="N1074" s="16"/>
      <c r="O1074" s="16" t="s">
        <v>24</v>
      </c>
      <c r="P1074" s="16" t="str">
        <f>HYPERLINK("https://ceds.ed.gov/cedselementdetails.aspx?termid=26000")</f>
        <v>https://ceds.ed.gov/cedselementdetails.aspx?termid=26000</v>
      </c>
      <c r="Q1074" s="16">
        <v>70811</v>
      </c>
    </row>
    <row r="1075" spans="1:17" ht="302.39999999999998" x14ac:dyDescent="0.3">
      <c r="A1075" s="16" t="s">
        <v>7665</v>
      </c>
      <c r="B1075" s="16" t="s">
        <v>7667</v>
      </c>
      <c r="C1075" s="16" t="s">
        <v>7670</v>
      </c>
      <c r="D1075" s="16" t="s">
        <v>7597</v>
      </c>
      <c r="E1075" s="16" t="s">
        <v>6065</v>
      </c>
      <c r="F1075" s="16" t="s">
        <v>6066</v>
      </c>
      <c r="G1075" s="16" t="s">
        <v>8797</v>
      </c>
      <c r="H1075" s="16"/>
      <c r="I1075" s="16"/>
      <c r="J1075" s="16"/>
      <c r="K1075" s="16"/>
      <c r="L1075" s="16"/>
      <c r="M1075" s="19" t="s">
        <v>6068</v>
      </c>
      <c r="N1075" s="16"/>
      <c r="O1075" s="16" t="s">
        <v>6069</v>
      </c>
      <c r="P1075" s="16" t="str">
        <f>HYPERLINK("https://ceds.ed.gov/cedselementdetails.aspx?termid=27210")</f>
        <v>https://ceds.ed.gov/cedselementdetails.aspx?termid=27210</v>
      </c>
      <c r="Q1075" s="16">
        <v>71709</v>
      </c>
    </row>
    <row r="1076" spans="1:17" ht="144" x14ac:dyDescent="0.3">
      <c r="A1076" s="16" t="s">
        <v>7665</v>
      </c>
      <c r="B1076" s="16" t="s">
        <v>7667</v>
      </c>
      <c r="C1076" s="16" t="s">
        <v>7670</v>
      </c>
      <c r="D1076" s="16" t="s">
        <v>7597</v>
      </c>
      <c r="E1076" s="16" t="s">
        <v>4558</v>
      </c>
      <c r="F1076" s="16" t="s">
        <v>4559</v>
      </c>
      <c r="G1076" s="16" t="s">
        <v>8652</v>
      </c>
      <c r="H1076" s="16" t="s">
        <v>214</v>
      </c>
      <c r="I1076" s="16"/>
      <c r="J1076" s="16"/>
      <c r="K1076" s="16"/>
      <c r="L1076" s="16" t="s">
        <v>7438</v>
      </c>
      <c r="M1076" s="19" t="s">
        <v>4560</v>
      </c>
      <c r="N1076" s="16"/>
      <c r="O1076" s="16" t="s">
        <v>4561</v>
      </c>
      <c r="P1076" s="16" t="str">
        <f>HYPERLINK("https://ceds.ed.gov/cedselementdetails.aspx?termid=26164")</f>
        <v>https://ceds.ed.gov/cedselementdetails.aspx?termid=26164</v>
      </c>
      <c r="Q1076" s="16">
        <v>70827</v>
      </c>
    </row>
    <row r="1077" spans="1:17" ht="72" x14ac:dyDescent="0.3">
      <c r="A1077" s="16" t="s">
        <v>7665</v>
      </c>
      <c r="B1077" s="16" t="s">
        <v>7667</v>
      </c>
      <c r="C1077" s="16" t="s">
        <v>7670</v>
      </c>
      <c r="D1077" s="16" t="s">
        <v>7597</v>
      </c>
      <c r="E1077" s="16" t="s">
        <v>6895</v>
      </c>
      <c r="F1077" s="16" t="s">
        <v>6896</v>
      </c>
      <c r="G1077" s="16" t="s">
        <v>8271</v>
      </c>
      <c r="H1077" s="16" t="s">
        <v>214</v>
      </c>
      <c r="I1077" s="16"/>
      <c r="J1077" s="16"/>
      <c r="K1077" s="16"/>
      <c r="L1077" s="16"/>
      <c r="M1077" s="19" t="s">
        <v>6897</v>
      </c>
      <c r="N1077" s="16"/>
      <c r="O1077" s="16" t="s">
        <v>6898</v>
      </c>
      <c r="P1077" s="16" t="str">
        <f>HYPERLINK("https://ceds.ed.gov/cedselementdetails.aspx?termid=26578")</f>
        <v>https://ceds.ed.gov/cedselementdetails.aspx?termid=26578</v>
      </c>
      <c r="Q1077" s="16">
        <v>70874</v>
      </c>
    </row>
    <row r="1078" spans="1:17" ht="409.6" x14ac:dyDescent="0.3">
      <c r="A1078" s="16" t="s">
        <v>7665</v>
      </c>
      <c r="B1078" s="16" t="s">
        <v>7667</v>
      </c>
      <c r="C1078" s="16" t="s">
        <v>7670</v>
      </c>
      <c r="D1078" s="16" t="s">
        <v>7597</v>
      </c>
      <c r="E1078" s="16" t="s">
        <v>6945</v>
      </c>
      <c r="F1078" s="16" t="s">
        <v>6946</v>
      </c>
      <c r="G1078" s="16" t="s">
        <v>9421</v>
      </c>
      <c r="H1078" s="16"/>
      <c r="I1078" s="16"/>
      <c r="J1078" s="16"/>
      <c r="K1078" s="16"/>
      <c r="L1078" s="16" t="s">
        <v>6947</v>
      </c>
      <c r="M1078" s="19" t="s">
        <v>6948</v>
      </c>
      <c r="N1078" s="16"/>
      <c r="O1078" s="16" t="s">
        <v>6949</v>
      </c>
      <c r="P1078" s="16" t="str">
        <f>HYPERLINK("https://ceds.ed.gov/cedselementdetails.aspx?termid=26273")</f>
        <v>https://ceds.ed.gov/cedselementdetails.aspx?termid=26273</v>
      </c>
      <c r="Q1078" s="16">
        <v>70852</v>
      </c>
    </row>
    <row r="1079" spans="1:17" ht="72" x14ac:dyDescent="0.3">
      <c r="A1079" s="16" t="s">
        <v>7665</v>
      </c>
      <c r="B1079" s="16" t="s">
        <v>7667</v>
      </c>
      <c r="C1079" s="16" t="s">
        <v>7670</v>
      </c>
      <c r="D1079" s="16" t="s">
        <v>7597</v>
      </c>
      <c r="E1079" s="16" t="s">
        <v>7094</v>
      </c>
      <c r="F1079" s="16" t="s">
        <v>7095</v>
      </c>
      <c r="G1079" s="16" t="s">
        <v>8276</v>
      </c>
      <c r="H1079" s="16" t="s">
        <v>214</v>
      </c>
      <c r="I1079" s="16"/>
      <c r="J1079" s="16"/>
      <c r="K1079" s="16"/>
      <c r="L1079" s="16"/>
      <c r="M1079" s="19" t="s">
        <v>7096</v>
      </c>
      <c r="N1079" s="16"/>
      <c r="O1079" s="16" t="s">
        <v>7097</v>
      </c>
      <c r="P1079" s="16" t="str">
        <f>HYPERLINK("https://ceds.ed.gov/cedselementdetails.aspx?termid=26284")</f>
        <v>https://ceds.ed.gov/cedselementdetails.aspx?termid=26284</v>
      </c>
      <c r="Q1079" s="16">
        <v>70854</v>
      </c>
    </row>
    <row r="1080" spans="1:17" ht="129.6" x14ac:dyDescent="0.3">
      <c r="A1080" s="16" t="s">
        <v>7665</v>
      </c>
      <c r="B1080" s="16" t="s">
        <v>7667</v>
      </c>
      <c r="C1080" s="16" t="s">
        <v>7670</v>
      </c>
      <c r="D1080" s="16" t="s">
        <v>7597</v>
      </c>
      <c r="E1080" s="16" t="s">
        <v>7098</v>
      </c>
      <c r="F1080" s="16" t="s">
        <v>7099</v>
      </c>
      <c r="G1080" s="16" t="s">
        <v>8852</v>
      </c>
      <c r="H1080" s="16" t="s">
        <v>214</v>
      </c>
      <c r="I1080" s="16"/>
      <c r="J1080" s="16"/>
      <c r="K1080" s="16"/>
      <c r="L1080" s="16"/>
      <c r="M1080" s="19" t="s">
        <v>7100</v>
      </c>
      <c r="N1080" s="16"/>
      <c r="O1080" s="16" t="s">
        <v>7101</v>
      </c>
      <c r="P1080" s="16" t="str">
        <f>HYPERLINK("https://ceds.ed.gov/cedselementdetails.aspx?termid=26285")</f>
        <v>https://ceds.ed.gov/cedselementdetails.aspx?termid=26285</v>
      </c>
      <c r="Q1080" s="16">
        <v>70855</v>
      </c>
    </row>
    <row r="1081" spans="1:17" ht="201.6" x14ac:dyDescent="0.3">
      <c r="A1081" s="16" t="s">
        <v>7665</v>
      </c>
      <c r="B1081" s="16" t="s">
        <v>7667</v>
      </c>
      <c r="C1081" s="16" t="s">
        <v>7670</v>
      </c>
      <c r="D1081" s="16" t="s">
        <v>7597</v>
      </c>
      <c r="E1081" s="16" t="s">
        <v>7146</v>
      </c>
      <c r="F1081" s="16" t="s">
        <v>7147</v>
      </c>
      <c r="G1081" s="16" t="s">
        <v>8855</v>
      </c>
      <c r="H1081" s="16" t="s">
        <v>202</v>
      </c>
      <c r="I1081" s="16"/>
      <c r="J1081" s="16"/>
      <c r="K1081" s="16"/>
      <c r="L1081" s="16"/>
      <c r="M1081" s="19" t="s">
        <v>7148</v>
      </c>
      <c r="N1081" s="16"/>
      <c r="O1081" s="16" t="s">
        <v>7149</v>
      </c>
      <c r="P1081" s="16" t="str">
        <f>HYPERLINK("https://ceds.ed.gov/cedselementdetails.aspx?termid=26437")</f>
        <v>https://ceds.ed.gov/cedselementdetails.aspx?termid=26437</v>
      </c>
      <c r="Q1081" s="16">
        <v>70860</v>
      </c>
    </row>
    <row r="1082" spans="1:17" ht="28.8" x14ac:dyDescent="0.3">
      <c r="A1082" s="16" t="s">
        <v>7665</v>
      </c>
      <c r="B1082" s="16" t="s">
        <v>7667</v>
      </c>
      <c r="C1082" s="16" t="s">
        <v>7670</v>
      </c>
      <c r="D1082" s="16" t="s">
        <v>7597</v>
      </c>
      <c r="E1082" s="16" t="s">
        <v>99</v>
      </c>
      <c r="F1082" s="16" t="s">
        <v>100</v>
      </c>
      <c r="G1082" s="16" t="s">
        <v>32</v>
      </c>
      <c r="H1082" s="16"/>
      <c r="I1082" s="16"/>
      <c r="J1082" s="16" t="s">
        <v>101</v>
      </c>
      <c r="K1082" s="16"/>
      <c r="L1082" s="16"/>
      <c r="M1082" s="19" t="s">
        <v>102</v>
      </c>
      <c r="N1082" s="16"/>
      <c r="O1082" s="16" t="s">
        <v>103</v>
      </c>
      <c r="P1082" s="16" t="str">
        <f>HYPERLINK("https://ceds.ed.gov/cedselementdetails.aspx?termid=27500")</f>
        <v>https://ceds.ed.gov/cedselementdetails.aspx?termid=27500</v>
      </c>
      <c r="Q1082" s="16">
        <v>73755</v>
      </c>
    </row>
    <row r="1083" spans="1:17" ht="28.8" x14ac:dyDescent="0.3">
      <c r="A1083" s="16" t="s">
        <v>7665</v>
      </c>
      <c r="B1083" s="16" t="s">
        <v>7667</v>
      </c>
      <c r="C1083" s="16" t="s">
        <v>7670</v>
      </c>
      <c r="D1083" s="16" t="s">
        <v>7597</v>
      </c>
      <c r="E1083" s="16" t="s">
        <v>104</v>
      </c>
      <c r="F1083" s="16" t="s">
        <v>105</v>
      </c>
      <c r="G1083" s="16" t="s">
        <v>32</v>
      </c>
      <c r="H1083" s="16" t="s">
        <v>98</v>
      </c>
      <c r="I1083" s="16"/>
      <c r="J1083" s="16" t="s">
        <v>106</v>
      </c>
      <c r="K1083" s="16"/>
      <c r="L1083" s="16"/>
      <c r="M1083" s="19" t="s">
        <v>107</v>
      </c>
      <c r="N1083" s="16"/>
      <c r="O1083" s="16" t="s">
        <v>108</v>
      </c>
      <c r="P1083" s="16" t="str">
        <f>HYPERLINK("https://ceds.ed.gov/cedselementdetails.aspx?termid=26840")</f>
        <v>https://ceds.ed.gov/cedselementdetails.aspx?termid=26840</v>
      </c>
      <c r="Q1083" s="16">
        <v>73756</v>
      </c>
    </row>
    <row r="1084" spans="1:17" ht="28.8" x14ac:dyDescent="0.3">
      <c r="A1084" s="16" t="s">
        <v>7665</v>
      </c>
      <c r="B1084" s="16" t="s">
        <v>7667</v>
      </c>
      <c r="C1084" s="16" t="s">
        <v>7670</v>
      </c>
      <c r="D1084" s="16" t="s">
        <v>7597</v>
      </c>
      <c r="E1084" s="16" t="s">
        <v>109</v>
      </c>
      <c r="F1084" s="16" t="s">
        <v>110</v>
      </c>
      <c r="G1084" s="16" t="s">
        <v>32</v>
      </c>
      <c r="H1084" s="16" t="s">
        <v>98</v>
      </c>
      <c r="I1084" s="16"/>
      <c r="J1084" s="16" t="s">
        <v>106</v>
      </c>
      <c r="K1084" s="16"/>
      <c r="L1084" s="16"/>
      <c r="M1084" s="19" t="s">
        <v>111</v>
      </c>
      <c r="N1084" s="16"/>
      <c r="O1084" s="16" t="s">
        <v>112</v>
      </c>
      <c r="P1084" s="16" t="str">
        <f>HYPERLINK("https://ceds.ed.gov/cedselementdetails.aspx?termid=26841")</f>
        <v>https://ceds.ed.gov/cedselementdetails.aspx?termid=26841</v>
      </c>
      <c r="Q1084" s="16">
        <v>73757</v>
      </c>
    </row>
    <row r="1085" spans="1:17" ht="115.2" x14ac:dyDescent="0.3">
      <c r="A1085" s="16" t="s">
        <v>7665</v>
      </c>
      <c r="B1085" s="16" t="s">
        <v>7667</v>
      </c>
      <c r="C1085" s="16" t="s">
        <v>7670</v>
      </c>
      <c r="D1085" s="16" t="s">
        <v>7597</v>
      </c>
      <c r="E1085" s="16" t="s">
        <v>5450</v>
      </c>
      <c r="F1085" s="16" t="s">
        <v>5451</v>
      </c>
      <c r="G1085" s="16" t="s">
        <v>8246</v>
      </c>
      <c r="H1085" s="16"/>
      <c r="I1085" s="16"/>
      <c r="J1085" s="16"/>
      <c r="K1085" s="16"/>
      <c r="L1085" s="16"/>
      <c r="M1085" s="19" t="s">
        <v>5452</v>
      </c>
      <c r="N1085" s="16"/>
      <c r="O1085" s="16" t="s">
        <v>5453</v>
      </c>
      <c r="P1085" s="16" t="str">
        <f>HYPERLINK("https://ceds.ed.gov/cedselementdetails.aspx?termid=27748")</f>
        <v>https://ceds.ed.gov/cedselementdetails.aspx?termid=27748</v>
      </c>
      <c r="Q1085" s="16">
        <v>75147</v>
      </c>
    </row>
    <row r="1086" spans="1:17" ht="100.8" x14ac:dyDescent="0.3">
      <c r="A1086" s="16" t="s">
        <v>7665</v>
      </c>
      <c r="B1086" s="16" t="s">
        <v>7667</v>
      </c>
      <c r="C1086" s="16" t="s">
        <v>7670</v>
      </c>
      <c r="D1086" s="16" t="s">
        <v>7597</v>
      </c>
      <c r="E1086" s="16" t="s">
        <v>8159</v>
      </c>
      <c r="F1086" s="16" t="s">
        <v>8160</v>
      </c>
      <c r="G1086" s="16" t="s">
        <v>8204</v>
      </c>
      <c r="H1086" s="16"/>
      <c r="I1086" s="16"/>
      <c r="J1086" s="16" t="s">
        <v>2</v>
      </c>
      <c r="K1086" s="16"/>
      <c r="L1086" s="16"/>
      <c r="M1086" s="19" t="s">
        <v>8196</v>
      </c>
      <c r="N1086" s="16"/>
      <c r="O1086" s="16" t="s">
        <v>8161</v>
      </c>
      <c r="P1086" s="16" t="str">
        <f>HYPERLINK("https://ceds.ed.gov/cedselementdetails.aspx?termid=27994")</f>
        <v>https://ceds.ed.gov/cedselementdetails.aspx?termid=27994</v>
      </c>
      <c r="Q1086" s="16">
        <v>75907</v>
      </c>
    </row>
    <row r="1087" spans="1:17" ht="43.2" x14ac:dyDescent="0.3">
      <c r="A1087" s="16" t="s">
        <v>7665</v>
      </c>
      <c r="B1087" s="16" t="s">
        <v>7667</v>
      </c>
      <c r="C1087" s="16" t="s">
        <v>7671</v>
      </c>
      <c r="D1087" s="16" t="s">
        <v>7597</v>
      </c>
      <c r="E1087" s="16" t="s">
        <v>6562</v>
      </c>
      <c r="F1087" s="16" t="s">
        <v>6563</v>
      </c>
      <c r="G1087" s="16" t="s">
        <v>32</v>
      </c>
      <c r="H1087" s="16" t="s">
        <v>2450</v>
      </c>
      <c r="I1087" s="16"/>
      <c r="J1087" s="16" t="s">
        <v>1807</v>
      </c>
      <c r="K1087" s="16"/>
      <c r="L1087" s="16" t="s">
        <v>8141</v>
      </c>
      <c r="M1087" s="19" t="s">
        <v>6565</v>
      </c>
      <c r="N1087" s="16"/>
      <c r="O1087" s="16" t="s">
        <v>6566</v>
      </c>
      <c r="P1087" s="16" t="str">
        <f>HYPERLINK("https://ceds.ed.gov/cedselementdetails.aspx?termid=26243")</f>
        <v>https://ceds.ed.gov/cedselementdetails.aspx?termid=26243</v>
      </c>
      <c r="Q1087" s="16">
        <v>74170</v>
      </c>
    </row>
    <row r="1088" spans="1:17" ht="72" x14ac:dyDescent="0.3">
      <c r="A1088" s="16" t="s">
        <v>7665</v>
      </c>
      <c r="B1088" s="16" t="s">
        <v>7667</v>
      </c>
      <c r="C1088" s="16" t="s">
        <v>7671</v>
      </c>
      <c r="D1088" s="16" t="s">
        <v>7597</v>
      </c>
      <c r="E1088" s="16" t="s">
        <v>208</v>
      </c>
      <c r="F1088" s="16" t="s">
        <v>209</v>
      </c>
      <c r="G1088" s="16" t="s">
        <v>8297</v>
      </c>
      <c r="H1088" s="16" t="s">
        <v>214</v>
      </c>
      <c r="I1088" s="16"/>
      <c r="J1088" s="16"/>
      <c r="K1088" s="16"/>
      <c r="L1088" s="16"/>
      <c r="M1088" s="19" t="s">
        <v>211</v>
      </c>
      <c r="N1088" s="16" t="s">
        <v>212</v>
      </c>
      <c r="O1088" s="16" t="s">
        <v>213</v>
      </c>
      <c r="P1088" s="16" t="str">
        <f>HYPERLINK("https://ceds.ed.gov/cedselementdetails.aspx?termid=26011")</f>
        <v>https://ceds.ed.gov/cedselementdetails.aspx?termid=26011</v>
      </c>
      <c r="Q1088" s="16">
        <v>70812</v>
      </c>
    </row>
    <row r="1089" spans="1:17" ht="28.8" x14ac:dyDescent="0.3">
      <c r="A1089" s="16" t="s">
        <v>7665</v>
      </c>
      <c r="B1089" s="16" t="s">
        <v>7667</v>
      </c>
      <c r="C1089" s="16" t="s">
        <v>7671</v>
      </c>
      <c r="D1089" s="16" t="s">
        <v>7597</v>
      </c>
      <c r="E1089" s="16" t="s">
        <v>203</v>
      </c>
      <c r="F1089" s="16" t="s">
        <v>204</v>
      </c>
      <c r="G1089" s="16" t="s">
        <v>32</v>
      </c>
      <c r="H1089" s="16" t="s">
        <v>202</v>
      </c>
      <c r="I1089" s="16"/>
      <c r="J1089" s="16" t="s">
        <v>106</v>
      </c>
      <c r="K1089" s="16"/>
      <c r="L1089" s="16"/>
      <c r="M1089" s="19" t="s">
        <v>205</v>
      </c>
      <c r="N1089" s="16" t="s">
        <v>206</v>
      </c>
      <c r="O1089" s="16" t="s">
        <v>207</v>
      </c>
      <c r="P1089" s="16" t="str">
        <f>HYPERLINK("https://ceds.ed.gov/cedselementdetails.aspx?termid=26434")</f>
        <v>https://ceds.ed.gov/cedselementdetails.aspx?termid=26434</v>
      </c>
      <c r="Q1089" s="16">
        <v>70859</v>
      </c>
    </row>
    <row r="1090" spans="1:17" ht="43.2" x14ac:dyDescent="0.3">
      <c r="A1090" s="16" t="s">
        <v>7665</v>
      </c>
      <c r="B1090" s="16" t="s">
        <v>7667</v>
      </c>
      <c r="C1090" s="16" t="s">
        <v>7671</v>
      </c>
      <c r="D1090" s="16" t="s">
        <v>7597</v>
      </c>
      <c r="E1090" s="16" t="s">
        <v>196</v>
      </c>
      <c r="F1090" s="16" t="s">
        <v>197</v>
      </c>
      <c r="G1090" s="16" t="s">
        <v>22</v>
      </c>
      <c r="H1090" s="16" t="s">
        <v>202</v>
      </c>
      <c r="I1090" s="16"/>
      <c r="J1090" s="16"/>
      <c r="K1090" s="16"/>
      <c r="L1090" s="16"/>
      <c r="M1090" s="19" t="s">
        <v>199</v>
      </c>
      <c r="N1090" s="16" t="s">
        <v>200</v>
      </c>
      <c r="O1090" s="16" t="s">
        <v>201</v>
      </c>
      <c r="P1090" s="16" t="str">
        <f>HYPERLINK("https://ceds.ed.gov/cedselementdetails.aspx?termid=26433")</f>
        <v>https://ceds.ed.gov/cedselementdetails.aspx?termid=26433</v>
      </c>
      <c r="Q1090" s="16">
        <v>70858</v>
      </c>
    </row>
    <row r="1091" spans="1:17" ht="43.2" x14ac:dyDescent="0.3">
      <c r="A1091" s="16" t="s">
        <v>7665</v>
      </c>
      <c r="B1091" s="16" t="s">
        <v>7667</v>
      </c>
      <c r="C1091" s="16" t="s">
        <v>7671</v>
      </c>
      <c r="D1091" s="16" t="s">
        <v>7597</v>
      </c>
      <c r="E1091" s="16" t="s">
        <v>364</v>
      </c>
      <c r="F1091" s="16" t="s">
        <v>365</v>
      </c>
      <c r="G1091" s="16" t="s">
        <v>22</v>
      </c>
      <c r="H1091" s="16" t="s">
        <v>202</v>
      </c>
      <c r="I1091" s="16"/>
      <c r="J1091" s="16"/>
      <c r="K1091" s="16"/>
      <c r="L1091" s="16"/>
      <c r="M1091" s="19" t="s">
        <v>366</v>
      </c>
      <c r="N1091" s="16" t="s">
        <v>367</v>
      </c>
      <c r="O1091" s="16" t="s">
        <v>368</v>
      </c>
      <c r="P1091" s="16" t="str">
        <f>HYPERLINK("https://ceds.ed.gov/cedselementdetails.aspx?termid=26432")</f>
        <v>https://ceds.ed.gov/cedselementdetails.aspx?termid=26432</v>
      </c>
      <c r="Q1091" s="16">
        <v>70857</v>
      </c>
    </row>
    <row r="1092" spans="1:17" ht="57.6" x14ac:dyDescent="0.3">
      <c r="A1092" s="16" t="s">
        <v>7665</v>
      </c>
      <c r="B1092" s="16" t="s">
        <v>7667</v>
      </c>
      <c r="C1092" s="16" t="s">
        <v>7671</v>
      </c>
      <c r="D1092" s="16" t="s">
        <v>7597</v>
      </c>
      <c r="E1092" s="16" t="s">
        <v>328</v>
      </c>
      <c r="F1092" s="16" t="s">
        <v>329</v>
      </c>
      <c r="G1092" s="16" t="s">
        <v>22</v>
      </c>
      <c r="H1092" s="16" t="s">
        <v>214</v>
      </c>
      <c r="I1092" s="16"/>
      <c r="J1092" s="16"/>
      <c r="K1092" s="16"/>
      <c r="L1092" s="16"/>
      <c r="M1092" s="19" t="s">
        <v>330</v>
      </c>
      <c r="N1092" s="16" t="s">
        <v>331</v>
      </c>
      <c r="O1092" s="16" t="s">
        <v>332</v>
      </c>
      <c r="P1092" s="16" t="str">
        <f>HYPERLINK("https://ceds.ed.gov/cedselementdetails.aspx?termid=26014")</f>
        <v>https://ceds.ed.gov/cedselementdetails.aspx?termid=26014</v>
      </c>
      <c r="Q1092" s="16">
        <v>70814</v>
      </c>
    </row>
    <row r="1093" spans="1:17" ht="115.2" x14ac:dyDescent="0.3">
      <c r="A1093" s="16" t="s">
        <v>7665</v>
      </c>
      <c r="B1093" s="16" t="s">
        <v>7667</v>
      </c>
      <c r="C1093" s="16" t="s">
        <v>7671</v>
      </c>
      <c r="D1093" s="16" t="s">
        <v>7597</v>
      </c>
      <c r="E1093" s="16" t="s">
        <v>6044</v>
      </c>
      <c r="F1093" s="16" t="s">
        <v>6045</v>
      </c>
      <c r="G1093" s="16" t="s">
        <v>8796</v>
      </c>
      <c r="H1093" s="16" t="s">
        <v>214</v>
      </c>
      <c r="I1093" s="16"/>
      <c r="J1093" s="16"/>
      <c r="K1093" s="16"/>
      <c r="L1093" s="16"/>
      <c r="M1093" s="19" t="s">
        <v>6046</v>
      </c>
      <c r="N1093" s="16"/>
      <c r="O1093" s="16" t="s">
        <v>6047</v>
      </c>
      <c r="P1093" s="16" t="str">
        <f>HYPERLINK("https://ceds.ed.gov/cedselementdetails.aspx?termid=26221")</f>
        <v>https://ceds.ed.gov/cedselementdetails.aspx?termid=26221</v>
      </c>
      <c r="Q1093" s="16">
        <v>70838</v>
      </c>
    </row>
    <row r="1094" spans="1:17" ht="115.2" x14ac:dyDescent="0.3">
      <c r="A1094" s="16" t="s">
        <v>7665</v>
      </c>
      <c r="B1094" s="16" t="s">
        <v>7667</v>
      </c>
      <c r="C1094" s="16" t="s">
        <v>7671</v>
      </c>
      <c r="D1094" s="16" t="s">
        <v>7597</v>
      </c>
      <c r="E1094" s="16" t="s">
        <v>6048</v>
      </c>
      <c r="F1094" s="16" t="s">
        <v>6049</v>
      </c>
      <c r="G1094" s="16" t="s">
        <v>8796</v>
      </c>
      <c r="H1094" s="16" t="s">
        <v>214</v>
      </c>
      <c r="I1094" s="16"/>
      <c r="J1094" s="16"/>
      <c r="K1094" s="16"/>
      <c r="L1094" s="16"/>
      <c r="M1094" s="19" t="s">
        <v>6050</v>
      </c>
      <c r="N1094" s="16"/>
      <c r="O1094" s="16" t="s">
        <v>6051</v>
      </c>
      <c r="P1094" s="16" t="str">
        <f>HYPERLINK("https://ceds.ed.gov/cedselementdetails.aspx?termid=26544")</f>
        <v>https://ceds.ed.gov/cedselementdetails.aspx?termid=26544</v>
      </c>
      <c r="Q1094" s="16">
        <v>70872</v>
      </c>
    </row>
    <row r="1095" spans="1:17" ht="86.4" x14ac:dyDescent="0.3">
      <c r="A1095" s="16" t="s">
        <v>7665</v>
      </c>
      <c r="B1095" s="16" t="s">
        <v>7667</v>
      </c>
      <c r="C1095" s="16" t="s">
        <v>7671</v>
      </c>
      <c r="D1095" s="16" t="s">
        <v>7597</v>
      </c>
      <c r="E1095" s="16" t="s">
        <v>5688</v>
      </c>
      <c r="F1095" s="16" t="s">
        <v>5689</v>
      </c>
      <c r="G1095" s="16" t="s">
        <v>8752</v>
      </c>
      <c r="H1095" s="16" t="s">
        <v>214</v>
      </c>
      <c r="I1095" s="16"/>
      <c r="J1095" s="16"/>
      <c r="K1095" s="16"/>
      <c r="L1095" s="16"/>
      <c r="M1095" s="19" t="s">
        <v>5690</v>
      </c>
      <c r="N1095" s="16"/>
      <c r="O1095" s="16" t="s">
        <v>5691</v>
      </c>
      <c r="P1095" s="16" t="str">
        <f>HYPERLINK("https://ceds.ed.gov/cedselementdetails.aspx?termid=26208")</f>
        <v>https://ceds.ed.gov/cedselementdetails.aspx?termid=26208</v>
      </c>
      <c r="Q1095" s="16">
        <v>70832</v>
      </c>
    </row>
    <row r="1096" spans="1:17" ht="86.4" x14ac:dyDescent="0.3">
      <c r="A1096" s="16" t="s">
        <v>7665</v>
      </c>
      <c r="B1096" s="16" t="s">
        <v>7667</v>
      </c>
      <c r="C1096" s="16" t="s">
        <v>7671</v>
      </c>
      <c r="D1096" s="16" t="s">
        <v>7597</v>
      </c>
      <c r="E1096" s="16" t="s">
        <v>5692</v>
      </c>
      <c r="F1096" s="16" t="s">
        <v>5693</v>
      </c>
      <c r="G1096" s="16" t="s">
        <v>8752</v>
      </c>
      <c r="H1096" s="16" t="s">
        <v>214</v>
      </c>
      <c r="I1096" s="16"/>
      <c r="J1096" s="16"/>
      <c r="K1096" s="16"/>
      <c r="L1096" s="16"/>
      <c r="M1096" s="19" t="s">
        <v>5694</v>
      </c>
      <c r="N1096" s="16"/>
      <c r="O1096" s="16" t="s">
        <v>5695</v>
      </c>
      <c r="P1096" s="16" t="str">
        <f>HYPERLINK("https://ceds.ed.gov/cedselementdetails.aspx?termid=26209")</f>
        <v>https://ceds.ed.gov/cedselementdetails.aspx?termid=26209</v>
      </c>
      <c r="Q1096" s="16">
        <v>70833</v>
      </c>
    </row>
    <row r="1097" spans="1:17" ht="43.2" x14ac:dyDescent="0.3">
      <c r="A1097" s="16" t="s">
        <v>7665</v>
      </c>
      <c r="B1097" s="16" t="s">
        <v>7667</v>
      </c>
      <c r="C1097" s="16" t="s">
        <v>7671</v>
      </c>
      <c r="D1097" s="16" t="s">
        <v>7597</v>
      </c>
      <c r="E1097" s="16" t="s">
        <v>5721</v>
      </c>
      <c r="F1097" s="16" t="s">
        <v>5722</v>
      </c>
      <c r="G1097" s="16" t="s">
        <v>22</v>
      </c>
      <c r="H1097" s="16" t="s">
        <v>214</v>
      </c>
      <c r="I1097" s="16"/>
      <c r="J1097" s="16"/>
      <c r="K1097" s="16"/>
      <c r="L1097" s="16"/>
      <c r="M1097" s="19" t="s">
        <v>5723</v>
      </c>
      <c r="N1097" s="16"/>
      <c r="O1097" s="16" t="s">
        <v>5724</v>
      </c>
      <c r="P1097" s="16" t="str">
        <f>HYPERLINK("https://ceds.ed.gov/cedselementdetails.aspx?termid=26210")</f>
        <v>https://ceds.ed.gov/cedselementdetails.aspx?termid=26210</v>
      </c>
      <c r="Q1097" s="16">
        <v>70834</v>
      </c>
    </row>
    <row r="1098" spans="1:17" ht="43.2" x14ac:dyDescent="0.3">
      <c r="A1098" s="16" t="s">
        <v>7665</v>
      </c>
      <c r="B1098" s="16" t="s">
        <v>7667</v>
      </c>
      <c r="C1098" s="16" t="s">
        <v>7671</v>
      </c>
      <c r="D1098" s="16" t="s">
        <v>7597</v>
      </c>
      <c r="E1098" s="16" t="s">
        <v>5725</v>
      </c>
      <c r="F1098" s="16" t="s">
        <v>5726</v>
      </c>
      <c r="G1098" s="16" t="s">
        <v>22</v>
      </c>
      <c r="H1098" s="16" t="s">
        <v>214</v>
      </c>
      <c r="I1098" s="16"/>
      <c r="J1098" s="16"/>
      <c r="K1098" s="16"/>
      <c r="L1098" s="16"/>
      <c r="M1098" s="19" t="s">
        <v>5727</v>
      </c>
      <c r="N1098" s="16"/>
      <c r="O1098" s="16" t="s">
        <v>5728</v>
      </c>
      <c r="P1098" s="16" t="str">
        <f>HYPERLINK("https://ceds.ed.gov/cedselementdetails.aspx?termid=26211")</f>
        <v>https://ceds.ed.gov/cedselementdetails.aspx?termid=26211</v>
      </c>
      <c r="Q1098" s="16">
        <v>70835</v>
      </c>
    </row>
    <row r="1099" spans="1:17" ht="86.4" x14ac:dyDescent="0.3">
      <c r="A1099" s="16" t="s">
        <v>7665</v>
      </c>
      <c r="B1099" s="16" t="s">
        <v>7667</v>
      </c>
      <c r="C1099" s="16" t="s">
        <v>7671</v>
      </c>
      <c r="D1099" s="16" t="s">
        <v>7597</v>
      </c>
      <c r="E1099" s="16" t="s">
        <v>3417</v>
      </c>
      <c r="F1099" s="16" t="s">
        <v>7964</v>
      </c>
      <c r="G1099" s="16" t="s">
        <v>8547</v>
      </c>
      <c r="H1099" s="16" t="s">
        <v>214</v>
      </c>
      <c r="I1099" s="16"/>
      <c r="J1099" s="16"/>
      <c r="K1099" s="16"/>
      <c r="L1099" s="16"/>
      <c r="M1099" s="19" t="s">
        <v>3418</v>
      </c>
      <c r="N1099" s="16"/>
      <c r="O1099" s="16" t="s">
        <v>3419</v>
      </c>
      <c r="P1099" s="16" t="str">
        <f>HYPERLINK("https://ceds.ed.gov/cedselementdetails.aspx?termid=26091")</f>
        <v>https://ceds.ed.gov/cedselementdetails.aspx?termid=26091</v>
      </c>
      <c r="Q1099" s="16">
        <v>70821</v>
      </c>
    </row>
    <row r="1100" spans="1:17" ht="100.8" x14ac:dyDescent="0.3">
      <c r="A1100" s="16" t="s">
        <v>7665</v>
      </c>
      <c r="B1100" s="16" t="s">
        <v>7667</v>
      </c>
      <c r="C1100" s="16" t="s">
        <v>7671</v>
      </c>
      <c r="D1100" s="16" t="s">
        <v>7597</v>
      </c>
      <c r="E1100" s="16" t="s">
        <v>4250</v>
      </c>
      <c r="F1100" s="16" t="s">
        <v>4251</v>
      </c>
      <c r="G1100" s="16" t="s">
        <v>8620</v>
      </c>
      <c r="H1100" s="16" t="s">
        <v>214</v>
      </c>
      <c r="I1100" s="16"/>
      <c r="J1100" s="16"/>
      <c r="K1100" s="16"/>
      <c r="L1100" s="16"/>
      <c r="M1100" s="19" t="s">
        <v>4252</v>
      </c>
      <c r="N1100" s="16"/>
      <c r="O1100" s="16" t="s">
        <v>4253</v>
      </c>
      <c r="P1100" s="16" t="str">
        <f>HYPERLINK("https://ceds.ed.gov/cedselementdetails.aspx?termid=26140")</f>
        <v>https://ceds.ed.gov/cedselementdetails.aspx?termid=26140</v>
      </c>
      <c r="Q1100" s="16">
        <v>70824</v>
      </c>
    </row>
    <row r="1101" spans="1:17" ht="158.4" x14ac:dyDescent="0.3">
      <c r="A1101" s="16" t="s">
        <v>7665</v>
      </c>
      <c r="B1101" s="16" t="s">
        <v>7667</v>
      </c>
      <c r="C1101" s="16" t="s">
        <v>7671</v>
      </c>
      <c r="D1101" s="16" t="s">
        <v>7597</v>
      </c>
      <c r="E1101" s="16" t="s">
        <v>2472</v>
      </c>
      <c r="F1101" s="16" t="s">
        <v>2473</v>
      </c>
      <c r="G1101" s="16" t="s">
        <v>8453</v>
      </c>
      <c r="H1101" s="16" t="s">
        <v>214</v>
      </c>
      <c r="I1101" s="16"/>
      <c r="J1101" s="16"/>
      <c r="K1101" s="16"/>
      <c r="L1101" s="16"/>
      <c r="M1101" s="19" t="s">
        <v>2475</v>
      </c>
      <c r="N1101" s="16"/>
      <c r="O1101" s="16" t="s">
        <v>2476</v>
      </c>
      <c r="P1101" s="16" t="str">
        <f>HYPERLINK("https://ceds.ed.gov/cedselementdetails.aspx?termid=26049")</f>
        <v>https://ceds.ed.gov/cedselementdetails.aspx?termid=26049</v>
      </c>
      <c r="Q1101" s="16">
        <v>70819</v>
      </c>
    </row>
    <row r="1102" spans="1:17" ht="72" x14ac:dyDescent="0.3">
      <c r="A1102" s="16" t="s">
        <v>7665</v>
      </c>
      <c r="B1102" s="16" t="s">
        <v>7667</v>
      </c>
      <c r="C1102" s="16" t="s">
        <v>7671</v>
      </c>
      <c r="D1102" s="16" t="s">
        <v>7597</v>
      </c>
      <c r="E1102" s="16" t="s">
        <v>6269</v>
      </c>
      <c r="F1102" s="16" t="s">
        <v>6270</v>
      </c>
      <c r="G1102" s="16" t="s">
        <v>8816</v>
      </c>
      <c r="H1102" s="16" t="s">
        <v>214</v>
      </c>
      <c r="I1102" s="16"/>
      <c r="J1102" s="16"/>
      <c r="K1102" s="16"/>
      <c r="L1102" s="16"/>
      <c r="M1102" s="19" t="s">
        <v>6271</v>
      </c>
      <c r="N1102" s="16"/>
      <c r="O1102" s="16" t="s">
        <v>6272</v>
      </c>
      <c r="P1102" s="16" t="str">
        <f>HYPERLINK("https://ceds.ed.gov/cedselementdetails.aspx?termid=26230")</f>
        <v>https://ceds.ed.gov/cedselementdetails.aspx?termid=26230</v>
      </c>
      <c r="Q1102" s="16">
        <v>70840</v>
      </c>
    </row>
    <row r="1103" spans="1:17" ht="115.2" x14ac:dyDescent="0.3">
      <c r="A1103" s="16" t="s">
        <v>7665</v>
      </c>
      <c r="B1103" s="16" t="s">
        <v>7667</v>
      </c>
      <c r="C1103" s="16" t="s">
        <v>7671</v>
      </c>
      <c r="D1103" s="16" t="s">
        <v>7597</v>
      </c>
      <c r="E1103" s="16" t="s">
        <v>6367</v>
      </c>
      <c r="F1103" s="16" t="s">
        <v>13016</v>
      </c>
      <c r="G1103" s="16" t="s">
        <v>8822</v>
      </c>
      <c r="H1103" s="16" t="s">
        <v>214</v>
      </c>
      <c r="I1103" s="16"/>
      <c r="J1103" s="16"/>
      <c r="K1103" s="16"/>
      <c r="L1103" s="16"/>
      <c r="M1103" s="19" t="s">
        <v>6368</v>
      </c>
      <c r="N1103" s="16"/>
      <c r="O1103" s="16" t="s">
        <v>6369</v>
      </c>
      <c r="P1103" s="16" t="str">
        <f>HYPERLINK("https://ceds.ed.gov/cedselementdetails.aspx?termid=26232")</f>
        <v>https://ceds.ed.gov/cedselementdetails.aspx?termid=26232</v>
      </c>
      <c r="Q1103" s="16">
        <v>70841</v>
      </c>
    </row>
    <row r="1104" spans="1:17" ht="43.2" x14ac:dyDescent="0.3">
      <c r="A1104" s="16" t="s">
        <v>7665</v>
      </c>
      <c r="B1104" s="16" t="s">
        <v>7667</v>
      </c>
      <c r="C1104" s="16" t="s">
        <v>7671</v>
      </c>
      <c r="D1104" s="16" t="s">
        <v>7597</v>
      </c>
      <c r="E1104" s="16" t="s">
        <v>6535</v>
      </c>
      <c r="F1104" s="16" t="s">
        <v>6536</v>
      </c>
      <c r="G1104" s="16" t="s">
        <v>22</v>
      </c>
      <c r="H1104" s="16" t="s">
        <v>214</v>
      </c>
      <c r="I1104" s="16"/>
      <c r="J1104" s="16"/>
      <c r="K1104" s="16"/>
      <c r="L1104" s="16"/>
      <c r="M1104" s="19" t="s">
        <v>6537</v>
      </c>
      <c r="N1104" s="16"/>
      <c r="O1104" s="16" t="s">
        <v>6538</v>
      </c>
      <c r="P1104" s="16" t="str">
        <f>HYPERLINK("https://ceds.ed.gov/cedselementdetails.aspx?termid=26238")</f>
        <v>https://ceds.ed.gov/cedselementdetails.aspx?termid=26238</v>
      </c>
      <c r="Q1104" s="16">
        <v>70842</v>
      </c>
    </row>
    <row r="1105" spans="1:17" ht="57.6" x14ac:dyDescent="0.3">
      <c r="A1105" s="16" t="s">
        <v>7665</v>
      </c>
      <c r="B1105" s="16" t="s">
        <v>7667</v>
      </c>
      <c r="C1105" s="16" t="s">
        <v>7671</v>
      </c>
      <c r="D1105" s="16" t="s">
        <v>7597</v>
      </c>
      <c r="E1105" s="16" t="s">
        <v>6531</v>
      </c>
      <c r="F1105" s="16" t="s">
        <v>6532</v>
      </c>
      <c r="G1105" s="16" t="s">
        <v>32</v>
      </c>
      <c r="H1105" s="16" t="s">
        <v>202</v>
      </c>
      <c r="I1105" s="16"/>
      <c r="J1105" s="16" t="s">
        <v>106</v>
      </c>
      <c r="K1105" s="16"/>
      <c r="L1105" s="16" t="s">
        <v>131</v>
      </c>
      <c r="M1105" s="19" t="s">
        <v>6533</v>
      </c>
      <c r="N1105" s="16"/>
      <c r="O1105" s="16" t="s">
        <v>6534</v>
      </c>
      <c r="P1105" s="16" t="str">
        <f>HYPERLINK("https://ceds.ed.gov/cedselementdetails.aspx?termid=26472")</f>
        <v>https://ceds.ed.gov/cedselementdetails.aspx?termid=26472</v>
      </c>
      <c r="Q1105" s="16">
        <v>70861</v>
      </c>
    </row>
    <row r="1106" spans="1:17" ht="72" x14ac:dyDescent="0.3">
      <c r="A1106" s="16" t="s">
        <v>7665</v>
      </c>
      <c r="B1106" s="16" t="s">
        <v>7667</v>
      </c>
      <c r="C1106" s="16" t="s">
        <v>7671</v>
      </c>
      <c r="D1106" s="16" t="s">
        <v>7597</v>
      </c>
      <c r="E1106" s="16" t="s">
        <v>153</v>
      </c>
      <c r="F1106" s="16" t="s">
        <v>154</v>
      </c>
      <c r="G1106" s="16" t="s">
        <v>8292</v>
      </c>
      <c r="H1106" s="16"/>
      <c r="I1106" s="16" t="s">
        <v>160</v>
      </c>
      <c r="J1106" s="16"/>
      <c r="K1106" s="16" t="s">
        <v>12934</v>
      </c>
      <c r="L1106" s="16"/>
      <c r="M1106" s="19" t="s">
        <v>156</v>
      </c>
      <c r="N1106" s="16"/>
      <c r="O1106" s="16" t="s">
        <v>157</v>
      </c>
      <c r="P1106" s="16" t="str">
        <f>HYPERLINK("https://ceds.ed.gov/cedselementdetails.aspx?termid=27902")</f>
        <v>https://ceds.ed.gov/cedselementdetails.aspx?termid=27902</v>
      </c>
      <c r="Q1106" s="16">
        <v>75311</v>
      </c>
    </row>
    <row r="1107" spans="1:17" ht="72" x14ac:dyDescent="0.3">
      <c r="A1107" s="16" t="s">
        <v>7665</v>
      </c>
      <c r="B1107" s="16" t="s">
        <v>7667</v>
      </c>
      <c r="C1107" s="16" t="s">
        <v>7671</v>
      </c>
      <c r="D1107" s="16" t="s">
        <v>7597</v>
      </c>
      <c r="E1107" s="16" t="s">
        <v>2416</v>
      </c>
      <c r="F1107" s="16" t="s">
        <v>2417</v>
      </c>
      <c r="G1107" s="16" t="s">
        <v>8450</v>
      </c>
      <c r="H1107" s="16"/>
      <c r="I1107" s="16"/>
      <c r="J1107" s="16"/>
      <c r="K1107" s="16"/>
      <c r="L1107" s="16"/>
      <c r="M1107" s="19" t="s">
        <v>2418</v>
      </c>
      <c r="N1107" s="16"/>
      <c r="O1107" s="16" t="s">
        <v>2419</v>
      </c>
      <c r="P1107" s="16" t="str">
        <f>HYPERLINK("https://ceds.ed.gov/cedselementdetails.aspx?termid=27904")</f>
        <v>https://ceds.ed.gov/cedselementdetails.aspx?termid=27904</v>
      </c>
      <c r="Q1107" s="16">
        <v>75312</v>
      </c>
    </row>
    <row r="1108" spans="1:17" ht="72" x14ac:dyDescent="0.3">
      <c r="A1108" s="16" t="s">
        <v>7665</v>
      </c>
      <c r="B1108" s="16" t="s">
        <v>7667</v>
      </c>
      <c r="C1108" s="16" t="s">
        <v>7671</v>
      </c>
      <c r="D1108" s="16" t="s">
        <v>7597</v>
      </c>
      <c r="E1108" s="16" t="s">
        <v>6976</v>
      </c>
      <c r="F1108" s="16" t="s">
        <v>6977</v>
      </c>
      <c r="G1108" s="16" t="s">
        <v>12970</v>
      </c>
      <c r="H1108" s="16"/>
      <c r="I1108" s="16" t="s">
        <v>160</v>
      </c>
      <c r="J1108" s="16"/>
      <c r="K1108" s="16" t="s">
        <v>12953</v>
      </c>
      <c r="L1108" s="16"/>
      <c r="M1108" s="19" t="s">
        <v>6978</v>
      </c>
      <c r="N1108" s="16"/>
      <c r="O1108" s="16" t="s">
        <v>6979</v>
      </c>
      <c r="P1108" s="16" t="str">
        <f>HYPERLINK("https://ceds.ed.gov/cedselementdetails.aspx?termid=27910")</f>
        <v>https://ceds.ed.gov/cedselementdetails.aspx?termid=27910</v>
      </c>
      <c r="Q1108" s="16">
        <v>75313</v>
      </c>
    </row>
    <row r="1109" spans="1:17" ht="72" x14ac:dyDescent="0.3">
      <c r="A1109" s="16" t="s">
        <v>7665</v>
      </c>
      <c r="B1109" s="16" t="s">
        <v>7667</v>
      </c>
      <c r="C1109" s="16" t="s">
        <v>7671</v>
      </c>
      <c r="D1109" s="16" t="s">
        <v>7597</v>
      </c>
      <c r="E1109" s="16" t="s">
        <v>12849</v>
      </c>
      <c r="F1109" s="16" t="s">
        <v>12850</v>
      </c>
      <c r="G1109" s="16" t="s">
        <v>8802</v>
      </c>
      <c r="H1109" s="16"/>
      <c r="I1109" s="16" t="s">
        <v>155</v>
      </c>
      <c r="J1109" s="16" t="s">
        <v>2</v>
      </c>
      <c r="K1109" s="16" t="s">
        <v>12636</v>
      </c>
      <c r="L1109" s="16"/>
      <c r="M1109" s="19" t="s">
        <v>12851</v>
      </c>
      <c r="N1109" s="16"/>
      <c r="O1109" s="16" t="s">
        <v>12852</v>
      </c>
      <c r="P1109" s="16" t="str">
        <f>HYPERLINK("https://ceds.ed.gov/cedselementdetails.aspx?termid=28121")</f>
        <v>https://ceds.ed.gov/cedselementdetails.aspx?termid=28121</v>
      </c>
      <c r="Q1109" s="16">
        <v>76650</v>
      </c>
    </row>
    <row r="1110" spans="1:17" ht="72" x14ac:dyDescent="0.3">
      <c r="A1110" s="16" t="s">
        <v>7665</v>
      </c>
      <c r="B1110" s="16" t="s">
        <v>7667</v>
      </c>
      <c r="C1110" s="16" t="s">
        <v>7617</v>
      </c>
      <c r="D1110" s="16" t="s">
        <v>7597</v>
      </c>
      <c r="E1110" s="16" t="s">
        <v>8966</v>
      </c>
      <c r="F1110" s="16" t="s">
        <v>8967</v>
      </c>
      <c r="G1110" s="16" t="s">
        <v>9425</v>
      </c>
      <c r="H1110" s="16"/>
      <c r="I1110" s="16"/>
      <c r="J1110" s="16" t="s">
        <v>2</v>
      </c>
      <c r="K1110" s="16"/>
      <c r="L1110" s="16"/>
      <c r="M1110" s="19" t="s">
        <v>8968</v>
      </c>
      <c r="N1110" s="16"/>
      <c r="O1110" s="16" t="s">
        <v>8969</v>
      </c>
      <c r="P1110" s="16" t="str">
        <f>HYPERLINK("https://ceds.ed.gov/cedselementdetails.aspx?termid=28018")</f>
        <v>https://ceds.ed.gov/cedselementdetails.aspx?termid=28018</v>
      </c>
      <c r="Q1110" s="16">
        <v>76145</v>
      </c>
    </row>
    <row r="1111" spans="1:17" ht="43.2" x14ac:dyDescent="0.3">
      <c r="A1111" s="16" t="s">
        <v>7665</v>
      </c>
      <c r="B1111" s="16" t="s">
        <v>7667</v>
      </c>
      <c r="C1111" s="16" t="s">
        <v>7617</v>
      </c>
      <c r="D1111" s="16" t="s">
        <v>7597</v>
      </c>
      <c r="E1111" s="16" t="s">
        <v>4006</v>
      </c>
      <c r="F1111" s="16" t="s">
        <v>8049</v>
      </c>
      <c r="G1111" s="16" t="s">
        <v>32</v>
      </c>
      <c r="H1111" s="16"/>
      <c r="I1111" s="16"/>
      <c r="J1111" s="16" t="s">
        <v>1807</v>
      </c>
      <c r="K1111" s="16"/>
      <c r="L1111" s="16"/>
      <c r="M1111" s="19" t="s">
        <v>4007</v>
      </c>
      <c r="N1111" s="16"/>
      <c r="O1111" s="16" t="s">
        <v>4008</v>
      </c>
      <c r="P1111" s="16" t="str">
        <f>HYPERLINK("https://ceds.ed.gov/cedselementdetails.aspx?termid=27620")</f>
        <v>https://ceds.ed.gov/cedselementdetails.aspx?termid=27620</v>
      </c>
      <c r="Q1111" s="16">
        <v>74305</v>
      </c>
    </row>
    <row r="1112" spans="1:17" ht="43.2" x14ac:dyDescent="0.3">
      <c r="A1112" s="16" t="s">
        <v>7665</v>
      </c>
      <c r="B1112" s="16" t="s">
        <v>7667</v>
      </c>
      <c r="C1112" s="16" t="s">
        <v>7617</v>
      </c>
      <c r="D1112" s="16" t="s">
        <v>7597</v>
      </c>
      <c r="E1112" s="16" t="s">
        <v>8970</v>
      </c>
      <c r="F1112" s="16" t="s">
        <v>8971</v>
      </c>
      <c r="G1112" s="16" t="s">
        <v>8200</v>
      </c>
      <c r="H1112" s="16"/>
      <c r="I1112" s="16"/>
      <c r="J1112" s="16" t="s">
        <v>2</v>
      </c>
      <c r="K1112" s="16"/>
      <c r="L1112" s="16"/>
      <c r="M1112" s="19" t="s">
        <v>8972</v>
      </c>
      <c r="N1112" s="16"/>
      <c r="O1112" s="16" t="s">
        <v>8973</v>
      </c>
      <c r="P1112" s="16" t="str">
        <f>HYPERLINK("https://ceds.ed.gov/cedselementdetails.aspx?termid=28019")</f>
        <v>https://ceds.ed.gov/cedselementdetails.aspx?termid=28019</v>
      </c>
      <c r="Q1112" s="16">
        <v>76146</v>
      </c>
    </row>
    <row r="1113" spans="1:17" ht="28.8" x14ac:dyDescent="0.3">
      <c r="A1113" s="16" t="s">
        <v>7665</v>
      </c>
      <c r="B1113" s="16" t="s">
        <v>7667</v>
      </c>
      <c r="C1113" s="16" t="s">
        <v>7617</v>
      </c>
      <c r="D1113" s="16" t="s">
        <v>7597</v>
      </c>
      <c r="E1113" s="16" t="s">
        <v>3998</v>
      </c>
      <c r="F1113" s="16" t="s">
        <v>3999</v>
      </c>
      <c r="G1113" s="16" t="s">
        <v>32</v>
      </c>
      <c r="H1113" s="16"/>
      <c r="I1113" s="16"/>
      <c r="J1113" s="16" t="s">
        <v>106</v>
      </c>
      <c r="K1113" s="16"/>
      <c r="L1113" s="16"/>
      <c r="M1113" s="19" t="s">
        <v>4000</v>
      </c>
      <c r="N1113" s="16"/>
      <c r="O1113" s="16" t="s">
        <v>4001</v>
      </c>
      <c r="P1113" s="16" t="str">
        <f>HYPERLINK("https://ceds.ed.gov/cedselementdetails.aspx?termid=27623")</f>
        <v>https://ceds.ed.gov/cedselementdetails.aspx?termid=27623</v>
      </c>
      <c r="Q1113" s="16">
        <v>74315</v>
      </c>
    </row>
    <row r="1114" spans="1:17" ht="57.6" x14ac:dyDescent="0.3">
      <c r="A1114" s="16" t="s">
        <v>7665</v>
      </c>
      <c r="B1114" s="16" t="s">
        <v>7667</v>
      </c>
      <c r="C1114" s="16" t="s">
        <v>7617</v>
      </c>
      <c r="D1114" s="16" t="s">
        <v>7597</v>
      </c>
      <c r="E1114" s="16" t="s">
        <v>4002</v>
      </c>
      <c r="F1114" s="16" t="s">
        <v>4003</v>
      </c>
      <c r="G1114" s="16" t="s">
        <v>32</v>
      </c>
      <c r="H1114" s="16"/>
      <c r="I1114" s="16"/>
      <c r="J1114" s="16" t="s">
        <v>106</v>
      </c>
      <c r="K1114" s="16"/>
      <c r="L1114" s="16" t="s">
        <v>131</v>
      </c>
      <c r="M1114" s="19" t="s">
        <v>4004</v>
      </c>
      <c r="N1114" s="16"/>
      <c r="O1114" s="16" t="s">
        <v>4005</v>
      </c>
      <c r="P1114" s="16" t="str">
        <f>HYPERLINK("https://ceds.ed.gov/cedselementdetails.aspx?termid=27624")</f>
        <v>https://ceds.ed.gov/cedselementdetails.aspx?termid=27624</v>
      </c>
      <c r="Q1114" s="16">
        <v>74319</v>
      </c>
    </row>
    <row r="1115" spans="1:17" ht="86.4" x14ac:dyDescent="0.3">
      <c r="A1115" s="16" t="s">
        <v>7665</v>
      </c>
      <c r="B1115" s="16" t="s">
        <v>7667</v>
      </c>
      <c r="C1115" s="16" t="s">
        <v>7617</v>
      </c>
      <c r="D1115" s="16" t="s">
        <v>7597</v>
      </c>
      <c r="E1115" s="16" t="s">
        <v>3891</v>
      </c>
      <c r="F1115" s="16" t="s">
        <v>8004</v>
      </c>
      <c r="G1115" s="16" t="s">
        <v>32</v>
      </c>
      <c r="H1115" s="16"/>
      <c r="I1115" s="16"/>
      <c r="J1115" s="16" t="s">
        <v>81</v>
      </c>
      <c r="K1115" s="16"/>
      <c r="L1115" s="16"/>
      <c r="M1115" s="19" t="s">
        <v>3892</v>
      </c>
      <c r="N1115" s="16"/>
      <c r="O1115" s="16" t="s">
        <v>3893</v>
      </c>
      <c r="P1115" s="16" t="str">
        <f>HYPERLINK("https://ceds.ed.gov/cedselementdetails.aspx?termid=27530")</f>
        <v>https://ceds.ed.gov/cedselementdetails.aspx?termid=27530</v>
      </c>
      <c r="Q1115" s="16">
        <v>73841</v>
      </c>
    </row>
    <row r="1116" spans="1:17" ht="28.8" x14ac:dyDescent="0.3">
      <c r="A1116" s="16" t="s">
        <v>7665</v>
      </c>
      <c r="B1116" s="16" t="s">
        <v>7667</v>
      </c>
      <c r="C1116" s="16" t="s">
        <v>7617</v>
      </c>
      <c r="D1116" s="16" t="s">
        <v>7597</v>
      </c>
      <c r="E1116" s="16" t="s">
        <v>3888</v>
      </c>
      <c r="F1116" s="16" t="s">
        <v>8003</v>
      </c>
      <c r="G1116" s="16" t="s">
        <v>32</v>
      </c>
      <c r="H1116" s="16"/>
      <c r="I1116" s="16"/>
      <c r="J1116" s="16" t="s">
        <v>747</v>
      </c>
      <c r="K1116" s="16"/>
      <c r="L1116" s="16"/>
      <c r="M1116" s="19" t="s">
        <v>3889</v>
      </c>
      <c r="N1116" s="16"/>
      <c r="O1116" s="16" t="s">
        <v>3890</v>
      </c>
      <c r="P1116" s="16" t="str">
        <f>HYPERLINK("https://ceds.ed.gov/cedselementdetails.aspx?termid=27315")</f>
        <v>https://ceds.ed.gov/cedselementdetails.aspx?termid=27315</v>
      </c>
      <c r="Q1116" s="16">
        <v>73178</v>
      </c>
    </row>
    <row r="1117" spans="1:17" ht="28.8" x14ac:dyDescent="0.3">
      <c r="A1117" s="16" t="s">
        <v>7665</v>
      </c>
      <c r="B1117" s="16" t="s">
        <v>7667</v>
      </c>
      <c r="C1117" s="16" t="s">
        <v>7617</v>
      </c>
      <c r="D1117" s="16" t="s">
        <v>7597</v>
      </c>
      <c r="E1117" s="16" t="s">
        <v>3878</v>
      </c>
      <c r="F1117" s="16" t="s">
        <v>7987</v>
      </c>
      <c r="G1117" s="16" t="s">
        <v>32</v>
      </c>
      <c r="H1117" s="16"/>
      <c r="I1117" s="16"/>
      <c r="J1117" s="16" t="s">
        <v>101</v>
      </c>
      <c r="K1117" s="16"/>
      <c r="L1117" s="16"/>
      <c r="M1117" s="19" t="s">
        <v>3879</v>
      </c>
      <c r="N1117" s="16"/>
      <c r="O1117" s="16" t="s">
        <v>3880</v>
      </c>
      <c r="P1117" s="16" t="str">
        <f>HYPERLINK("https://ceds.ed.gov/cedselementdetails.aspx?termid=27313")</f>
        <v>https://ceds.ed.gov/cedselementdetails.aspx?termid=27313</v>
      </c>
      <c r="Q1117" s="16">
        <v>73167</v>
      </c>
    </row>
    <row r="1118" spans="1:17" ht="86.4" x14ac:dyDescent="0.3">
      <c r="A1118" s="16" t="s">
        <v>7665</v>
      </c>
      <c r="B1118" s="16" t="s">
        <v>7667</v>
      </c>
      <c r="C1118" s="16" t="s">
        <v>7617</v>
      </c>
      <c r="D1118" s="16" t="s">
        <v>7597</v>
      </c>
      <c r="E1118" s="16" t="s">
        <v>3874</v>
      </c>
      <c r="F1118" s="16" t="s">
        <v>3875</v>
      </c>
      <c r="G1118" s="16" t="s">
        <v>8224</v>
      </c>
      <c r="H1118" s="16"/>
      <c r="I1118" s="16"/>
      <c r="J1118" s="16"/>
      <c r="K1118" s="16"/>
      <c r="L1118" s="16"/>
      <c r="M1118" s="19" t="s">
        <v>3876</v>
      </c>
      <c r="N1118" s="16"/>
      <c r="O1118" s="16" t="s">
        <v>3877</v>
      </c>
      <c r="P1118" s="16" t="str">
        <f>HYPERLINK("https://ceds.ed.gov/cedselementdetails.aspx?termid=27312")</f>
        <v>https://ceds.ed.gov/cedselementdetails.aspx?termid=27312</v>
      </c>
      <c r="Q1118" s="16">
        <v>73163</v>
      </c>
    </row>
    <row r="1119" spans="1:17" ht="409.6" x14ac:dyDescent="0.3">
      <c r="A1119" s="16" t="s">
        <v>7665</v>
      </c>
      <c r="B1119" s="16" t="s">
        <v>7667</v>
      </c>
      <c r="C1119" s="16" t="s">
        <v>7617</v>
      </c>
      <c r="D1119" s="16" t="s">
        <v>7597</v>
      </c>
      <c r="E1119" s="16" t="s">
        <v>8011</v>
      </c>
      <c r="F1119" s="16" t="s">
        <v>8012</v>
      </c>
      <c r="G1119" s="16" t="s">
        <v>8227</v>
      </c>
      <c r="H1119" s="16"/>
      <c r="I1119" s="16"/>
      <c r="J1119" s="16"/>
      <c r="K1119" s="16"/>
      <c r="L1119" s="16" t="s">
        <v>8013</v>
      </c>
      <c r="M1119" s="19" t="s">
        <v>3887</v>
      </c>
      <c r="N1119" s="16"/>
      <c r="O1119" s="16" t="s">
        <v>8014</v>
      </c>
      <c r="P1119" s="16" t="str">
        <f>HYPERLINK("https://ceds.ed.gov/cedselementdetails.aspx?termid=27440")</f>
        <v>https://ceds.ed.gov/cedselementdetails.aspx?termid=27440</v>
      </c>
      <c r="Q1119" s="16">
        <v>73854</v>
      </c>
    </row>
    <row r="1120" spans="1:17" ht="409.6" x14ac:dyDescent="0.3">
      <c r="A1120" s="16" t="s">
        <v>7665</v>
      </c>
      <c r="B1120" s="16" t="s">
        <v>7667</v>
      </c>
      <c r="C1120" s="16" t="s">
        <v>7617</v>
      </c>
      <c r="D1120" s="16" t="s">
        <v>7597</v>
      </c>
      <c r="E1120" s="16" t="s">
        <v>8023</v>
      </c>
      <c r="F1120" s="16" t="s">
        <v>8024</v>
      </c>
      <c r="G1120" s="16" t="s">
        <v>8228</v>
      </c>
      <c r="H1120" s="16"/>
      <c r="I1120" s="16"/>
      <c r="J1120" s="16"/>
      <c r="K1120" s="16"/>
      <c r="L1120" s="16" t="s">
        <v>8025</v>
      </c>
      <c r="M1120" s="19" t="s">
        <v>3957</v>
      </c>
      <c r="N1120" s="16"/>
      <c r="O1120" s="16" t="s">
        <v>8026</v>
      </c>
      <c r="P1120" s="16" t="str">
        <f>HYPERLINK("https://ceds.ed.gov/cedselementdetails.aspx?termid=27321")</f>
        <v>https://ceds.ed.gov/cedselementdetails.aspx?termid=27321</v>
      </c>
      <c r="Q1120" s="16">
        <v>73200</v>
      </c>
    </row>
    <row r="1121" spans="1:17" ht="409.6" x14ac:dyDescent="0.3">
      <c r="A1121" s="16" t="s">
        <v>7665</v>
      </c>
      <c r="B1121" s="16" t="s">
        <v>7667</v>
      </c>
      <c r="C1121" s="16" t="s">
        <v>7617</v>
      </c>
      <c r="D1121" s="16" t="s">
        <v>7597</v>
      </c>
      <c r="E1121" s="16" t="s">
        <v>8039</v>
      </c>
      <c r="F1121" s="16" t="s">
        <v>8040</v>
      </c>
      <c r="G1121" s="16" t="s">
        <v>8230</v>
      </c>
      <c r="H1121" s="16"/>
      <c r="I1121" s="16"/>
      <c r="J1121" s="16"/>
      <c r="K1121" s="16"/>
      <c r="L1121" s="16" t="s">
        <v>8041</v>
      </c>
      <c r="M1121" s="19" t="s">
        <v>3960</v>
      </c>
      <c r="N1121" s="16"/>
      <c r="O1121" s="16" t="s">
        <v>8042</v>
      </c>
      <c r="P1121" s="16" t="str">
        <f>HYPERLINK("https://ceds.ed.gov/cedselementdetails.aspx?termid=27322")</f>
        <v>https://ceds.ed.gov/cedselementdetails.aspx?termid=27322</v>
      </c>
      <c r="Q1121" s="16">
        <v>73204</v>
      </c>
    </row>
    <row r="1122" spans="1:17" ht="187.2" x14ac:dyDescent="0.3">
      <c r="A1122" s="16" t="s">
        <v>7665</v>
      </c>
      <c r="B1122" s="16" t="s">
        <v>7667</v>
      </c>
      <c r="C1122" s="16" t="s">
        <v>7617</v>
      </c>
      <c r="D1122" s="16" t="s">
        <v>7597</v>
      </c>
      <c r="E1122" s="16" t="s">
        <v>8027</v>
      </c>
      <c r="F1122" s="16" t="s">
        <v>3958</v>
      </c>
      <c r="G1122" s="16" t="s">
        <v>8229</v>
      </c>
      <c r="H1122" s="16"/>
      <c r="I1122" s="16"/>
      <c r="J1122" s="16"/>
      <c r="K1122" s="16"/>
      <c r="L1122" s="16" t="s">
        <v>8028</v>
      </c>
      <c r="M1122" s="19" t="s">
        <v>3959</v>
      </c>
      <c r="N1122" s="16"/>
      <c r="O1122" s="16" t="s">
        <v>8029</v>
      </c>
      <c r="P1122" s="16" t="str">
        <f>HYPERLINK("https://ceds.ed.gov/cedselementdetails.aspx?termid=27531")</f>
        <v>https://ceds.ed.gov/cedselementdetails.aspx?termid=27531</v>
      </c>
      <c r="Q1122" s="16">
        <v>73846</v>
      </c>
    </row>
    <row r="1123" spans="1:17" ht="259.2" x14ac:dyDescent="0.3">
      <c r="A1123" s="16" t="s">
        <v>7665</v>
      </c>
      <c r="B1123" s="16" t="s">
        <v>7667</v>
      </c>
      <c r="C1123" s="16" t="s">
        <v>7617</v>
      </c>
      <c r="D1123" s="16" t="s">
        <v>7597</v>
      </c>
      <c r="E1123" s="16" t="s">
        <v>8043</v>
      </c>
      <c r="F1123" s="16" t="s">
        <v>8044</v>
      </c>
      <c r="G1123" s="16" t="s">
        <v>32</v>
      </c>
      <c r="H1123" s="16"/>
      <c r="I1123" s="16"/>
      <c r="J1123" s="16" t="s">
        <v>136</v>
      </c>
      <c r="K1123" s="16"/>
      <c r="L1123" s="16" t="s">
        <v>8045</v>
      </c>
      <c r="M1123" s="19" t="s">
        <v>3961</v>
      </c>
      <c r="N1123" s="16"/>
      <c r="O1123" s="16" t="s">
        <v>8046</v>
      </c>
      <c r="P1123" s="16" t="str">
        <f>HYPERLINK("https://ceds.ed.gov/cedselementdetails.aspx?termid=27532")</f>
        <v>https://ceds.ed.gov/cedselementdetails.aspx?termid=27532</v>
      </c>
      <c r="Q1123" s="16">
        <v>73850</v>
      </c>
    </row>
    <row r="1124" spans="1:17" ht="409.6" x14ac:dyDescent="0.3">
      <c r="A1124" s="16" t="s">
        <v>7665</v>
      </c>
      <c r="B1124" s="16" t="s">
        <v>7667</v>
      </c>
      <c r="C1124" s="16" t="s">
        <v>7617</v>
      </c>
      <c r="D1124" s="16" t="s">
        <v>7597</v>
      </c>
      <c r="E1124" s="16" t="s">
        <v>7981</v>
      </c>
      <c r="F1124" s="16" t="s">
        <v>3881</v>
      </c>
      <c r="G1124" s="16" t="s">
        <v>8223</v>
      </c>
      <c r="H1124" s="16"/>
      <c r="I1124" s="16"/>
      <c r="J1124" s="16"/>
      <c r="K1124" s="16"/>
      <c r="L1124" s="16" t="s">
        <v>7982</v>
      </c>
      <c r="M1124" s="19" t="s">
        <v>3883</v>
      </c>
      <c r="N1124" s="16"/>
      <c r="O1124" s="16" t="s">
        <v>7983</v>
      </c>
      <c r="P1124" s="16" t="str">
        <f>HYPERLINK("https://ceds.ed.gov/cedselementdetails.aspx?termid=27320")</f>
        <v>https://ceds.ed.gov/cedselementdetails.aspx?termid=27320</v>
      </c>
      <c r="Q1124" s="16">
        <v>73196</v>
      </c>
    </row>
    <row r="1125" spans="1:17" ht="43.2" x14ac:dyDescent="0.3">
      <c r="A1125" s="16" t="s">
        <v>7665</v>
      </c>
      <c r="B1125" s="16" t="s">
        <v>7667</v>
      </c>
      <c r="C1125" s="16" t="s">
        <v>7617</v>
      </c>
      <c r="D1125" s="16" t="s">
        <v>7597</v>
      </c>
      <c r="E1125" s="16" t="s">
        <v>3908</v>
      </c>
      <c r="F1125" s="16" t="s">
        <v>3909</v>
      </c>
      <c r="G1125" s="16" t="s">
        <v>32</v>
      </c>
      <c r="H1125" s="16"/>
      <c r="I1125" s="16"/>
      <c r="J1125" s="16" t="s">
        <v>1481</v>
      </c>
      <c r="K1125" s="16"/>
      <c r="L1125" s="16"/>
      <c r="M1125" s="19" t="s">
        <v>3910</v>
      </c>
      <c r="N1125" s="16"/>
      <c r="O1125" s="16" t="s">
        <v>3911</v>
      </c>
      <c r="P1125" s="16" t="str">
        <f>HYPERLINK("https://ceds.ed.gov/cedselementdetails.aspx?termid=27318")</f>
        <v>https://ceds.ed.gov/cedselementdetails.aspx?termid=27318</v>
      </c>
      <c r="Q1125" s="16">
        <v>73191</v>
      </c>
    </row>
    <row r="1126" spans="1:17" ht="57.6" x14ac:dyDescent="0.3">
      <c r="A1126" s="16" t="s">
        <v>7665</v>
      </c>
      <c r="B1126" s="16" t="s">
        <v>7667</v>
      </c>
      <c r="C1126" s="16" t="s">
        <v>7617</v>
      </c>
      <c r="D1126" s="16" t="s">
        <v>7597</v>
      </c>
      <c r="E1126" s="16" t="s">
        <v>3912</v>
      </c>
      <c r="F1126" s="16" t="s">
        <v>3913</v>
      </c>
      <c r="G1126" s="16" t="s">
        <v>32</v>
      </c>
      <c r="H1126" s="16"/>
      <c r="I1126" s="16"/>
      <c r="J1126" s="16" t="s">
        <v>1481</v>
      </c>
      <c r="K1126" s="16"/>
      <c r="L1126" s="16" t="s">
        <v>3914</v>
      </c>
      <c r="M1126" s="19" t="s">
        <v>3915</v>
      </c>
      <c r="N1126" s="16"/>
      <c r="O1126" s="16" t="s">
        <v>3916</v>
      </c>
      <c r="P1126" s="16" t="str">
        <f>HYPERLINK("https://ceds.ed.gov/cedselementdetails.aspx?termid=27625")</f>
        <v>https://ceds.ed.gov/cedselementdetails.aspx?termid=27625</v>
      </c>
      <c r="Q1126" s="16">
        <v>74323</v>
      </c>
    </row>
    <row r="1127" spans="1:17" ht="43.2" x14ac:dyDescent="0.3">
      <c r="A1127" s="16" t="s">
        <v>7665</v>
      </c>
      <c r="B1127" s="16" t="s">
        <v>7667</v>
      </c>
      <c r="C1127" s="16" t="s">
        <v>7617</v>
      </c>
      <c r="D1127" s="16" t="s">
        <v>7597</v>
      </c>
      <c r="E1127" s="16" t="s">
        <v>3904</v>
      </c>
      <c r="F1127" s="16" t="s">
        <v>3905</v>
      </c>
      <c r="G1127" s="16" t="s">
        <v>32</v>
      </c>
      <c r="H1127" s="16"/>
      <c r="I1127" s="16"/>
      <c r="J1127" s="16" t="s">
        <v>1481</v>
      </c>
      <c r="K1127" s="16"/>
      <c r="L1127" s="16"/>
      <c r="M1127" s="19" t="s">
        <v>3906</v>
      </c>
      <c r="N1127" s="16"/>
      <c r="O1127" s="16" t="s">
        <v>3907</v>
      </c>
      <c r="P1127" s="16" t="str">
        <f>HYPERLINK("https://ceds.ed.gov/cedselementdetails.aspx?termid=27317")</f>
        <v>https://ceds.ed.gov/cedselementdetails.aspx?termid=27317</v>
      </c>
      <c r="Q1127" s="16">
        <v>73187</v>
      </c>
    </row>
    <row r="1128" spans="1:17" ht="129.6" x14ac:dyDescent="0.3">
      <c r="A1128" s="16" t="s">
        <v>7665</v>
      </c>
      <c r="B1128" s="16" t="s">
        <v>7667</v>
      </c>
      <c r="C1128" s="16" t="s">
        <v>7617</v>
      </c>
      <c r="D1128" s="16" t="s">
        <v>7597</v>
      </c>
      <c r="E1128" s="16" t="s">
        <v>3917</v>
      </c>
      <c r="F1128" s="16" t="s">
        <v>3918</v>
      </c>
      <c r="G1128" s="16" t="s">
        <v>32</v>
      </c>
      <c r="H1128" s="16"/>
      <c r="I1128" s="16"/>
      <c r="J1128" s="16" t="s">
        <v>1481</v>
      </c>
      <c r="K1128" s="16"/>
      <c r="L1128" s="16" t="s">
        <v>3919</v>
      </c>
      <c r="M1128" s="19" t="s">
        <v>3920</v>
      </c>
      <c r="N1128" s="16"/>
      <c r="O1128" s="16" t="s">
        <v>3921</v>
      </c>
      <c r="P1128" s="16" t="str">
        <f>HYPERLINK("https://ceds.ed.gov/cedselementdetails.aspx?termid=27628")</f>
        <v>https://ceds.ed.gov/cedselementdetails.aspx?termid=27628</v>
      </c>
      <c r="Q1128" s="16">
        <v>74335</v>
      </c>
    </row>
    <row r="1129" spans="1:17" ht="28.8" x14ac:dyDescent="0.3">
      <c r="A1129" s="16" t="s">
        <v>7665</v>
      </c>
      <c r="B1129" s="16" t="s">
        <v>7667</v>
      </c>
      <c r="C1129" s="16" t="s">
        <v>7617</v>
      </c>
      <c r="D1129" s="16" t="s">
        <v>7597</v>
      </c>
      <c r="E1129" s="16" t="s">
        <v>3900</v>
      </c>
      <c r="F1129" s="16" t="s">
        <v>3901</v>
      </c>
      <c r="G1129" s="16" t="s">
        <v>32</v>
      </c>
      <c r="H1129" s="16"/>
      <c r="I1129" s="16"/>
      <c r="J1129" s="16" t="s">
        <v>106</v>
      </c>
      <c r="K1129" s="16"/>
      <c r="L1129" s="16"/>
      <c r="M1129" s="19" t="s">
        <v>3902</v>
      </c>
      <c r="N1129" s="16"/>
      <c r="O1129" s="16" t="s">
        <v>3903</v>
      </c>
      <c r="P1129" s="16" t="str">
        <f>HYPERLINK("https://ceds.ed.gov/cedselementdetails.aspx?termid=27629")</f>
        <v>https://ceds.ed.gov/cedselementdetails.aspx?termid=27629</v>
      </c>
      <c r="Q1129" s="16">
        <v>74339</v>
      </c>
    </row>
    <row r="1130" spans="1:17" ht="144" x14ac:dyDescent="0.3">
      <c r="A1130" s="16" t="s">
        <v>7665</v>
      </c>
      <c r="B1130" s="16" t="s">
        <v>7667</v>
      </c>
      <c r="C1130" s="16" t="s">
        <v>7617</v>
      </c>
      <c r="D1130" s="16" t="s">
        <v>7597</v>
      </c>
      <c r="E1130" s="16" t="s">
        <v>7988</v>
      </c>
      <c r="F1130" s="16" t="s">
        <v>3884</v>
      </c>
      <c r="G1130" s="16" t="s">
        <v>8225</v>
      </c>
      <c r="H1130" s="16"/>
      <c r="I1130" s="16"/>
      <c r="J1130" s="16"/>
      <c r="K1130" s="16"/>
      <c r="L1130" s="16" t="s">
        <v>7989</v>
      </c>
      <c r="M1130" s="19" t="s">
        <v>3885</v>
      </c>
      <c r="N1130" s="16"/>
      <c r="O1130" s="16" t="s">
        <v>7990</v>
      </c>
      <c r="P1130" s="16" t="str">
        <f>HYPERLINK("https://ceds.ed.gov/cedselementdetails.aspx?termid=27314")</f>
        <v>https://ceds.ed.gov/cedselementdetails.aspx?termid=27314</v>
      </c>
      <c r="Q1130" s="16">
        <v>73171</v>
      </c>
    </row>
    <row r="1131" spans="1:17" ht="28.8" x14ac:dyDescent="0.3">
      <c r="A1131" s="16" t="s">
        <v>7665</v>
      </c>
      <c r="B1131" s="16" t="s">
        <v>7667</v>
      </c>
      <c r="C1131" s="16" t="s">
        <v>7617</v>
      </c>
      <c r="D1131" s="16" t="s">
        <v>7597</v>
      </c>
      <c r="E1131" s="16" t="s">
        <v>3894</v>
      </c>
      <c r="F1131" s="16" t="s">
        <v>8009</v>
      </c>
      <c r="G1131" s="16" t="s">
        <v>32</v>
      </c>
      <c r="H1131" s="16"/>
      <c r="I1131" s="16"/>
      <c r="J1131" s="16" t="s">
        <v>747</v>
      </c>
      <c r="K1131" s="16"/>
      <c r="L1131" s="16"/>
      <c r="M1131" s="19" t="s">
        <v>3895</v>
      </c>
      <c r="N1131" s="16"/>
      <c r="O1131" s="16" t="s">
        <v>3896</v>
      </c>
      <c r="P1131" s="16" t="str">
        <f>HYPERLINK("https://ceds.ed.gov/cedselementdetails.aspx?termid=27626")</f>
        <v>https://ceds.ed.gov/cedselementdetails.aspx?termid=27626</v>
      </c>
      <c r="Q1131" s="16">
        <v>74327</v>
      </c>
    </row>
    <row r="1132" spans="1:17" ht="28.8" x14ac:dyDescent="0.3">
      <c r="A1132" s="16" t="s">
        <v>7665</v>
      </c>
      <c r="B1132" s="16" t="s">
        <v>7667</v>
      </c>
      <c r="C1132" s="16" t="s">
        <v>7617</v>
      </c>
      <c r="D1132" s="16" t="s">
        <v>7597</v>
      </c>
      <c r="E1132" s="16" t="s">
        <v>3897</v>
      </c>
      <c r="F1132" s="16" t="s">
        <v>8010</v>
      </c>
      <c r="G1132" s="16" t="s">
        <v>32</v>
      </c>
      <c r="H1132" s="16"/>
      <c r="I1132" s="16"/>
      <c r="J1132" s="16" t="s">
        <v>81</v>
      </c>
      <c r="K1132" s="16"/>
      <c r="L1132" s="16"/>
      <c r="M1132" s="19" t="s">
        <v>3898</v>
      </c>
      <c r="N1132" s="16"/>
      <c r="O1132" s="16" t="s">
        <v>3899</v>
      </c>
      <c r="P1132" s="16" t="str">
        <f>HYPERLINK("https://ceds.ed.gov/cedselementdetails.aspx?termid=27627")</f>
        <v>https://ceds.ed.gov/cedselementdetails.aspx?termid=27627</v>
      </c>
      <c r="Q1132" s="16">
        <v>74331</v>
      </c>
    </row>
    <row r="1133" spans="1:17" ht="144" x14ac:dyDescent="0.3">
      <c r="A1133" s="16" t="s">
        <v>7665</v>
      </c>
      <c r="B1133" s="16" t="s">
        <v>7667</v>
      </c>
      <c r="C1133" s="16" t="s">
        <v>7617</v>
      </c>
      <c r="D1133" s="16" t="s">
        <v>7597</v>
      </c>
      <c r="E1133" s="16" t="s">
        <v>8005</v>
      </c>
      <c r="F1133" s="16" t="s">
        <v>8006</v>
      </c>
      <c r="G1133" s="16" t="s">
        <v>8226</v>
      </c>
      <c r="H1133" s="16"/>
      <c r="I1133" s="16"/>
      <c r="J1133" s="16"/>
      <c r="K1133" s="16"/>
      <c r="L1133" s="16" t="s">
        <v>8007</v>
      </c>
      <c r="M1133" s="19" t="s">
        <v>3886</v>
      </c>
      <c r="N1133" s="16"/>
      <c r="O1133" s="16" t="s">
        <v>8008</v>
      </c>
      <c r="P1133" s="16" t="str">
        <f>HYPERLINK("https://ceds.ed.gov/cedselementdetails.aspx?termid=27316")</f>
        <v>https://ceds.ed.gov/cedselementdetails.aspx?termid=27316</v>
      </c>
      <c r="Q1133" s="16">
        <v>73182</v>
      </c>
    </row>
    <row r="1134" spans="1:17" ht="57.6" x14ac:dyDescent="0.3">
      <c r="A1134" s="16" t="s">
        <v>7665</v>
      </c>
      <c r="B1134" s="16" t="s">
        <v>7667</v>
      </c>
      <c r="C1134" s="16" t="s">
        <v>7617</v>
      </c>
      <c r="D1134" s="16" t="s">
        <v>7597</v>
      </c>
      <c r="E1134" s="16" t="s">
        <v>7977</v>
      </c>
      <c r="F1134" s="16" t="s">
        <v>7978</v>
      </c>
      <c r="G1134" s="16" t="s">
        <v>8200</v>
      </c>
      <c r="H1134" s="16"/>
      <c r="I1134" s="16"/>
      <c r="J1134" s="16" t="s">
        <v>2</v>
      </c>
      <c r="K1134" s="16"/>
      <c r="L1134" s="16"/>
      <c r="M1134" s="19" t="s">
        <v>8182</v>
      </c>
      <c r="N1134" s="16"/>
      <c r="O1134" s="16" t="s">
        <v>7979</v>
      </c>
      <c r="P1134" s="16" t="str">
        <f>HYPERLINK("https://ceds.ed.gov/cedselementdetails.aspx?termid=27980")</f>
        <v>https://ceds.ed.gov/cedselementdetails.aspx?termid=27980</v>
      </c>
      <c r="Q1134" s="16">
        <v>75898</v>
      </c>
    </row>
    <row r="1135" spans="1:17" ht="43.2" x14ac:dyDescent="0.3">
      <c r="A1135" s="16" t="s">
        <v>7665</v>
      </c>
      <c r="B1135" s="16" t="s">
        <v>7667</v>
      </c>
      <c r="C1135" s="16" t="s">
        <v>7617</v>
      </c>
      <c r="D1135" s="16" t="s">
        <v>7597</v>
      </c>
      <c r="E1135" s="16" t="s">
        <v>7984</v>
      </c>
      <c r="F1135" s="16" t="s">
        <v>7985</v>
      </c>
      <c r="G1135" s="16" t="s">
        <v>8201</v>
      </c>
      <c r="H1135" s="16"/>
      <c r="I1135" s="16"/>
      <c r="J1135" s="16" t="s">
        <v>2</v>
      </c>
      <c r="K1135" s="16"/>
      <c r="L1135" s="16"/>
      <c r="M1135" s="19" t="s">
        <v>8183</v>
      </c>
      <c r="N1135" s="16"/>
      <c r="O1135" s="16" t="s">
        <v>7986</v>
      </c>
      <c r="P1135" s="16" t="str">
        <f>HYPERLINK("https://ceds.ed.gov/cedselementdetails.aspx?termid=27981")</f>
        <v>https://ceds.ed.gov/cedselementdetails.aspx?termid=27981</v>
      </c>
      <c r="Q1135" s="16">
        <v>75899</v>
      </c>
    </row>
    <row r="1136" spans="1:17" ht="144" x14ac:dyDescent="0.3">
      <c r="A1136" s="16" t="s">
        <v>7665</v>
      </c>
      <c r="B1136" s="16" t="s">
        <v>7667</v>
      </c>
      <c r="C1136" s="16" t="s">
        <v>7617</v>
      </c>
      <c r="D1136" s="16" t="s">
        <v>7597</v>
      </c>
      <c r="E1136" s="16" t="s">
        <v>7991</v>
      </c>
      <c r="F1136" s="16" t="s">
        <v>7992</v>
      </c>
      <c r="G1136" s="16" t="s">
        <v>8200</v>
      </c>
      <c r="H1136" s="16"/>
      <c r="I1136" s="16"/>
      <c r="J1136" s="16" t="s">
        <v>2</v>
      </c>
      <c r="K1136" s="16"/>
      <c r="L1136" s="16"/>
      <c r="M1136" s="19" t="s">
        <v>8184</v>
      </c>
      <c r="N1136" s="16"/>
      <c r="O1136" s="16" t="s">
        <v>7993</v>
      </c>
      <c r="P1136" s="16" t="str">
        <f>HYPERLINK("https://ceds.ed.gov/cedselementdetails.aspx?termid=27982")</f>
        <v>https://ceds.ed.gov/cedselementdetails.aspx?termid=27982</v>
      </c>
      <c r="Q1136" s="16">
        <v>75900</v>
      </c>
    </row>
    <row r="1137" spans="1:17" ht="100.8" x14ac:dyDescent="0.3">
      <c r="A1137" s="16" t="s">
        <v>7665</v>
      </c>
      <c r="B1137" s="16" t="s">
        <v>7667</v>
      </c>
      <c r="C1137" s="16" t="s">
        <v>7617</v>
      </c>
      <c r="D1137" s="16" t="s">
        <v>7597</v>
      </c>
      <c r="E1137" s="16" t="s">
        <v>7994</v>
      </c>
      <c r="F1137" s="16" t="s">
        <v>7995</v>
      </c>
      <c r="G1137" s="16" t="s">
        <v>8200</v>
      </c>
      <c r="H1137" s="16"/>
      <c r="I1137" s="16"/>
      <c r="J1137" s="16" t="s">
        <v>2</v>
      </c>
      <c r="K1137" s="16"/>
      <c r="L1137" s="16"/>
      <c r="M1137" s="19" t="s">
        <v>8185</v>
      </c>
      <c r="N1137" s="16"/>
      <c r="O1137" s="16" t="s">
        <v>7996</v>
      </c>
      <c r="P1137" s="16" t="str">
        <f>HYPERLINK("https://ceds.ed.gov/cedselementdetails.aspx?termid=27983")</f>
        <v>https://ceds.ed.gov/cedselementdetails.aspx?termid=27983</v>
      </c>
      <c r="Q1137" s="16">
        <v>75901</v>
      </c>
    </row>
    <row r="1138" spans="1:17" ht="57.6" x14ac:dyDescent="0.3">
      <c r="A1138" s="16" t="s">
        <v>7665</v>
      </c>
      <c r="B1138" s="16" t="s">
        <v>7667</v>
      </c>
      <c r="C1138" s="16" t="s">
        <v>7617</v>
      </c>
      <c r="D1138" s="16" t="s">
        <v>7597</v>
      </c>
      <c r="E1138" s="16" t="s">
        <v>7997</v>
      </c>
      <c r="F1138" s="16" t="s">
        <v>7998</v>
      </c>
      <c r="G1138" s="16" t="s">
        <v>8200</v>
      </c>
      <c r="H1138" s="16"/>
      <c r="I1138" s="16"/>
      <c r="J1138" s="16" t="s">
        <v>2</v>
      </c>
      <c r="K1138" s="16"/>
      <c r="L1138" s="16"/>
      <c r="M1138" s="19" t="s">
        <v>8186</v>
      </c>
      <c r="N1138" s="16"/>
      <c r="O1138" s="16" t="s">
        <v>7999</v>
      </c>
      <c r="P1138" s="16" t="str">
        <f>HYPERLINK("https://ceds.ed.gov/cedselementdetails.aspx?termid=27984")</f>
        <v>https://ceds.ed.gov/cedselementdetails.aspx?termid=27984</v>
      </c>
      <c r="Q1138" s="16">
        <v>75902</v>
      </c>
    </row>
    <row r="1139" spans="1:17" ht="28.8" x14ac:dyDescent="0.3">
      <c r="A1139" s="16" t="s">
        <v>7665</v>
      </c>
      <c r="B1139" s="16" t="s">
        <v>7667</v>
      </c>
      <c r="C1139" s="16" t="s">
        <v>7617</v>
      </c>
      <c r="D1139" s="16" t="s">
        <v>7597</v>
      </c>
      <c r="E1139" s="16" t="s">
        <v>8000</v>
      </c>
      <c r="F1139" s="16" t="s">
        <v>8001</v>
      </c>
      <c r="G1139" s="16" t="s">
        <v>8200</v>
      </c>
      <c r="H1139" s="16"/>
      <c r="I1139" s="16"/>
      <c r="J1139" s="16" t="s">
        <v>2</v>
      </c>
      <c r="K1139" s="16"/>
      <c r="L1139" s="16"/>
      <c r="M1139" s="19" t="s">
        <v>8187</v>
      </c>
      <c r="N1139" s="16"/>
      <c r="O1139" s="16" t="s">
        <v>8002</v>
      </c>
      <c r="P1139" s="16" t="str">
        <f>HYPERLINK("https://ceds.ed.gov/cedselementdetails.aspx?termid=27985")</f>
        <v>https://ceds.ed.gov/cedselementdetails.aspx?termid=27985</v>
      </c>
      <c r="Q1139" s="16">
        <v>75903</v>
      </c>
    </row>
    <row r="1140" spans="1:17" ht="43.2" x14ac:dyDescent="0.3">
      <c r="A1140" s="16" t="s">
        <v>7665</v>
      </c>
      <c r="B1140" s="16" t="s">
        <v>7667</v>
      </c>
      <c r="C1140" s="16" t="s">
        <v>7617</v>
      </c>
      <c r="D1140" s="16" t="s">
        <v>7597</v>
      </c>
      <c r="E1140" s="16" t="s">
        <v>8030</v>
      </c>
      <c r="F1140" s="16" t="s">
        <v>8031</v>
      </c>
      <c r="G1140" s="16" t="s">
        <v>8200</v>
      </c>
      <c r="H1140" s="16"/>
      <c r="I1140" s="16"/>
      <c r="J1140" s="16" t="s">
        <v>2</v>
      </c>
      <c r="K1140" s="16"/>
      <c r="L1140" s="16"/>
      <c r="M1140" s="19" t="s">
        <v>8188</v>
      </c>
      <c r="N1140" s="16"/>
      <c r="O1140" s="16" t="s">
        <v>8032</v>
      </c>
      <c r="P1140" s="16" t="str">
        <f>HYPERLINK("https://ceds.ed.gov/cedselementdetails.aspx?termid=27986")</f>
        <v>https://ceds.ed.gov/cedselementdetails.aspx?termid=27986</v>
      </c>
      <c r="Q1140" s="16">
        <v>75904</v>
      </c>
    </row>
    <row r="1141" spans="1:17" ht="43.2" x14ac:dyDescent="0.3">
      <c r="A1141" s="16" t="s">
        <v>7665</v>
      </c>
      <c r="B1141" s="16" t="s">
        <v>7667</v>
      </c>
      <c r="C1141" s="16" t="s">
        <v>7617</v>
      </c>
      <c r="D1141" s="16" t="s">
        <v>7597</v>
      </c>
      <c r="E1141" s="16" t="s">
        <v>8033</v>
      </c>
      <c r="F1141" s="16" t="s">
        <v>8034</v>
      </c>
      <c r="G1141" s="16" t="s">
        <v>8200</v>
      </c>
      <c r="H1141" s="16"/>
      <c r="I1141" s="16"/>
      <c r="J1141" s="16" t="s">
        <v>2</v>
      </c>
      <c r="K1141" s="16"/>
      <c r="L1141" s="16"/>
      <c r="M1141" s="19" t="s">
        <v>8189</v>
      </c>
      <c r="N1141" s="16"/>
      <c r="O1141" s="16" t="s">
        <v>8035</v>
      </c>
      <c r="P1141" s="16" t="str">
        <f>HYPERLINK("https://ceds.ed.gov/cedselementdetails.aspx?termid=27987")</f>
        <v>https://ceds.ed.gov/cedselementdetails.aspx?termid=27987</v>
      </c>
      <c r="Q1141" s="16">
        <v>75905</v>
      </c>
    </row>
    <row r="1142" spans="1:17" ht="43.2" x14ac:dyDescent="0.3">
      <c r="A1142" s="16" t="s">
        <v>7665</v>
      </c>
      <c r="B1142" s="16" t="s">
        <v>7667</v>
      </c>
      <c r="C1142" s="16" t="s">
        <v>7617</v>
      </c>
      <c r="D1142" s="16" t="s">
        <v>7597</v>
      </c>
      <c r="E1142" s="16" t="s">
        <v>8036</v>
      </c>
      <c r="F1142" s="16" t="s">
        <v>8037</v>
      </c>
      <c r="G1142" s="16" t="s">
        <v>8200</v>
      </c>
      <c r="H1142" s="16"/>
      <c r="I1142" s="16"/>
      <c r="J1142" s="16" t="s">
        <v>2</v>
      </c>
      <c r="K1142" s="16"/>
      <c r="L1142" s="16"/>
      <c r="M1142" s="19" t="s">
        <v>8190</v>
      </c>
      <c r="N1142" s="16"/>
      <c r="O1142" s="16" t="s">
        <v>8038</v>
      </c>
      <c r="P1142" s="16" t="str">
        <f>HYPERLINK("https://ceds.ed.gov/cedselementdetails.aspx?termid=27988")</f>
        <v>https://ceds.ed.gov/cedselementdetails.aspx?termid=27988</v>
      </c>
      <c r="Q1142" s="16">
        <v>75906</v>
      </c>
    </row>
    <row r="1143" spans="1:17" ht="72" x14ac:dyDescent="0.3">
      <c r="A1143" s="16" t="s">
        <v>7665</v>
      </c>
      <c r="B1143" s="16" t="s">
        <v>7667</v>
      </c>
      <c r="C1143" s="16" t="s">
        <v>7617</v>
      </c>
      <c r="D1143" s="16" t="s">
        <v>7597</v>
      </c>
      <c r="E1143" s="16" t="s">
        <v>8974</v>
      </c>
      <c r="F1143" s="16" t="s">
        <v>8975</v>
      </c>
      <c r="G1143" s="16" t="s">
        <v>32</v>
      </c>
      <c r="H1143" s="16"/>
      <c r="I1143" s="16"/>
      <c r="J1143" s="16" t="s">
        <v>120</v>
      </c>
      <c r="K1143" s="16"/>
      <c r="L1143" s="16" t="s">
        <v>8976</v>
      </c>
      <c r="M1143" s="19" t="s">
        <v>8977</v>
      </c>
      <c r="N1143" s="16"/>
      <c r="O1143" s="16" t="s">
        <v>8978</v>
      </c>
      <c r="P1143" s="16" t="str">
        <f>HYPERLINK("https://ceds.ed.gov/cedselementdetails.aspx?termid=28020")</f>
        <v>https://ceds.ed.gov/cedselementdetails.aspx?termid=28020</v>
      </c>
      <c r="Q1143" s="16">
        <v>76143</v>
      </c>
    </row>
    <row r="1144" spans="1:17" ht="72" x14ac:dyDescent="0.3">
      <c r="A1144" s="16" t="s">
        <v>7665</v>
      </c>
      <c r="B1144" s="16" t="s">
        <v>7667</v>
      </c>
      <c r="C1144" s="16" t="s">
        <v>7617</v>
      </c>
      <c r="D1144" s="16" t="s">
        <v>7597</v>
      </c>
      <c r="E1144" s="16" t="s">
        <v>8979</v>
      </c>
      <c r="F1144" s="16" t="s">
        <v>8980</v>
      </c>
      <c r="G1144" s="16" t="s">
        <v>32</v>
      </c>
      <c r="H1144" s="16"/>
      <c r="I1144" s="16"/>
      <c r="J1144" s="16" t="s">
        <v>1481</v>
      </c>
      <c r="K1144" s="16"/>
      <c r="L1144" s="16" t="s">
        <v>8976</v>
      </c>
      <c r="M1144" s="19" t="s">
        <v>8981</v>
      </c>
      <c r="N1144" s="16"/>
      <c r="O1144" s="16" t="s">
        <v>8982</v>
      </c>
      <c r="P1144" s="16" t="str">
        <f>HYPERLINK("https://ceds.ed.gov/cedselementdetails.aspx?termid=28021")</f>
        <v>https://ceds.ed.gov/cedselementdetails.aspx?termid=28021</v>
      </c>
      <c r="Q1144" s="16">
        <v>76144</v>
      </c>
    </row>
    <row r="1145" spans="1:17" ht="57.6" x14ac:dyDescent="0.3">
      <c r="A1145" s="16" t="s">
        <v>7665</v>
      </c>
      <c r="B1145" s="16" t="s">
        <v>7667</v>
      </c>
      <c r="C1145" s="16" t="s">
        <v>7617</v>
      </c>
      <c r="D1145" s="16" t="s">
        <v>7597</v>
      </c>
      <c r="E1145" s="16" t="s">
        <v>12783</v>
      </c>
      <c r="F1145" s="16" t="s">
        <v>12784</v>
      </c>
      <c r="G1145" s="16" t="s">
        <v>32</v>
      </c>
      <c r="H1145" s="16"/>
      <c r="I1145" s="16" t="s">
        <v>155</v>
      </c>
      <c r="J1145" s="16" t="s">
        <v>136</v>
      </c>
      <c r="K1145" s="16" t="s">
        <v>12636</v>
      </c>
      <c r="L1145" s="16"/>
      <c r="M1145" s="19" t="s">
        <v>12785</v>
      </c>
      <c r="N1145" s="16"/>
      <c r="O1145" s="16" t="s">
        <v>12786</v>
      </c>
      <c r="P1145" s="16" t="str">
        <f>HYPERLINK("https://ceds.ed.gov/cedselementdetails.aspx?termid=28118")</f>
        <v>https://ceds.ed.gov/cedselementdetails.aspx?termid=28118</v>
      </c>
      <c r="Q1145" s="16">
        <v>76631</v>
      </c>
    </row>
    <row r="1146" spans="1:17" ht="43.2" x14ac:dyDescent="0.3">
      <c r="A1146" s="16" t="s">
        <v>7665</v>
      </c>
      <c r="B1146" s="16" t="s">
        <v>7667</v>
      </c>
      <c r="C1146" s="16" t="s">
        <v>7617</v>
      </c>
      <c r="D1146" s="16" t="s">
        <v>7597</v>
      </c>
      <c r="E1146" s="16" t="s">
        <v>12787</v>
      </c>
      <c r="F1146" s="16" t="s">
        <v>12788</v>
      </c>
      <c r="G1146" s="16" t="s">
        <v>32</v>
      </c>
      <c r="H1146" s="16"/>
      <c r="I1146" s="16" t="s">
        <v>155</v>
      </c>
      <c r="J1146" s="16" t="s">
        <v>9103</v>
      </c>
      <c r="K1146" s="16" t="s">
        <v>12636</v>
      </c>
      <c r="L1146" s="16"/>
      <c r="M1146" s="19" t="s">
        <v>12789</v>
      </c>
      <c r="N1146" s="16"/>
      <c r="O1146" s="16" t="s">
        <v>12790</v>
      </c>
      <c r="P1146" s="16" t="str">
        <f>HYPERLINK("https://ceds.ed.gov/cedselementdetails.aspx?termid=28117")</f>
        <v>https://ceds.ed.gov/cedselementdetails.aspx?termid=28117</v>
      </c>
      <c r="Q1146" s="16">
        <v>76624</v>
      </c>
    </row>
    <row r="1147" spans="1:17" ht="43.2" x14ac:dyDescent="0.3">
      <c r="A1147" s="16" t="s">
        <v>7665</v>
      </c>
      <c r="B1147" s="16" t="s">
        <v>7667</v>
      </c>
      <c r="C1147" s="16" t="s">
        <v>7617</v>
      </c>
      <c r="D1147" s="16" t="s">
        <v>7597</v>
      </c>
      <c r="E1147" s="16" t="s">
        <v>12791</v>
      </c>
      <c r="F1147" s="16" t="s">
        <v>12792</v>
      </c>
      <c r="G1147" s="16" t="s">
        <v>32</v>
      </c>
      <c r="H1147" s="16"/>
      <c r="I1147" s="16" t="s">
        <v>155</v>
      </c>
      <c r="J1147" s="16" t="s">
        <v>106</v>
      </c>
      <c r="K1147" s="16" t="s">
        <v>12636</v>
      </c>
      <c r="L1147" s="16"/>
      <c r="M1147" s="19" t="s">
        <v>12793</v>
      </c>
      <c r="N1147" s="16"/>
      <c r="O1147" s="16" t="s">
        <v>12794</v>
      </c>
      <c r="P1147" s="16" t="str">
        <f>HYPERLINK("https://ceds.ed.gov/cedselementdetails.aspx?termid=28116")</f>
        <v>https://ceds.ed.gov/cedselementdetails.aspx?termid=28116</v>
      </c>
      <c r="Q1147" s="16">
        <v>76617</v>
      </c>
    </row>
    <row r="1148" spans="1:17" ht="43.2" x14ac:dyDescent="0.3">
      <c r="A1148" s="16" t="s">
        <v>7665</v>
      </c>
      <c r="B1148" s="16" t="s">
        <v>7667</v>
      </c>
      <c r="C1148" s="16" t="s">
        <v>7617</v>
      </c>
      <c r="D1148" s="16" t="s">
        <v>7597</v>
      </c>
      <c r="E1148" s="16" t="s">
        <v>12795</v>
      </c>
      <c r="F1148" s="16" t="s">
        <v>12796</v>
      </c>
      <c r="G1148" s="16" t="s">
        <v>12891</v>
      </c>
      <c r="H1148" s="16"/>
      <c r="I1148" s="16" t="s">
        <v>155</v>
      </c>
      <c r="J1148" s="16" t="s">
        <v>2</v>
      </c>
      <c r="K1148" s="16" t="s">
        <v>12636</v>
      </c>
      <c r="L1148" s="16"/>
      <c r="M1148" s="19" t="s">
        <v>12797</v>
      </c>
      <c r="N1148" s="16"/>
      <c r="O1148" s="16" t="s">
        <v>12798</v>
      </c>
      <c r="P1148" s="16" t="str">
        <f>HYPERLINK("https://ceds.ed.gov/cedselementdetails.aspx?termid=28114")</f>
        <v>https://ceds.ed.gov/cedselementdetails.aspx?termid=28114</v>
      </c>
      <c r="Q1148" s="16">
        <v>76603</v>
      </c>
    </row>
    <row r="1149" spans="1:17" ht="43.2" x14ac:dyDescent="0.3">
      <c r="A1149" s="16" t="s">
        <v>7665</v>
      </c>
      <c r="B1149" s="16" t="s">
        <v>7667</v>
      </c>
      <c r="C1149" s="16" t="s">
        <v>7617</v>
      </c>
      <c r="D1149" s="16" t="s">
        <v>7597</v>
      </c>
      <c r="E1149" s="16" t="s">
        <v>12799</v>
      </c>
      <c r="F1149" s="16" t="s">
        <v>12800</v>
      </c>
      <c r="G1149" s="16" t="s">
        <v>32</v>
      </c>
      <c r="H1149" s="16"/>
      <c r="I1149" s="16" t="s">
        <v>155</v>
      </c>
      <c r="J1149" s="16" t="s">
        <v>106</v>
      </c>
      <c r="K1149" s="16" t="s">
        <v>12636</v>
      </c>
      <c r="L1149" s="16"/>
      <c r="M1149" s="19" t="s">
        <v>12801</v>
      </c>
      <c r="N1149" s="16"/>
      <c r="O1149" s="16" t="s">
        <v>12802</v>
      </c>
      <c r="P1149" s="16" t="str">
        <f>HYPERLINK("https://ceds.ed.gov/cedselementdetails.aspx?termid=28115")</f>
        <v>https://ceds.ed.gov/cedselementdetails.aspx?termid=28115</v>
      </c>
      <c r="Q1149" s="16">
        <v>76610</v>
      </c>
    </row>
    <row r="1150" spans="1:17" ht="100.8" x14ac:dyDescent="0.3">
      <c r="A1150" s="16" t="s">
        <v>7665</v>
      </c>
      <c r="B1150" s="16" t="s">
        <v>7667</v>
      </c>
      <c r="C1150" s="16" t="s">
        <v>7617</v>
      </c>
      <c r="D1150" s="16" t="s">
        <v>7597</v>
      </c>
      <c r="E1150" s="16" t="s">
        <v>12803</v>
      </c>
      <c r="F1150" s="16" t="s">
        <v>12804</v>
      </c>
      <c r="G1150" s="16" t="s">
        <v>12911</v>
      </c>
      <c r="H1150" s="16"/>
      <c r="I1150" s="16" t="s">
        <v>155</v>
      </c>
      <c r="J1150" s="16" t="s">
        <v>2</v>
      </c>
      <c r="K1150" s="16" t="s">
        <v>12636</v>
      </c>
      <c r="L1150" s="16"/>
      <c r="M1150" s="19" t="s">
        <v>12805</v>
      </c>
      <c r="N1150" s="16"/>
      <c r="O1150" s="16" t="s">
        <v>12806</v>
      </c>
      <c r="P1150" s="16" t="str">
        <f>HYPERLINK("https://ceds.ed.gov/cedselementdetails.aspx?termid=28120")</f>
        <v>https://ceds.ed.gov/cedselementdetails.aspx?termid=28120</v>
      </c>
      <c r="Q1150" s="16">
        <v>76645</v>
      </c>
    </row>
    <row r="1151" spans="1:17" ht="72" x14ac:dyDescent="0.3">
      <c r="A1151" s="16" t="s">
        <v>7665</v>
      </c>
      <c r="B1151" s="16" t="s">
        <v>7667</v>
      </c>
      <c r="C1151" s="16" t="s">
        <v>7617</v>
      </c>
      <c r="D1151" s="16" t="s">
        <v>7597</v>
      </c>
      <c r="E1151" s="16" t="s">
        <v>12807</v>
      </c>
      <c r="F1151" s="16" t="s">
        <v>12808</v>
      </c>
      <c r="G1151" s="16" t="s">
        <v>12912</v>
      </c>
      <c r="H1151" s="16"/>
      <c r="I1151" s="16" t="s">
        <v>155</v>
      </c>
      <c r="J1151" s="16" t="s">
        <v>2</v>
      </c>
      <c r="K1151" s="16" t="s">
        <v>12636</v>
      </c>
      <c r="L1151" s="16"/>
      <c r="M1151" s="19" t="s">
        <v>12809</v>
      </c>
      <c r="N1151" s="16"/>
      <c r="O1151" s="16" t="s">
        <v>12810</v>
      </c>
      <c r="P1151" s="16" t="str">
        <f>HYPERLINK("https://ceds.ed.gov/cedselementdetails.aspx?termid=28119")</f>
        <v>https://ceds.ed.gov/cedselementdetails.aspx?termid=28119</v>
      </c>
      <c r="Q1151" s="16">
        <v>76638</v>
      </c>
    </row>
    <row r="1152" spans="1:17" ht="72" x14ac:dyDescent="0.3">
      <c r="A1152" s="16" t="s">
        <v>7665</v>
      </c>
      <c r="B1152" s="16" t="s">
        <v>7667</v>
      </c>
      <c r="C1152" s="16" t="s">
        <v>7672</v>
      </c>
      <c r="D1152" s="16" t="s">
        <v>7597</v>
      </c>
      <c r="E1152" s="16" t="s">
        <v>2429</v>
      </c>
      <c r="F1152" s="16" t="s">
        <v>2430</v>
      </c>
      <c r="G1152" s="16" t="s">
        <v>8317</v>
      </c>
      <c r="H1152" s="16" t="s">
        <v>214</v>
      </c>
      <c r="I1152" s="16"/>
      <c r="J1152" s="16"/>
      <c r="K1152" s="16"/>
      <c r="L1152" s="16"/>
      <c r="M1152" s="19" t="s">
        <v>2432</v>
      </c>
      <c r="N1152" s="16" t="s">
        <v>2433</v>
      </c>
      <c r="O1152" s="16" t="s">
        <v>2434</v>
      </c>
      <c r="P1152" s="16" t="str">
        <f>HYPERLINK("https://ceds.ed.gov/cedselementdetails.aspx?termid=26533")</f>
        <v>https://ceds.ed.gov/cedselementdetails.aspx?termid=26533</v>
      </c>
      <c r="Q1152" s="16">
        <v>70870</v>
      </c>
    </row>
    <row r="1153" spans="1:17" ht="115.2" x14ac:dyDescent="0.3">
      <c r="A1153" s="16" t="s">
        <v>7665</v>
      </c>
      <c r="B1153" s="16" t="s">
        <v>7667</v>
      </c>
      <c r="C1153" s="16" t="s">
        <v>7672</v>
      </c>
      <c r="D1153" s="16" t="s">
        <v>7597</v>
      </c>
      <c r="E1153" s="16" t="s">
        <v>3860</v>
      </c>
      <c r="F1153" s="16" t="s">
        <v>3861</v>
      </c>
      <c r="G1153" s="16" t="s">
        <v>32</v>
      </c>
      <c r="H1153" s="16" t="s">
        <v>214</v>
      </c>
      <c r="I1153" s="16"/>
      <c r="J1153" s="16" t="s">
        <v>1481</v>
      </c>
      <c r="K1153" s="16"/>
      <c r="L1153" s="16"/>
      <c r="M1153" s="19" t="s">
        <v>3863</v>
      </c>
      <c r="N1153" s="16"/>
      <c r="O1153" s="16" t="s">
        <v>3864</v>
      </c>
      <c r="P1153" s="16" t="str">
        <f>HYPERLINK("https://ceds.ed.gov/cedselementdetails.aspx?termid=26540")</f>
        <v>https://ceds.ed.gov/cedselementdetails.aspx?termid=26540</v>
      </c>
      <c r="Q1153" s="16">
        <v>74231</v>
      </c>
    </row>
    <row r="1154" spans="1:17" ht="43.2" x14ac:dyDescent="0.3">
      <c r="A1154" s="16" t="s">
        <v>7665</v>
      </c>
      <c r="B1154" s="16" t="s">
        <v>7667</v>
      </c>
      <c r="C1154" s="16" t="s">
        <v>7672</v>
      </c>
      <c r="D1154" s="16" t="s">
        <v>7597</v>
      </c>
      <c r="E1154" s="16" t="s">
        <v>4045</v>
      </c>
      <c r="F1154" s="16" t="s">
        <v>4046</v>
      </c>
      <c r="G1154" s="16" t="s">
        <v>32</v>
      </c>
      <c r="H1154" s="16" t="s">
        <v>202</v>
      </c>
      <c r="I1154" s="16"/>
      <c r="J1154" s="16" t="s">
        <v>1481</v>
      </c>
      <c r="K1154" s="16"/>
      <c r="L1154" s="16"/>
      <c r="M1154" s="19" t="s">
        <v>4048</v>
      </c>
      <c r="N1154" s="16"/>
      <c r="O1154" s="16" t="s">
        <v>4049</v>
      </c>
      <c r="P1154" s="16" t="str">
        <f>HYPERLINK("https://ceds.ed.gov/cedselementdetails.aspx?termid=26442")</f>
        <v>https://ceds.ed.gov/cedselementdetails.aspx?termid=26442</v>
      </c>
      <c r="Q1154" s="16">
        <v>74232</v>
      </c>
    </row>
    <row r="1155" spans="1:17" ht="28.8" x14ac:dyDescent="0.3">
      <c r="A1155" s="16" t="s">
        <v>7665</v>
      </c>
      <c r="B1155" s="16" t="s">
        <v>7667</v>
      </c>
      <c r="C1155" s="16" t="s">
        <v>7672</v>
      </c>
      <c r="D1155" s="16" t="s">
        <v>7597</v>
      </c>
      <c r="E1155" s="16" t="s">
        <v>4690</v>
      </c>
      <c r="F1155" s="16" t="s">
        <v>4691</v>
      </c>
      <c r="G1155" s="16" t="s">
        <v>32</v>
      </c>
      <c r="H1155" s="16" t="s">
        <v>202</v>
      </c>
      <c r="I1155" s="16"/>
      <c r="J1155" s="16" t="s">
        <v>1481</v>
      </c>
      <c r="K1155" s="16"/>
      <c r="L1155" s="16"/>
      <c r="M1155" s="19" t="s">
        <v>4692</v>
      </c>
      <c r="N1155" s="16"/>
      <c r="O1155" s="16" t="s">
        <v>4693</v>
      </c>
      <c r="P1155" s="16" t="str">
        <f>HYPERLINK("https://ceds.ed.gov/cedselementdetails.aspx?termid=26454")</f>
        <v>https://ceds.ed.gov/cedselementdetails.aspx?termid=26454</v>
      </c>
      <c r="Q1155" s="16">
        <v>74233</v>
      </c>
    </row>
    <row r="1156" spans="1:17" ht="28.8" x14ac:dyDescent="0.3">
      <c r="A1156" s="16" t="s">
        <v>7665</v>
      </c>
      <c r="B1156" s="16" t="s">
        <v>7667</v>
      </c>
      <c r="C1156" s="16" t="s">
        <v>7672</v>
      </c>
      <c r="D1156" s="16" t="s">
        <v>7597</v>
      </c>
      <c r="E1156" s="16" t="s">
        <v>4682</v>
      </c>
      <c r="F1156" s="16" t="s">
        <v>4683</v>
      </c>
      <c r="G1156" s="16" t="s">
        <v>32</v>
      </c>
      <c r="H1156" s="16" t="s">
        <v>202</v>
      </c>
      <c r="I1156" s="16"/>
      <c r="J1156" s="16" t="s">
        <v>1481</v>
      </c>
      <c r="K1156" s="16"/>
      <c r="L1156" s="16"/>
      <c r="M1156" s="19" t="s">
        <v>4684</v>
      </c>
      <c r="N1156" s="16"/>
      <c r="O1156" s="16" t="s">
        <v>4685</v>
      </c>
      <c r="P1156" s="16" t="str">
        <f>HYPERLINK("https://ceds.ed.gov/cedselementdetails.aspx?termid=26451")</f>
        <v>https://ceds.ed.gov/cedselementdetails.aspx?termid=26451</v>
      </c>
      <c r="Q1156" s="16">
        <v>74234</v>
      </c>
    </row>
    <row r="1157" spans="1:17" ht="43.2" x14ac:dyDescent="0.3">
      <c r="A1157" s="16" t="s">
        <v>7665</v>
      </c>
      <c r="B1157" s="16" t="s">
        <v>7667</v>
      </c>
      <c r="C1157" s="16" t="s">
        <v>7672</v>
      </c>
      <c r="D1157" s="16" t="s">
        <v>7597</v>
      </c>
      <c r="E1157" s="16" t="s">
        <v>4686</v>
      </c>
      <c r="F1157" s="16" t="s">
        <v>4687</v>
      </c>
      <c r="G1157" s="16" t="s">
        <v>32</v>
      </c>
      <c r="H1157" s="16" t="s">
        <v>202</v>
      </c>
      <c r="I1157" s="16"/>
      <c r="J1157" s="16" t="s">
        <v>1481</v>
      </c>
      <c r="K1157" s="16"/>
      <c r="L1157" s="16"/>
      <c r="M1157" s="19" t="s">
        <v>4688</v>
      </c>
      <c r="N1157" s="16"/>
      <c r="O1157" s="16" t="s">
        <v>4689</v>
      </c>
      <c r="P1157" s="16" t="str">
        <f>HYPERLINK("https://ceds.ed.gov/cedselementdetails.aspx?termid=26452")</f>
        <v>https://ceds.ed.gov/cedselementdetails.aspx?termid=26452</v>
      </c>
      <c r="Q1157" s="16">
        <v>74235</v>
      </c>
    </row>
    <row r="1158" spans="1:17" ht="57.6" x14ac:dyDescent="0.3">
      <c r="A1158" s="16" t="s">
        <v>7665</v>
      </c>
      <c r="B1158" s="16" t="s">
        <v>7667</v>
      </c>
      <c r="C1158" s="16" t="s">
        <v>7672</v>
      </c>
      <c r="D1158" s="16" t="s">
        <v>7597</v>
      </c>
      <c r="E1158" s="16" t="s">
        <v>6171</v>
      </c>
      <c r="F1158" s="16" t="s">
        <v>6172</v>
      </c>
      <c r="G1158" s="16" t="s">
        <v>32</v>
      </c>
      <c r="H1158" s="16" t="s">
        <v>214</v>
      </c>
      <c r="I1158" s="16"/>
      <c r="J1158" s="16" t="s">
        <v>1481</v>
      </c>
      <c r="K1158" s="16"/>
      <c r="L1158" s="16"/>
      <c r="M1158" s="19" t="s">
        <v>6173</v>
      </c>
      <c r="N1158" s="16"/>
      <c r="O1158" s="16" t="s">
        <v>6174</v>
      </c>
      <c r="P1158" s="16" t="str">
        <f>HYPERLINK("https://ceds.ed.gov/cedselementdetails.aspx?termid=26560")</f>
        <v>https://ceds.ed.gov/cedselementdetails.aspx?termid=26560</v>
      </c>
      <c r="Q1158" s="16">
        <v>74236</v>
      </c>
    </row>
    <row r="1159" spans="1:17" ht="72" x14ac:dyDescent="0.3">
      <c r="A1159" s="16" t="s">
        <v>7665</v>
      </c>
      <c r="B1159" s="16" t="s">
        <v>7667</v>
      </c>
      <c r="C1159" s="16" t="s">
        <v>7672</v>
      </c>
      <c r="D1159" s="16" t="s">
        <v>7597</v>
      </c>
      <c r="E1159" s="16" t="s">
        <v>6539</v>
      </c>
      <c r="F1159" s="16" t="s">
        <v>6540</v>
      </c>
      <c r="G1159" s="16" t="s">
        <v>8824</v>
      </c>
      <c r="H1159" s="16" t="s">
        <v>214</v>
      </c>
      <c r="I1159" s="16"/>
      <c r="J1159" s="16"/>
      <c r="K1159" s="16"/>
      <c r="L1159" s="16"/>
      <c r="M1159" s="19" t="s">
        <v>6541</v>
      </c>
      <c r="N1159" s="16"/>
      <c r="O1159" s="16" t="s">
        <v>6542</v>
      </c>
      <c r="P1159" s="16" t="str">
        <f>HYPERLINK("https://ceds.ed.gov/cedselementdetails.aspx?termid=26239")</f>
        <v>https://ceds.ed.gov/cedselementdetails.aspx?termid=26239</v>
      </c>
      <c r="Q1159" s="16">
        <v>70843</v>
      </c>
    </row>
    <row r="1160" spans="1:17" ht="100.8" x14ac:dyDescent="0.3">
      <c r="A1160" s="16" t="s">
        <v>7665</v>
      </c>
      <c r="B1160" s="16" t="s">
        <v>7667</v>
      </c>
      <c r="C1160" s="16" t="s">
        <v>7672</v>
      </c>
      <c r="D1160" s="16" t="s">
        <v>7597</v>
      </c>
      <c r="E1160" s="16" t="s">
        <v>6543</v>
      </c>
      <c r="F1160" s="16" t="s">
        <v>6544</v>
      </c>
      <c r="G1160" s="16" t="s">
        <v>32</v>
      </c>
      <c r="H1160" s="16" t="s">
        <v>202</v>
      </c>
      <c r="I1160" s="16"/>
      <c r="J1160" s="16" t="s">
        <v>742</v>
      </c>
      <c r="K1160" s="16"/>
      <c r="L1160" s="16"/>
      <c r="M1160" s="19" t="s">
        <v>6545</v>
      </c>
      <c r="N1160" s="16"/>
      <c r="O1160" s="16" t="s">
        <v>6546</v>
      </c>
      <c r="P1160" s="16" t="str">
        <f>HYPERLINK("https://ceds.ed.gov/cedselementdetails.aspx?termid=26470")</f>
        <v>https://ceds.ed.gov/cedselementdetails.aspx?termid=26470</v>
      </c>
      <c r="Q1160" s="16">
        <v>74237</v>
      </c>
    </row>
    <row r="1161" spans="1:17" ht="28.8" x14ac:dyDescent="0.3">
      <c r="A1161" s="16" t="s">
        <v>7665</v>
      </c>
      <c r="B1161" s="16" t="s">
        <v>7667</v>
      </c>
      <c r="C1161" s="16" t="s">
        <v>7672</v>
      </c>
      <c r="D1161" s="16" t="s">
        <v>7597</v>
      </c>
      <c r="E1161" s="16" t="s">
        <v>6527</v>
      </c>
      <c r="F1161" s="16" t="s">
        <v>6528</v>
      </c>
      <c r="G1161" s="16" t="s">
        <v>32</v>
      </c>
      <c r="H1161" s="16" t="s">
        <v>202</v>
      </c>
      <c r="I1161" s="16"/>
      <c r="J1161" s="16" t="s">
        <v>1481</v>
      </c>
      <c r="K1161" s="16"/>
      <c r="L1161" s="16"/>
      <c r="M1161" s="19" t="s">
        <v>6529</v>
      </c>
      <c r="N1161" s="16"/>
      <c r="O1161" s="16" t="s">
        <v>6530</v>
      </c>
      <c r="P1161" s="16" t="str">
        <f>HYPERLINK("https://ceds.ed.gov/cedselementdetails.aspx?termid=26471")</f>
        <v>https://ceds.ed.gov/cedselementdetails.aspx?termid=26471</v>
      </c>
      <c r="Q1161" s="16">
        <v>74238</v>
      </c>
    </row>
    <row r="1162" spans="1:17" ht="57.6" x14ac:dyDescent="0.3">
      <c r="A1162" s="16" t="s">
        <v>7665</v>
      </c>
      <c r="B1162" s="16" t="s">
        <v>7667</v>
      </c>
      <c r="C1162" s="16" t="s">
        <v>7672</v>
      </c>
      <c r="D1162" s="16" t="s">
        <v>7597</v>
      </c>
      <c r="E1162" s="16" t="s">
        <v>6971</v>
      </c>
      <c r="F1162" s="16" t="s">
        <v>6972</v>
      </c>
      <c r="G1162" s="16" t="s">
        <v>32</v>
      </c>
      <c r="H1162" s="16" t="s">
        <v>214</v>
      </c>
      <c r="I1162" s="16"/>
      <c r="J1162" s="16" t="s">
        <v>1481</v>
      </c>
      <c r="K1162" s="16"/>
      <c r="L1162" s="16"/>
      <c r="M1162" s="19" t="s">
        <v>6973</v>
      </c>
      <c r="N1162" s="16" t="s">
        <v>6974</v>
      </c>
      <c r="O1162" s="16" t="s">
        <v>6975</v>
      </c>
      <c r="P1162" s="16" t="str">
        <f>HYPERLINK("https://ceds.ed.gov/cedselementdetails.aspx?termid=26567")</f>
        <v>https://ceds.ed.gov/cedselementdetails.aspx?termid=26567</v>
      </c>
      <c r="Q1162" s="16">
        <v>74240</v>
      </c>
    </row>
    <row r="1163" spans="1:17" ht="57.6" x14ac:dyDescent="0.3">
      <c r="A1163" s="16" t="s">
        <v>7665</v>
      </c>
      <c r="B1163" s="16" t="s">
        <v>7667</v>
      </c>
      <c r="C1163" s="16" t="s">
        <v>7672</v>
      </c>
      <c r="D1163" s="16" t="s">
        <v>7597</v>
      </c>
      <c r="E1163" s="16" t="s">
        <v>6966</v>
      </c>
      <c r="F1163" s="16" t="s">
        <v>6967</v>
      </c>
      <c r="G1163" s="16" t="s">
        <v>32</v>
      </c>
      <c r="H1163" s="16" t="s">
        <v>214</v>
      </c>
      <c r="I1163" s="16"/>
      <c r="J1163" s="16" t="s">
        <v>1481</v>
      </c>
      <c r="K1163" s="16"/>
      <c r="L1163" s="16"/>
      <c r="M1163" s="19" t="s">
        <v>6968</v>
      </c>
      <c r="N1163" s="16" t="s">
        <v>6969</v>
      </c>
      <c r="O1163" s="16" t="s">
        <v>6970</v>
      </c>
      <c r="P1163" s="16" t="str">
        <f>HYPERLINK("https://ceds.ed.gov/cedselementdetails.aspx?termid=26559")</f>
        <v>https://ceds.ed.gov/cedselementdetails.aspx?termid=26559</v>
      </c>
      <c r="Q1163" s="16">
        <v>74239</v>
      </c>
    </row>
    <row r="1164" spans="1:17" ht="43.2" x14ac:dyDescent="0.3">
      <c r="A1164" s="16" t="s">
        <v>7665</v>
      </c>
      <c r="B1164" s="16" t="s">
        <v>7667</v>
      </c>
      <c r="C1164" s="16" t="s">
        <v>7672</v>
      </c>
      <c r="D1164" s="16" t="s">
        <v>7597</v>
      </c>
      <c r="E1164" s="16" t="s">
        <v>6961</v>
      </c>
      <c r="F1164" s="16" t="s">
        <v>6962</v>
      </c>
      <c r="G1164" s="16" t="s">
        <v>32</v>
      </c>
      <c r="H1164" s="16" t="s">
        <v>214</v>
      </c>
      <c r="I1164" s="16"/>
      <c r="J1164" s="16" t="s">
        <v>1481</v>
      </c>
      <c r="K1164" s="16"/>
      <c r="L1164" s="16"/>
      <c r="M1164" s="19" t="s">
        <v>6963</v>
      </c>
      <c r="N1164" s="16" t="s">
        <v>6964</v>
      </c>
      <c r="O1164" s="16" t="s">
        <v>6965</v>
      </c>
      <c r="P1164" s="16" t="str">
        <f>HYPERLINK("https://ceds.ed.gov/cedselementdetails.aspx?termid=26566")</f>
        <v>https://ceds.ed.gov/cedselementdetails.aspx?termid=26566</v>
      </c>
      <c r="Q1164" s="16">
        <v>74241</v>
      </c>
    </row>
    <row r="1165" spans="1:17" ht="144" x14ac:dyDescent="0.3">
      <c r="A1165" s="16" t="s">
        <v>7665</v>
      </c>
      <c r="B1165" s="16" t="s">
        <v>7667</v>
      </c>
      <c r="C1165" s="16" t="s">
        <v>7672</v>
      </c>
      <c r="D1165" s="16" t="s">
        <v>7597</v>
      </c>
      <c r="E1165" s="16" t="s">
        <v>7209</v>
      </c>
      <c r="F1165" s="16" t="s">
        <v>7210</v>
      </c>
      <c r="G1165" s="16" t="s">
        <v>8861</v>
      </c>
      <c r="H1165" s="16" t="s">
        <v>202</v>
      </c>
      <c r="I1165" s="16"/>
      <c r="J1165" s="16"/>
      <c r="K1165" s="16"/>
      <c r="L1165" s="16"/>
      <c r="M1165" s="19" t="s">
        <v>7211</v>
      </c>
      <c r="N1165" s="16" t="s">
        <v>7212</v>
      </c>
      <c r="O1165" s="16" t="s">
        <v>7213</v>
      </c>
      <c r="P1165" s="16" t="str">
        <f>HYPERLINK("https://ceds.ed.gov/cedselementdetails.aspx?termid=26477")</f>
        <v>https://ceds.ed.gov/cedselementdetails.aspx?termid=26477</v>
      </c>
      <c r="Q1165" s="16">
        <v>74242</v>
      </c>
    </row>
    <row r="1166" spans="1:17" ht="72" x14ac:dyDescent="0.3">
      <c r="A1166" s="16" t="s">
        <v>7665</v>
      </c>
      <c r="B1166" s="16" t="s">
        <v>7667</v>
      </c>
      <c r="C1166" s="16" t="s">
        <v>7672</v>
      </c>
      <c r="D1166" s="16" t="s">
        <v>7597</v>
      </c>
      <c r="E1166" s="16" t="s">
        <v>3856</v>
      </c>
      <c r="F1166" s="16" t="s">
        <v>7976</v>
      </c>
      <c r="G1166" s="16" t="s">
        <v>32</v>
      </c>
      <c r="H1166" s="16" t="s">
        <v>214</v>
      </c>
      <c r="I1166" s="16"/>
      <c r="J1166" s="16" t="s">
        <v>3857</v>
      </c>
      <c r="K1166" s="16"/>
      <c r="L1166" s="16"/>
      <c r="M1166" s="19" t="s">
        <v>3858</v>
      </c>
      <c r="N1166" s="16"/>
      <c r="O1166" s="16" t="s">
        <v>3859</v>
      </c>
      <c r="P1166" s="16" t="str">
        <f>HYPERLINK("https://ceds.ed.gov/cedselementdetails.aspx?termid=26538")</f>
        <v>https://ceds.ed.gov/cedselementdetails.aspx?termid=26538</v>
      </c>
      <c r="Q1166" s="16">
        <v>74243</v>
      </c>
    </row>
    <row r="1167" spans="1:17" ht="100.8" x14ac:dyDescent="0.3">
      <c r="A1167" s="16" t="s">
        <v>7665</v>
      </c>
      <c r="B1167" s="16" t="s">
        <v>7667</v>
      </c>
      <c r="C1167" s="16" t="s">
        <v>7673</v>
      </c>
      <c r="D1167" s="16" t="s">
        <v>7597</v>
      </c>
      <c r="E1167" s="16" t="s">
        <v>6620</v>
      </c>
      <c r="F1167" s="16" t="s">
        <v>6621</v>
      </c>
      <c r="G1167" s="16" t="s">
        <v>32</v>
      </c>
      <c r="H1167" s="16" t="s">
        <v>1484</v>
      </c>
      <c r="I1167" s="16"/>
      <c r="J1167" s="16" t="s">
        <v>106</v>
      </c>
      <c r="K1167" s="16"/>
      <c r="L1167" s="16"/>
      <c r="M1167" s="19" t="s">
        <v>6622</v>
      </c>
      <c r="N1167" s="16"/>
      <c r="O1167" s="16" t="s">
        <v>6623</v>
      </c>
      <c r="P1167" s="16" t="str">
        <f>HYPERLINK("https://ceds.ed.gov/cedselementdetails.aspx?termid=26251")</f>
        <v>https://ceds.ed.gov/cedselementdetails.aspx?termid=26251</v>
      </c>
      <c r="Q1167" s="16">
        <v>74250</v>
      </c>
    </row>
    <row r="1168" spans="1:17" ht="100.8" x14ac:dyDescent="0.3">
      <c r="A1168" s="16" t="s">
        <v>7665</v>
      </c>
      <c r="B1168" s="16" t="s">
        <v>7667</v>
      </c>
      <c r="C1168" s="16" t="s">
        <v>7673</v>
      </c>
      <c r="D1168" s="16" t="s">
        <v>7597</v>
      </c>
      <c r="E1168" s="16" t="s">
        <v>6637</v>
      </c>
      <c r="F1168" s="16" t="s">
        <v>6638</v>
      </c>
      <c r="G1168" s="16" t="s">
        <v>32</v>
      </c>
      <c r="H1168" s="16" t="s">
        <v>1484</v>
      </c>
      <c r="I1168" s="16"/>
      <c r="J1168" s="16" t="s">
        <v>106</v>
      </c>
      <c r="K1168" s="16"/>
      <c r="L1168" s="16" t="s">
        <v>131</v>
      </c>
      <c r="M1168" s="19" t="s">
        <v>6639</v>
      </c>
      <c r="N1168" s="16"/>
      <c r="O1168" s="16" t="s">
        <v>6640</v>
      </c>
      <c r="P1168" s="16" t="str">
        <f>HYPERLINK("https://ceds.ed.gov/cedselementdetails.aspx?termid=26253")</f>
        <v>https://ceds.ed.gov/cedselementdetails.aspx?termid=26253</v>
      </c>
      <c r="Q1168" s="16">
        <v>74251</v>
      </c>
    </row>
    <row r="1169" spans="1:17" ht="28.8" x14ac:dyDescent="0.3">
      <c r="A1169" s="16" t="s">
        <v>7665</v>
      </c>
      <c r="B1169" s="16" t="s">
        <v>7667</v>
      </c>
      <c r="C1169" s="16" t="s">
        <v>7673</v>
      </c>
      <c r="D1169" s="16" t="s">
        <v>7597</v>
      </c>
      <c r="E1169" s="16" t="s">
        <v>6632</v>
      </c>
      <c r="F1169" s="16" t="s">
        <v>6633</v>
      </c>
      <c r="G1169" s="16" t="s">
        <v>32</v>
      </c>
      <c r="H1169" s="16" t="s">
        <v>1927</v>
      </c>
      <c r="I1169" s="16"/>
      <c r="J1169" s="16" t="s">
        <v>3093</v>
      </c>
      <c r="K1169" s="16"/>
      <c r="L1169" s="16"/>
      <c r="M1169" s="19" t="s">
        <v>6635</v>
      </c>
      <c r="N1169" s="16"/>
      <c r="O1169" s="16" t="s">
        <v>6636</v>
      </c>
      <c r="P1169" s="16" t="str">
        <f>HYPERLINK("https://ceds.ed.gov/cedselementdetails.aspx?termid=26252")</f>
        <v>https://ceds.ed.gov/cedselementdetails.aspx?termid=26252</v>
      </c>
      <c r="Q1169" s="16">
        <v>74252</v>
      </c>
    </row>
    <row r="1170" spans="1:17" ht="172.8" x14ac:dyDescent="0.3">
      <c r="A1170" s="16" t="s">
        <v>7665</v>
      </c>
      <c r="B1170" s="16" t="s">
        <v>7667</v>
      </c>
      <c r="C1170" s="16" t="s">
        <v>7673</v>
      </c>
      <c r="D1170" s="16" t="s">
        <v>7597</v>
      </c>
      <c r="E1170" s="16" t="s">
        <v>6657</v>
      </c>
      <c r="F1170" s="16" t="s">
        <v>6658</v>
      </c>
      <c r="G1170" s="16" t="s">
        <v>8830</v>
      </c>
      <c r="H1170" s="16" t="s">
        <v>1484</v>
      </c>
      <c r="I1170" s="16"/>
      <c r="J1170" s="16"/>
      <c r="K1170" s="16"/>
      <c r="L1170" s="16"/>
      <c r="M1170" s="19" t="s">
        <v>6660</v>
      </c>
      <c r="N1170" s="16"/>
      <c r="O1170" s="16" t="s">
        <v>6661</v>
      </c>
      <c r="P1170" s="16" t="str">
        <f>HYPERLINK("https://ceds.ed.gov/cedselementdetails.aspx?termid=26254")</f>
        <v>https://ceds.ed.gov/cedselementdetails.aspx?termid=26254</v>
      </c>
      <c r="Q1170" s="16">
        <v>74244</v>
      </c>
    </row>
    <row r="1171" spans="1:17" ht="43.2" x14ac:dyDescent="0.3">
      <c r="A1171" s="16" t="s">
        <v>7665</v>
      </c>
      <c r="B1171" s="16" t="s">
        <v>7667</v>
      </c>
      <c r="C1171" s="16" t="s">
        <v>7673</v>
      </c>
      <c r="D1171" s="16" t="s">
        <v>7597</v>
      </c>
      <c r="E1171" s="16" t="s">
        <v>6624</v>
      </c>
      <c r="F1171" s="16" t="s">
        <v>6625</v>
      </c>
      <c r="G1171" s="16" t="s">
        <v>32</v>
      </c>
      <c r="H1171" s="16"/>
      <c r="I1171" s="16"/>
      <c r="J1171" s="16" t="s">
        <v>81</v>
      </c>
      <c r="K1171" s="16"/>
      <c r="L1171" s="16"/>
      <c r="M1171" s="19" t="s">
        <v>6626</v>
      </c>
      <c r="N1171" s="16"/>
      <c r="O1171" s="16" t="s">
        <v>6627</v>
      </c>
      <c r="P1171" s="16" t="str">
        <f>HYPERLINK("https://ceds.ed.gov/cedselementdetails.aspx?termid=27236")</f>
        <v>https://ceds.ed.gov/cedselementdetails.aspx?termid=27236</v>
      </c>
      <c r="Q1171" s="16">
        <v>72904</v>
      </c>
    </row>
    <row r="1172" spans="1:17" x14ac:dyDescent="0.3">
      <c r="A1172" s="16" t="s">
        <v>7665</v>
      </c>
      <c r="B1172" s="16" t="s">
        <v>7667</v>
      </c>
      <c r="C1172" s="16" t="s">
        <v>7673</v>
      </c>
      <c r="D1172" s="16" t="s">
        <v>7597</v>
      </c>
      <c r="E1172" s="16" t="s">
        <v>6628</v>
      </c>
      <c r="F1172" s="16" t="s">
        <v>6629</v>
      </c>
      <c r="G1172" s="16" t="s">
        <v>32</v>
      </c>
      <c r="H1172" s="16"/>
      <c r="I1172" s="16"/>
      <c r="J1172" s="16" t="s">
        <v>316</v>
      </c>
      <c r="K1172" s="16"/>
      <c r="L1172" s="16"/>
      <c r="M1172" s="19" t="s">
        <v>6630</v>
      </c>
      <c r="N1172" s="16"/>
      <c r="O1172" s="16" t="s">
        <v>6631</v>
      </c>
      <c r="P1172" s="16" t="str">
        <f>HYPERLINK("https://ceds.ed.gov/cedselementdetails.aspx?termid=27237")</f>
        <v>https://ceds.ed.gov/cedselementdetails.aspx?termid=27237</v>
      </c>
      <c r="Q1172" s="16">
        <v>72911</v>
      </c>
    </row>
    <row r="1173" spans="1:17" ht="43.2" x14ac:dyDescent="0.3">
      <c r="A1173" s="16" t="s">
        <v>7665</v>
      </c>
      <c r="B1173" s="16" t="s">
        <v>7667</v>
      </c>
      <c r="C1173" s="16" t="s">
        <v>7673</v>
      </c>
      <c r="D1173" s="16" t="s">
        <v>7597</v>
      </c>
      <c r="E1173" s="16" t="s">
        <v>6645</v>
      </c>
      <c r="F1173" s="16" t="s">
        <v>6646</v>
      </c>
      <c r="G1173" s="16" t="s">
        <v>22</v>
      </c>
      <c r="H1173" s="16"/>
      <c r="I1173" s="16"/>
      <c r="J1173" s="16"/>
      <c r="K1173" s="16"/>
      <c r="L1173" s="16"/>
      <c r="M1173" s="19" t="s">
        <v>6647</v>
      </c>
      <c r="N1173" s="16"/>
      <c r="O1173" s="16" t="s">
        <v>6648</v>
      </c>
      <c r="P1173" s="16" t="str">
        <f>HYPERLINK("https://ceds.ed.gov/cedselementdetails.aspx?termid=27238")</f>
        <v>https://ceds.ed.gov/cedselementdetails.aspx?termid=27238</v>
      </c>
      <c r="Q1173" s="16">
        <v>72912</v>
      </c>
    </row>
    <row r="1174" spans="1:17" ht="43.2" x14ac:dyDescent="0.3">
      <c r="A1174" s="16" t="s">
        <v>7665</v>
      </c>
      <c r="B1174" s="16" t="s">
        <v>7667</v>
      </c>
      <c r="C1174" s="16" t="s">
        <v>7673</v>
      </c>
      <c r="D1174" s="16" t="s">
        <v>7597</v>
      </c>
      <c r="E1174" s="16" t="s">
        <v>6649</v>
      </c>
      <c r="F1174" s="16" t="s">
        <v>6650</v>
      </c>
      <c r="G1174" s="16" t="s">
        <v>22</v>
      </c>
      <c r="H1174" s="16"/>
      <c r="I1174" s="16"/>
      <c r="J1174" s="16"/>
      <c r="K1174" s="16"/>
      <c r="L1174" s="16"/>
      <c r="M1174" s="19" t="s">
        <v>6651</v>
      </c>
      <c r="N1174" s="16"/>
      <c r="O1174" s="16" t="s">
        <v>6652</v>
      </c>
      <c r="P1174" s="16" t="str">
        <f>HYPERLINK("https://ceds.ed.gov/cedselementdetails.aspx?termid=27239")</f>
        <v>https://ceds.ed.gov/cedselementdetails.aspx?termid=27239</v>
      </c>
      <c r="Q1174" s="16">
        <v>72913</v>
      </c>
    </row>
    <row r="1175" spans="1:17" ht="43.2" x14ac:dyDescent="0.3">
      <c r="A1175" s="16" t="s">
        <v>7665</v>
      </c>
      <c r="B1175" s="16" t="s">
        <v>7667</v>
      </c>
      <c r="C1175" s="16" t="s">
        <v>7673</v>
      </c>
      <c r="D1175" s="16" t="s">
        <v>7597</v>
      </c>
      <c r="E1175" s="16" t="s">
        <v>6615</v>
      </c>
      <c r="F1175" s="16" t="s">
        <v>6616</v>
      </c>
      <c r="G1175" s="16" t="s">
        <v>22</v>
      </c>
      <c r="H1175" s="16"/>
      <c r="I1175" s="16"/>
      <c r="J1175" s="16"/>
      <c r="K1175" s="16"/>
      <c r="L1175" s="16"/>
      <c r="M1175" s="19" t="s">
        <v>6618</v>
      </c>
      <c r="N1175" s="16"/>
      <c r="O1175" s="16" t="s">
        <v>6619</v>
      </c>
      <c r="P1175" s="16" t="str">
        <f>HYPERLINK("https://ceds.ed.gov/cedselementdetails.aspx?termid=27240")</f>
        <v>https://ceds.ed.gov/cedselementdetails.aspx?termid=27240</v>
      </c>
      <c r="Q1175" s="16">
        <v>72914</v>
      </c>
    </row>
    <row r="1176" spans="1:17" ht="43.2" x14ac:dyDescent="0.3">
      <c r="A1176" s="16" t="s">
        <v>7665</v>
      </c>
      <c r="B1176" s="16" t="s">
        <v>7667</v>
      </c>
      <c r="C1176" s="16" t="s">
        <v>7673</v>
      </c>
      <c r="D1176" s="16" t="s">
        <v>7597</v>
      </c>
      <c r="E1176" s="16" t="s">
        <v>6562</v>
      </c>
      <c r="F1176" s="16" t="s">
        <v>6563</v>
      </c>
      <c r="G1176" s="16" t="s">
        <v>32</v>
      </c>
      <c r="H1176" s="16" t="s">
        <v>2450</v>
      </c>
      <c r="I1176" s="16"/>
      <c r="J1176" s="16" t="s">
        <v>1807</v>
      </c>
      <c r="K1176" s="16"/>
      <c r="L1176" s="16" t="s">
        <v>8141</v>
      </c>
      <c r="M1176" s="19" t="s">
        <v>6565</v>
      </c>
      <c r="N1176" s="16"/>
      <c r="O1176" s="16" t="s">
        <v>6566</v>
      </c>
      <c r="P1176" s="16" t="str">
        <f>HYPERLINK("https://ceds.ed.gov/cedselementdetails.aspx?termid=26243")</f>
        <v>https://ceds.ed.gov/cedselementdetails.aspx?termid=26243</v>
      </c>
      <c r="Q1176" s="16">
        <v>70847</v>
      </c>
    </row>
    <row r="1177" spans="1:17" ht="28.8" x14ac:dyDescent="0.3">
      <c r="A1177" s="16" t="s">
        <v>7665</v>
      </c>
      <c r="B1177" s="16" t="s">
        <v>7667</v>
      </c>
      <c r="C1177" s="16" t="s">
        <v>7673</v>
      </c>
      <c r="D1177" s="16" t="s">
        <v>7597</v>
      </c>
      <c r="E1177" s="16" t="s">
        <v>3986</v>
      </c>
      <c r="F1177" s="16" t="s">
        <v>3987</v>
      </c>
      <c r="G1177" s="16" t="s">
        <v>32</v>
      </c>
      <c r="H1177" s="16"/>
      <c r="I1177" s="16"/>
      <c r="J1177" s="16" t="s">
        <v>106</v>
      </c>
      <c r="K1177" s="16"/>
      <c r="L1177" s="16"/>
      <c r="M1177" s="19" t="s">
        <v>3988</v>
      </c>
      <c r="N1177" s="16"/>
      <c r="O1177" s="16" t="s">
        <v>3989</v>
      </c>
      <c r="P1177" s="16" t="str">
        <f>HYPERLINK("https://ceds.ed.gov/cedselementdetails.aspx?termid=26488")</f>
        <v>https://ceds.ed.gov/cedselementdetails.aspx?termid=26488</v>
      </c>
      <c r="Q1177" s="16">
        <v>70863</v>
      </c>
    </row>
    <row r="1178" spans="1:17" ht="86.4" x14ac:dyDescent="0.3">
      <c r="A1178" s="16" t="s">
        <v>7665</v>
      </c>
      <c r="B1178" s="16" t="s">
        <v>7667</v>
      </c>
      <c r="C1178" s="16" t="s">
        <v>7673</v>
      </c>
      <c r="D1178" s="16" t="s">
        <v>7597</v>
      </c>
      <c r="E1178" s="16" t="s">
        <v>4889</v>
      </c>
      <c r="F1178" s="16" t="s">
        <v>4890</v>
      </c>
      <c r="G1178" s="16" t="s">
        <v>32</v>
      </c>
      <c r="H1178" s="16"/>
      <c r="I1178" s="16"/>
      <c r="J1178" s="16" t="s">
        <v>106</v>
      </c>
      <c r="K1178" s="16"/>
      <c r="L1178" s="16"/>
      <c r="M1178" s="19" t="s">
        <v>4891</v>
      </c>
      <c r="N1178" s="16"/>
      <c r="O1178" s="16" t="s">
        <v>4892</v>
      </c>
      <c r="P1178" s="16" t="str">
        <f>HYPERLINK("https://ceds.ed.gov/cedselementdetails.aspx?termid=26489")</f>
        <v>https://ceds.ed.gov/cedselementdetails.aspx?termid=26489</v>
      </c>
      <c r="Q1178" s="16">
        <v>70864</v>
      </c>
    </row>
    <row r="1179" spans="1:17" ht="115.2" x14ac:dyDescent="0.3">
      <c r="A1179" s="16" t="s">
        <v>7665</v>
      </c>
      <c r="B1179" s="16" t="s">
        <v>7667</v>
      </c>
      <c r="C1179" s="16" t="s">
        <v>7673</v>
      </c>
      <c r="D1179" s="16" t="s">
        <v>7597</v>
      </c>
      <c r="E1179" s="16" t="s">
        <v>3008</v>
      </c>
      <c r="F1179" s="16" t="s">
        <v>3009</v>
      </c>
      <c r="G1179" s="16" t="s">
        <v>32</v>
      </c>
      <c r="H1179" s="16"/>
      <c r="I1179" s="16"/>
      <c r="J1179" s="16" t="s">
        <v>305</v>
      </c>
      <c r="K1179" s="16"/>
      <c r="L1179" s="16"/>
      <c r="M1179" s="19" t="s">
        <v>3011</v>
      </c>
      <c r="N1179" s="16"/>
      <c r="O1179" s="16" t="s">
        <v>3012</v>
      </c>
      <c r="P1179" s="16" t="str">
        <f>HYPERLINK("https://ceds.ed.gov/cedselementdetails.aspx?termid=26487")</f>
        <v>https://ceds.ed.gov/cedselementdetails.aspx?termid=26487</v>
      </c>
      <c r="Q1179" s="16">
        <v>70862</v>
      </c>
    </row>
    <row r="1180" spans="1:17" ht="86.4" x14ac:dyDescent="0.3">
      <c r="A1180" s="16" t="s">
        <v>7665</v>
      </c>
      <c r="B1180" s="16" t="s">
        <v>7667</v>
      </c>
      <c r="C1180" s="16" t="s">
        <v>7673</v>
      </c>
      <c r="D1180" s="16" t="s">
        <v>7597</v>
      </c>
      <c r="E1180" s="16" t="s">
        <v>6567</v>
      </c>
      <c r="F1180" s="16" t="s">
        <v>6568</v>
      </c>
      <c r="G1180" s="16" t="s">
        <v>32</v>
      </c>
      <c r="H1180" s="16" t="s">
        <v>214</v>
      </c>
      <c r="I1180" s="16"/>
      <c r="J1180" s="16" t="s">
        <v>305</v>
      </c>
      <c r="K1180" s="16"/>
      <c r="L1180" s="16"/>
      <c r="M1180" s="19" t="s">
        <v>6569</v>
      </c>
      <c r="N1180" s="16"/>
      <c r="O1180" s="16" t="s">
        <v>6570</v>
      </c>
      <c r="P1180" s="16" t="str">
        <f>HYPERLINK("https://ceds.ed.gov/cedselementdetails.aspx?termid=26244")</f>
        <v>https://ceds.ed.gov/cedselementdetails.aspx?termid=26244</v>
      </c>
      <c r="Q1180" s="16">
        <v>70848</v>
      </c>
    </row>
    <row r="1181" spans="1:17" ht="72" x14ac:dyDescent="0.3">
      <c r="A1181" s="16" t="s">
        <v>7665</v>
      </c>
      <c r="B1181" s="16" t="s">
        <v>7667</v>
      </c>
      <c r="C1181" s="16" t="s">
        <v>7673</v>
      </c>
      <c r="D1181" s="16" t="s">
        <v>7597</v>
      </c>
      <c r="E1181" s="16" t="s">
        <v>4733</v>
      </c>
      <c r="F1181" s="16" t="s">
        <v>4734</v>
      </c>
      <c r="G1181" s="16" t="s">
        <v>32</v>
      </c>
      <c r="H1181" s="16"/>
      <c r="I1181" s="16"/>
      <c r="J1181" s="16" t="s">
        <v>305</v>
      </c>
      <c r="K1181" s="16"/>
      <c r="L1181" s="16"/>
      <c r="M1181" s="19" t="s">
        <v>4735</v>
      </c>
      <c r="N1181" s="16"/>
      <c r="O1181" s="16" t="s">
        <v>4736</v>
      </c>
      <c r="P1181" s="16" t="str">
        <f>HYPERLINK("https://ceds.ed.gov/cedselementdetails.aspx?termid=26490")</f>
        <v>https://ceds.ed.gov/cedselementdetails.aspx?termid=26490</v>
      </c>
      <c r="Q1181" s="16">
        <v>70865</v>
      </c>
    </row>
    <row r="1182" spans="1:17" ht="28.8" x14ac:dyDescent="0.3">
      <c r="A1182" s="16" t="s">
        <v>7665</v>
      </c>
      <c r="B1182" s="16" t="s">
        <v>7667</v>
      </c>
      <c r="C1182" s="16" t="s">
        <v>7673</v>
      </c>
      <c r="D1182" s="16" t="s">
        <v>7597</v>
      </c>
      <c r="E1182" s="16" t="s">
        <v>5407</v>
      </c>
      <c r="F1182" s="16" t="s">
        <v>5408</v>
      </c>
      <c r="G1182" s="16" t="s">
        <v>32</v>
      </c>
      <c r="H1182" s="16"/>
      <c r="I1182" s="16" t="s">
        <v>160</v>
      </c>
      <c r="J1182" s="16" t="s">
        <v>305</v>
      </c>
      <c r="K1182" s="16" t="s">
        <v>12935</v>
      </c>
      <c r="L1182" s="16"/>
      <c r="M1182" s="19" t="s">
        <v>5409</v>
      </c>
      <c r="N1182" s="16"/>
      <c r="O1182" s="16" t="s">
        <v>5410</v>
      </c>
      <c r="P1182" s="16" t="str">
        <f>HYPERLINK("https://ceds.ed.gov/cedselementdetails.aspx?termid=26491")</f>
        <v>https://ceds.ed.gov/cedselementdetails.aspx?termid=26491</v>
      </c>
      <c r="Q1182" s="16">
        <v>70866</v>
      </c>
    </row>
    <row r="1183" spans="1:17" ht="43.2" x14ac:dyDescent="0.3">
      <c r="A1183" s="16" t="s">
        <v>7665</v>
      </c>
      <c r="B1183" s="16" t="s">
        <v>7667</v>
      </c>
      <c r="C1183" s="16" t="s">
        <v>7673</v>
      </c>
      <c r="D1183" s="16" t="s">
        <v>7597</v>
      </c>
      <c r="E1183" s="16" t="s">
        <v>7966</v>
      </c>
      <c r="F1183" s="16" t="s">
        <v>7967</v>
      </c>
      <c r="G1183" s="16" t="s">
        <v>32</v>
      </c>
      <c r="H1183" s="16"/>
      <c r="I1183" s="16"/>
      <c r="J1183" s="16" t="s">
        <v>1662</v>
      </c>
      <c r="K1183" s="16"/>
      <c r="L1183" s="16" t="s">
        <v>7968</v>
      </c>
      <c r="M1183" s="19" t="s">
        <v>8181</v>
      </c>
      <c r="N1183" s="16"/>
      <c r="O1183" s="16" t="s">
        <v>7969</v>
      </c>
      <c r="P1183" s="16" t="str">
        <f>HYPERLINK("https://ceds.ed.gov/cedselementdetails.aspx?termid=27979")</f>
        <v>https://ceds.ed.gov/cedselementdetails.aspx?termid=27979</v>
      </c>
      <c r="Q1183" s="16">
        <v>75908</v>
      </c>
    </row>
    <row r="1184" spans="1:17" ht="28.8" x14ac:dyDescent="0.3">
      <c r="A1184" s="16" t="s">
        <v>7665</v>
      </c>
      <c r="B1184" s="16" t="s">
        <v>7667</v>
      </c>
      <c r="C1184" s="16" t="s">
        <v>7673</v>
      </c>
      <c r="D1184" s="16" t="s">
        <v>7597</v>
      </c>
      <c r="E1184" s="16" t="s">
        <v>9250</v>
      </c>
      <c r="F1184" s="16" t="s">
        <v>9251</v>
      </c>
      <c r="G1184" s="16" t="s">
        <v>32</v>
      </c>
      <c r="H1184" s="16"/>
      <c r="I1184" s="16"/>
      <c r="J1184" s="16" t="s">
        <v>136</v>
      </c>
      <c r="K1184" s="16"/>
      <c r="L1184" s="16"/>
      <c r="M1184" s="19" t="s">
        <v>9252</v>
      </c>
      <c r="N1184" s="16"/>
      <c r="O1184" s="16" t="s">
        <v>9253</v>
      </c>
      <c r="P1184" s="16" t="str">
        <f>HYPERLINK("https://ceds.ed.gov/cedselementdetails.aspx?termid=28086")</f>
        <v>https://ceds.ed.gov/cedselementdetails.aspx?termid=28086</v>
      </c>
      <c r="Q1184" s="16">
        <v>76160</v>
      </c>
    </row>
    <row r="1185" spans="1:17" ht="43.2" x14ac:dyDescent="0.3">
      <c r="A1185" s="16" t="s">
        <v>7665</v>
      </c>
      <c r="B1185" s="16" t="s">
        <v>7667</v>
      </c>
      <c r="C1185" s="16" t="s">
        <v>7673</v>
      </c>
      <c r="D1185" s="16" t="s">
        <v>7597</v>
      </c>
      <c r="E1185" s="16" t="s">
        <v>8995</v>
      </c>
      <c r="F1185" s="16" t="s">
        <v>8996</v>
      </c>
      <c r="G1185" s="16" t="s">
        <v>32</v>
      </c>
      <c r="H1185" s="16"/>
      <c r="I1185" s="16"/>
      <c r="J1185" s="16" t="s">
        <v>8997</v>
      </c>
      <c r="K1185" s="16"/>
      <c r="L1185" s="16"/>
      <c r="M1185" s="19" t="s">
        <v>8998</v>
      </c>
      <c r="N1185" s="16"/>
      <c r="O1185" s="16" t="s">
        <v>8999</v>
      </c>
      <c r="P1185" s="16" t="str">
        <f>HYPERLINK("https://ceds.ed.gov/cedselementdetails.aspx?termid=28025")</f>
        <v>https://ceds.ed.gov/cedselementdetails.aspx?termid=28025</v>
      </c>
      <c r="Q1185" s="16">
        <v>76331</v>
      </c>
    </row>
    <row r="1186" spans="1:17" ht="28.8" x14ac:dyDescent="0.3">
      <c r="A1186" s="16" t="s">
        <v>7665</v>
      </c>
      <c r="B1186" s="16" t="s">
        <v>7667</v>
      </c>
      <c r="C1186" s="16" t="s">
        <v>7673</v>
      </c>
      <c r="D1186" s="16" t="s">
        <v>7597</v>
      </c>
      <c r="E1186" s="16" t="s">
        <v>9083</v>
      </c>
      <c r="F1186" s="16" t="s">
        <v>9084</v>
      </c>
      <c r="G1186" s="16" t="s">
        <v>32</v>
      </c>
      <c r="H1186" s="16"/>
      <c r="I1186" s="16"/>
      <c r="J1186" s="16" t="s">
        <v>8997</v>
      </c>
      <c r="K1186" s="16"/>
      <c r="L1186" s="16"/>
      <c r="M1186" s="19" t="s">
        <v>9085</v>
      </c>
      <c r="N1186" s="16"/>
      <c r="O1186" s="16" t="s">
        <v>9086</v>
      </c>
      <c r="P1186" s="16" t="str">
        <f>HYPERLINK("https://ceds.ed.gov/cedselementdetails.aspx?termid=28046")</f>
        <v>https://ceds.ed.gov/cedselementdetails.aspx?termid=28046</v>
      </c>
      <c r="Q1186" s="16">
        <v>76332</v>
      </c>
    </row>
    <row r="1187" spans="1:17" ht="28.8" x14ac:dyDescent="0.3">
      <c r="A1187" s="16" t="s">
        <v>7665</v>
      </c>
      <c r="B1187" s="16" t="s">
        <v>7667</v>
      </c>
      <c r="C1187" s="16" t="s">
        <v>7673</v>
      </c>
      <c r="D1187" s="16" t="s">
        <v>7597</v>
      </c>
      <c r="E1187" s="16" t="s">
        <v>9217</v>
      </c>
      <c r="F1187" s="16" t="s">
        <v>9218</v>
      </c>
      <c r="G1187" s="16" t="s">
        <v>32</v>
      </c>
      <c r="H1187" s="16"/>
      <c r="I1187" s="16"/>
      <c r="J1187" s="16" t="s">
        <v>8997</v>
      </c>
      <c r="K1187" s="16"/>
      <c r="L1187" s="16"/>
      <c r="M1187" s="19" t="s">
        <v>9219</v>
      </c>
      <c r="N1187" s="16"/>
      <c r="O1187" s="16" t="s">
        <v>9220</v>
      </c>
      <c r="P1187" s="16" t="str">
        <f>HYPERLINK("https://ceds.ed.gov/cedselementdetails.aspx?termid=28078")</f>
        <v>https://ceds.ed.gov/cedselementdetails.aspx?termid=28078</v>
      </c>
      <c r="Q1187" s="16">
        <v>76333</v>
      </c>
    </row>
    <row r="1188" spans="1:17" ht="100.8" x14ac:dyDescent="0.3">
      <c r="A1188" s="16" t="s">
        <v>7665</v>
      </c>
      <c r="B1188" s="16" t="s">
        <v>7667</v>
      </c>
      <c r="C1188" s="16" t="s">
        <v>7673</v>
      </c>
      <c r="D1188" s="16" t="s">
        <v>7597</v>
      </c>
      <c r="E1188" s="16" t="s">
        <v>4021</v>
      </c>
      <c r="F1188" s="16" t="s">
        <v>8050</v>
      </c>
      <c r="G1188" s="16" t="s">
        <v>8231</v>
      </c>
      <c r="H1188" s="16"/>
      <c r="I1188" s="16" t="s">
        <v>160</v>
      </c>
      <c r="J1188" s="16"/>
      <c r="K1188" s="16" t="s">
        <v>12935</v>
      </c>
      <c r="L1188" s="16" t="s">
        <v>8051</v>
      </c>
      <c r="M1188" s="19" t="s">
        <v>4022</v>
      </c>
      <c r="N1188" s="16"/>
      <c r="O1188" s="16" t="s">
        <v>4023</v>
      </c>
      <c r="P1188" s="16" t="str">
        <f>HYPERLINK("https://ceds.ed.gov/cedselementdetails.aspx?termid=27323")</f>
        <v>https://ceds.ed.gov/cedselementdetails.aspx?termid=27323</v>
      </c>
      <c r="Q1188" s="16">
        <v>76550</v>
      </c>
    </row>
    <row r="1189" spans="1:17" ht="57.6" x14ac:dyDescent="0.3">
      <c r="A1189" s="16" t="s">
        <v>7665</v>
      </c>
      <c r="B1189" s="16" t="s">
        <v>7667</v>
      </c>
      <c r="C1189" s="16" t="s">
        <v>7673</v>
      </c>
      <c r="D1189" s="16" t="s">
        <v>7597</v>
      </c>
      <c r="E1189" s="16" t="s">
        <v>4875</v>
      </c>
      <c r="F1189" s="16" t="s">
        <v>4876</v>
      </c>
      <c r="G1189" s="16" t="s">
        <v>8685</v>
      </c>
      <c r="H1189" s="16" t="s">
        <v>25</v>
      </c>
      <c r="I1189" s="16" t="s">
        <v>160</v>
      </c>
      <c r="J1189" s="16"/>
      <c r="K1189" s="16" t="s">
        <v>12935</v>
      </c>
      <c r="L1189" s="16"/>
      <c r="M1189" s="19" t="s">
        <v>4878</v>
      </c>
      <c r="N1189" s="16"/>
      <c r="O1189" s="16" t="s">
        <v>4879</v>
      </c>
      <c r="P1189" s="16" t="str">
        <f>HYPERLINK("https://ceds.ed.gov/cedselementdetails.aspx?termid=26482")</f>
        <v>https://ceds.ed.gov/cedselementdetails.aspx?termid=26482</v>
      </c>
      <c r="Q1189" s="16">
        <v>76539</v>
      </c>
    </row>
    <row r="1190" spans="1:17" ht="115.2" x14ac:dyDescent="0.3">
      <c r="A1190" s="16" t="s">
        <v>7665</v>
      </c>
      <c r="B1190" s="16" t="s">
        <v>7667</v>
      </c>
      <c r="C1190" s="16" t="s">
        <v>7674</v>
      </c>
      <c r="D1190" s="16" t="s">
        <v>7597</v>
      </c>
      <c r="E1190" s="16" t="s">
        <v>7033</v>
      </c>
      <c r="F1190" s="16" t="s">
        <v>7034</v>
      </c>
      <c r="G1190" s="16" t="s">
        <v>22</v>
      </c>
      <c r="H1190" s="16"/>
      <c r="I1190" s="16"/>
      <c r="J1190" s="16"/>
      <c r="K1190" s="16"/>
      <c r="L1190" s="16" t="s">
        <v>8157</v>
      </c>
      <c r="M1190" s="19" t="s">
        <v>7035</v>
      </c>
      <c r="N1190" s="16"/>
      <c r="O1190" s="16" t="s">
        <v>7036</v>
      </c>
      <c r="P1190" s="16" t="str">
        <f>HYPERLINK("https://ceds.ed.gov/cedselementdetails.aspx?termid=27465")</f>
        <v>https://ceds.ed.gov/cedselementdetails.aspx?termid=27465</v>
      </c>
      <c r="Q1190" s="16">
        <v>73434</v>
      </c>
    </row>
    <row r="1191" spans="1:17" ht="115.2" x14ac:dyDescent="0.3">
      <c r="A1191" s="16" t="s">
        <v>7665</v>
      </c>
      <c r="B1191" s="16" t="s">
        <v>7667</v>
      </c>
      <c r="C1191" s="16" t="s">
        <v>7674</v>
      </c>
      <c r="D1191" s="16" t="s">
        <v>7597</v>
      </c>
      <c r="E1191" s="16" t="s">
        <v>7037</v>
      </c>
      <c r="F1191" s="16" t="s">
        <v>7038</v>
      </c>
      <c r="G1191" s="16" t="s">
        <v>8274</v>
      </c>
      <c r="H1191" s="16"/>
      <c r="I1191" s="16"/>
      <c r="J1191" s="16"/>
      <c r="K1191" s="16"/>
      <c r="L1191" s="16" t="s">
        <v>8157</v>
      </c>
      <c r="M1191" s="19" t="s">
        <v>7039</v>
      </c>
      <c r="N1191" s="16"/>
      <c r="O1191" s="16" t="s">
        <v>7040</v>
      </c>
      <c r="P1191" s="16" t="str">
        <f>HYPERLINK("https://ceds.ed.gov/cedselementdetails.aspx?termid=27466")</f>
        <v>https://ceds.ed.gov/cedselementdetails.aspx?termid=27466</v>
      </c>
      <c r="Q1191" s="16">
        <v>73440</v>
      </c>
    </row>
    <row r="1192" spans="1:17" ht="259.2" x14ac:dyDescent="0.3">
      <c r="A1192" s="16" t="s">
        <v>7665</v>
      </c>
      <c r="B1192" s="16" t="s">
        <v>7667</v>
      </c>
      <c r="C1192" s="16" t="s">
        <v>7674</v>
      </c>
      <c r="D1192" s="16" t="s">
        <v>7597</v>
      </c>
      <c r="E1192" s="16" t="s">
        <v>7041</v>
      </c>
      <c r="F1192" s="16" t="s">
        <v>7042</v>
      </c>
      <c r="G1192" s="16" t="s">
        <v>8846</v>
      </c>
      <c r="H1192" s="16"/>
      <c r="I1192" s="16"/>
      <c r="J1192" s="16"/>
      <c r="K1192" s="16"/>
      <c r="L1192" s="16" t="s">
        <v>8157</v>
      </c>
      <c r="M1192" s="19" t="s">
        <v>7043</v>
      </c>
      <c r="N1192" s="16"/>
      <c r="O1192" s="16" t="s">
        <v>7044</v>
      </c>
      <c r="P1192" s="16" t="str">
        <f>HYPERLINK("https://ceds.ed.gov/cedselementdetails.aspx?termid=27467")</f>
        <v>https://ceds.ed.gov/cedselementdetails.aspx?termid=27467</v>
      </c>
      <c r="Q1192" s="16">
        <v>73442</v>
      </c>
    </row>
    <row r="1193" spans="1:17" ht="86.4" x14ac:dyDescent="0.3">
      <c r="A1193" s="16" t="s">
        <v>7665</v>
      </c>
      <c r="B1193" s="16" t="s">
        <v>7667</v>
      </c>
      <c r="C1193" s="16" t="s">
        <v>9415</v>
      </c>
      <c r="D1193" s="16" t="s">
        <v>7597</v>
      </c>
      <c r="E1193" s="16" t="s">
        <v>4201</v>
      </c>
      <c r="F1193" s="16" t="s">
        <v>4202</v>
      </c>
      <c r="G1193" s="16" t="s">
        <v>8617</v>
      </c>
      <c r="H1193" s="16" t="s">
        <v>214</v>
      </c>
      <c r="I1193" s="16"/>
      <c r="J1193" s="16"/>
      <c r="K1193" s="16"/>
      <c r="L1193" s="16"/>
      <c r="M1193" s="19" t="s">
        <v>4203</v>
      </c>
      <c r="N1193" s="16"/>
      <c r="O1193" s="16" t="s">
        <v>4204</v>
      </c>
      <c r="P1193" s="16" t="str">
        <f>HYPERLINK("https://ceds.ed.gov/cedselementdetails.aspx?termid=26134")</f>
        <v>https://ceds.ed.gov/cedselementdetails.aspx?termid=26134</v>
      </c>
      <c r="Q1193" s="16">
        <v>76142</v>
      </c>
    </row>
    <row r="1194" spans="1:17" ht="57.6" x14ac:dyDescent="0.3">
      <c r="A1194" s="16" t="s">
        <v>7665</v>
      </c>
      <c r="B1194" s="16" t="s">
        <v>7667</v>
      </c>
      <c r="C1194" s="16" t="s">
        <v>9410</v>
      </c>
      <c r="D1194" s="16" t="s">
        <v>7597</v>
      </c>
      <c r="E1194" s="16" t="s">
        <v>8929</v>
      </c>
      <c r="F1194" s="16" t="s">
        <v>8930</v>
      </c>
      <c r="G1194" s="16" t="s">
        <v>9290</v>
      </c>
      <c r="H1194" s="16"/>
      <c r="I1194" s="16"/>
      <c r="J1194" s="16" t="s">
        <v>2</v>
      </c>
      <c r="K1194" s="16"/>
      <c r="L1194" s="16"/>
      <c r="M1194" s="19" t="s">
        <v>8931</v>
      </c>
      <c r="N1194" s="16"/>
      <c r="O1194" s="16" t="s">
        <v>8932</v>
      </c>
      <c r="P1194" s="16" t="str">
        <f>HYPERLINK("https://ceds.ed.gov/cedselementdetails.aspx?termid=28009")</f>
        <v>https://ceds.ed.gov/cedselementdetails.aspx?termid=28009</v>
      </c>
      <c r="Q1194" s="16">
        <v>76147</v>
      </c>
    </row>
    <row r="1195" spans="1:17" ht="72" x14ac:dyDescent="0.3">
      <c r="A1195" s="16" t="s">
        <v>7665</v>
      </c>
      <c r="B1195" s="16" t="s">
        <v>7667</v>
      </c>
      <c r="C1195" s="16" t="s">
        <v>9410</v>
      </c>
      <c r="D1195" s="16" t="s">
        <v>7597</v>
      </c>
      <c r="E1195" s="16" t="s">
        <v>8954</v>
      </c>
      <c r="F1195" s="16" t="s">
        <v>8955</v>
      </c>
      <c r="G1195" s="16" t="s">
        <v>9422</v>
      </c>
      <c r="H1195" s="16"/>
      <c r="I1195" s="16"/>
      <c r="J1195" s="16" t="s">
        <v>2</v>
      </c>
      <c r="K1195" s="16"/>
      <c r="L1195" s="16"/>
      <c r="M1195" s="19" t="s">
        <v>8956</v>
      </c>
      <c r="N1195" s="16"/>
      <c r="O1195" s="16" t="s">
        <v>8957</v>
      </c>
      <c r="P1195" s="16" t="str">
        <f>HYPERLINK("https://ceds.ed.gov/cedselementdetails.aspx?termid=28015")</f>
        <v>https://ceds.ed.gov/cedselementdetails.aspx?termid=28015</v>
      </c>
      <c r="Q1195" s="16">
        <v>76148</v>
      </c>
    </row>
    <row r="1196" spans="1:17" ht="72" x14ac:dyDescent="0.3">
      <c r="A1196" s="16" t="s">
        <v>7665</v>
      </c>
      <c r="B1196" s="16" t="s">
        <v>7667</v>
      </c>
      <c r="C1196" s="16" t="s">
        <v>9410</v>
      </c>
      <c r="D1196" s="16" t="s">
        <v>7597</v>
      </c>
      <c r="E1196" s="16" t="s">
        <v>9000</v>
      </c>
      <c r="F1196" s="16" t="s">
        <v>9001</v>
      </c>
      <c r="G1196" s="16" t="s">
        <v>9293</v>
      </c>
      <c r="H1196" s="16"/>
      <c r="I1196" s="16"/>
      <c r="J1196" s="16" t="s">
        <v>2</v>
      </c>
      <c r="K1196" s="16"/>
      <c r="L1196" s="16"/>
      <c r="M1196" s="19" t="s">
        <v>9002</v>
      </c>
      <c r="N1196" s="16"/>
      <c r="O1196" s="16" t="s">
        <v>9003</v>
      </c>
      <c r="P1196" s="16" t="str">
        <f>HYPERLINK("https://ceds.ed.gov/cedselementdetails.aspx?termid=28026")</f>
        <v>https://ceds.ed.gov/cedselementdetails.aspx?termid=28026</v>
      </c>
      <c r="Q1196" s="16">
        <v>76149</v>
      </c>
    </row>
    <row r="1197" spans="1:17" ht="28.8" x14ac:dyDescent="0.3">
      <c r="A1197" s="16" t="s">
        <v>7665</v>
      </c>
      <c r="B1197" s="16" t="s">
        <v>7667</v>
      </c>
      <c r="C1197" s="16" t="s">
        <v>9410</v>
      </c>
      <c r="D1197" s="16" t="s">
        <v>7597</v>
      </c>
      <c r="E1197" s="16" t="s">
        <v>9004</v>
      </c>
      <c r="F1197" s="16" t="s">
        <v>9005</v>
      </c>
      <c r="G1197" s="16" t="s">
        <v>32</v>
      </c>
      <c r="H1197" s="16"/>
      <c r="I1197" s="16"/>
      <c r="J1197" s="16" t="s">
        <v>120</v>
      </c>
      <c r="K1197" s="16"/>
      <c r="L1197" s="16"/>
      <c r="M1197" s="19" t="s">
        <v>9006</v>
      </c>
      <c r="N1197" s="16"/>
      <c r="O1197" s="16" t="s">
        <v>9007</v>
      </c>
      <c r="P1197" s="16" t="str">
        <f>HYPERLINK("https://ceds.ed.gov/cedselementdetails.aspx?termid=28027")</f>
        <v>https://ceds.ed.gov/cedselementdetails.aspx?termid=28027</v>
      </c>
      <c r="Q1197" s="16">
        <v>76150</v>
      </c>
    </row>
    <row r="1198" spans="1:17" ht="57.6" x14ac:dyDescent="0.3">
      <c r="A1198" s="16" t="s">
        <v>7665</v>
      </c>
      <c r="B1198" s="16" t="s">
        <v>7667</v>
      </c>
      <c r="C1198" s="16" t="s">
        <v>9410</v>
      </c>
      <c r="D1198" s="16" t="s">
        <v>7597</v>
      </c>
      <c r="E1198" s="16" t="s">
        <v>9008</v>
      </c>
      <c r="F1198" s="16" t="s">
        <v>9009</v>
      </c>
      <c r="G1198" s="16" t="s">
        <v>32</v>
      </c>
      <c r="H1198" s="16"/>
      <c r="I1198" s="16"/>
      <c r="J1198" s="16" t="s">
        <v>106</v>
      </c>
      <c r="K1198" s="16"/>
      <c r="L1198" s="16"/>
      <c r="M1198" s="19" t="s">
        <v>9010</v>
      </c>
      <c r="N1198" s="16"/>
      <c r="O1198" s="16" t="s">
        <v>9011</v>
      </c>
      <c r="P1198" s="16" t="str">
        <f>HYPERLINK("https://ceds.ed.gov/cedselementdetails.aspx?termid=28028")</f>
        <v>https://ceds.ed.gov/cedselementdetails.aspx?termid=28028</v>
      </c>
      <c r="Q1198" s="16">
        <v>76151</v>
      </c>
    </row>
    <row r="1199" spans="1:17" ht="72" x14ac:dyDescent="0.3">
      <c r="A1199" s="16" t="s">
        <v>7665</v>
      </c>
      <c r="B1199" s="16" t="s">
        <v>7667</v>
      </c>
      <c r="C1199" s="16" t="s">
        <v>9410</v>
      </c>
      <c r="D1199" s="16" t="s">
        <v>7597</v>
      </c>
      <c r="E1199" s="16" t="s">
        <v>9012</v>
      </c>
      <c r="F1199" s="16" t="s">
        <v>9013</v>
      </c>
      <c r="G1199" s="16" t="s">
        <v>9293</v>
      </c>
      <c r="H1199" s="16"/>
      <c r="I1199" s="16"/>
      <c r="J1199" s="16" t="s">
        <v>2</v>
      </c>
      <c r="K1199" s="16"/>
      <c r="L1199" s="16"/>
      <c r="M1199" s="19" t="s">
        <v>9014</v>
      </c>
      <c r="N1199" s="16"/>
      <c r="O1199" s="16" t="s">
        <v>9015</v>
      </c>
      <c r="P1199" s="16" t="str">
        <f>HYPERLINK("https://ceds.ed.gov/cedselementdetails.aspx?termid=28029")</f>
        <v>https://ceds.ed.gov/cedselementdetails.aspx?termid=28029</v>
      </c>
      <c r="Q1199" s="16">
        <v>76152</v>
      </c>
    </row>
    <row r="1200" spans="1:17" ht="28.8" x14ac:dyDescent="0.3">
      <c r="A1200" s="16" t="s">
        <v>7665</v>
      </c>
      <c r="B1200" s="16" t="s">
        <v>7667</v>
      </c>
      <c r="C1200" s="16" t="s">
        <v>9410</v>
      </c>
      <c r="D1200" s="16" t="s">
        <v>7597</v>
      </c>
      <c r="E1200" s="16" t="s">
        <v>9016</v>
      </c>
      <c r="F1200" s="16" t="s">
        <v>9017</v>
      </c>
      <c r="G1200" s="16" t="s">
        <v>32</v>
      </c>
      <c r="H1200" s="16"/>
      <c r="I1200" s="16"/>
      <c r="J1200" s="16" t="s">
        <v>120</v>
      </c>
      <c r="K1200" s="16"/>
      <c r="L1200" s="16"/>
      <c r="M1200" s="19" t="s">
        <v>9018</v>
      </c>
      <c r="N1200" s="16"/>
      <c r="O1200" s="16" t="s">
        <v>9019</v>
      </c>
      <c r="P1200" s="16" t="str">
        <f>HYPERLINK("https://ceds.ed.gov/cedselementdetails.aspx?termid=28030")</f>
        <v>https://ceds.ed.gov/cedselementdetails.aspx?termid=28030</v>
      </c>
      <c r="Q1200" s="16">
        <v>76153</v>
      </c>
    </row>
    <row r="1201" spans="1:17" ht="86.4" x14ac:dyDescent="0.3">
      <c r="A1201" s="16" t="s">
        <v>7665</v>
      </c>
      <c r="B1201" s="16" t="s">
        <v>7667</v>
      </c>
      <c r="C1201" s="16" t="s">
        <v>9410</v>
      </c>
      <c r="D1201" s="16" t="s">
        <v>7597</v>
      </c>
      <c r="E1201" s="16" t="s">
        <v>9020</v>
      </c>
      <c r="F1201" s="16" t="s">
        <v>9021</v>
      </c>
      <c r="G1201" s="16" t="s">
        <v>9294</v>
      </c>
      <c r="H1201" s="16"/>
      <c r="I1201" s="16"/>
      <c r="J1201" s="16" t="s">
        <v>2</v>
      </c>
      <c r="K1201" s="16"/>
      <c r="L1201" s="16"/>
      <c r="M1201" s="19" t="s">
        <v>9022</v>
      </c>
      <c r="N1201" s="16"/>
      <c r="O1201" s="16" t="s">
        <v>9023</v>
      </c>
      <c r="P1201" s="16" t="str">
        <f>HYPERLINK("https://ceds.ed.gov/cedselementdetails.aspx?termid=28031")</f>
        <v>https://ceds.ed.gov/cedselementdetails.aspx?termid=28031</v>
      </c>
      <c r="Q1201" s="16">
        <v>76154</v>
      </c>
    </row>
    <row r="1202" spans="1:17" ht="86.4" x14ac:dyDescent="0.3">
      <c r="A1202" s="16" t="s">
        <v>7665</v>
      </c>
      <c r="B1202" s="16" t="s">
        <v>7667</v>
      </c>
      <c r="C1202" s="16" t="s">
        <v>9410</v>
      </c>
      <c r="D1202" s="16" t="s">
        <v>7597</v>
      </c>
      <c r="E1202" s="16" t="s">
        <v>9024</v>
      </c>
      <c r="F1202" s="16" t="s">
        <v>9025</v>
      </c>
      <c r="G1202" s="16" t="s">
        <v>9423</v>
      </c>
      <c r="H1202" s="16"/>
      <c r="I1202" s="16"/>
      <c r="J1202" s="16" t="s">
        <v>2</v>
      </c>
      <c r="K1202" s="16"/>
      <c r="L1202" s="16" t="s">
        <v>9026</v>
      </c>
      <c r="M1202" s="19" t="s">
        <v>9027</v>
      </c>
      <c r="N1202" s="16"/>
      <c r="O1202" s="16" t="s">
        <v>9028</v>
      </c>
      <c r="P1202" s="16" t="str">
        <f>HYPERLINK("https://ceds.ed.gov/cedselementdetails.aspx?termid=28032")</f>
        <v>https://ceds.ed.gov/cedselementdetails.aspx?termid=28032</v>
      </c>
      <c r="Q1202" s="16">
        <v>76155</v>
      </c>
    </row>
    <row r="1203" spans="1:17" ht="28.8" x14ac:dyDescent="0.3">
      <c r="A1203" s="16" t="s">
        <v>7665</v>
      </c>
      <c r="B1203" s="16" t="s">
        <v>7667</v>
      </c>
      <c r="C1203" s="16" t="s">
        <v>9410</v>
      </c>
      <c r="D1203" s="16" t="s">
        <v>7597</v>
      </c>
      <c r="E1203" s="16" t="s">
        <v>9029</v>
      </c>
      <c r="F1203" s="16" t="s">
        <v>9030</v>
      </c>
      <c r="G1203" s="16" t="s">
        <v>32</v>
      </c>
      <c r="H1203" s="16"/>
      <c r="I1203" s="16"/>
      <c r="J1203" s="16" t="s">
        <v>106</v>
      </c>
      <c r="K1203" s="16"/>
      <c r="L1203" s="16" t="s">
        <v>9031</v>
      </c>
      <c r="M1203" s="19" t="s">
        <v>9032</v>
      </c>
      <c r="N1203" s="16"/>
      <c r="O1203" s="16" t="s">
        <v>9033</v>
      </c>
      <c r="P1203" s="16" t="str">
        <f>HYPERLINK("https://ceds.ed.gov/cedselementdetails.aspx?termid=28033")</f>
        <v>https://ceds.ed.gov/cedselementdetails.aspx?termid=28033</v>
      </c>
      <c r="Q1203" s="16">
        <v>76156</v>
      </c>
    </row>
    <row r="1204" spans="1:17" ht="28.8" x14ac:dyDescent="0.3">
      <c r="A1204" s="16" t="s">
        <v>7665</v>
      </c>
      <c r="B1204" s="16" t="s">
        <v>7667</v>
      </c>
      <c r="C1204" s="16" t="s">
        <v>9410</v>
      </c>
      <c r="D1204" s="16" t="s">
        <v>7597</v>
      </c>
      <c r="E1204" s="16" t="s">
        <v>9071</v>
      </c>
      <c r="F1204" s="16" t="s">
        <v>9072</v>
      </c>
      <c r="G1204" s="16" t="s">
        <v>8200</v>
      </c>
      <c r="H1204" s="16"/>
      <c r="I1204" s="16"/>
      <c r="J1204" s="16" t="s">
        <v>2</v>
      </c>
      <c r="K1204" s="16"/>
      <c r="L1204" s="16"/>
      <c r="M1204" s="19" t="s">
        <v>9073</v>
      </c>
      <c r="N1204" s="16"/>
      <c r="O1204" s="16" t="s">
        <v>9074</v>
      </c>
      <c r="P1204" s="16" t="str">
        <f>HYPERLINK("https://ceds.ed.gov/cedselementdetails.aspx?termid=28043")</f>
        <v>https://ceds.ed.gov/cedselementdetails.aspx?termid=28043</v>
      </c>
      <c r="Q1204" s="16">
        <v>76157</v>
      </c>
    </row>
    <row r="1205" spans="1:17" ht="28.8" x14ac:dyDescent="0.3">
      <c r="A1205" s="16" t="s">
        <v>7665</v>
      </c>
      <c r="B1205" s="16" t="s">
        <v>7667</v>
      </c>
      <c r="C1205" s="16" t="s">
        <v>9410</v>
      </c>
      <c r="D1205" s="16" t="s">
        <v>7597</v>
      </c>
      <c r="E1205" s="16" t="s">
        <v>9075</v>
      </c>
      <c r="F1205" s="16" t="s">
        <v>9076</v>
      </c>
      <c r="G1205" s="16" t="s">
        <v>8200</v>
      </c>
      <c r="H1205" s="16"/>
      <c r="I1205" s="16"/>
      <c r="J1205" s="16" t="s">
        <v>2</v>
      </c>
      <c r="K1205" s="16"/>
      <c r="L1205" s="16"/>
      <c r="M1205" s="19" t="s">
        <v>9077</v>
      </c>
      <c r="N1205" s="16"/>
      <c r="O1205" s="16" t="s">
        <v>9078</v>
      </c>
      <c r="P1205" s="16" t="str">
        <f>HYPERLINK("https://ceds.ed.gov/cedselementdetails.aspx?termid=28044")</f>
        <v>https://ceds.ed.gov/cedselementdetails.aspx?termid=28044</v>
      </c>
      <c r="Q1205" s="16">
        <v>76158</v>
      </c>
    </row>
    <row r="1206" spans="1:17" ht="72" x14ac:dyDescent="0.3">
      <c r="A1206" s="16" t="s">
        <v>7665</v>
      </c>
      <c r="B1206" s="16" t="s">
        <v>7667</v>
      </c>
      <c r="C1206" s="16" t="s">
        <v>9411</v>
      </c>
      <c r="D1206" s="16" t="s">
        <v>7597</v>
      </c>
      <c r="E1206" s="16" t="s">
        <v>9201</v>
      </c>
      <c r="F1206" s="16" t="s">
        <v>9202</v>
      </c>
      <c r="G1206" s="16" t="s">
        <v>32</v>
      </c>
      <c r="H1206" s="16"/>
      <c r="I1206" s="16"/>
      <c r="J1206" s="16" t="s">
        <v>955</v>
      </c>
      <c r="K1206" s="16"/>
      <c r="L1206" s="16"/>
      <c r="M1206" s="19" t="s">
        <v>9203</v>
      </c>
      <c r="N1206" s="16"/>
      <c r="O1206" s="16" t="s">
        <v>9204</v>
      </c>
      <c r="P1206" s="16" t="str">
        <f>HYPERLINK("https://ceds.ed.gov/cedselementdetails.aspx?termid=28074")</f>
        <v>https://ceds.ed.gov/cedselementdetails.aspx?termid=28074</v>
      </c>
      <c r="Q1206" s="16">
        <v>76159</v>
      </c>
    </row>
    <row r="1207" spans="1:17" ht="43.2" x14ac:dyDescent="0.3">
      <c r="A1207" s="16" t="s">
        <v>7665</v>
      </c>
      <c r="B1207" s="16" t="s">
        <v>7675</v>
      </c>
      <c r="C1207" s="16"/>
      <c r="D1207" s="16" t="s">
        <v>7597</v>
      </c>
      <c r="E1207" s="16" t="s">
        <v>5590</v>
      </c>
      <c r="F1207" s="16" t="s">
        <v>5591</v>
      </c>
      <c r="G1207" s="16" t="s">
        <v>32</v>
      </c>
      <c r="H1207" s="16"/>
      <c r="I1207" s="16"/>
      <c r="J1207" s="16" t="s">
        <v>50</v>
      </c>
      <c r="K1207" s="16"/>
      <c r="L1207" s="16"/>
      <c r="M1207" s="19" t="s">
        <v>5592</v>
      </c>
      <c r="N1207" s="16"/>
      <c r="O1207" s="16" t="s">
        <v>5593</v>
      </c>
      <c r="P1207" s="16" t="str">
        <f>HYPERLINK("https://ceds.ed.gov/cedselementdetails.aspx?termid=27644")</f>
        <v>https://ceds.ed.gov/cedselementdetails.aspx?termid=27644</v>
      </c>
      <c r="Q1207" s="16">
        <v>74976</v>
      </c>
    </row>
    <row r="1208" spans="1:17" ht="28.8" x14ac:dyDescent="0.3">
      <c r="A1208" s="16" t="s">
        <v>7665</v>
      </c>
      <c r="B1208" s="16" t="s">
        <v>7675</v>
      </c>
      <c r="C1208" s="16"/>
      <c r="D1208" s="16" t="s">
        <v>7597</v>
      </c>
      <c r="E1208" s="16" t="s">
        <v>5606</v>
      </c>
      <c r="F1208" s="16" t="s">
        <v>5607</v>
      </c>
      <c r="G1208" s="16" t="s">
        <v>32</v>
      </c>
      <c r="H1208" s="16"/>
      <c r="I1208" s="16"/>
      <c r="J1208" s="16" t="s">
        <v>2807</v>
      </c>
      <c r="K1208" s="16"/>
      <c r="L1208" s="16"/>
      <c r="M1208" s="19" t="s">
        <v>5608</v>
      </c>
      <c r="N1208" s="16"/>
      <c r="O1208" s="16" t="s">
        <v>5609</v>
      </c>
      <c r="P1208" s="16" t="str">
        <f>HYPERLINK("https://ceds.ed.gov/cedselementdetails.aspx?termid=27731")</f>
        <v>https://ceds.ed.gov/cedselementdetails.aspx?termid=27731</v>
      </c>
      <c r="Q1208" s="16">
        <v>74983</v>
      </c>
    </row>
    <row r="1209" spans="1:17" ht="172.8" x14ac:dyDescent="0.3">
      <c r="A1209" s="16" t="s">
        <v>7665</v>
      </c>
      <c r="B1209" s="16" t="s">
        <v>7675</v>
      </c>
      <c r="C1209" s="16" t="s">
        <v>7598</v>
      </c>
      <c r="D1209" s="16" t="s">
        <v>7597</v>
      </c>
      <c r="E1209" s="16" t="s">
        <v>5257</v>
      </c>
      <c r="F1209" s="16" t="s">
        <v>5258</v>
      </c>
      <c r="G1209" s="16" t="s">
        <v>32</v>
      </c>
      <c r="H1209" s="16" t="s">
        <v>5256</v>
      </c>
      <c r="I1209" s="16"/>
      <c r="J1209" s="16" t="s">
        <v>120</v>
      </c>
      <c r="K1209" s="16"/>
      <c r="L1209" s="16" t="s">
        <v>7905</v>
      </c>
      <c r="M1209" s="19" t="s">
        <v>5259</v>
      </c>
      <c r="N1209" s="16" t="s">
        <v>5260</v>
      </c>
      <c r="O1209" s="16" t="s">
        <v>5261</v>
      </c>
      <c r="P1209" s="16" t="str">
        <f>HYPERLINK("https://ceds.ed.gov/cedselementdetails.aspx?termid=26153")</f>
        <v>https://ceds.ed.gov/cedselementdetails.aspx?termid=26153</v>
      </c>
      <c r="Q1209" s="16">
        <v>70893</v>
      </c>
    </row>
    <row r="1210" spans="1:17" ht="172.8" x14ac:dyDescent="0.3">
      <c r="A1210" s="16" t="s">
        <v>7665</v>
      </c>
      <c r="B1210" s="16" t="s">
        <v>7675</v>
      </c>
      <c r="C1210" s="16" t="s">
        <v>7598</v>
      </c>
      <c r="D1210" s="16" t="s">
        <v>7597</v>
      </c>
      <c r="E1210" s="16" t="s">
        <v>5251</v>
      </c>
      <c r="F1210" s="16" t="s">
        <v>5252</v>
      </c>
      <c r="G1210" s="16" t="s">
        <v>8242</v>
      </c>
      <c r="H1210" s="16" t="s">
        <v>5256</v>
      </c>
      <c r="I1210" s="16"/>
      <c r="J1210" s="16"/>
      <c r="K1210" s="16"/>
      <c r="L1210" s="16"/>
      <c r="M1210" s="19" t="s">
        <v>5253</v>
      </c>
      <c r="N1210" s="16" t="s">
        <v>5254</v>
      </c>
      <c r="O1210" s="16" t="s">
        <v>5255</v>
      </c>
      <c r="P1210" s="16" t="str">
        <f>HYPERLINK("https://ceds.ed.gov/cedselementdetails.aspx?termid=26159")</f>
        <v>https://ceds.ed.gov/cedselementdetails.aspx?termid=26159</v>
      </c>
      <c r="Q1210" s="16">
        <v>70894</v>
      </c>
    </row>
    <row r="1211" spans="1:17" ht="43.2" x14ac:dyDescent="0.3">
      <c r="A1211" s="16" t="s">
        <v>7665</v>
      </c>
      <c r="B1211" s="16" t="s">
        <v>7675</v>
      </c>
      <c r="C1211" s="16" t="s">
        <v>7598</v>
      </c>
      <c r="D1211" s="16" t="s">
        <v>7597</v>
      </c>
      <c r="E1211" s="16" t="s">
        <v>5598</v>
      </c>
      <c r="F1211" s="16" t="s">
        <v>5599</v>
      </c>
      <c r="G1211" s="16" t="s">
        <v>32</v>
      </c>
      <c r="H1211" s="16" t="s">
        <v>195</v>
      </c>
      <c r="I1211" s="16"/>
      <c r="J1211" s="16" t="s">
        <v>145</v>
      </c>
      <c r="K1211" s="16"/>
      <c r="L1211" s="16"/>
      <c r="M1211" s="19" t="s">
        <v>5600</v>
      </c>
      <c r="N1211" s="16"/>
      <c r="O1211" s="16" t="s">
        <v>5601</v>
      </c>
      <c r="P1211" s="16" t="str">
        <f>HYPERLINK("https://ceds.ed.gov/cedselementdetails.aspx?termid=26204")</f>
        <v>https://ceds.ed.gov/cedselementdetails.aspx?termid=26204</v>
      </c>
      <c r="Q1211" s="16">
        <v>70902</v>
      </c>
    </row>
    <row r="1212" spans="1:17" ht="409.6" x14ac:dyDescent="0.3">
      <c r="A1212" s="16" t="s">
        <v>7665</v>
      </c>
      <c r="B1212" s="16" t="s">
        <v>7675</v>
      </c>
      <c r="C1212" s="16" t="s">
        <v>7598</v>
      </c>
      <c r="D1212" s="16" t="s">
        <v>7597</v>
      </c>
      <c r="E1212" s="16" t="s">
        <v>5618</v>
      </c>
      <c r="F1212" s="16" t="s">
        <v>5619</v>
      </c>
      <c r="G1212" s="16" t="s">
        <v>9335</v>
      </c>
      <c r="H1212" s="16"/>
      <c r="I1212" s="16"/>
      <c r="J1212" s="16"/>
      <c r="K1212" s="16"/>
      <c r="L1212" s="16" t="s">
        <v>5620</v>
      </c>
      <c r="M1212" s="19" t="s">
        <v>5621</v>
      </c>
      <c r="N1212" s="16"/>
      <c r="O1212" s="16" t="s">
        <v>5622</v>
      </c>
      <c r="P1212" s="16" t="str">
        <f>HYPERLINK("https://ceds.ed.gov/cedselementdetails.aspx?termid=27165")</f>
        <v>https://ceds.ed.gov/cedselementdetails.aspx?termid=27165</v>
      </c>
      <c r="Q1212" s="16">
        <v>71817</v>
      </c>
    </row>
    <row r="1213" spans="1:17" ht="86.4" x14ac:dyDescent="0.3">
      <c r="A1213" s="16" t="s">
        <v>7665</v>
      </c>
      <c r="B1213" s="16" t="s">
        <v>7675</v>
      </c>
      <c r="C1213" s="16" t="s">
        <v>7598</v>
      </c>
      <c r="D1213" s="16" t="s">
        <v>7597</v>
      </c>
      <c r="E1213" s="16" t="s">
        <v>5610</v>
      </c>
      <c r="F1213" s="16" t="s">
        <v>5611</v>
      </c>
      <c r="G1213" s="16" t="s">
        <v>8249</v>
      </c>
      <c r="H1213" s="16"/>
      <c r="I1213" s="16"/>
      <c r="J1213" s="16"/>
      <c r="K1213" s="16"/>
      <c r="L1213" s="16" t="s">
        <v>8099</v>
      </c>
      <c r="M1213" s="19" t="s">
        <v>5612</v>
      </c>
      <c r="N1213" s="16"/>
      <c r="O1213" s="16" t="s">
        <v>5613</v>
      </c>
      <c r="P1213" s="16" t="str">
        <f>HYPERLINK("https://ceds.ed.gov/cedselementdetails.aspx?termid=27886")</f>
        <v>https://ceds.ed.gov/cedselementdetails.aspx?termid=27886</v>
      </c>
      <c r="Q1213" s="16">
        <v>75153</v>
      </c>
    </row>
    <row r="1214" spans="1:17" ht="72" x14ac:dyDescent="0.3">
      <c r="A1214" s="16" t="s">
        <v>7665</v>
      </c>
      <c r="B1214" s="16" t="s">
        <v>7675</v>
      </c>
      <c r="C1214" s="16" t="s">
        <v>7599</v>
      </c>
      <c r="D1214" s="16" t="s">
        <v>7597</v>
      </c>
      <c r="E1214" s="16" t="s">
        <v>187</v>
      </c>
      <c r="F1214" s="16" t="s">
        <v>188</v>
      </c>
      <c r="G1214" s="16" t="s">
        <v>8205</v>
      </c>
      <c r="H1214" s="16" t="s">
        <v>64</v>
      </c>
      <c r="I1214" s="16"/>
      <c r="J1214" s="16" t="s">
        <v>81</v>
      </c>
      <c r="K1214" s="16"/>
      <c r="L1214" s="16"/>
      <c r="M1214" s="19" t="s">
        <v>189</v>
      </c>
      <c r="N1214" s="16"/>
      <c r="O1214" s="16" t="s">
        <v>190</v>
      </c>
      <c r="P1214" s="16" t="str">
        <f>HYPERLINK("https://ceds.ed.gov/cedselementdetails.aspx?termid=26644")</f>
        <v>https://ceds.ed.gov/cedselementdetails.aspx?termid=26644</v>
      </c>
      <c r="Q1214" s="16">
        <v>70962</v>
      </c>
    </row>
    <row r="1215" spans="1:17" ht="187.2" x14ac:dyDescent="0.3">
      <c r="A1215" s="16" t="s">
        <v>7665</v>
      </c>
      <c r="B1215" s="16" t="s">
        <v>7675</v>
      </c>
      <c r="C1215" s="16" t="s">
        <v>7599</v>
      </c>
      <c r="D1215" s="16" t="s">
        <v>7597</v>
      </c>
      <c r="E1215" s="16" t="s">
        <v>177</v>
      </c>
      <c r="F1215" s="16" t="s">
        <v>178</v>
      </c>
      <c r="G1215" s="16" t="s">
        <v>32</v>
      </c>
      <c r="H1215" s="16" t="s">
        <v>163</v>
      </c>
      <c r="I1215" s="16"/>
      <c r="J1215" s="16" t="s">
        <v>179</v>
      </c>
      <c r="K1215" s="16"/>
      <c r="L1215" s="16"/>
      <c r="M1215" s="19" t="s">
        <v>180</v>
      </c>
      <c r="N1215" s="16"/>
      <c r="O1215" s="16" t="s">
        <v>181</v>
      </c>
      <c r="P1215" s="16" t="str">
        <f>HYPERLINK("https://ceds.ed.gov/cedselementdetails.aspx?termid=26269")</f>
        <v>https://ceds.ed.gov/cedselementdetails.aspx?termid=26269</v>
      </c>
      <c r="Q1215" s="16">
        <v>70912</v>
      </c>
    </row>
    <row r="1216" spans="1:17" ht="187.2" x14ac:dyDescent="0.3">
      <c r="A1216" s="16" t="s">
        <v>7665</v>
      </c>
      <c r="B1216" s="16" t="s">
        <v>7675</v>
      </c>
      <c r="C1216" s="16" t="s">
        <v>7599</v>
      </c>
      <c r="D1216" s="16" t="s">
        <v>7597</v>
      </c>
      <c r="E1216" s="16" t="s">
        <v>158</v>
      </c>
      <c r="F1216" s="16" t="s">
        <v>159</v>
      </c>
      <c r="G1216" s="16" t="s">
        <v>32</v>
      </c>
      <c r="H1216" s="16" t="s">
        <v>163</v>
      </c>
      <c r="I1216" s="16"/>
      <c r="J1216" s="16" t="s">
        <v>145</v>
      </c>
      <c r="K1216" s="16"/>
      <c r="L1216" s="16"/>
      <c r="M1216" s="19" t="s">
        <v>161</v>
      </c>
      <c r="N1216" s="16"/>
      <c r="O1216" s="16" t="s">
        <v>162</v>
      </c>
      <c r="P1216" s="16" t="str">
        <f>HYPERLINK("https://ceds.ed.gov/cedselementdetails.aspx?termid=26019")</f>
        <v>https://ceds.ed.gov/cedselementdetails.aspx?termid=26019</v>
      </c>
      <c r="Q1216" s="16">
        <v>72146</v>
      </c>
    </row>
    <row r="1217" spans="1:17" ht="187.2" x14ac:dyDescent="0.3">
      <c r="A1217" s="16" t="s">
        <v>7665</v>
      </c>
      <c r="B1217" s="16" t="s">
        <v>7675</v>
      </c>
      <c r="C1217" s="16" t="s">
        <v>7599</v>
      </c>
      <c r="D1217" s="16" t="s">
        <v>7597</v>
      </c>
      <c r="E1217" s="16" t="s">
        <v>164</v>
      </c>
      <c r="F1217" s="16" t="s">
        <v>165</v>
      </c>
      <c r="G1217" s="16" t="s">
        <v>32</v>
      </c>
      <c r="H1217" s="16" t="s">
        <v>163</v>
      </c>
      <c r="I1217" s="16"/>
      <c r="J1217" s="16" t="s">
        <v>81</v>
      </c>
      <c r="K1217" s="16"/>
      <c r="L1217" s="16"/>
      <c r="M1217" s="19" t="s">
        <v>166</v>
      </c>
      <c r="N1217" s="16"/>
      <c r="O1217" s="16" t="s">
        <v>167</v>
      </c>
      <c r="P1217" s="16" t="str">
        <f>HYPERLINK("https://ceds.ed.gov/cedselementdetails.aspx?termid=26040")</f>
        <v>https://ceds.ed.gov/cedselementdetails.aspx?termid=26040</v>
      </c>
      <c r="Q1217" s="16">
        <v>70886</v>
      </c>
    </row>
    <row r="1218" spans="1:17" ht="409.6" x14ac:dyDescent="0.3">
      <c r="A1218" s="16" t="s">
        <v>7665</v>
      </c>
      <c r="B1218" s="16" t="s">
        <v>7675</v>
      </c>
      <c r="C1218" s="16" t="s">
        <v>7599</v>
      </c>
      <c r="D1218" s="16" t="s">
        <v>7597</v>
      </c>
      <c r="E1218" s="16" t="s">
        <v>6840</v>
      </c>
      <c r="F1218" s="16" t="s">
        <v>6841</v>
      </c>
      <c r="G1218" s="16" t="s">
        <v>8266</v>
      </c>
      <c r="H1218" s="16" t="s">
        <v>6844</v>
      </c>
      <c r="I1218" s="16"/>
      <c r="J1218" s="16"/>
      <c r="K1218" s="16"/>
      <c r="L1218" s="16"/>
      <c r="M1218" s="19" t="s">
        <v>6842</v>
      </c>
      <c r="N1218" s="16"/>
      <c r="O1218" s="16" t="s">
        <v>6843</v>
      </c>
      <c r="P1218" s="16" t="str">
        <f>HYPERLINK("https://ceds.ed.gov/cedselementdetails.aspx?termid=26267")</f>
        <v>https://ceds.ed.gov/cedselementdetails.aspx?termid=26267</v>
      </c>
      <c r="Q1218" s="16">
        <v>70911</v>
      </c>
    </row>
    <row r="1219" spans="1:17" ht="187.2" x14ac:dyDescent="0.3">
      <c r="A1219" s="16" t="s">
        <v>7665</v>
      </c>
      <c r="B1219" s="16" t="s">
        <v>7675</v>
      </c>
      <c r="C1219" s="16" t="s">
        <v>7599</v>
      </c>
      <c r="D1219" s="16" t="s">
        <v>7597</v>
      </c>
      <c r="E1219" s="16" t="s">
        <v>172</v>
      </c>
      <c r="F1219" s="16" t="s">
        <v>173</v>
      </c>
      <c r="G1219" s="16" t="s">
        <v>32</v>
      </c>
      <c r="H1219" s="16" t="s">
        <v>163</v>
      </c>
      <c r="I1219" s="16"/>
      <c r="J1219" s="16" t="s">
        <v>174</v>
      </c>
      <c r="K1219" s="16"/>
      <c r="L1219" s="16"/>
      <c r="M1219" s="19" t="s">
        <v>175</v>
      </c>
      <c r="N1219" s="16"/>
      <c r="O1219" s="16" t="s">
        <v>176</v>
      </c>
      <c r="P1219" s="16" t="str">
        <f>HYPERLINK("https://ceds.ed.gov/cedselementdetails.aspx?termid=26214")</f>
        <v>https://ceds.ed.gov/cedselementdetails.aspx?termid=26214</v>
      </c>
      <c r="Q1219" s="16">
        <v>70905</v>
      </c>
    </row>
    <row r="1220" spans="1:17" ht="187.2" x14ac:dyDescent="0.3">
      <c r="A1220" s="16" t="s">
        <v>7665</v>
      </c>
      <c r="B1220" s="16" t="s">
        <v>7675</v>
      </c>
      <c r="C1220" s="16" t="s">
        <v>7599</v>
      </c>
      <c r="D1220" s="16" t="s">
        <v>7597</v>
      </c>
      <c r="E1220" s="16" t="s">
        <v>168</v>
      </c>
      <c r="F1220" s="16" t="s">
        <v>169</v>
      </c>
      <c r="G1220" s="16" t="s">
        <v>32</v>
      </c>
      <c r="H1220" s="16" t="s">
        <v>163</v>
      </c>
      <c r="I1220" s="16"/>
      <c r="J1220" s="16" t="s">
        <v>81</v>
      </c>
      <c r="K1220" s="16"/>
      <c r="L1220" s="16"/>
      <c r="M1220" s="19" t="s">
        <v>170</v>
      </c>
      <c r="N1220" s="16"/>
      <c r="O1220" s="16" t="s">
        <v>171</v>
      </c>
      <c r="P1220" s="16" t="str">
        <f>HYPERLINK("https://ceds.ed.gov/cedselementdetails.aspx?termid=26190")</f>
        <v>https://ceds.ed.gov/cedselementdetails.aspx?termid=26190</v>
      </c>
      <c r="Q1220" s="16">
        <v>70901</v>
      </c>
    </row>
    <row r="1221" spans="1:17" ht="409.6" x14ac:dyDescent="0.3">
      <c r="A1221" s="16" t="s">
        <v>7665</v>
      </c>
      <c r="B1221" s="16" t="s">
        <v>7675</v>
      </c>
      <c r="C1221" s="16" t="s">
        <v>7599</v>
      </c>
      <c r="D1221" s="16" t="s">
        <v>7597</v>
      </c>
      <c r="E1221" s="16" t="s">
        <v>6852</v>
      </c>
      <c r="F1221" s="16" t="s">
        <v>6853</v>
      </c>
      <c r="G1221" s="16" t="s">
        <v>8268</v>
      </c>
      <c r="H1221" s="16" t="s">
        <v>6856</v>
      </c>
      <c r="I1221" s="16"/>
      <c r="J1221" s="16"/>
      <c r="K1221" s="16"/>
      <c r="L1221" s="16"/>
      <c r="M1221" s="19" t="s">
        <v>6854</v>
      </c>
      <c r="N1221" s="16"/>
      <c r="O1221" s="16" t="s">
        <v>6855</v>
      </c>
      <c r="P1221" s="16" t="str">
        <f>HYPERLINK("https://ceds.ed.gov/cedselementdetails.aspx?termid=26414")</f>
        <v>https://ceds.ed.gov/cedselementdetails.aspx?termid=26414</v>
      </c>
      <c r="Q1221" s="16">
        <v>74229</v>
      </c>
    </row>
    <row r="1222" spans="1:17" ht="158.4" x14ac:dyDescent="0.3">
      <c r="A1222" s="16" t="s">
        <v>7665</v>
      </c>
      <c r="B1222" s="16" t="s">
        <v>7675</v>
      </c>
      <c r="C1222" s="16" t="s">
        <v>7599</v>
      </c>
      <c r="D1222" s="16" t="s">
        <v>7597</v>
      </c>
      <c r="E1222" s="16" t="s">
        <v>2493</v>
      </c>
      <c r="F1222" s="16" t="s">
        <v>2494</v>
      </c>
      <c r="G1222" s="16" t="s">
        <v>32</v>
      </c>
      <c r="H1222" s="16"/>
      <c r="I1222" s="16"/>
      <c r="J1222" s="16" t="s">
        <v>2495</v>
      </c>
      <c r="K1222" s="16"/>
      <c r="L1222" s="16"/>
      <c r="M1222" s="19" t="s">
        <v>2496</v>
      </c>
      <c r="N1222" s="16"/>
      <c r="O1222" s="16" t="s">
        <v>2497</v>
      </c>
      <c r="P1222" s="16" t="str">
        <f>HYPERLINK("https://ceds.ed.gov/cedselementdetails.aspx?termid=27176")</f>
        <v>https://ceds.ed.gov/cedselementdetails.aspx?termid=27176</v>
      </c>
      <c r="Q1222" s="16">
        <v>70887</v>
      </c>
    </row>
    <row r="1223" spans="1:17" ht="43.2" x14ac:dyDescent="0.3">
      <c r="A1223" s="16" t="s">
        <v>7665</v>
      </c>
      <c r="B1223" s="16" t="s">
        <v>7675</v>
      </c>
      <c r="C1223" s="16" t="s">
        <v>7599</v>
      </c>
      <c r="D1223" s="16" t="s">
        <v>7597</v>
      </c>
      <c r="E1223" s="16" t="s">
        <v>1761</v>
      </c>
      <c r="F1223" s="16" t="s">
        <v>1762</v>
      </c>
      <c r="G1223" s="16" t="s">
        <v>32</v>
      </c>
      <c r="H1223" s="16"/>
      <c r="I1223" s="16"/>
      <c r="J1223" s="16" t="s">
        <v>145</v>
      </c>
      <c r="K1223" s="16"/>
      <c r="L1223" s="16"/>
      <c r="M1223" s="19" t="s">
        <v>1763</v>
      </c>
      <c r="N1223" s="16"/>
      <c r="O1223" s="16" t="s">
        <v>1764</v>
      </c>
      <c r="P1223" s="16" t="str">
        <f>HYPERLINK("https://ceds.ed.gov/cedselementdetails.aspx?termid=26595")</f>
        <v>https://ceds.ed.gov/cedselementdetails.aspx?termid=26595</v>
      </c>
      <c r="Q1223" s="16">
        <v>74176</v>
      </c>
    </row>
    <row r="1224" spans="1:17" ht="57.6" x14ac:dyDescent="0.3">
      <c r="A1224" s="16" t="s">
        <v>7665</v>
      </c>
      <c r="B1224" s="16" t="s">
        <v>7675</v>
      </c>
      <c r="C1224" s="16" t="s">
        <v>7599</v>
      </c>
      <c r="D1224" s="16" t="s">
        <v>7597</v>
      </c>
      <c r="E1224" s="16" t="s">
        <v>4902</v>
      </c>
      <c r="F1224" s="16" t="s">
        <v>4903</v>
      </c>
      <c r="G1224" s="16" t="s">
        <v>32</v>
      </c>
      <c r="H1224" s="16"/>
      <c r="I1224" s="16"/>
      <c r="J1224" s="16" t="s">
        <v>1130</v>
      </c>
      <c r="K1224" s="16"/>
      <c r="L1224" s="16"/>
      <c r="M1224" s="19" t="s">
        <v>4904</v>
      </c>
      <c r="N1224" s="16"/>
      <c r="O1224" s="16" t="s">
        <v>4902</v>
      </c>
      <c r="P1224" s="16" t="str">
        <f>HYPERLINK("https://ceds.ed.gov/cedselementdetails.aspx?termid=26599")</f>
        <v>https://ceds.ed.gov/cedselementdetails.aspx?termid=26599</v>
      </c>
      <c r="Q1224" s="16">
        <v>74259</v>
      </c>
    </row>
    <row r="1225" spans="1:17" ht="57.6" x14ac:dyDescent="0.3">
      <c r="A1225" s="16" t="s">
        <v>7665</v>
      </c>
      <c r="B1225" s="16" t="s">
        <v>7675</v>
      </c>
      <c r="C1225" s="16" t="s">
        <v>7599</v>
      </c>
      <c r="D1225" s="16" t="s">
        <v>7597</v>
      </c>
      <c r="E1225" s="16" t="s">
        <v>5285</v>
      </c>
      <c r="F1225" s="16" t="s">
        <v>5286</v>
      </c>
      <c r="G1225" s="16" t="s">
        <v>32</v>
      </c>
      <c r="H1225" s="16"/>
      <c r="I1225" s="16"/>
      <c r="J1225" s="16" t="s">
        <v>1130</v>
      </c>
      <c r="K1225" s="16"/>
      <c r="L1225" s="16"/>
      <c r="M1225" s="19" t="s">
        <v>5287</v>
      </c>
      <c r="N1225" s="16"/>
      <c r="O1225" s="16" t="s">
        <v>5285</v>
      </c>
      <c r="P1225" s="16" t="str">
        <f>HYPERLINK("https://ceds.ed.gov/cedselementdetails.aspx?termid=26600")</f>
        <v>https://ceds.ed.gov/cedselementdetails.aspx?termid=26600</v>
      </c>
      <c r="Q1225" s="16">
        <v>74282</v>
      </c>
    </row>
    <row r="1226" spans="1:17" ht="57.6" x14ac:dyDescent="0.3">
      <c r="A1226" s="16" t="s">
        <v>7665</v>
      </c>
      <c r="B1226" s="16" t="s">
        <v>7675</v>
      </c>
      <c r="C1226" s="16" t="s">
        <v>7599</v>
      </c>
      <c r="D1226" s="16" t="s">
        <v>7597</v>
      </c>
      <c r="E1226" s="16" t="s">
        <v>3175</v>
      </c>
      <c r="F1226" s="16" t="s">
        <v>3176</v>
      </c>
      <c r="G1226" s="16" t="s">
        <v>2987</v>
      </c>
      <c r="H1226" s="16"/>
      <c r="I1226" s="16"/>
      <c r="J1226" s="16"/>
      <c r="K1226" s="16"/>
      <c r="L1226" s="16"/>
      <c r="M1226" s="19" t="s">
        <v>3177</v>
      </c>
      <c r="N1226" s="16"/>
      <c r="O1226" s="16" t="s">
        <v>3178</v>
      </c>
      <c r="P1226" s="16" t="str">
        <f>HYPERLINK("https://ceds.ed.gov/cedselementdetails.aspx?termid=27905")</f>
        <v>https://ceds.ed.gov/cedselementdetails.aspx?termid=27905</v>
      </c>
      <c r="Q1226" s="16">
        <v>75351</v>
      </c>
    </row>
    <row r="1227" spans="1:17" ht="72" x14ac:dyDescent="0.3">
      <c r="A1227" s="16" t="s">
        <v>7665</v>
      </c>
      <c r="B1227" s="16" t="s">
        <v>7675</v>
      </c>
      <c r="C1227" s="16" t="s">
        <v>7600</v>
      </c>
      <c r="D1227" s="16" t="s">
        <v>7597</v>
      </c>
      <c r="E1227" s="16" t="s">
        <v>7053</v>
      </c>
      <c r="F1227" s="16" t="s">
        <v>7054</v>
      </c>
      <c r="G1227" s="16" t="s">
        <v>32</v>
      </c>
      <c r="H1227" s="16" t="s">
        <v>64</v>
      </c>
      <c r="I1227" s="16"/>
      <c r="J1227" s="16" t="s">
        <v>7055</v>
      </c>
      <c r="K1227" s="16"/>
      <c r="L1227" s="16"/>
      <c r="M1227" s="19" t="s">
        <v>7056</v>
      </c>
      <c r="N1227" s="16"/>
      <c r="O1227" s="16" t="s">
        <v>7057</v>
      </c>
      <c r="P1227" s="16" t="str">
        <f>HYPERLINK("https://ceds.ed.gov/cedselementdetails.aspx?termid=26279")</f>
        <v>https://ceds.ed.gov/cedselementdetails.aspx?termid=26279</v>
      </c>
      <c r="Q1227" s="16">
        <v>70913</v>
      </c>
    </row>
    <row r="1228" spans="1:17" ht="115.2" x14ac:dyDescent="0.3">
      <c r="A1228" s="16" t="s">
        <v>7665</v>
      </c>
      <c r="B1228" s="16" t="s">
        <v>7675</v>
      </c>
      <c r="C1228" s="16" t="s">
        <v>7600</v>
      </c>
      <c r="D1228" s="16" t="s">
        <v>7597</v>
      </c>
      <c r="E1228" s="16" t="s">
        <v>4703</v>
      </c>
      <c r="F1228" s="16" t="s">
        <v>4704</v>
      </c>
      <c r="G1228" s="16" t="s">
        <v>8662</v>
      </c>
      <c r="H1228" s="16"/>
      <c r="I1228" s="16"/>
      <c r="J1228" s="16"/>
      <c r="K1228" s="16"/>
      <c r="L1228" s="16"/>
      <c r="M1228" s="19" t="s">
        <v>4705</v>
      </c>
      <c r="N1228" s="16"/>
      <c r="O1228" s="16" t="s">
        <v>4706</v>
      </c>
      <c r="P1228" s="16" t="str">
        <f>HYPERLINK("https://ceds.ed.gov/cedselementdetails.aspx?termid=26167")</f>
        <v>https://ceds.ed.gov/cedselementdetails.aspx?termid=26167</v>
      </c>
      <c r="Q1228" s="16">
        <v>70895</v>
      </c>
    </row>
    <row r="1229" spans="1:17" ht="72" x14ac:dyDescent="0.3">
      <c r="A1229" s="16" t="s">
        <v>7665</v>
      </c>
      <c r="B1229" s="16" t="s">
        <v>7675</v>
      </c>
      <c r="C1229" s="16" t="s">
        <v>7600</v>
      </c>
      <c r="D1229" s="16" t="s">
        <v>7597</v>
      </c>
      <c r="E1229" s="16" t="s">
        <v>5865</v>
      </c>
      <c r="F1229" s="16" t="s">
        <v>5866</v>
      </c>
      <c r="G1229" s="16" t="s">
        <v>22</v>
      </c>
      <c r="H1229" s="16" t="s">
        <v>64</v>
      </c>
      <c r="I1229" s="16"/>
      <c r="J1229" s="16"/>
      <c r="K1229" s="16"/>
      <c r="L1229" s="16"/>
      <c r="M1229" s="19" t="s">
        <v>5867</v>
      </c>
      <c r="N1229" s="16"/>
      <c r="O1229" s="16" t="s">
        <v>5868</v>
      </c>
      <c r="P1229" s="16" t="str">
        <f>HYPERLINK("https://ceds.ed.gov/cedselementdetails.aspx?termid=26219")</f>
        <v>https://ceds.ed.gov/cedselementdetails.aspx?termid=26219</v>
      </c>
      <c r="Q1229" s="16">
        <v>70908</v>
      </c>
    </row>
    <row r="1230" spans="1:17" ht="57.6" x14ac:dyDescent="0.3">
      <c r="A1230" s="16" t="s">
        <v>7665</v>
      </c>
      <c r="B1230" s="16" t="s">
        <v>7675</v>
      </c>
      <c r="C1230" s="16" t="s">
        <v>7600</v>
      </c>
      <c r="D1230" s="16" t="s">
        <v>7597</v>
      </c>
      <c r="E1230" s="16" t="s">
        <v>3175</v>
      </c>
      <c r="F1230" s="16" t="s">
        <v>3176</v>
      </c>
      <c r="G1230" s="16" t="s">
        <v>2987</v>
      </c>
      <c r="H1230" s="16"/>
      <c r="I1230" s="16"/>
      <c r="J1230" s="16"/>
      <c r="K1230" s="16"/>
      <c r="L1230" s="16"/>
      <c r="M1230" s="19" t="s">
        <v>3177</v>
      </c>
      <c r="N1230" s="16"/>
      <c r="O1230" s="16" t="s">
        <v>3178</v>
      </c>
      <c r="P1230" s="16" t="str">
        <f>HYPERLINK("https://ceds.ed.gov/cedselementdetails.aspx?termid=27905")</f>
        <v>https://ceds.ed.gov/cedselementdetails.aspx?termid=27905</v>
      </c>
      <c r="Q1230" s="16">
        <v>75354</v>
      </c>
    </row>
    <row r="1231" spans="1:17" ht="57.6" x14ac:dyDescent="0.3">
      <c r="A1231" s="16" t="s">
        <v>7665</v>
      </c>
      <c r="B1231" s="16" t="s">
        <v>7675</v>
      </c>
      <c r="C1231" s="16" t="s">
        <v>7600</v>
      </c>
      <c r="D1231" s="16" t="s">
        <v>7597</v>
      </c>
      <c r="E1231" s="16" t="s">
        <v>7058</v>
      </c>
      <c r="F1231" s="16" t="s">
        <v>7059</v>
      </c>
      <c r="G1231" s="16" t="s">
        <v>8848</v>
      </c>
      <c r="H1231" s="16"/>
      <c r="I1231" s="16"/>
      <c r="J1231" s="16"/>
      <c r="K1231" s="16"/>
      <c r="L1231" s="16"/>
      <c r="M1231" s="19" t="s">
        <v>7060</v>
      </c>
      <c r="N1231" s="16"/>
      <c r="O1231" s="16" t="s">
        <v>7061</v>
      </c>
      <c r="P1231" s="16" t="str">
        <f>HYPERLINK("https://ceds.ed.gov/cedselementdetails.aspx?termid=27911")</f>
        <v>https://ceds.ed.gov/cedselementdetails.aspx?termid=27911</v>
      </c>
      <c r="Q1231" s="16">
        <v>75355</v>
      </c>
    </row>
    <row r="1232" spans="1:17" x14ac:dyDescent="0.3">
      <c r="A1232" s="16" t="s">
        <v>7665</v>
      </c>
      <c r="B1232" s="16" t="s">
        <v>7675</v>
      </c>
      <c r="C1232" s="16" t="s">
        <v>7608</v>
      </c>
      <c r="D1232" s="16" t="s">
        <v>7597</v>
      </c>
      <c r="E1232" s="16" t="s">
        <v>5283</v>
      </c>
      <c r="F1232" s="16"/>
      <c r="G1232" s="16"/>
      <c r="H1232" s="16"/>
      <c r="I1232" s="16"/>
      <c r="J1232" s="16"/>
      <c r="K1232" s="16"/>
      <c r="L1232" s="16"/>
      <c r="M1232" s="19"/>
      <c r="N1232" s="16"/>
      <c r="O1232" s="16"/>
      <c r="P1232" s="16"/>
      <c r="Q1232" s="16"/>
    </row>
    <row r="1233" spans="1:17" ht="288" x14ac:dyDescent="0.3">
      <c r="A1233" s="16" t="s">
        <v>13009</v>
      </c>
      <c r="B1233" s="16" t="s">
        <v>8244</v>
      </c>
      <c r="C1233" s="16" t="s">
        <v>214</v>
      </c>
      <c r="D1233" s="16"/>
      <c r="E1233" s="16"/>
      <c r="F1233" s="16"/>
      <c r="G1233" s="16" t="s">
        <v>8088</v>
      </c>
      <c r="H1233" s="16">
        <v>537</v>
      </c>
      <c r="I1233" s="16"/>
      <c r="J1233" s="16" t="s">
        <v>5284</v>
      </c>
      <c r="K1233" s="16" t="str">
        <f>HYPERLINK("https://ceds.ed.gov/cedselementdetails.aspx?termid=26528")</f>
        <v>https://ceds.ed.gov/cedselementdetails.aspx?termid=26528</v>
      </c>
      <c r="L1233" s="16">
        <v>70951</v>
      </c>
      <c r="M1233" s="19"/>
      <c r="N1233" s="16"/>
      <c r="O1233" s="16"/>
      <c r="P1233" s="16"/>
      <c r="Q1233" s="16"/>
    </row>
    <row r="1234" spans="1:17" ht="129.6" x14ac:dyDescent="0.3">
      <c r="A1234" s="16" t="s">
        <v>7665</v>
      </c>
      <c r="B1234" s="16" t="s">
        <v>7675</v>
      </c>
      <c r="C1234" s="16" t="s">
        <v>7608</v>
      </c>
      <c r="D1234" s="16" t="s">
        <v>7597</v>
      </c>
      <c r="E1234" s="16" t="s">
        <v>5267</v>
      </c>
      <c r="F1234" s="16" t="s">
        <v>5268</v>
      </c>
      <c r="G1234" s="16" t="s">
        <v>8243</v>
      </c>
      <c r="H1234" s="16" t="s">
        <v>214</v>
      </c>
      <c r="I1234" s="16"/>
      <c r="J1234" s="16"/>
      <c r="K1234" s="16"/>
      <c r="L1234" s="16"/>
      <c r="M1234" s="19" t="s">
        <v>5270</v>
      </c>
      <c r="N1234" s="16" t="s">
        <v>5271</v>
      </c>
      <c r="O1234" s="16" t="s">
        <v>5272</v>
      </c>
      <c r="P1234" s="16" t="str">
        <f>HYPERLINK("https://ceds.ed.gov/cedselementdetails.aspx?termid=26174")</f>
        <v>https://ceds.ed.gov/cedselementdetails.aspx?termid=26174</v>
      </c>
      <c r="Q1234" s="16">
        <v>70898</v>
      </c>
    </row>
    <row r="1235" spans="1:17" ht="28.8" x14ac:dyDescent="0.3">
      <c r="A1235" s="16" t="s">
        <v>7665</v>
      </c>
      <c r="B1235" s="16" t="s">
        <v>7675</v>
      </c>
      <c r="C1235" s="16" t="s">
        <v>7608</v>
      </c>
      <c r="D1235" s="16" t="s">
        <v>7597</v>
      </c>
      <c r="E1235" s="16" t="s">
        <v>5570</v>
      </c>
      <c r="F1235" s="16" t="s">
        <v>5571</v>
      </c>
      <c r="G1235" s="16" t="s">
        <v>32</v>
      </c>
      <c r="H1235" s="16" t="s">
        <v>214</v>
      </c>
      <c r="I1235" s="16"/>
      <c r="J1235" s="16" t="s">
        <v>106</v>
      </c>
      <c r="K1235" s="16"/>
      <c r="L1235" s="16"/>
      <c r="M1235" s="19" t="s">
        <v>5572</v>
      </c>
      <c r="N1235" s="16"/>
      <c r="O1235" s="16" t="s">
        <v>5573</v>
      </c>
      <c r="P1235" s="16" t="str">
        <f>HYPERLINK("https://ceds.ed.gov/cedselementdetails.aspx?termid=26525")</f>
        <v>https://ceds.ed.gov/cedselementdetails.aspx?termid=26525</v>
      </c>
      <c r="Q1235" s="16">
        <v>70950</v>
      </c>
    </row>
    <row r="1236" spans="1:17" ht="28.8" x14ac:dyDescent="0.3">
      <c r="A1236" s="16" t="s">
        <v>7665</v>
      </c>
      <c r="B1236" s="16" t="s">
        <v>7675</v>
      </c>
      <c r="C1236" s="16" t="s">
        <v>7608</v>
      </c>
      <c r="D1236" s="16" t="s">
        <v>7597</v>
      </c>
      <c r="E1236" s="16" t="s">
        <v>5273</v>
      </c>
      <c r="F1236" s="16" t="s">
        <v>8087</v>
      </c>
      <c r="G1236" s="16" t="s">
        <v>32</v>
      </c>
      <c r="H1236" s="16" t="s">
        <v>214</v>
      </c>
      <c r="I1236" s="16"/>
      <c r="J1236" s="16" t="s">
        <v>5274</v>
      </c>
      <c r="K1236" s="16"/>
      <c r="L1236" s="16"/>
      <c r="M1236" s="19" t="s">
        <v>5275</v>
      </c>
      <c r="N1236" s="16" t="s">
        <v>5276</v>
      </c>
      <c r="O1236" s="16" t="s">
        <v>5277</v>
      </c>
      <c r="P1236" s="16" t="str">
        <f>HYPERLINK("https://ceds.ed.gov/cedselementdetails.aspx?termid=26175")</f>
        <v>https://ceds.ed.gov/cedselementdetails.aspx?termid=26175</v>
      </c>
      <c r="Q1236" s="16">
        <v>70899</v>
      </c>
    </row>
    <row r="1237" spans="1:17" ht="115.2" x14ac:dyDescent="0.3">
      <c r="A1237" s="16" t="s">
        <v>7665</v>
      </c>
      <c r="B1237" s="16" t="s">
        <v>7675</v>
      </c>
      <c r="C1237" s="16" t="s">
        <v>7608</v>
      </c>
      <c r="D1237" s="16" t="s">
        <v>7597</v>
      </c>
      <c r="E1237" s="16" t="s">
        <v>1949</v>
      </c>
      <c r="F1237" s="16" t="s">
        <v>1950</v>
      </c>
      <c r="G1237" s="16" t="s">
        <v>22</v>
      </c>
      <c r="H1237" s="16" t="s">
        <v>64</v>
      </c>
      <c r="I1237" s="16"/>
      <c r="J1237" s="16"/>
      <c r="K1237" s="16"/>
      <c r="L1237" s="16" t="s">
        <v>1952</v>
      </c>
      <c r="M1237" s="19" t="s">
        <v>1953</v>
      </c>
      <c r="N1237" s="16"/>
      <c r="O1237" s="16" t="s">
        <v>1954</v>
      </c>
      <c r="P1237" s="16" t="str">
        <f>HYPERLINK("https://ceds.ed.gov/cedselementdetails.aspx?termid=26039")</f>
        <v>https://ceds.ed.gov/cedselementdetails.aspx?termid=26039</v>
      </c>
      <c r="Q1237" s="16">
        <v>70885</v>
      </c>
    </row>
    <row r="1238" spans="1:17" ht="28.8" x14ac:dyDescent="0.3">
      <c r="A1238" s="16" t="s">
        <v>7665</v>
      </c>
      <c r="B1238" s="16" t="s">
        <v>7675</v>
      </c>
      <c r="C1238" s="16" t="s">
        <v>7608</v>
      </c>
      <c r="D1238" s="16" t="s">
        <v>7597</v>
      </c>
      <c r="E1238" s="16" t="s">
        <v>7262</v>
      </c>
      <c r="F1238" s="16" t="s">
        <v>7263</v>
      </c>
      <c r="G1238" s="16" t="s">
        <v>32</v>
      </c>
      <c r="H1238" s="16" t="s">
        <v>214</v>
      </c>
      <c r="I1238" s="16"/>
      <c r="J1238" s="16" t="s">
        <v>101</v>
      </c>
      <c r="K1238" s="16"/>
      <c r="L1238" s="16"/>
      <c r="M1238" s="19" t="s">
        <v>7264</v>
      </c>
      <c r="N1238" s="16"/>
      <c r="O1238" s="16" t="s">
        <v>7265</v>
      </c>
      <c r="P1238" s="16" t="str">
        <f>HYPERLINK("https://ceds.ed.gov/cedselementdetails.aspx?termid=26300")</f>
        <v>https://ceds.ed.gov/cedselementdetails.aspx?termid=26300</v>
      </c>
      <c r="Q1238" s="16">
        <v>70917</v>
      </c>
    </row>
    <row r="1239" spans="1:17" ht="172.8" x14ac:dyDescent="0.3">
      <c r="A1239" s="16" t="s">
        <v>7665</v>
      </c>
      <c r="B1239" s="16" t="s">
        <v>7675</v>
      </c>
      <c r="C1239" s="16" t="s">
        <v>7608</v>
      </c>
      <c r="D1239" s="16" t="s">
        <v>7597</v>
      </c>
      <c r="E1239" s="16" t="s">
        <v>3573</v>
      </c>
      <c r="F1239" s="16" t="s">
        <v>3574</v>
      </c>
      <c r="G1239" s="16" t="s">
        <v>32</v>
      </c>
      <c r="H1239" s="16"/>
      <c r="I1239" s="16"/>
      <c r="J1239" s="16" t="s">
        <v>120</v>
      </c>
      <c r="K1239" s="16"/>
      <c r="L1239" s="16" t="s">
        <v>7817</v>
      </c>
      <c r="M1239" s="19" t="s">
        <v>3575</v>
      </c>
      <c r="N1239" s="16"/>
      <c r="O1239" s="16" t="s">
        <v>3576</v>
      </c>
      <c r="P1239" s="16" t="str">
        <f>HYPERLINK("https://ceds.ed.gov/cedselementdetails.aspx?termid=26495")</f>
        <v>https://ceds.ed.gov/cedselementdetails.aspx?termid=26495</v>
      </c>
      <c r="Q1239" s="16">
        <v>70949</v>
      </c>
    </row>
    <row r="1240" spans="1:17" ht="331.2" x14ac:dyDescent="0.3">
      <c r="A1240" s="16" t="s">
        <v>7665</v>
      </c>
      <c r="B1240" s="16" t="s">
        <v>7675</v>
      </c>
      <c r="C1240" s="16" t="s">
        <v>7608</v>
      </c>
      <c r="D1240" s="16" t="s">
        <v>7597</v>
      </c>
      <c r="E1240" s="16" t="s">
        <v>4138</v>
      </c>
      <c r="F1240" s="16" t="s">
        <v>4139</v>
      </c>
      <c r="G1240" s="16" t="s">
        <v>8235</v>
      </c>
      <c r="H1240" s="16"/>
      <c r="I1240" s="16"/>
      <c r="J1240" s="16"/>
      <c r="K1240" s="16"/>
      <c r="L1240" s="16"/>
      <c r="M1240" s="19" t="s">
        <v>4140</v>
      </c>
      <c r="N1240" s="16"/>
      <c r="O1240" s="16" t="s">
        <v>4141</v>
      </c>
      <c r="P1240" s="16" t="str">
        <f>HYPERLINK("https://ceds.ed.gov/cedselementdetails.aspx?termid=27907")</f>
        <v>https://ceds.ed.gov/cedselementdetails.aspx?termid=27907</v>
      </c>
      <c r="Q1240" s="16">
        <v>75352</v>
      </c>
    </row>
    <row r="1241" spans="1:17" ht="331.2" x14ac:dyDescent="0.3">
      <c r="A1241" s="16" t="s">
        <v>7665</v>
      </c>
      <c r="B1241" s="16" t="s">
        <v>7675</v>
      </c>
      <c r="C1241" s="16" t="s">
        <v>7608</v>
      </c>
      <c r="D1241" s="16" t="s">
        <v>7597</v>
      </c>
      <c r="E1241" s="16" t="s">
        <v>4177</v>
      </c>
      <c r="F1241" s="16" t="s">
        <v>4178</v>
      </c>
      <c r="G1241" s="16" t="s">
        <v>8235</v>
      </c>
      <c r="H1241" s="16" t="s">
        <v>64</v>
      </c>
      <c r="I1241" s="16"/>
      <c r="J1241" s="16"/>
      <c r="K1241" s="16"/>
      <c r="L1241" s="16"/>
      <c r="M1241" s="19" t="s">
        <v>4179</v>
      </c>
      <c r="N1241" s="16"/>
      <c r="O1241" s="16" t="s">
        <v>4180</v>
      </c>
      <c r="P1241" s="16" t="str">
        <f>HYPERLINK("https://ceds.ed.gov/cedselementdetails.aspx?termid=26131")</f>
        <v>https://ceds.ed.gov/cedselementdetails.aspx?termid=26131</v>
      </c>
      <c r="Q1241" s="16">
        <v>75353</v>
      </c>
    </row>
    <row r="1242" spans="1:17" ht="43.2" x14ac:dyDescent="0.3">
      <c r="A1242" s="16" t="s">
        <v>7665</v>
      </c>
      <c r="B1242" s="16" t="s">
        <v>7675</v>
      </c>
      <c r="C1242" s="16" t="s">
        <v>7608</v>
      </c>
      <c r="D1242" s="16" t="s">
        <v>7597</v>
      </c>
      <c r="E1242" s="16" t="s">
        <v>7966</v>
      </c>
      <c r="F1242" s="16" t="s">
        <v>7967</v>
      </c>
      <c r="G1242" s="16" t="s">
        <v>32</v>
      </c>
      <c r="H1242" s="16"/>
      <c r="I1242" s="16"/>
      <c r="J1242" s="16" t="s">
        <v>1662</v>
      </c>
      <c r="K1242" s="16"/>
      <c r="L1242" s="16" t="s">
        <v>7968</v>
      </c>
      <c r="M1242" s="19" t="s">
        <v>8181</v>
      </c>
      <c r="N1242" s="16"/>
      <c r="O1242" s="16" t="s">
        <v>7969</v>
      </c>
      <c r="P1242" s="16" t="str">
        <f>HYPERLINK("https://ceds.ed.gov/cedselementdetails.aspx?termid=27979")</f>
        <v>https://ceds.ed.gov/cedselementdetails.aspx?termid=27979</v>
      </c>
      <c r="Q1242" s="16">
        <v>75916</v>
      </c>
    </row>
    <row r="1243" spans="1:17" ht="43.2" x14ac:dyDescent="0.3">
      <c r="A1243" s="16" t="s">
        <v>7665</v>
      </c>
      <c r="B1243" s="16" t="s">
        <v>7675</v>
      </c>
      <c r="C1243" s="16" t="s">
        <v>7671</v>
      </c>
      <c r="D1243" s="16" t="s">
        <v>7597</v>
      </c>
      <c r="E1243" s="16" t="s">
        <v>6562</v>
      </c>
      <c r="F1243" s="16" t="s">
        <v>6563</v>
      </c>
      <c r="G1243" s="16" t="s">
        <v>32</v>
      </c>
      <c r="H1243" s="16" t="s">
        <v>2450</v>
      </c>
      <c r="I1243" s="16"/>
      <c r="J1243" s="16" t="s">
        <v>1807</v>
      </c>
      <c r="K1243" s="16"/>
      <c r="L1243" s="16" t="s">
        <v>8141</v>
      </c>
      <c r="M1243" s="19" t="s">
        <v>6565</v>
      </c>
      <c r="N1243" s="16"/>
      <c r="O1243" s="16" t="s">
        <v>6566</v>
      </c>
      <c r="P1243" s="16" t="str">
        <f>HYPERLINK("https://ceds.ed.gov/cedselementdetails.aspx?termid=26243")</f>
        <v>https://ceds.ed.gov/cedselementdetails.aspx?termid=26243</v>
      </c>
      <c r="Q1243" s="16">
        <v>74171</v>
      </c>
    </row>
    <row r="1244" spans="1:17" ht="72" x14ac:dyDescent="0.3">
      <c r="A1244" s="16" t="s">
        <v>7665</v>
      </c>
      <c r="B1244" s="16" t="s">
        <v>7675</v>
      </c>
      <c r="C1244" s="16" t="s">
        <v>7671</v>
      </c>
      <c r="D1244" s="16" t="s">
        <v>7597</v>
      </c>
      <c r="E1244" s="16" t="s">
        <v>208</v>
      </c>
      <c r="F1244" s="16" t="s">
        <v>209</v>
      </c>
      <c r="G1244" s="16" t="s">
        <v>8297</v>
      </c>
      <c r="H1244" s="16" t="s">
        <v>214</v>
      </c>
      <c r="I1244" s="16"/>
      <c r="J1244" s="16"/>
      <c r="K1244" s="16"/>
      <c r="L1244" s="16"/>
      <c r="M1244" s="19" t="s">
        <v>211</v>
      </c>
      <c r="N1244" s="16" t="s">
        <v>212</v>
      </c>
      <c r="O1244" s="16" t="s">
        <v>213</v>
      </c>
      <c r="P1244" s="16" t="str">
        <f>HYPERLINK("https://ceds.ed.gov/cedselementdetails.aspx?termid=26011")</f>
        <v>https://ceds.ed.gov/cedselementdetails.aspx?termid=26011</v>
      </c>
      <c r="Q1244" s="16">
        <v>70883</v>
      </c>
    </row>
    <row r="1245" spans="1:17" ht="28.8" x14ac:dyDescent="0.3">
      <c r="A1245" s="16" t="s">
        <v>7665</v>
      </c>
      <c r="B1245" s="16" t="s">
        <v>7675</v>
      </c>
      <c r="C1245" s="16" t="s">
        <v>7671</v>
      </c>
      <c r="D1245" s="16" t="s">
        <v>7597</v>
      </c>
      <c r="E1245" s="16" t="s">
        <v>203</v>
      </c>
      <c r="F1245" s="16" t="s">
        <v>204</v>
      </c>
      <c r="G1245" s="16" t="s">
        <v>32</v>
      </c>
      <c r="H1245" s="16" t="s">
        <v>202</v>
      </c>
      <c r="I1245" s="16"/>
      <c r="J1245" s="16" t="s">
        <v>106</v>
      </c>
      <c r="K1245" s="16"/>
      <c r="L1245" s="16"/>
      <c r="M1245" s="19" t="s">
        <v>205</v>
      </c>
      <c r="N1245" s="16" t="s">
        <v>206</v>
      </c>
      <c r="O1245" s="16" t="s">
        <v>207</v>
      </c>
      <c r="P1245" s="16" t="str">
        <f>HYPERLINK("https://ceds.ed.gov/cedselementdetails.aspx?termid=26434")</f>
        <v>https://ceds.ed.gov/cedselementdetails.aspx?termid=26434</v>
      </c>
      <c r="Q1245" s="16">
        <v>70920</v>
      </c>
    </row>
    <row r="1246" spans="1:17" ht="43.2" x14ac:dyDescent="0.3">
      <c r="A1246" s="16" t="s">
        <v>7665</v>
      </c>
      <c r="B1246" s="16" t="s">
        <v>7675</v>
      </c>
      <c r="C1246" s="16" t="s">
        <v>7671</v>
      </c>
      <c r="D1246" s="16" t="s">
        <v>7597</v>
      </c>
      <c r="E1246" s="16" t="s">
        <v>196</v>
      </c>
      <c r="F1246" s="16" t="s">
        <v>197</v>
      </c>
      <c r="G1246" s="16" t="s">
        <v>22</v>
      </c>
      <c r="H1246" s="16" t="s">
        <v>202</v>
      </c>
      <c r="I1246" s="16"/>
      <c r="J1246" s="16"/>
      <c r="K1246" s="16"/>
      <c r="L1246" s="16"/>
      <c r="M1246" s="19" t="s">
        <v>199</v>
      </c>
      <c r="N1246" s="16" t="s">
        <v>200</v>
      </c>
      <c r="O1246" s="16" t="s">
        <v>201</v>
      </c>
      <c r="P1246" s="16" t="str">
        <f>HYPERLINK("https://ceds.ed.gov/cedselementdetails.aspx?termid=26433")</f>
        <v>https://ceds.ed.gov/cedselementdetails.aspx?termid=26433</v>
      </c>
      <c r="Q1246" s="16">
        <v>70919</v>
      </c>
    </row>
    <row r="1247" spans="1:17" ht="43.2" x14ac:dyDescent="0.3">
      <c r="A1247" s="16" t="s">
        <v>7665</v>
      </c>
      <c r="B1247" s="16" t="s">
        <v>7675</v>
      </c>
      <c r="C1247" s="16" t="s">
        <v>7671</v>
      </c>
      <c r="D1247" s="16" t="s">
        <v>7597</v>
      </c>
      <c r="E1247" s="16" t="s">
        <v>364</v>
      </c>
      <c r="F1247" s="16" t="s">
        <v>365</v>
      </c>
      <c r="G1247" s="16" t="s">
        <v>22</v>
      </c>
      <c r="H1247" s="16" t="s">
        <v>202</v>
      </c>
      <c r="I1247" s="16"/>
      <c r="J1247" s="16"/>
      <c r="K1247" s="16"/>
      <c r="L1247" s="16"/>
      <c r="M1247" s="19" t="s">
        <v>366</v>
      </c>
      <c r="N1247" s="16" t="s">
        <v>367</v>
      </c>
      <c r="O1247" s="16" t="s">
        <v>368</v>
      </c>
      <c r="P1247" s="16" t="str">
        <f>HYPERLINK("https://ceds.ed.gov/cedselementdetails.aspx?termid=26432")</f>
        <v>https://ceds.ed.gov/cedselementdetails.aspx?termid=26432</v>
      </c>
      <c r="Q1247" s="16">
        <v>70918</v>
      </c>
    </row>
    <row r="1248" spans="1:17" ht="57.6" x14ac:dyDescent="0.3">
      <c r="A1248" s="16" t="s">
        <v>7665</v>
      </c>
      <c r="B1248" s="16" t="s">
        <v>7675</v>
      </c>
      <c r="C1248" s="16" t="s">
        <v>7671</v>
      </c>
      <c r="D1248" s="16" t="s">
        <v>7597</v>
      </c>
      <c r="E1248" s="16" t="s">
        <v>328</v>
      </c>
      <c r="F1248" s="16" t="s">
        <v>329</v>
      </c>
      <c r="G1248" s="16" t="s">
        <v>22</v>
      </c>
      <c r="H1248" s="16" t="s">
        <v>214</v>
      </c>
      <c r="I1248" s="16"/>
      <c r="J1248" s="16"/>
      <c r="K1248" s="16"/>
      <c r="L1248" s="16"/>
      <c r="M1248" s="19" t="s">
        <v>330</v>
      </c>
      <c r="N1248" s="16" t="s">
        <v>331</v>
      </c>
      <c r="O1248" s="16" t="s">
        <v>332</v>
      </c>
      <c r="P1248" s="16" t="str">
        <f>HYPERLINK("https://ceds.ed.gov/cedselementdetails.aspx?termid=26014")</f>
        <v>https://ceds.ed.gov/cedselementdetails.aspx?termid=26014</v>
      </c>
      <c r="Q1248" s="16">
        <v>70884</v>
      </c>
    </row>
    <row r="1249" spans="1:17" ht="115.2" x14ac:dyDescent="0.3">
      <c r="A1249" s="16" t="s">
        <v>7665</v>
      </c>
      <c r="B1249" s="16" t="s">
        <v>7675</v>
      </c>
      <c r="C1249" s="16" t="s">
        <v>7671</v>
      </c>
      <c r="D1249" s="16" t="s">
        <v>7597</v>
      </c>
      <c r="E1249" s="16" t="s">
        <v>6044</v>
      </c>
      <c r="F1249" s="16" t="s">
        <v>6045</v>
      </c>
      <c r="G1249" s="16" t="s">
        <v>8796</v>
      </c>
      <c r="H1249" s="16" t="s">
        <v>214</v>
      </c>
      <c r="I1249" s="16"/>
      <c r="J1249" s="16"/>
      <c r="K1249" s="16"/>
      <c r="L1249" s="16"/>
      <c r="M1249" s="19" t="s">
        <v>6046</v>
      </c>
      <c r="N1249" s="16"/>
      <c r="O1249" s="16" t="s">
        <v>6047</v>
      </c>
      <c r="P1249" s="16" t="str">
        <f>HYPERLINK("https://ceds.ed.gov/cedselementdetails.aspx?termid=26221")</f>
        <v>https://ceds.ed.gov/cedselementdetails.aspx?termid=26221</v>
      </c>
      <c r="Q1249" s="16">
        <v>70909</v>
      </c>
    </row>
    <row r="1250" spans="1:17" ht="115.2" x14ac:dyDescent="0.3">
      <c r="A1250" s="16" t="s">
        <v>7665</v>
      </c>
      <c r="B1250" s="16" t="s">
        <v>7675</v>
      </c>
      <c r="C1250" s="16" t="s">
        <v>7671</v>
      </c>
      <c r="D1250" s="16" t="s">
        <v>7597</v>
      </c>
      <c r="E1250" s="16" t="s">
        <v>6048</v>
      </c>
      <c r="F1250" s="16" t="s">
        <v>6049</v>
      </c>
      <c r="G1250" s="16" t="s">
        <v>8796</v>
      </c>
      <c r="H1250" s="16" t="s">
        <v>214</v>
      </c>
      <c r="I1250" s="16"/>
      <c r="J1250" s="16"/>
      <c r="K1250" s="16"/>
      <c r="L1250" s="16"/>
      <c r="M1250" s="19" t="s">
        <v>6050</v>
      </c>
      <c r="N1250" s="16"/>
      <c r="O1250" s="16" t="s">
        <v>6051</v>
      </c>
      <c r="P1250" s="16" t="str">
        <f>HYPERLINK("https://ceds.ed.gov/cedselementdetails.aspx?termid=26544")</f>
        <v>https://ceds.ed.gov/cedselementdetails.aspx?termid=26544</v>
      </c>
      <c r="Q1250" s="16">
        <v>70954</v>
      </c>
    </row>
    <row r="1251" spans="1:17" ht="86.4" x14ac:dyDescent="0.3">
      <c r="A1251" s="16" t="s">
        <v>7665</v>
      </c>
      <c r="B1251" s="16" t="s">
        <v>7675</v>
      </c>
      <c r="C1251" s="16" t="s">
        <v>7671</v>
      </c>
      <c r="D1251" s="16" t="s">
        <v>7597</v>
      </c>
      <c r="E1251" s="16" t="s">
        <v>5688</v>
      </c>
      <c r="F1251" s="16" t="s">
        <v>5689</v>
      </c>
      <c r="G1251" s="16" t="s">
        <v>8752</v>
      </c>
      <c r="H1251" s="16" t="s">
        <v>214</v>
      </c>
      <c r="I1251" s="16"/>
      <c r="J1251" s="16"/>
      <c r="K1251" s="16"/>
      <c r="L1251" s="16"/>
      <c r="M1251" s="19" t="s">
        <v>5690</v>
      </c>
      <c r="N1251" s="16"/>
      <c r="O1251" s="16" t="s">
        <v>5691</v>
      </c>
      <c r="P1251" s="16" t="str">
        <f>HYPERLINK("https://ceds.ed.gov/cedselementdetails.aspx?termid=26208")</f>
        <v>https://ceds.ed.gov/cedselementdetails.aspx?termid=26208</v>
      </c>
      <c r="Q1251" s="16">
        <v>70903</v>
      </c>
    </row>
    <row r="1252" spans="1:17" ht="86.4" x14ac:dyDescent="0.3">
      <c r="A1252" s="16" t="s">
        <v>7665</v>
      </c>
      <c r="B1252" s="16" t="s">
        <v>7675</v>
      </c>
      <c r="C1252" s="16" t="s">
        <v>7671</v>
      </c>
      <c r="D1252" s="16" t="s">
        <v>7597</v>
      </c>
      <c r="E1252" s="16" t="s">
        <v>5692</v>
      </c>
      <c r="F1252" s="16" t="s">
        <v>5693</v>
      </c>
      <c r="G1252" s="16" t="s">
        <v>8752</v>
      </c>
      <c r="H1252" s="16" t="s">
        <v>214</v>
      </c>
      <c r="I1252" s="16"/>
      <c r="J1252" s="16"/>
      <c r="K1252" s="16"/>
      <c r="L1252" s="16"/>
      <c r="M1252" s="19" t="s">
        <v>5694</v>
      </c>
      <c r="N1252" s="16"/>
      <c r="O1252" s="16" t="s">
        <v>5695</v>
      </c>
      <c r="P1252" s="16" t="str">
        <f>HYPERLINK("https://ceds.ed.gov/cedselementdetails.aspx?termid=26209")</f>
        <v>https://ceds.ed.gov/cedselementdetails.aspx?termid=26209</v>
      </c>
      <c r="Q1252" s="16">
        <v>70904</v>
      </c>
    </row>
    <row r="1253" spans="1:17" x14ac:dyDescent="0.3">
      <c r="A1253" s="16" t="s">
        <v>7665</v>
      </c>
      <c r="B1253" s="16" t="s">
        <v>7675</v>
      </c>
      <c r="C1253" s="16" t="s">
        <v>7671</v>
      </c>
      <c r="D1253" s="16" t="s">
        <v>7597</v>
      </c>
      <c r="E1253" s="16" t="s">
        <v>88</v>
      </c>
      <c r="F1253" s="16" t="s">
        <v>89</v>
      </c>
      <c r="G1253" s="16" t="s">
        <v>32</v>
      </c>
      <c r="H1253" s="16"/>
      <c r="I1253" s="16"/>
      <c r="J1253" s="16" t="s">
        <v>55</v>
      </c>
      <c r="K1253" s="16"/>
      <c r="L1253" s="16"/>
      <c r="M1253" s="19" t="s">
        <v>91</v>
      </c>
      <c r="N1253" s="16"/>
      <c r="O1253" s="16" t="s">
        <v>92</v>
      </c>
      <c r="P1253" s="16" t="str">
        <f>HYPERLINK("https://ceds.ed.gov/cedselementdetails.aspx?termid=26005")</f>
        <v>https://ceds.ed.gov/cedselementdetails.aspx?termid=26005</v>
      </c>
      <c r="Q1253" s="16">
        <v>70882</v>
      </c>
    </row>
    <row r="1254" spans="1:17" ht="86.4" x14ac:dyDescent="0.3">
      <c r="A1254" s="16" t="s">
        <v>7665</v>
      </c>
      <c r="B1254" s="16" t="s">
        <v>7675</v>
      </c>
      <c r="C1254" s="16" t="s">
        <v>7671</v>
      </c>
      <c r="D1254" s="16" t="s">
        <v>7597</v>
      </c>
      <c r="E1254" s="16" t="s">
        <v>3417</v>
      </c>
      <c r="F1254" s="16" t="s">
        <v>7964</v>
      </c>
      <c r="G1254" s="16" t="s">
        <v>8547</v>
      </c>
      <c r="H1254" s="16" t="s">
        <v>214</v>
      </c>
      <c r="I1254" s="16"/>
      <c r="J1254" s="16"/>
      <c r="K1254" s="16"/>
      <c r="L1254" s="16"/>
      <c r="M1254" s="19" t="s">
        <v>3418</v>
      </c>
      <c r="N1254" s="16"/>
      <c r="O1254" s="16" t="s">
        <v>3419</v>
      </c>
      <c r="P1254" s="16" t="str">
        <f>HYPERLINK("https://ceds.ed.gov/cedselementdetails.aspx?termid=26091")</f>
        <v>https://ceds.ed.gov/cedselementdetails.aspx?termid=26091</v>
      </c>
      <c r="Q1254" s="16">
        <v>70889</v>
      </c>
    </row>
    <row r="1255" spans="1:17" ht="86.4" x14ac:dyDescent="0.3">
      <c r="A1255" s="16" t="s">
        <v>7665</v>
      </c>
      <c r="B1255" s="16" t="s">
        <v>7675</v>
      </c>
      <c r="C1255" s="16" t="s">
        <v>7671</v>
      </c>
      <c r="D1255" s="16" t="s">
        <v>7597</v>
      </c>
      <c r="E1255" s="16" t="s">
        <v>4201</v>
      </c>
      <c r="F1255" s="16" t="s">
        <v>4202</v>
      </c>
      <c r="G1255" s="16" t="s">
        <v>8617</v>
      </c>
      <c r="H1255" s="16" t="s">
        <v>214</v>
      </c>
      <c r="I1255" s="16"/>
      <c r="J1255" s="16"/>
      <c r="K1255" s="16"/>
      <c r="L1255" s="16"/>
      <c r="M1255" s="19" t="s">
        <v>4203</v>
      </c>
      <c r="N1255" s="16"/>
      <c r="O1255" s="16" t="s">
        <v>4204</v>
      </c>
      <c r="P1255" s="16" t="str">
        <f>HYPERLINK("https://ceds.ed.gov/cedselementdetails.aspx?termid=26134")</f>
        <v>https://ceds.ed.gov/cedselementdetails.aspx?termid=26134</v>
      </c>
      <c r="Q1255" s="16">
        <v>70890</v>
      </c>
    </row>
    <row r="1256" spans="1:17" ht="100.8" x14ac:dyDescent="0.3">
      <c r="A1256" s="16" t="s">
        <v>7665</v>
      </c>
      <c r="B1256" s="16" t="s">
        <v>7675</v>
      </c>
      <c r="C1256" s="16" t="s">
        <v>7671</v>
      </c>
      <c r="D1256" s="16" t="s">
        <v>7597</v>
      </c>
      <c r="E1256" s="16" t="s">
        <v>4250</v>
      </c>
      <c r="F1256" s="16" t="s">
        <v>4251</v>
      </c>
      <c r="G1256" s="16" t="s">
        <v>8620</v>
      </c>
      <c r="H1256" s="16" t="s">
        <v>214</v>
      </c>
      <c r="I1256" s="16"/>
      <c r="J1256" s="16"/>
      <c r="K1256" s="16"/>
      <c r="L1256" s="16"/>
      <c r="M1256" s="19" t="s">
        <v>4252</v>
      </c>
      <c r="N1256" s="16"/>
      <c r="O1256" s="16" t="s">
        <v>4253</v>
      </c>
      <c r="P1256" s="16" t="str">
        <f>HYPERLINK("https://ceds.ed.gov/cedselementdetails.aspx?termid=26140")</f>
        <v>https://ceds.ed.gov/cedselementdetails.aspx?termid=26140</v>
      </c>
      <c r="Q1256" s="16">
        <v>70892</v>
      </c>
    </row>
    <row r="1257" spans="1:17" ht="72" x14ac:dyDescent="0.3">
      <c r="A1257" s="16" t="s">
        <v>7665</v>
      </c>
      <c r="B1257" s="16" t="s">
        <v>7675</v>
      </c>
      <c r="C1257" s="16" t="s">
        <v>7671</v>
      </c>
      <c r="D1257" s="16" t="s">
        <v>7597</v>
      </c>
      <c r="E1257" s="16" t="s">
        <v>5262</v>
      </c>
      <c r="F1257" s="16" t="s">
        <v>5263</v>
      </c>
      <c r="G1257" s="16" t="s">
        <v>8713</v>
      </c>
      <c r="H1257" s="16" t="s">
        <v>214</v>
      </c>
      <c r="I1257" s="16"/>
      <c r="J1257" s="16"/>
      <c r="K1257" s="16"/>
      <c r="L1257" s="16"/>
      <c r="M1257" s="19" t="s">
        <v>5264</v>
      </c>
      <c r="N1257" s="16" t="s">
        <v>5265</v>
      </c>
      <c r="O1257" s="16" t="s">
        <v>5266</v>
      </c>
      <c r="P1257" s="16" t="str">
        <f>HYPERLINK("https://ceds.ed.gov/cedselementdetails.aspx?termid=26173")</f>
        <v>https://ceds.ed.gov/cedselementdetails.aspx?termid=26173</v>
      </c>
      <c r="Q1257" s="16">
        <v>70897</v>
      </c>
    </row>
    <row r="1258" spans="1:17" ht="100.8" x14ac:dyDescent="0.3">
      <c r="A1258" s="16" t="s">
        <v>7665</v>
      </c>
      <c r="B1258" s="16" t="s">
        <v>7675</v>
      </c>
      <c r="C1258" s="16" t="s">
        <v>7671</v>
      </c>
      <c r="D1258" s="16" t="s">
        <v>7597</v>
      </c>
      <c r="E1258" s="16" t="s">
        <v>6175</v>
      </c>
      <c r="F1258" s="16" t="s">
        <v>6176</v>
      </c>
      <c r="G1258" s="16" t="s">
        <v>8807</v>
      </c>
      <c r="H1258" s="16" t="s">
        <v>214</v>
      </c>
      <c r="I1258" s="16"/>
      <c r="J1258" s="16"/>
      <c r="K1258" s="16"/>
      <c r="L1258" s="16"/>
      <c r="M1258" s="19" t="s">
        <v>6177</v>
      </c>
      <c r="N1258" s="16"/>
      <c r="O1258" s="16" t="s">
        <v>6178</v>
      </c>
      <c r="P1258" s="16" t="str">
        <f>HYPERLINK("https://ceds.ed.gov/cedselementdetails.aspx?termid=26227")</f>
        <v>https://ceds.ed.gov/cedselementdetails.aspx?termid=26227</v>
      </c>
      <c r="Q1258" s="16">
        <v>70910</v>
      </c>
    </row>
    <row r="1259" spans="1:17" ht="100.8" x14ac:dyDescent="0.3">
      <c r="A1259" s="16" t="s">
        <v>7665</v>
      </c>
      <c r="B1259" s="16" t="s">
        <v>7675</v>
      </c>
      <c r="C1259" s="16" t="s">
        <v>7671</v>
      </c>
      <c r="D1259" s="16" t="s">
        <v>7597</v>
      </c>
      <c r="E1259" s="16" t="s">
        <v>7150</v>
      </c>
      <c r="F1259" s="16" t="s">
        <v>7151</v>
      </c>
      <c r="G1259" s="16" t="s">
        <v>8856</v>
      </c>
      <c r="H1259" s="16" t="s">
        <v>202</v>
      </c>
      <c r="I1259" s="16"/>
      <c r="J1259" s="16"/>
      <c r="K1259" s="16"/>
      <c r="L1259" s="16"/>
      <c r="M1259" s="19" t="s">
        <v>7152</v>
      </c>
      <c r="N1259" s="16"/>
      <c r="O1259" s="16" t="s">
        <v>7153</v>
      </c>
      <c r="P1259" s="16" t="str">
        <f>HYPERLINK("https://ceds.ed.gov/cedselementdetails.aspx?termid=26478")</f>
        <v>https://ceds.ed.gov/cedselementdetails.aspx?termid=26478</v>
      </c>
      <c r="Q1259" s="16">
        <v>70946</v>
      </c>
    </row>
    <row r="1260" spans="1:17" ht="72" x14ac:dyDescent="0.3">
      <c r="A1260" s="16" t="s">
        <v>7665</v>
      </c>
      <c r="B1260" s="16" t="s">
        <v>7675</v>
      </c>
      <c r="C1260" s="16" t="s">
        <v>7617</v>
      </c>
      <c r="D1260" s="16" t="s">
        <v>7597</v>
      </c>
      <c r="E1260" s="16" t="s">
        <v>8966</v>
      </c>
      <c r="F1260" s="16" t="s">
        <v>8967</v>
      </c>
      <c r="G1260" s="16" t="s">
        <v>9425</v>
      </c>
      <c r="H1260" s="16"/>
      <c r="I1260" s="16"/>
      <c r="J1260" s="16" t="s">
        <v>2</v>
      </c>
      <c r="K1260" s="16"/>
      <c r="L1260" s="16"/>
      <c r="M1260" s="19" t="s">
        <v>8968</v>
      </c>
      <c r="N1260" s="16"/>
      <c r="O1260" s="16" t="s">
        <v>8969</v>
      </c>
      <c r="P1260" s="16" t="str">
        <f>HYPERLINK("https://ceds.ed.gov/cedselementdetails.aspx?termid=28018")</f>
        <v>https://ceds.ed.gov/cedselementdetails.aspx?termid=28018</v>
      </c>
      <c r="Q1260" s="16">
        <v>76250</v>
      </c>
    </row>
    <row r="1261" spans="1:17" ht="43.2" x14ac:dyDescent="0.3">
      <c r="A1261" s="16" t="s">
        <v>7665</v>
      </c>
      <c r="B1261" s="16" t="s">
        <v>7675</v>
      </c>
      <c r="C1261" s="16" t="s">
        <v>7617</v>
      </c>
      <c r="D1261" s="16" t="s">
        <v>7597</v>
      </c>
      <c r="E1261" s="16" t="s">
        <v>4006</v>
      </c>
      <c r="F1261" s="16" t="s">
        <v>8049</v>
      </c>
      <c r="G1261" s="16" t="s">
        <v>32</v>
      </c>
      <c r="H1261" s="16"/>
      <c r="I1261" s="16"/>
      <c r="J1261" s="16" t="s">
        <v>1807</v>
      </c>
      <c r="K1261" s="16"/>
      <c r="L1261" s="16"/>
      <c r="M1261" s="19" t="s">
        <v>4007</v>
      </c>
      <c r="N1261" s="16"/>
      <c r="O1261" s="16" t="s">
        <v>4008</v>
      </c>
      <c r="P1261" s="16" t="str">
        <f>HYPERLINK("https://ceds.ed.gov/cedselementdetails.aspx?termid=27620")</f>
        <v>https://ceds.ed.gov/cedselementdetails.aspx?termid=27620</v>
      </c>
      <c r="Q1261" s="16">
        <v>74306</v>
      </c>
    </row>
    <row r="1262" spans="1:17" ht="43.2" x14ac:dyDescent="0.3">
      <c r="A1262" s="16" t="s">
        <v>7665</v>
      </c>
      <c r="B1262" s="16" t="s">
        <v>7675</v>
      </c>
      <c r="C1262" s="16" t="s">
        <v>7617</v>
      </c>
      <c r="D1262" s="16" t="s">
        <v>7597</v>
      </c>
      <c r="E1262" s="16" t="s">
        <v>8970</v>
      </c>
      <c r="F1262" s="16" t="s">
        <v>8971</v>
      </c>
      <c r="G1262" s="16" t="s">
        <v>8200</v>
      </c>
      <c r="H1262" s="16"/>
      <c r="I1262" s="16"/>
      <c r="J1262" s="16" t="s">
        <v>2</v>
      </c>
      <c r="K1262" s="16"/>
      <c r="L1262" s="16"/>
      <c r="M1262" s="19" t="s">
        <v>8972</v>
      </c>
      <c r="N1262" s="16"/>
      <c r="O1262" s="16" t="s">
        <v>8973</v>
      </c>
      <c r="P1262" s="16" t="str">
        <f>HYPERLINK("https://ceds.ed.gov/cedselementdetails.aspx?termid=28019")</f>
        <v>https://ceds.ed.gov/cedselementdetails.aspx?termid=28019</v>
      </c>
      <c r="Q1262" s="16">
        <v>76251</v>
      </c>
    </row>
    <row r="1263" spans="1:17" ht="28.8" x14ac:dyDescent="0.3">
      <c r="A1263" s="16" t="s">
        <v>7665</v>
      </c>
      <c r="B1263" s="16" t="s">
        <v>7675</v>
      </c>
      <c r="C1263" s="16" t="s">
        <v>7617</v>
      </c>
      <c r="D1263" s="16" t="s">
        <v>7597</v>
      </c>
      <c r="E1263" s="16" t="s">
        <v>3998</v>
      </c>
      <c r="F1263" s="16" t="s">
        <v>3999</v>
      </c>
      <c r="G1263" s="16" t="s">
        <v>32</v>
      </c>
      <c r="H1263" s="16"/>
      <c r="I1263" s="16"/>
      <c r="J1263" s="16" t="s">
        <v>106</v>
      </c>
      <c r="K1263" s="16"/>
      <c r="L1263" s="16"/>
      <c r="M1263" s="19" t="s">
        <v>4000</v>
      </c>
      <c r="N1263" s="16"/>
      <c r="O1263" s="16" t="s">
        <v>4001</v>
      </c>
      <c r="P1263" s="16" t="str">
        <f>HYPERLINK("https://ceds.ed.gov/cedselementdetails.aspx?termid=27623")</f>
        <v>https://ceds.ed.gov/cedselementdetails.aspx?termid=27623</v>
      </c>
      <c r="Q1263" s="16">
        <v>74316</v>
      </c>
    </row>
    <row r="1264" spans="1:17" ht="57.6" x14ac:dyDescent="0.3">
      <c r="A1264" s="16" t="s">
        <v>7665</v>
      </c>
      <c r="B1264" s="16" t="s">
        <v>7675</v>
      </c>
      <c r="C1264" s="16" t="s">
        <v>7617</v>
      </c>
      <c r="D1264" s="16" t="s">
        <v>7597</v>
      </c>
      <c r="E1264" s="16" t="s">
        <v>4002</v>
      </c>
      <c r="F1264" s="16" t="s">
        <v>4003</v>
      </c>
      <c r="G1264" s="16" t="s">
        <v>32</v>
      </c>
      <c r="H1264" s="16"/>
      <c r="I1264" s="16"/>
      <c r="J1264" s="16" t="s">
        <v>106</v>
      </c>
      <c r="K1264" s="16"/>
      <c r="L1264" s="16" t="s">
        <v>131</v>
      </c>
      <c r="M1264" s="19" t="s">
        <v>4004</v>
      </c>
      <c r="N1264" s="16"/>
      <c r="O1264" s="16" t="s">
        <v>4005</v>
      </c>
      <c r="P1264" s="16" t="str">
        <f>HYPERLINK("https://ceds.ed.gov/cedselementdetails.aspx?termid=27624")</f>
        <v>https://ceds.ed.gov/cedselementdetails.aspx?termid=27624</v>
      </c>
      <c r="Q1264" s="16">
        <v>74320</v>
      </c>
    </row>
    <row r="1265" spans="1:17" ht="86.4" x14ac:dyDescent="0.3">
      <c r="A1265" s="16" t="s">
        <v>7665</v>
      </c>
      <c r="B1265" s="16" t="s">
        <v>7675</v>
      </c>
      <c r="C1265" s="16" t="s">
        <v>7617</v>
      </c>
      <c r="D1265" s="16" t="s">
        <v>7597</v>
      </c>
      <c r="E1265" s="16" t="s">
        <v>3891</v>
      </c>
      <c r="F1265" s="16" t="s">
        <v>8004</v>
      </c>
      <c r="G1265" s="16" t="s">
        <v>32</v>
      </c>
      <c r="H1265" s="16"/>
      <c r="I1265" s="16"/>
      <c r="J1265" s="16" t="s">
        <v>81</v>
      </c>
      <c r="K1265" s="16"/>
      <c r="L1265" s="16"/>
      <c r="M1265" s="19" t="s">
        <v>3892</v>
      </c>
      <c r="N1265" s="16"/>
      <c r="O1265" s="16" t="s">
        <v>3893</v>
      </c>
      <c r="P1265" s="16" t="str">
        <f>HYPERLINK("https://ceds.ed.gov/cedselementdetails.aspx?termid=27530")</f>
        <v>https://ceds.ed.gov/cedselementdetails.aspx?termid=27530</v>
      </c>
      <c r="Q1265" s="16">
        <v>73842</v>
      </c>
    </row>
    <row r="1266" spans="1:17" ht="28.8" x14ac:dyDescent="0.3">
      <c r="A1266" s="16" t="s">
        <v>7665</v>
      </c>
      <c r="B1266" s="16" t="s">
        <v>7675</v>
      </c>
      <c r="C1266" s="16" t="s">
        <v>7617</v>
      </c>
      <c r="D1266" s="16" t="s">
        <v>7597</v>
      </c>
      <c r="E1266" s="16" t="s">
        <v>3888</v>
      </c>
      <c r="F1266" s="16" t="s">
        <v>8003</v>
      </c>
      <c r="G1266" s="16" t="s">
        <v>32</v>
      </c>
      <c r="H1266" s="16"/>
      <c r="I1266" s="16"/>
      <c r="J1266" s="16" t="s">
        <v>747</v>
      </c>
      <c r="K1266" s="16"/>
      <c r="L1266" s="16"/>
      <c r="M1266" s="19" t="s">
        <v>3889</v>
      </c>
      <c r="N1266" s="16"/>
      <c r="O1266" s="16" t="s">
        <v>3890</v>
      </c>
      <c r="P1266" s="16" t="str">
        <f>HYPERLINK("https://ceds.ed.gov/cedselementdetails.aspx?termid=27315")</f>
        <v>https://ceds.ed.gov/cedselementdetails.aspx?termid=27315</v>
      </c>
      <c r="Q1266" s="16">
        <v>73179</v>
      </c>
    </row>
    <row r="1267" spans="1:17" ht="28.8" x14ac:dyDescent="0.3">
      <c r="A1267" s="16" t="s">
        <v>7665</v>
      </c>
      <c r="B1267" s="16" t="s">
        <v>7675</v>
      </c>
      <c r="C1267" s="16" t="s">
        <v>7617</v>
      </c>
      <c r="D1267" s="16" t="s">
        <v>7597</v>
      </c>
      <c r="E1267" s="16" t="s">
        <v>3878</v>
      </c>
      <c r="F1267" s="16" t="s">
        <v>7987</v>
      </c>
      <c r="G1267" s="16" t="s">
        <v>32</v>
      </c>
      <c r="H1267" s="16"/>
      <c r="I1267" s="16"/>
      <c r="J1267" s="16" t="s">
        <v>101</v>
      </c>
      <c r="K1267" s="16"/>
      <c r="L1267" s="16"/>
      <c r="M1267" s="19" t="s">
        <v>3879</v>
      </c>
      <c r="N1267" s="16"/>
      <c r="O1267" s="16" t="s">
        <v>3880</v>
      </c>
      <c r="P1267" s="16" t="str">
        <f>HYPERLINK("https://ceds.ed.gov/cedselementdetails.aspx?termid=27313")</f>
        <v>https://ceds.ed.gov/cedselementdetails.aspx?termid=27313</v>
      </c>
      <c r="Q1267" s="16">
        <v>73168</v>
      </c>
    </row>
    <row r="1268" spans="1:17" ht="86.4" x14ac:dyDescent="0.3">
      <c r="A1268" s="16" t="s">
        <v>7665</v>
      </c>
      <c r="B1268" s="16" t="s">
        <v>7675</v>
      </c>
      <c r="C1268" s="16" t="s">
        <v>7617</v>
      </c>
      <c r="D1268" s="16" t="s">
        <v>7597</v>
      </c>
      <c r="E1268" s="16" t="s">
        <v>3874</v>
      </c>
      <c r="F1268" s="16" t="s">
        <v>3875</v>
      </c>
      <c r="G1268" s="16" t="s">
        <v>8224</v>
      </c>
      <c r="H1268" s="16"/>
      <c r="I1268" s="16"/>
      <c r="J1268" s="16"/>
      <c r="K1268" s="16"/>
      <c r="L1268" s="16"/>
      <c r="M1268" s="19" t="s">
        <v>3876</v>
      </c>
      <c r="N1268" s="16"/>
      <c r="O1268" s="16" t="s">
        <v>3877</v>
      </c>
      <c r="P1268" s="16" t="str">
        <f>HYPERLINK("https://ceds.ed.gov/cedselementdetails.aspx?termid=27312")</f>
        <v>https://ceds.ed.gov/cedselementdetails.aspx?termid=27312</v>
      </c>
      <c r="Q1268" s="16">
        <v>73164</v>
      </c>
    </row>
    <row r="1269" spans="1:17" ht="409.6" x14ac:dyDescent="0.3">
      <c r="A1269" s="16" t="s">
        <v>7665</v>
      </c>
      <c r="B1269" s="16" t="s">
        <v>7675</v>
      </c>
      <c r="C1269" s="16" t="s">
        <v>7617</v>
      </c>
      <c r="D1269" s="16" t="s">
        <v>7597</v>
      </c>
      <c r="E1269" s="16" t="s">
        <v>8011</v>
      </c>
      <c r="F1269" s="16" t="s">
        <v>8012</v>
      </c>
      <c r="G1269" s="16" t="s">
        <v>8227</v>
      </c>
      <c r="H1269" s="16"/>
      <c r="I1269" s="16"/>
      <c r="J1269" s="16"/>
      <c r="K1269" s="16"/>
      <c r="L1269" s="16" t="s">
        <v>8013</v>
      </c>
      <c r="M1269" s="19" t="s">
        <v>3887</v>
      </c>
      <c r="N1269" s="16"/>
      <c r="O1269" s="16" t="s">
        <v>8014</v>
      </c>
      <c r="P1269" s="16" t="str">
        <f>HYPERLINK("https://ceds.ed.gov/cedselementdetails.aspx?termid=27440")</f>
        <v>https://ceds.ed.gov/cedselementdetails.aspx?termid=27440</v>
      </c>
      <c r="Q1269" s="16">
        <v>73855</v>
      </c>
    </row>
    <row r="1270" spans="1:17" ht="409.6" x14ac:dyDescent="0.3">
      <c r="A1270" s="16" t="s">
        <v>7665</v>
      </c>
      <c r="B1270" s="16" t="s">
        <v>7675</v>
      </c>
      <c r="C1270" s="16" t="s">
        <v>7617</v>
      </c>
      <c r="D1270" s="16" t="s">
        <v>7597</v>
      </c>
      <c r="E1270" s="16" t="s">
        <v>8023</v>
      </c>
      <c r="F1270" s="16" t="s">
        <v>8024</v>
      </c>
      <c r="G1270" s="16" t="s">
        <v>8228</v>
      </c>
      <c r="H1270" s="16"/>
      <c r="I1270" s="16"/>
      <c r="J1270" s="16"/>
      <c r="K1270" s="16"/>
      <c r="L1270" s="16" t="s">
        <v>8025</v>
      </c>
      <c r="M1270" s="19" t="s">
        <v>3957</v>
      </c>
      <c r="N1270" s="16"/>
      <c r="O1270" s="16" t="s">
        <v>8026</v>
      </c>
      <c r="P1270" s="16" t="str">
        <f>HYPERLINK("https://ceds.ed.gov/cedselementdetails.aspx?termid=27321")</f>
        <v>https://ceds.ed.gov/cedselementdetails.aspx?termid=27321</v>
      </c>
      <c r="Q1270" s="16">
        <v>73201</v>
      </c>
    </row>
    <row r="1271" spans="1:17" ht="409.6" x14ac:dyDescent="0.3">
      <c r="A1271" s="16" t="s">
        <v>7665</v>
      </c>
      <c r="B1271" s="16" t="s">
        <v>7675</v>
      </c>
      <c r="C1271" s="16" t="s">
        <v>7617</v>
      </c>
      <c r="D1271" s="16" t="s">
        <v>7597</v>
      </c>
      <c r="E1271" s="16" t="s">
        <v>8039</v>
      </c>
      <c r="F1271" s="16" t="s">
        <v>8040</v>
      </c>
      <c r="G1271" s="16" t="s">
        <v>8230</v>
      </c>
      <c r="H1271" s="16"/>
      <c r="I1271" s="16"/>
      <c r="J1271" s="16"/>
      <c r="K1271" s="16"/>
      <c r="L1271" s="16" t="s">
        <v>8041</v>
      </c>
      <c r="M1271" s="19" t="s">
        <v>3960</v>
      </c>
      <c r="N1271" s="16"/>
      <c r="O1271" s="16" t="s">
        <v>8042</v>
      </c>
      <c r="P1271" s="16" t="str">
        <f>HYPERLINK("https://ceds.ed.gov/cedselementdetails.aspx?termid=27322")</f>
        <v>https://ceds.ed.gov/cedselementdetails.aspx?termid=27322</v>
      </c>
      <c r="Q1271" s="16">
        <v>73205</v>
      </c>
    </row>
    <row r="1272" spans="1:17" ht="187.2" x14ac:dyDescent="0.3">
      <c r="A1272" s="16" t="s">
        <v>7665</v>
      </c>
      <c r="B1272" s="16" t="s">
        <v>7675</v>
      </c>
      <c r="C1272" s="16" t="s">
        <v>7617</v>
      </c>
      <c r="D1272" s="16" t="s">
        <v>7597</v>
      </c>
      <c r="E1272" s="16" t="s">
        <v>8027</v>
      </c>
      <c r="F1272" s="16" t="s">
        <v>3958</v>
      </c>
      <c r="G1272" s="16" t="s">
        <v>8229</v>
      </c>
      <c r="H1272" s="16"/>
      <c r="I1272" s="16"/>
      <c r="J1272" s="16"/>
      <c r="K1272" s="16"/>
      <c r="L1272" s="16" t="s">
        <v>8028</v>
      </c>
      <c r="M1272" s="19" t="s">
        <v>3959</v>
      </c>
      <c r="N1272" s="16"/>
      <c r="O1272" s="16" t="s">
        <v>8029</v>
      </c>
      <c r="P1272" s="16" t="str">
        <f>HYPERLINK("https://ceds.ed.gov/cedselementdetails.aspx?termid=27531")</f>
        <v>https://ceds.ed.gov/cedselementdetails.aspx?termid=27531</v>
      </c>
      <c r="Q1272" s="16">
        <v>73847</v>
      </c>
    </row>
    <row r="1273" spans="1:17" ht="259.2" x14ac:dyDescent="0.3">
      <c r="A1273" s="16" t="s">
        <v>7665</v>
      </c>
      <c r="B1273" s="16" t="s">
        <v>7675</v>
      </c>
      <c r="C1273" s="16" t="s">
        <v>7617</v>
      </c>
      <c r="D1273" s="16" t="s">
        <v>7597</v>
      </c>
      <c r="E1273" s="16" t="s">
        <v>8043</v>
      </c>
      <c r="F1273" s="16" t="s">
        <v>8044</v>
      </c>
      <c r="G1273" s="16" t="s">
        <v>32</v>
      </c>
      <c r="H1273" s="16"/>
      <c r="I1273" s="16"/>
      <c r="J1273" s="16" t="s">
        <v>136</v>
      </c>
      <c r="K1273" s="16"/>
      <c r="L1273" s="16" t="s">
        <v>8045</v>
      </c>
      <c r="M1273" s="19" t="s">
        <v>3961</v>
      </c>
      <c r="N1273" s="16"/>
      <c r="O1273" s="16" t="s">
        <v>8046</v>
      </c>
      <c r="P1273" s="16" t="str">
        <f>HYPERLINK("https://ceds.ed.gov/cedselementdetails.aspx?termid=27532")</f>
        <v>https://ceds.ed.gov/cedselementdetails.aspx?termid=27532</v>
      </c>
      <c r="Q1273" s="16">
        <v>73851</v>
      </c>
    </row>
    <row r="1274" spans="1:17" ht="409.6" x14ac:dyDescent="0.3">
      <c r="A1274" s="16" t="s">
        <v>7665</v>
      </c>
      <c r="B1274" s="16" t="s">
        <v>7675</v>
      </c>
      <c r="C1274" s="16" t="s">
        <v>7617</v>
      </c>
      <c r="D1274" s="16" t="s">
        <v>7597</v>
      </c>
      <c r="E1274" s="16" t="s">
        <v>7981</v>
      </c>
      <c r="F1274" s="16" t="s">
        <v>3881</v>
      </c>
      <c r="G1274" s="16" t="s">
        <v>8223</v>
      </c>
      <c r="H1274" s="16"/>
      <c r="I1274" s="16"/>
      <c r="J1274" s="16"/>
      <c r="K1274" s="16"/>
      <c r="L1274" s="16" t="s">
        <v>7982</v>
      </c>
      <c r="M1274" s="19" t="s">
        <v>3883</v>
      </c>
      <c r="N1274" s="16"/>
      <c r="O1274" s="16" t="s">
        <v>7983</v>
      </c>
      <c r="P1274" s="16" t="str">
        <f>HYPERLINK("https://ceds.ed.gov/cedselementdetails.aspx?termid=27320")</f>
        <v>https://ceds.ed.gov/cedselementdetails.aspx?termid=27320</v>
      </c>
      <c r="Q1274" s="16">
        <v>73197</v>
      </c>
    </row>
    <row r="1275" spans="1:17" ht="43.2" x14ac:dyDescent="0.3">
      <c r="A1275" s="16" t="s">
        <v>7665</v>
      </c>
      <c r="B1275" s="16" t="s">
        <v>7675</v>
      </c>
      <c r="C1275" s="16" t="s">
        <v>7617</v>
      </c>
      <c r="D1275" s="16" t="s">
        <v>7597</v>
      </c>
      <c r="E1275" s="16" t="s">
        <v>3908</v>
      </c>
      <c r="F1275" s="16" t="s">
        <v>3909</v>
      </c>
      <c r="G1275" s="16" t="s">
        <v>32</v>
      </c>
      <c r="H1275" s="16"/>
      <c r="I1275" s="16"/>
      <c r="J1275" s="16" t="s">
        <v>1481</v>
      </c>
      <c r="K1275" s="16"/>
      <c r="L1275" s="16"/>
      <c r="M1275" s="19" t="s">
        <v>3910</v>
      </c>
      <c r="N1275" s="16"/>
      <c r="O1275" s="16" t="s">
        <v>3911</v>
      </c>
      <c r="P1275" s="16" t="str">
        <f>HYPERLINK("https://ceds.ed.gov/cedselementdetails.aspx?termid=27318")</f>
        <v>https://ceds.ed.gov/cedselementdetails.aspx?termid=27318</v>
      </c>
      <c r="Q1275" s="16">
        <v>73192</v>
      </c>
    </row>
    <row r="1276" spans="1:17" ht="57.6" x14ac:dyDescent="0.3">
      <c r="A1276" s="16" t="s">
        <v>7665</v>
      </c>
      <c r="B1276" s="16" t="s">
        <v>7675</v>
      </c>
      <c r="C1276" s="16" t="s">
        <v>7617</v>
      </c>
      <c r="D1276" s="16" t="s">
        <v>7597</v>
      </c>
      <c r="E1276" s="16" t="s">
        <v>3912</v>
      </c>
      <c r="F1276" s="16" t="s">
        <v>3913</v>
      </c>
      <c r="G1276" s="16" t="s">
        <v>32</v>
      </c>
      <c r="H1276" s="16"/>
      <c r="I1276" s="16"/>
      <c r="J1276" s="16" t="s">
        <v>1481</v>
      </c>
      <c r="K1276" s="16"/>
      <c r="L1276" s="16" t="s">
        <v>3914</v>
      </c>
      <c r="M1276" s="19" t="s">
        <v>3915</v>
      </c>
      <c r="N1276" s="16"/>
      <c r="O1276" s="16" t="s">
        <v>3916</v>
      </c>
      <c r="P1276" s="16" t="str">
        <f>HYPERLINK("https://ceds.ed.gov/cedselementdetails.aspx?termid=27625")</f>
        <v>https://ceds.ed.gov/cedselementdetails.aspx?termid=27625</v>
      </c>
      <c r="Q1276" s="16">
        <v>74324</v>
      </c>
    </row>
    <row r="1277" spans="1:17" ht="43.2" x14ac:dyDescent="0.3">
      <c r="A1277" s="16" t="s">
        <v>7665</v>
      </c>
      <c r="B1277" s="16" t="s">
        <v>7675</v>
      </c>
      <c r="C1277" s="16" t="s">
        <v>7617</v>
      </c>
      <c r="D1277" s="16" t="s">
        <v>7597</v>
      </c>
      <c r="E1277" s="16" t="s">
        <v>3904</v>
      </c>
      <c r="F1277" s="16" t="s">
        <v>3905</v>
      </c>
      <c r="G1277" s="16" t="s">
        <v>32</v>
      </c>
      <c r="H1277" s="16"/>
      <c r="I1277" s="16"/>
      <c r="J1277" s="16" t="s">
        <v>1481</v>
      </c>
      <c r="K1277" s="16"/>
      <c r="L1277" s="16"/>
      <c r="M1277" s="19" t="s">
        <v>3906</v>
      </c>
      <c r="N1277" s="16"/>
      <c r="O1277" s="16" t="s">
        <v>3907</v>
      </c>
      <c r="P1277" s="16" t="str">
        <f>HYPERLINK("https://ceds.ed.gov/cedselementdetails.aspx?termid=27317")</f>
        <v>https://ceds.ed.gov/cedselementdetails.aspx?termid=27317</v>
      </c>
      <c r="Q1277" s="16">
        <v>73188</v>
      </c>
    </row>
    <row r="1278" spans="1:17" ht="129.6" x14ac:dyDescent="0.3">
      <c r="A1278" s="16" t="s">
        <v>7665</v>
      </c>
      <c r="B1278" s="16" t="s">
        <v>7675</v>
      </c>
      <c r="C1278" s="16" t="s">
        <v>7617</v>
      </c>
      <c r="D1278" s="16" t="s">
        <v>7597</v>
      </c>
      <c r="E1278" s="16" t="s">
        <v>3917</v>
      </c>
      <c r="F1278" s="16" t="s">
        <v>3918</v>
      </c>
      <c r="G1278" s="16" t="s">
        <v>32</v>
      </c>
      <c r="H1278" s="16"/>
      <c r="I1278" s="16"/>
      <c r="J1278" s="16" t="s">
        <v>1481</v>
      </c>
      <c r="K1278" s="16"/>
      <c r="L1278" s="16" t="s">
        <v>3919</v>
      </c>
      <c r="M1278" s="19" t="s">
        <v>3920</v>
      </c>
      <c r="N1278" s="16"/>
      <c r="O1278" s="16" t="s">
        <v>3921</v>
      </c>
      <c r="P1278" s="16" t="str">
        <f>HYPERLINK("https://ceds.ed.gov/cedselementdetails.aspx?termid=27628")</f>
        <v>https://ceds.ed.gov/cedselementdetails.aspx?termid=27628</v>
      </c>
      <c r="Q1278" s="16">
        <v>74336</v>
      </c>
    </row>
    <row r="1279" spans="1:17" ht="28.8" x14ac:dyDescent="0.3">
      <c r="A1279" s="16" t="s">
        <v>7665</v>
      </c>
      <c r="B1279" s="16" t="s">
        <v>7675</v>
      </c>
      <c r="C1279" s="16" t="s">
        <v>7617</v>
      </c>
      <c r="D1279" s="16" t="s">
        <v>7597</v>
      </c>
      <c r="E1279" s="16" t="s">
        <v>3900</v>
      </c>
      <c r="F1279" s="16" t="s">
        <v>3901</v>
      </c>
      <c r="G1279" s="16" t="s">
        <v>32</v>
      </c>
      <c r="H1279" s="16"/>
      <c r="I1279" s="16"/>
      <c r="J1279" s="16" t="s">
        <v>106</v>
      </c>
      <c r="K1279" s="16"/>
      <c r="L1279" s="16"/>
      <c r="M1279" s="19" t="s">
        <v>3902</v>
      </c>
      <c r="N1279" s="16"/>
      <c r="O1279" s="16" t="s">
        <v>3903</v>
      </c>
      <c r="P1279" s="16" t="str">
        <f>HYPERLINK("https://ceds.ed.gov/cedselementdetails.aspx?termid=27629")</f>
        <v>https://ceds.ed.gov/cedselementdetails.aspx?termid=27629</v>
      </c>
      <c r="Q1279" s="16">
        <v>74340</v>
      </c>
    </row>
    <row r="1280" spans="1:17" ht="144" x14ac:dyDescent="0.3">
      <c r="A1280" s="16" t="s">
        <v>7665</v>
      </c>
      <c r="B1280" s="16" t="s">
        <v>7675</v>
      </c>
      <c r="C1280" s="16" t="s">
        <v>7617</v>
      </c>
      <c r="D1280" s="16" t="s">
        <v>7597</v>
      </c>
      <c r="E1280" s="16" t="s">
        <v>7988</v>
      </c>
      <c r="F1280" s="16" t="s">
        <v>3884</v>
      </c>
      <c r="G1280" s="16" t="s">
        <v>8225</v>
      </c>
      <c r="H1280" s="16"/>
      <c r="I1280" s="16"/>
      <c r="J1280" s="16"/>
      <c r="K1280" s="16"/>
      <c r="L1280" s="16" t="s">
        <v>7989</v>
      </c>
      <c r="M1280" s="19" t="s">
        <v>3885</v>
      </c>
      <c r="N1280" s="16"/>
      <c r="O1280" s="16" t="s">
        <v>7990</v>
      </c>
      <c r="P1280" s="16" t="str">
        <f>HYPERLINK("https://ceds.ed.gov/cedselementdetails.aspx?termid=27314")</f>
        <v>https://ceds.ed.gov/cedselementdetails.aspx?termid=27314</v>
      </c>
      <c r="Q1280" s="16">
        <v>73175</v>
      </c>
    </row>
    <row r="1281" spans="1:17" ht="28.8" x14ac:dyDescent="0.3">
      <c r="A1281" s="16" t="s">
        <v>7665</v>
      </c>
      <c r="B1281" s="16" t="s">
        <v>7675</v>
      </c>
      <c r="C1281" s="16" t="s">
        <v>7617</v>
      </c>
      <c r="D1281" s="16" t="s">
        <v>7597</v>
      </c>
      <c r="E1281" s="16" t="s">
        <v>3894</v>
      </c>
      <c r="F1281" s="16" t="s">
        <v>8009</v>
      </c>
      <c r="G1281" s="16" t="s">
        <v>32</v>
      </c>
      <c r="H1281" s="16"/>
      <c r="I1281" s="16"/>
      <c r="J1281" s="16" t="s">
        <v>747</v>
      </c>
      <c r="K1281" s="16"/>
      <c r="L1281" s="16"/>
      <c r="M1281" s="19" t="s">
        <v>3895</v>
      </c>
      <c r="N1281" s="16"/>
      <c r="O1281" s="16" t="s">
        <v>3896</v>
      </c>
      <c r="P1281" s="16" t="str">
        <f>HYPERLINK("https://ceds.ed.gov/cedselementdetails.aspx?termid=27626")</f>
        <v>https://ceds.ed.gov/cedselementdetails.aspx?termid=27626</v>
      </c>
      <c r="Q1281" s="16">
        <v>74328</v>
      </c>
    </row>
    <row r="1282" spans="1:17" ht="28.8" x14ac:dyDescent="0.3">
      <c r="A1282" s="16" t="s">
        <v>7665</v>
      </c>
      <c r="B1282" s="16" t="s">
        <v>7675</v>
      </c>
      <c r="C1282" s="16" t="s">
        <v>7617</v>
      </c>
      <c r="D1282" s="16" t="s">
        <v>7597</v>
      </c>
      <c r="E1282" s="16" t="s">
        <v>3897</v>
      </c>
      <c r="F1282" s="16" t="s">
        <v>8010</v>
      </c>
      <c r="G1282" s="16" t="s">
        <v>32</v>
      </c>
      <c r="H1282" s="16"/>
      <c r="I1282" s="16"/>
      <c r="J1282" s="16" t="s">
        <v>81</v>
      </c>
      <c r="K1282" s="16"/>
      <c r="L1282" s="16"/>
      <c r="M1282" s="19" t="s">
        <v>3898</v>
      </c>
      <c r="N1282" s="16"/>
      <c r="O1282" s="16" t="s">
        <v>3899</v>
      </c>
      <c r="P1282" s="16" t="str">
        <f>HYPERLINK("https://ceds.ed.gov/cedselementdetails.aspx?termid=27627")</f>
        <v>https://ceds.ed.gov/cedselementdetails.aspx?termid=27627</v>
      </c>
      <c r="Q1282" s="16">
        <v>74332</v>
      </c>
    </row>
    <row r="1283" spans="1:17" ht="144" x14ac:dyDescent="0.3">
      <c r="A1283" s="16" t="s">
        <v>7665</v>
      </c>
      <c r="B1283" s="16" t="s">
        <v>7675</v>
      </c>
      <c r="C1283" s="16" t="s">
        <v>7617</v>
      </c>
      <c r="D1283" s="16" t="s">
        <v>7597</v>
      </c>
      <c r="E1283" s="16" t="s">
        <v>8005</v>
      </c>
      <c r="F1283" s="16" t="s">
        <v>8006</v>
      </c>
      <c r="G1283" s="16" t="s">
        <v>8226</v>
      </c>
      <c r="H1283" s="16"/>
      <c r="I1283" s="16"/>
      <c r="J1283" s="16"/>
      <c r="K1283" s="16"/>
      <c r="L1283" s="16" t="s">
        <v>8007</v>
      </c>
      <c r="M1283" s="19" t="s">
        <v>3886</v>
      </c>
      <c r="N1283" s="16"/>
      <c r="O1283" s="16" t="s">
        <v>8008</v>
      </c>
      <c r="P1283" s="16" t="str">
        <f>HYPERLINK("https://ceds.ed.gov/cedselementdetails.aspx?termid=27316")</f>
        <v>https://ceds.ed.gov/cedselementdetails.aspx?termid=27316</v>
      </c>
      <c r="Q1283" s="16">
        <v>73183</v>
      </c>
    </row>
    <row r="1284" spans="1:17" ht="28.8" x14ac:dyDescent="0.3">
      <c r="A1284" s="16" t="s">
        <v>7665</v>
      </c>
      <c r="B1284" s="16" t="s">
        <v>7675</v>
      </c>
      <c r="C1284" s="16" t="s">
        <v>7617</v>
      </c>
      <c r="D1284" s="16" t="s">
        <v>7597</v>
      </c>
      <c r="E1284" s="16" t="s">
        <v>4562</v>
      </c>
      <c r="F1284" s="16" t="s">
        <v>4563</v>
      </c>
      <c r="G1284" s="16" t="s">
        <v>32</v>
      </c>
      <c r="H1284" s="16"/>
      <c r="I1284" s="16"/>
      <c r="J1284" s="16" t="s">
        <v>1481</v>
      </c>
      <c r="K1284" s="16"/>
      <c r="L1284" s="16"/>
      <c r="M1284" s="19" t="s">
        <v>4565</v>
      </c>
      <c r="N1284" s="16"/>
      <c r="O1284" s="16" t="s">
        <v>4566</v>
      </c>
      <c r="P1284" s="16" t="str">
        <f>HYPERLINK("https://ceds.ed.gov/cedselementdetails.aspx?termid=27874")</f>
        <v>https://ceds.ed.gov/cedselementdetails.aspx?termid=27874</v>
      </c>
      <c r="Q1284" s="16">
        <v>75150</v>
      </c>
    </row>
    <row r="1285" spans="1:17" ht="43.2" x14ac:dyDescent="0.3">
      <c r="A1285" s="16" t="s">
        <v>7665</v>
      </c>
      <c r="B1285" s="16" t="s">
        <v>7675</v>
      </c>
      <c r="C1285" s="16" t="s">
        <v>7617</v>
      </c>
      <c r="D1285" s="16" t="s">
        <v>7597</v>
      </c>
      <c r="E1285" s="16" t="s">
        <v>4757</v>
      </c>
      <c r="F1285" s="16" t="s">
        <v>4758</v>
      </c>
      <c r="G1285" s="16" t="s">
        <v>32</v>
      </c>
      <c r="H1285" s="16"/>
      <c r="I1285" s="16"/>
      <c r="J1285" s="16" t="s">
        <v>1481</v>
      </c>
      <c r="K1285" s="16"/>
      <c r="L1285" s="16"/>
      <c r="M1285" s="19" t="s">
        <v>4759</v>
      </c>
      <c r="N1285" s="16"/>
      <c r="O1285" s="16" t="s">
        <v>4760</v>
      </c>
      <c r="P1285" s="16" t="str">
        <f>HYPERLINK("https://ceds.ed.gov/cedselementdetails.aspx?termid=27875")</f>
        <v>https://ceds.ed.gov/cedselementdetails.aspx?termid=27875</v>
      </c>
      <c r="Q1285" s="16">
        <v>75151</v>
      </c>
    </row>
    <row r="1286" spans="1:17" ht="28.8" x14ac:dyDescent="0.3">
      <c r="A1286" s="16" t="s">
        <v>7665</v>
      </c>
      <c r="B1286" s="16" t="s">
        <v>7675</v>
      </c>
      <c r="C1286" s="16" t="s">
        <v>7617</v>
      </c>
      <c r="D1286" s="16" t="s">
        <v>7597</v>
      </c>
      <c r="E1286" s="16" t="s">
        <v>6166</v>
      </c>
      <c r="F1286" s="16" t="s">
        <v>6167</v>
      </c>
      <c r="G1286" s="16" t="s">
        <v>32</v>
      </c>
      <c r="H1286" s="16"/>
      <c r="I1286" s="16"/>
      <c r="J1286" s="16" t="s">
        <v>6168</v>
      </c>
      <c r="K1286" s="16"/>
      <c r="L1286" s="16"/>
      <c r="M1286" s="19" t="s">
        <v>6169</v>
      </c>
      <c r="N1286" s="16"/>
      <c r="O1286" s="16" t="s">
        <v>6170</v>
      </c>
      <c r="P1286" s="16" t="str">
        <f>HYPERLINK("https://ceds.ed.gov/cedselementdetails.aspx?termid=27876")</f>
        <v>https://ceds.ed.gov/cedselementdetails.aspx?termid=27876</v>
      </c>
      <c r="Q1286" s="16">
        <v>75152</v>
      </c>
    </row>
    <row r="1287" spans="1:17" ht="57.6" x14ac:dyDescent="0.3">
      <c r="A1287" s="16" t="s">
        <v>7665</v>
      </c>
      <c r="B1287" s="16" t="s">
        <v>7675</v>
      </c>
      <c r="C1287" s="16" t="s">
        <v>7617</v>
      </c>
      <c r="D1287" s="16" t="s">
        <v>7597</v>
      </c>
      <c r="E1287" s="16" t="s">
        <v>7977</v>
      </c>
      <c r="F1287" s="16" t="s">
        <v>7978</v>
      </c>
      <c r="G1287" s="16" t="s">
        <v>8200</v>
      </c>
      <c r="H1287" s="16"/>
      <c r="I1287" s="16"/>
      <c r="J1287" s="16" t="s">
        <v>2</v>
      </c>
      <c r="K1287" s="16"/>
      <c r="L1287" s="16"/>
      <c r="M1287" s="19" t="s">
        <v>8182</v>
      </c>
      <c r="N1287" s="16"/>
      <c r="O1287" s="16" t="s">
        <v>7979</v>
      </c>
      <c r="P1287" s="16" t="str">
        <f>HYPERLINK("https://ceds.ed.gov/cedselementdetails.aspx?termid=27980")</f>
        <v>https://ceds.ed.gov/cedselementdetails.aspx?termid=27980</v>
      </c>
      <c r="Q1287" s="16">
        <v>75917</v>
      </c>
    </row>
    <row r="1288" spans="1:17" ht="43.2" x14ac:dyDescent="0.3">
      <c r="A1288" s="16" t="s">
        <v>7665</v>
      </c>
      <c r="B1288" s="16" t="s">
        <v>7675</v>
      </c>
      <c r="C1288" s="16" t="s">
        <v>7617</v>
      </c>
      <c r="D1288" s="16" t="s">
        <v>7597</v>
      </c>
      <c r="E1288" s="16" t="s">
        <v>7984</v>
      </c>
      <c r="F1288" s="16" t="s">
        <v>7985</v>
      </c>
      <c r="G1288" s="16" t="s">
        <v>8201</v>
      </c>
      <c r="H1288" s="16"/>
      <c r="I1288" s="16"/>
      <c r="J1288" s="16" t="s">
        <v>2</v>
      </c>
      <c r="K1288" s="16"/>
      <c r="L1288" s="16"/>
      <c r="M1288" s="19" t="s">
        <v>8183</v>
      </c>
      <c r="N1288" s="16"/>
      <c r="O1288" s="16" t="s">
        <v>7986</v>
      </c>
      <c r="P1288" s="16" t="str">
        <f>HYPERLINK("https://ceds.ed.gov/cedselementdetails.aspx?termid=27981")</f>
        <v>https://ceds.ed.gov/cedselementdetails.aspx?termid=27981</v>
      </c>
      <c r="Q1288" s="16">
        <v>75918</v>
      </c>
    </row>
    <row r="1289" spans="1:17" ht="144" x14ac:dyDescent="0.3">
      <c r="A1289" s="16" t="s">
        <v>7665</v>
      </c>
      <c r="B1289" s="16" t="s">
        <v>7675</v>
      </c>
      <c r="C1289" s="16" t="s">
        <v>7617</v>
      </c>
      <c r="D1289" s="16" t="s">
        <v>7597</v>
      </c>
      <c r="E1289" s="16" t="s">
        <v>7991</v>
      </c>
      <c r="F1289" s="16" t="s">
        <v>7992</v>
      </c>
      <c r="G1289" s="16" t="s">
        <v>8200</v>
      </c>
      <c r="H1289" s="16"/>
      <c r="I1289" s="16"/>
      <c r="J1289" s="16" t="s">
        <v>2</v>
      </c>
      <c r="K1289" s="16"/>
      <c r="L1289" s="16"/>
      <c r="M1289" s="19" t="s">
        <v>8184</v>
      </c>
      <c r="N1289" s="16"/>
      <c r="O1289" s="16" t="s">
        <v>7993</v>
      </c>
      <c r="P1289" s="16" t="str">
        <f>HYPERLINK("https://ceds.ed.gov/cedselementdetails.aspx?termid=27982")</f>
        <v>https://ceds.ed.gov/cedselementdetails.aspx?termid=27982</v>
      </c>
      <c r="Q1289" s="16">
        <v>75919</v>
      </c>
    </row>
    <row r="1290" spans="1:17" ht="100.8" x14ac:dyDescent="0.3">
      <c r="A1290" s="16" t="s">
        <v>7665</v>
      </c>
      <c r="B1290" s="16" t="s">
        <v>7675</v>
      </c>
      <c r="C1290" s="16" t="s">
        <v>7617</v>
      </c>
      <c r="D1290" s="16" t="s">
        <v>7597</v>
      </c>
      <c r="E1290" s="16" t="s">
        <v>7994</v>
      </c>
      <c r="F1290" s="16" t="s">
        <v>7995</v>
      </c>
      <c r="G1290" s="16" t="s">
        <v>8200</v>
      </c>
      <c r="H1290" s="16"/>
      <c r="I1290" s="16"/>
      <c r="J1290" s="16" t="s">
        <v>2</v>
      </c>
      <c r="K1290" s="16"/>
      <c r="L1290" s="16"/>
      <c r="M1290" s="19" t="s">
        <v>8185</v>
      </c>
      <c r="N1290" s="16"/>
      <c r="O1290" s="16" t="s">
        <v>7996</v>
      </c>
      <c r="P1290" s="16" t="str">
        <f>HYPERLINK("https://ceds.ed.gov/cedselementdetails.aspx?termid=27983")</f>
        <v>https://ceds.ed.gov/cedselementdetails.aspx?termid=27983</v>
      </c>
      <c r="Q1290" s="16">
        <v>75920</v>
      </c>
    </row>
    <row r="1291" spans="1:17" ht="57.6" x14ac:dyDescent="0.3">
      <c r="A1291" s="16" t="s">
        <v>7665</v>
      </c>
      <c r="B1291" s="16" t="s">
        <v>7675</v>
      </c>
      <c r="C1291" s="16" t="s">
        <v>7617</v>
      </c>
      <c r="D1291" s="16" t="s">
        <v>7597</v>
      </c>
      <c r="E1291" s="16" t="s">
        <v>7997</v>
      </c>
      <c r="F1291" s="16" t="s">
        <v>7998</v>
      </c>
      <c r="G1291" s="16" t="s">
        <v>8200</v>
      </c>
      <c r="H1291" s="16"/>
      <c r="I1291" s="16"/>
      <c r="J1291" s="16" t="s">
        <v>2</v>
      </c>
      <c r="K1291" s="16"/>
      <c r="L1291" s="16"/>
      <c r="M1291" s="19" t="s">
        <v>8186</v>
      </c>
      <c r="N1291" s="16"/>
      <c r="O1291" s="16" t="s">
        <v>7999</v>
      </c>
      <c r="P1291" s="16" t="str">
        <f>HYPERLINK("https://ceds.ed.gov/cedselementdetails.aspx?termid=27984")</f>
        <v>https://ceds.ed.gov/cedselementdetails.aspx?termid=27984</v>
      </c>
      <c r="Q1291" s="16">
        <v>75921</v>
      </c>
    </row>
    <row r="1292" spans="1:17" ht="28.8" x14ac:dyDescent="0.3">
      <c r="A1292" s="16" t="s">
        <v>7665</v>
      </c>
      <c r="B1292" s="16" t="s">
        <v>7675</v>
      </c>
      <c r="C1292" s="16" t="s">
        <v>7617</v>
      </c>
      <c r="D1292" s="16" t="s">
        <v>7597</v>
      </c>
      <c r="E1292" s="16" t="s">
        <v>8000</v>
      </c>
      <c r="F1292" s="16" t="s">
        <v>8001</v>
      </c>
      <c r="G1292" s="16" t="s">
        <v>8200</v>
      </c>
      <c r="H1292" s="16"/>
      <c r="I1292" s="16"/>
      <c r="J1292" s="16" t="s">
        <v>2</v>
      </c>
      <c r="K1292" s="16"/>
      <c r="L1292" s="16"/>
      <c r="M1292" s="19" t="s">
        <v>8187</v>
      </c>
      <c r="N1292" s="16"/>
      <c r="O1292" s="16" t="s">
        <v>8002</v>
      </c>
      <c r="P1292" s="16" t="str">
        <f>HYPERLINK("https://ceds.ed.gov/cedselementdetails.aspx?termid=27985")</f>
        <v>https://ceds.ed.gov/cedselementdetails.aspx?termid=27985</v>
      </c>
      <c r="Q1292" s="16">
        <v>75922</v>
      </c>
    </row>
    <row r="1293" spans="1:17" ht="43.2" x14ac:dyDescent="0.3">
      <c r="A1293" s="16" t="s">
        <v>7665</v>
      </c>
      <c r="B1293" s="16" t="s">
        <v>7675</v>
      </c>
      <c r="C1293" s="16" t="s">
        <v>7617</v>
      </c>
      <c r="D1293" s="16" t="s">
        <v>7597</v>
      </c>
      <c r="E1293" s="16" t="s">
        <v>8030</v>
      </c>
      <c r="F1293" s="16" t="s">
        <v>8031</v>
      </c>
      <c r="G1293" s="16" t="s">
        <v>8200</v>
      </c>
      <c r="H1293" s="16"/>
      <c r="I1293" s="16"/>
      <c r="J1293" s="16" t="s">
        <v>2</v>
      </c>
      <c r="K1293" s="16"/>
      <c r="L1293" s="16"/>
      <c r="M1293" s="19" t="s">
        <v>8188</v>
      </c>
      <c r="N1293" s="16"/>
      <c r="O1293" s="16" t="s">
        <v>8032</v>
      </c>
      <c r="P1293" s="16" t="str">
        <f>HYPERLINK("https://ceds.ed.gov/cedselementdetails.aspx?termid=27986")</f>
        <v>https://ceds.ed.gov/cedselementdetails.aspx?termid=27986</v>
      </c>
      <c r="Q1293" s="16">
        <v>75923</v>
      </c>
    </row>
    <row r="1294" spans="1:17" ht="43.2" x14ac:dyDescent="0.3">
      <c r="A1294" s="16" t="s">
        <v>7665</v>
      </c>
      <c r="B1294" s="16" t="s">
        <v>7675</v>
      </c>
      <c r="C1294" s="16" t="s">
        <v>7617</v>
      </c>
      <c r="D1294" s="16" t="s">
        <v>7597</v>
      </c>
      <c r="E1294" s="16" t="s">
        <v>8033</v>
      </c>
      <c r="F1294" s="16" t="s">
        <v>8034</v>
      </c>
      <c r="G1294" s="16" t="s">
        <v>8200</v>
      </c>
      <c r="H1294" s="16"/>
      <c r="I1294" s="16"/>
      <c r="J1294" s="16" t="s">
        <v>2</v>
      </c>
      <c r="K1294" s="16"/>
      <c r="L1294" s="16"/>
      <c r="M1294" s="19" t="s">
        <v>8189</v>
      </c>
      <c r="N1294" s="16"/>
      <c r="O1294" s="16" t="s">
        <v>8035</v>
      </c>
      <c r="P1294" s="16" t="str">
        <f>HYPERLINK("https://ceds.ed.gov/cedselementdetails.aspx?termid=27987")</f>
        <v>https://ceds.ed.gov/cedselementdetails.aspx?termid=27987</v>
      </c>
      <c r="Q1294" s="16">
        <v>75924</v>
      </c>
    </row>
    <row r="1295" spans="1:17" ht="43.2" x14ac:dyDescent="0.3">
      <c r="A1295" s="16" t="s">
        <v>7665</v>
      </c>
      <c r="B1295" s="16" t="s">
        <v>7675</v>
      </c>
      <c r="C1295" s="16" t="s">
        <v>7617</v>
      </c>
      <c r="D1295" s="16" t="s">
        <v>7597</v>
      </c>
      <c r="E1295" s="16" t="s">
        <v>8036</v>
      </c>
      <c r="F1295" s="16" t="s">
        <v>8037</v>
      </c>
      <c r="G1295" s="16" t="s">
        <v>8200</v>
      </c>
      <c r="H1295" s="16"/>
      <c r="I1295" s="16"/>
      <c r="J1295" s="16" t="s">
        <v>2</v>
      </c>
      <c r="K1295" s="16"/>
      <c r="L1295" s="16"/>
      <c r="M1295" s="19" t="s">
        <v>8190</v>
      </c>
      <c r="N1295" s="16"/>
      <c r="O1295" s="16" t="s">
        <v>8038</v>
      </c>
      <c r="P1295" s="16" t="str">
        <f>HYPERLINK("https://ceds.ed.gov/cedselementdetails.aspx?termid=27988")</f>
        <v>https://ceds.ed.gov/cedselementdetails.aspx?termid=27988</v>
      </c>
      <c r="Q1295" s="16">
        <v>75925</v>
      </c>
    </row>
    <row r="1296" spans="1:17" ht="72" x14ac:dyDescent="0.3">
      <c r="A1296" s="16" t="s">
        <v>7665</v>
      </c>
      <c r="B1296" s="16" t="s">
        <v>7675</v>
      </c>
      <c r="C1296" s="16" t="s">
        <v>7617</v>
      </c>
      <c r="D1296" s="16" t="s">
        <v>7597</v>
      </c>
      <c r="E1296" s="16" t="s">
        <v>8974</v>
      </c>
      <c r="F1296" s="16" t="s">
        <v>8975</v>
      </c>
      <c r="G1296" s="16" t="s">
        <v>32</v>
      </c>
      <c r="H1296" s="16"/>
      <c r="I1296" s="16"/>
      <c r="J1296" s="16" t="s">
        <v>120</v>
      </c>
      <c r="K1296" s="16"/>
      <c r="L1296" s="16" t="s">
        <v>8976</v>
      </c>
      <c r="M1296" s="19" t="s">
        <v>8977</v>
      </c>
      <c r="N1296" s="16"/>
      <c r="O1296" s="16" t="s">
        <v>8978</v>
      </c>
      <c r="P1296" s="16" t="str">
        <f>HYPERLINK("https://ceds.ed.gov/cedselementdetails.aspx?termid=28020")</f>
        <v>https://ceds.ed.gov/cedselementdetails.aspx?termid=28020</v>
      </c>
      <c r="Q1296" s="16">
        <v>76248</v>
      </c>
    </row>
    <row r="1297" spans="1:17" ht="72" x14ac:dyDescent="0.3">
      <c r="A1297" s="16" t="s">
        <v>7665</v>
      </c>
      <c r="B1297" s="16" t="s">
        <v>7675</v>
      </c>
      <c r="C1297" s="16" t="s">
        <v>7617</v>
      </c>
      <c r="D1297" s="16" t="s">
        <v>7597</v>
      </c>
      <c r="E1297" s="16" t="s">
        <v>8979</v>
      </c>
      <c r="F1297" s="16" t="s">
        <v>8980</v>
      </c>
      <c r="G1297" s="16" t="s">
        <v>32</v>
      </c>
      <c r="H1297" s="16"/>
      <c r="I1297" s="16"/>
      <c r="J1297" s="16" t="s">
        <v>1481</v>
      </c>
      <c r="K1297" s="16"/>
      <c r="L1297" s="16" t="s">
        <v>8976</v>
      </c>
      <c r="M1297" s="19" t="s">
        <v>8981</v>
      </c>
      <c r="N1297" s="16"/>
      <c r="O1297" s="16" t="s">
        <v>8982</v>
      </c>
      <c r="P1297" s="16" t="str">
        <f>HYPERLINK("https://ceds.ed.gov/cedselementdetails.aspx?termid=28021")</f>
        <v>https://ceds.ed.gov/cedselementdetails.aspx?termid=28021</v>
      </c>
      <c r="Q1297" s="16">
        <v>76249</v>
      </c>
    </row>
    <row r="1298" spans="1:17" ht="57.6" x14ac:dyDescent="0.3">
      <c r="A1298" s="16" t="s">
        <v>7665</v>
      </c>
      <c r="B1298" s="16" t="s">
        <v>7675</v>
      </c>
      <c r="C1298" s="16" t="s">
        <v>7617</v>
      </c>
      <c r="D1298" s="16" t="s">
        <v>7597</v>
      </c>
      <c r="E1298" s="16" t="s">
        <v>12783</v>
      </c>
      <c r="F1298" s="16" t="s">
        <v>12784</v>
      </c>
      <c r="G1298" s="16" t="s">
        <v>32</v>
      </c>
      <c r="H1298" s="16"/>
      <c r="I1298" s="16" t="s">
        <v>155</v>
      </c>
      <c r="J1298" s="16" t="s">
        <v>136</v>
      </c>
      <c r="K1298" s="16" t="s">
        <v>12636</v>
      </c>
      <c r="L1298" s="16"/>
      <c r="M1298" s="19" t="s">
        <v>12785</v>
      </c>
      <c r="N1298" s="16"/>
      <c r="O1298" s="16" t="s">
        <v>12786</v>
      </c>
      <c r="P1298" s="16" t="str">
        <f>HYPERLINK("https://ceds.ed.gov/cedselementdetails.aspx?termid=28118")</f>
        <v>https://ceds.ed.gov/cedselementdetails.aspx?termid=28118</v>
      </c>
      <c r="Q1298" s="16">
        <v>76632</v>
      </c>
    </row>
    <row r="1299" spans="1:17" ht="43.2" x14ac:dyDescent="0.3">
      <c r="A1299" s="16" t="s">
        <v>7665</v>
      </c>
      <c r="B1299" s="16" t="s">
        <v>7675</v>
      </c>
      <c r="C1299" s="16" t="s">
        <v>7617</v>
      </c>
      <c r="D1299" s="16" t="s">
        <v>7597</v>
      </c>
      <c r="E1299" s="16" t="s">
        <v>12787</v>
      </c>
      <c r="F1299" s="16" t="s">
        <v>12788</v>
      </c>
      <c r="G1299" s="16" t="s">
        <v>32</v>
      </c>
      <c r="H1299" s="16"/>
      <c r="I1299" s="16" t="s">
        <v>155</v>
      </c>
      <c r="J1299" s="16" t="s">
        <v>9103</v>
      </c>
      <c r="K1299" s="16" t="s">
        <v>12636</v>
      </c>
      <c r="L1299" s="16"/>
      <c r="M1299" s="19" t="s">
        <v>12789</v>
      </c>
      <c r="N1299" s="16"/>
      <c r="O1299" s="16" t="s">
        <v>12790</v>
      </c>
      <c r="P1299" s="16" t="str">
        <f>HYPERLINK("https://ceds.ed.gov/cedselementdetails.aspx?termid=28117")</f>
        <v>https://ceds.ed.gov/cedselementdetails.aspx?termid=28117</v>
      </c>
      <c r="Q1299" s="16">
        <v>76625</v>
      </c>
    </row>
    <row r="1300" spans="1:17" ht="43.2" x14ac:dyDescent="0.3">
      <c r="A1300" s="16" t="s">
        <v>7665</v>
      </c>
      <c r="B1300" s="16" t="s">
        <v>7675</v>
      </c>
      <c r="C1300" s="16" t="s">
        <v>7617</v>
      </c>
      <c r="D1300" s="16" t="s">
        <v>7597</v>
      </c>
      <c r="E1300" s="16" t="s">
        <v>12791</v>
      </c>
      <c r="F1300" s="16" t="s">
        <v>12792</v>
      </c>
      <c r="G1300" s="16" t="s">
        <v>32</v>
      </c>
      <c r="H1300" s="16"/>
      <c r="I1300" s="16" t="s">
        <v>155</v>
      </c>
      <c r="J1300" s="16" t="s">
        <v>106</v>
      </c>
      <c r="K1300" s="16" t="s">
        <v>12636</v>
      </c>
      <c r="L1300" s="16"/>
      <c r="M1300" s="19" t="s">
        <v>12793</v>
      </c>
      <c r="N1300" s="16"/>
      <c r="O1300" s="16" t="s">
        <v>12794</v>
      </c>
      <c r="P1300" s="16" t="str">
        <f>HYPERLINK("https://ceds.ed.gov/cedselementdetails.aspx?termid=28116")</f>
        <v>https://ceds.ed.gov/cedselementdetails.aspx?termid=28116</v>
      </c>
      <c r="Q1300" s="16">
        <v>76618</v>
      </c>
    </row>
    <row r="1301" spans="1:17" ht="43.2" x14ac:dyDescent="0.3">
      <c r="A1301" s="16" t="s">
        <v>7665</v>
      </c>
      <c r="B1301" s="16" t="s">
        <v>7675</v>
      </c>
      <c r="C1301" s="16" t="s">
        <v>7617</v>
      </c>
      <c r="D1301" s="16" t="s">
        <v>7597</v>
      </c>
      <c r="E1301" s="16" t="s">
        <v>12795</v>
      </c>
      <c r="F1301" s="16" t="s">
        <v>12796</v>
      </c>
      <c r="G1301" s="16" t="s">
        <v>12891</v>
      </c>
      <c r="H1301" s="16"/>
      <c r="I1301" s="16" t="s">
        <v>155</v>
      </c>
      <c r="J1301" s="16" t="s">
        <v>2</v>
      </c>
      <c r="K1301" s="16" t="s">
        <v>12636</v>
      </c>
      <c r="L1301" s="16"/>
      <c r="M1301" s="19" t="s">
        <v>12797</v>
      </c>
      <c r="N1301" s="16"/>
      <c r="O1301" s="16" t="s">
        <v>12798</v>
      </c>
      <c r="P1301" s="16" t="str">
        <f>HYPERLINK("https://ceds.ed.gov/cedselementdetails.aspx?termid=28114")</f>
        <v>https://ceds.ed.gov/cedselementdetails.aspx?termid=28114</v>
      </c>
      <c r="Q1301" s="16">
        <v>76604</v>
      </c>
    </row>
    <row r="1302" spans="1:17" ht="43.2" x14ac:dyDescent="0.3">
      <c r="A1302" s="16" t="s">
        <v>7665</v>
      </c>
      <c r="B1302" s="16" t="s">
        <v>7675</v>
      </c>
      <c r="C1302" s="16" t="s">
        <v>7617</v>
      </c>
      <c r="D1302" s="16" t="s">
        <v>7597</v>
      </c>
      <c r="E1302" s="16" t="s">
        <v>12799</v>
      </c>
      <c r="F1302" s="16" t="s">
        <v>12800</v>
      </c>
      <c r="G1302" s="16" t="s">
        <v>32</v>
      </c>
      <c r="H1302" s="16"/>
      <c r="I1302" s="16" t="s">
        <v>155</v>
      </c>
      <c r="J1302" s="16" t="s">
        <v>106</v>
      </c>
      <c r="K1302" s="16" t="s">
        <v>12636</v>
      </c>
      <c r="L1302" s="16"/>
      <c r="M1302" s="19" t="s">
        <v>12801</v>
      </c>
      <c r="N1302" s="16"/>
      <c r="O1302" s="16" t="s">
        <v>12802</v>
      </c>
      <c r="P1302" s="16" t="str">
        <f>HYPERLINK("https://ceds.ed.gov/cedselementdetails.aspx?termid=28115")</f>
        <v>https://ceds.ed.gov/cedselementdetails.aspx?termid=28115</v>
      </c>
      <c r="Q1302" s="16">
        <v>76611</v>
      </c>
    </row>
    <row r="1303" spans="1:17" ht="100.8" x14ac:dyDescent="0.3">
      <c r="A1303" s="16" t="s">
        <v>7665</v>
      </c>
      <c r="B1303" s="16" t="s">
        <v>7675</v>
      </c>
      <c r="C1303" s="16" t="s">
        <v>7617</v>
      </c>
      <c r="D1303" s="16" t="s">
        <v>7597</v>
      </c>
      <c r="E1303" s="16" t="s">
        <v>12803</v>
      </c>
      <c r="F1303" s="16" t="s">
        <v>12804</v>
      </c>
      <c r="G1303" s="16" t="s">
        <v>12911</v>
      </c>
      <c r="H1303" s="16"/>
      <c r="I1303" s="16" t="s">
        <v>155</v>
      </c>
      <c r="J1303" s="16" t="s">
        <v>2</v>
      </c>
      <c r="K1303" s="16" t="s">
        <v>12636</v>
      </c>
      <c r="L1303" s="16"/>
      <c r="M1303" s="19" t="s">
        <v>12805</v>
      </c>
      <c r="N1303" s="16"/>
      <c r="O1303" s="16" t="s">
        <v>12806</v>
      </c>
      <c r="P1303" s="16" t="str">
        <f>HYPERLINK("https://ceds.ed.gov/cedselementdetails.aspx?termid=28120")</f>
        <v>https://ceds.ed.gov/cedselementdetails.aspx?termid=28120</v>
      </c>
      <c r="Q1303" s="16">
        <v>76646</v>
      </c>
    </row>
    <row r="1304" spans="1:17" ht="72" x14ac:dyDescent="0.3">
      <c r="A1304" s="16" t="s">
        <v>7665</v>
      </c>
      <c r="B1304" s="16" t="s">
        <v>7675</v>
      </c>
      <c r="C1304" s="16" t="s">
        <v>7617</v>
      </c>
      <c r="D1304" s="16" t="s">
        <v>7597</v>
      </c>
      <c r="E1304" s="16" t="s">
        <v>12807</v>
      </c>
      <c r="F1304" s="16" t="s">
        <v>12808</v>
      </c>
      <c r="G1304" s="16" t="s">
        <v>12912</v>
      </c>
      <c r="H1304" s="16"/>
      <c r="I1304" s="16" t="s">
        <v>155</v>
      </c>
      <c r="J1304" s="16" t="s">
        <v>2</v>
      </c>
      <c r="K1304" s="16" t="s">
        <v>12636</v>
      </c>
      <c r="L1304" s="16"/>
      <c r="M1304" s="19" t="s">
        <v>12809</v>
      </c>
      <c r="N1304" s="16"/>
      <c r="O1304" s="16" t="s">
        <v>12810</v>
      </c>
      <c r="P1304" s="16" t="str">
        <f>HYPERLINK("https://ceds.ed.gov/cedselementdetails.aspx?termid=28119")</f>
        <v>https://ceds.ed.gov/cedselementdetails.aspx?termid=28119</v>
      </c>
      <c r="Q1304" s="16">
        <v>76639</v>
      </c>
    </row>
    <row r="1305" spans="1:17" ht="115.2" x14ac:dyDescent="0.3">
      <c r="A1305" s="16" t="s">
        <v>7665</v>
      </c>
      <c r="B1305" s="16" t="s">
        <v>7675</v>
      </c>
      <c r="C1305" s="16" t="s">
        <v>7672</v>
      </c>
      <c r="D1305" s="16" t="s">
        <v>7597</v>
      </c>
      <c r="E1305" s="16" t="s">
        <v>3860</v>
      </c>
      <c r="F1305" s="16" t="s">
        <v>3861</v>
      </c>
      <c r="G1305" s="16" t="s">
        <v>32</v>
      </c>
      <c r="H1305" s="16" t="s">
        <v>214</v>
      </c>
      <c r="I1305" s="16"/>
      <c r="J1305" s="16" t="s">
        <v>1481</v>
      </c>
      <c r="K1305" s="16"/>
      <c r="L1305" s="16"/>
      <c r="M1305" s="19" t="s">
        <v>3863</v>
      </c>
      <c r="N1305" s="16"/>
      <c r="O1305" s="16" t="s">
        <v>3864</v>
      </c>
      <c r="P1305" s="16" t="str">
        <f>HYPERLINK("https://ceds.ed.gov/cedselementdetails.aspx?termid=26540")</f>
        <v>https://ceds.ed.gov/cedselementdetails.aspx?termid=26540</v>
      </c>
      <c r="Q1305" s="16">
        <v>70953</v>
      </c>
    </row>
    <row r="1306" spans="1:17" ht="43.2" x14ac:dyDescent="0.3">
      <c r="A1306" s="16" t="s">
        <v>7665</v>
      </c>
      <c r="B1306" s="16" t="s">
        <v>7675</v>
      </c>
      <c r="C1306" s="16" t="s">
        <v>7672</v>
      </c>
      <c r="D1306" s="16" t="s">
        <v>7597</v>
      </c>
      <c r="E1306" s="16" t="s">
        <v>4045</v>
      </c>
      <c r="F1306" s="16" t="s">
        <v>4046</v>
      </c>
      <c r="G1306" s="16" t="s">
        <v>32</v>
      </c>
      <c r="H1306" s="16" t="s">
        <v>202</v>
      </c>
      <c r="I1306" s="16"/>
      <c r="J1306" s="16" t="s">
        <v>1481</v>
      </c>
      <c r="K1306" s="16"/>
      <c r="L1306" s="16"/>
      <c r="M1306" s="19" t="s">
        <v>4048</v>
      </c>
      <c r="N1306" s="16"/>
      <c r="O1306" s="16" t="s">
        <v>4049</v>
      </c>
      <c r="P1306" s="16" t="str">
        <f>HYPERLINK("https://ceds.ed.gov/cedselementdetails.aspx?termid=26442")</f>
        <v>https://ceds.ed.gov/cedselementdetails.aspx?termid=26442</v>
      </c>
      <c r="Q1306" s="16">
        <v>70925</v>
      </c>
    </row>
    <row r="1307" spans="1:17" ht="28.8" x14ac:dyDescent="0.3">
      <c r="A1307" s="16" t="s">
        <v>7665</v>
      </c>
      <c r="B1307" s="16" t="s">
        <v>7675</v>
      </c>
      <c r="C1307" s="16" t="s">
        <v>7672</v>
      </c>
      <c r="D1307" s="16" t="s">
        <v>7597</v>
      </c>
      <c r="E1307" s="16" t="s">
        <v>4690</v>
      </c>
      <c r="F1307" s="16" t="s">
        <v>4691</v>
      </c>
      <c r="G1307" s="16" t="s">
        <v>32</v>
      </c>
      <c r="H1307" s="16" t="s">
        <v>202</v>
      </c>
      <c r="I1307" s="16"/>
      <c r="J1307" s="16" t="s">
        <v>1481</v>
      </c>
      <c r="K1307" s="16"/>
      <c r="L1307" s="16"/>
      <c r="M1307" s="19" t="s">
        <v>4692</v>
      </c>
      <c r="N1307" s="16"/>
      <c r="O1307" s="16" t="s">
        <v>4693</v>
      </c>
      <c r="P1307" s="16" t="str">
        <f>HYPERLINK("https://ceds.ed.gov/cedselementdetails.aspx?termid=26454")</f>
        <v>https://ceds.ed.gov/cedselementdetails.aspx?termid=26454</v>
      </c>
      <c r="Q1307" s="16">
        <v>70931</v>
      </c>
    </row>
    <row r="1308" spans="1:17" ht="28.8" x14ac:dyDescent="0.3">
      <c r="A1308" s="16" t="s">
        <v>7665</v>
      </c>
      <c r="B1308" s="16" t="s">
        <v>7675</v>
      </c>
      <c r="C1308" s="16" t="s">
        <v>7672</v>
      </c>
      <c r="D1308" s="16" t="s">
        <v>7597</v>
      </c>
      <c r="E1308" s="16" t="s">
        <v>4682</v>
      </c>
      <c r="F1308" s="16" t="s">
        <v>4683</v>
      </c>
      <c r="G1308" s="16" t="s">
        <v>32</v>
      </c>
      <c r="H1308" s="16" t="s">
        <v>202</v>
      </c>
      <c r="I1308" s="16"/>
      <c r="J1308" s="16" t="s">
        <v>1481</v>
      </c>
      <c r="K1308" s="16"/>
      <c r="L1308" s="16"/>
      <c r="M1308" s="19" t="s">
        <v>4684</v>
      </c>
      <c r="N1308" s="16"/>
      <c r="O1308" s="16" t="s">
        <v>4685</v>
      </c>
      <c r="P1308" s="16" t="str">
        <f>HYPERLINK("https://ceds.ed.gov/cedselementdetails.aspx?termid=26451")</f>
        <v>https://ceds.ed.gov/cedselementdetails.aspx?termid=26451</v>
      </c>
      <c r="Q1308" s="16">
        <v>70928</v>
      </c>
    </row>
    <row r="1309" spans="1:17" ht="43.2" x14ac:dyDescent="0.3">
      <c r="A1309" s="16" t="s">
        <v>7665</v>
      </c>
      <c r="B1309" s="16" t="s">
        <v>7675</v>
      </c>
      <c r="C1309" s="16" t="s">
        <v>7672</v>
      </c>
      <c r="D1309" s="16" t="s">
        <v>7597</v>
      </c>
      <c r="E1309" s="16" t="s">
        <v>4686</v>
      </c>
      <c r="F1309" s="16" t="s">
        <v>4687</v>
      </c>
      <c r="G1309" s="16" t="s">
        <v>32</v>
      </c>
      <c r="H1309" s="16" t="s">
        <v>202</v>
      </c>
      <c r="I1309" s="16"/>
      <c r="J1309" s="16" t="s">
        <v>1481</v>
      </c>
      <c r="K1309" s="16"/>
      <c r="L1309" s="16"/>
      <c r="M1309" s="19" t="s">
        <v>4688</v>
      </c>
      <c r="N1309" s="16"/>
      <c r="O1309" s="16" t="s">
        <v>4689</v>
      </c>
      <c r="P1309" s="16" t="str">
        <f>HYPERLINK("https://ceds.ed.gov/cedselementdetails.aspx?termid=26452")</f>
        <v>https://ceds.ed.gov/cedselementdetails.aspx?termid=26452</v>
      </c>
      <c r="Q1309" s="16">
        <v>70929</v>
      </c>
    </row>
    <row r="1310" spans="1:17" ht="57.6" x14ac:dyDescent="0.3">
      <c r="A1310" s="16" t="s">
        <v>7665</v>
      </c>
      <c r="B1310" s="16" t="s">
        <v>7675</v>
      </c>
      <c r="C1310" s="16" t="s">
        <v>7672</v>
      </c>
      <c r="D1310" s="16" t="s">
        <v>7597</v>
      </c>
      <c r="E1310" s="16" t="s">
        <v>5278</v>
      </c>
      <c r="F1310" s="16" t="s">
        <v>5279</v>
      </c>
      <c r="G1310" s="16" t="s">
        <v>22</v>
      </c>
      <c r="H1310" s="16" t="s">
        <v>202</v>
      </c>
      <c r="I1310" s="16"/>
      <c r="J1310" s="16"/>
      <c r="K1310" s="16"/>
      <c r="L1310" s="16"/>
      <c r="M1310" s="19" t="s">
        <v>5280</v>
      </c>
      <c r="N1310" s="16" t="s">
        <v>5281</v>
      </c>
      <c r="O1310" s="16" t="s">
        <v>5282</v>
      </c>
      <c r="P1310" s="16" t="str">
        <f>HYPERLINK("https://ceds.ed.gov/cedselementdetails.aspx?termid=26436")</f>
        <v>https://ceds.ed.gov/cedselementdetails.aspx?termid=26436</v>
      </c>
      <c r="Q1310" s="16">
        <v>70921</v>
      </c>
    </row>
    <row r="1311" spans="1:17" ht="57.6" x14ac:dyDescent="0.3">
      <c r="A1311" s="16" t="s">
        <v>7665</v>
      </c>
      <c r="B1311" s="16" t="s">
        <v>7675</v>
      </c>
      <c r="C1311" s="16" t="s">
        <v>7672</v>
      </c>
      <c r="D1311" s="16" t="s">
        <v>7597</v>
      </c>
      <c r="E1311" s="16" t="s">
        <v>5245</v>
      </c>
      <c r="F1311" s="16" t="s">
        <v>5246</v>
      </c>
      <c r="G1311" s="16" t="s">
        <v>8712</v>
      </c>
      <c r="H1311" s="16" t="s">
        <v>202</v>
      </c>
      <c r="I1311" s="16"/>
      <c r="J1311" s="16"/>
      <c r="K1311" s="16"/>
      <c r="L1311" s="16"/>
      <c r="M1311" s="19" t="s">
        <v>5248</v>
      </c>
      <c r="N1311" s="16" t="s">
        <v>5249</v>
      </c>
      <c r="O1311" s="16" t="s">
        <v>5250</v>
      </c>
      <c r="P1311" s="16" t="str">
        <f>HYPERLINK("https://ceds.ed.gov/cedselementdetails.aspx?termid=26441")</f>
        <v>https://ceds.ed.gov/cedselementdetails.aspx?termid=26441</v>
      </c>
      <c r="Q1311" s="16">
        <v>70924</v>
      </c>
    </row>
    <row r="1312" spans="1:17" ht="57.6" x14ac:dyDescent="0.3">
      <c r="A1312" s="16" t="s">
        <v>7665</v>
      </c>
      <c r="B1312" s="16" t="s">
        <v>7675</v>
      </c>
      <c r="C1312" s="16" t="s">
        <v>7672</v>
      </c>
      <c r="D1312" s="16" t="s">
        <v>7597</v>
      </c>
      <c r="E1312" s="16" t="s">
        <v>6171</v>
      </c>
      <c r="F1312" s="16" t="s">
        <v>6172</v>
      </c>
      <c r="G1312" s="16" t="s">
        <v>32</v>
      </c>
      <c r="H1312" s="16" t="s">
        <v>214</v>
      </c>
      <c r="I1312" s="16"/>
      <c r="J1312" s="16" t="s">
        <v>1481</v>
      </c>
      <c r="K1312" s="16"/>
      <c r="L1312" s="16"/>
      <c r="M1312" s="19" t="s">
        <v>6173</v>
      </c>
      <c r="N1312" s="16"/>
      <c r="O1312" s="16" t="s">
        <v>6174</v>
      </c>
      <c r="P1312" s="16" t="str">
        <f>HYPERLINK("https://ceds.ed.gov/cedselementdetails.aspx?termid=26560")</f>
        <v>https://ceds.ed.gov/cedselementdetails.aspx?termid=26560</v>
      </c>
      <c r="Q1312" s="16">
        <v>70958</v>
      </c>
    </row>
    <row r="1313" spans="1:17" ht="100.8" x14ac:dyDescent="0.3">
      <c r="A1313" s="16" t="s">
        <v>7665</v>
      </c>
      <c r="B1313" s="16" t="s">
        <v>7675</v>
      </c>
      <c r="C1313" s="16" t="s">
        <v>7672</v>
      </c>
      <c r="D1313" s="16" t="s">
        <v>7597</v>
      </c>
      <c r="E1313" s="16" t="s">
        <v>6543</v>
      </c>
      <c r="F1313" s="16" t="s">
        <v>6544</v>
      </c>
      <c r="G1313" s="16" t="s">
        <v>32</v>
      </c>
      <c r="H1313" s="16" t="s">
        <v>202</v>
      </c>
      <c r="I1313" s="16"/>
      <c r="J1313" s="16" t="s">
        <v>742</v>
      </c>
      <c r="K1313" s="16"/>
      <c r="L1313" s="16"/>
      <c r="M1313" s="19" t="s">
        <v>6545</v>
      </c>
      <c r="N1313" s="16"/>
      <c r="O1313" s="16" t="s">
        <v>6546</v>
      </c>
      <c r="P1313" s="16" t="str">
        <f>HYPERLINK("https://ceds.ed.gov/cedselementdetails.aspx?termid=26470")</f>
        <v>https://ceds.ed.gov/cedselementdetails.aspx?termid=26470</v>
      </c>
      <c r="Q1313" s="16">
        <v>70941</v>
      </c>
    </row>
    <row r="1314" spans="1:17" ht="28.8" x14ac:dyDescent="0.3">
      <c r="A1314" s="16" t="s">
        <v>7665</v>
      </c>
      <c r="B1314" s="16" t="s">
        <v>7675</v>
      </c>
      <c r="C1314" s="16" t="s">
        <v>7672</v>
      </c>
      <c r="D1314" s="16" t="s">
        <v>7597</v>
      </c>
      <c r="E1314" s="16" t="s">
        <v>6527</v>
      </c>
      <c r="F1314" s="16" t="s">
        <v>6528</v>
      </c>
      <c r="G1314" s="16" t="s">
        <v>32</v>
      </c>
      <c r="H1314" s="16" t="s">
        <v>202</v>
      </c>
      <c r="I1314" s="16"/>
      <c r="J1314" s="16" t="s">
        <v>1481</v>
      </c>
      <c r="K1314" s="16"/>
      <c r="L1314" s="16"/>
      <c r="M1314" s="19" t="s">
        <v>6529</v>
      </c>
      <c r="N1314" s="16"/>
      <c r="O1314" s="16" t="s">
        <v>6530</v>
      </c>
      <c r="P1314" s="16" t="str">
        <f>HYPERLINK("https://ceds.ed.gov/cedselementdetails.aspx?termid=26471")</f>
        <v>https://ceds.ed.gov/cedselementdetails.aspx?termid=26471</v>
      </c>
      <c r="Q1314" s="16">
        <v>70942</v>
      </c>
    </row>
    <row r="1315" spans="1:17" ht="57.6" x14ac:dyDescent="0.3">
      <c r="A1315" s="16" t="s">
        <v>7665</v>
      </c>
      <c r="B1315" s="16" t="s">
        <v>7675</v>
      </c>
      <c r="C1315" s="16" t="s">
        <v>7672</v>
      </c>
      <c r="D1315" s="16" t="s">
        <v>7597</v>
      </c>
      <c r="E1315" s="16" t="s">
        <v>6966</v>
      </c>
      <c r="F1315" s="16" t="s">
        <v>6967</v>
      </c>
      <c r="G1315" s="16" t="s">
        <v>32</v>
      </c>
      <c r="H1315" s="16" t="s">
        <v>214</v>
      </c>
      <c r="I1315" s="16"/>
      <c r="J1315" s="16" t="s">
        <v>1481</v>
      </c>
      <c r="K1315" s="16"/>
      <c r="L1315" s="16"/>
      <c r="M1315" s="19" t="s">
        <v>6968</v>
      </c>
      <c r="N1315" s="16" t="s">
        <v>6969</v>
      </c>
      <c r="O1315" s="16" t="s">
        <v>6970</v>
      </c>
      <c r="P1315" s="16" t="str">
        <f>HYPERLINK("https://ceds.ed.gov/cedselementdetails.aspx?termid=26559")</f>
        <v>https://ceds.ed.gov/cedselementdetails.aspx?termid=26559</v>
      </c>
      <c r="Q1315" s="16">
        <v>70957</v>
      </c>
    </row>
    <row r="1316" spans="1:17" ht="57.6" x14ac:dyDescent="0.3">
      <c r="A1316" s="16" t="s">
        <v>7665</v>
      </c>
      <c r="B1316" s="16" t="s">
        <v>7675</v>
      </c>
      <c r="C1316" s="16" t="s">
        <v>7672</v>
      </c>
      <c r="D1316" s="16" t="s">
        <v>7597</v>
      </c>
      <c r="E1316" s="16" t="s">
        <v>6971</v>
      </c>
      <c r="F1316" s="16" t="s">
        <v>6972</v>
      </c>
      <c r="G1316" s="16" t="s">
        <v>32</v>
      </c>
      <c r="H1316" s="16" t="s">
        <v>214</v>
      </c>
      <c r="I1316" s="16"/>
      <c r="J1316" s="16" t="s">
        <v>1481</v>
      </c>
      <c r="K1316" s="16"/>
      <c r="L1316" s="16"/>
      <c r="M1316" s="19" t="s">
        <v>6973</v>
      </c>
      <c r="N1316" s="16" t="s">
        <v>6974</v>
      </c>
      <c r="O1316" s="16" t="s">
        <v>6975</v>
      </c>
      <c r="P1316" s="16" t="str">
        <f>HYPERLINK("https://ceds.ed.gov/cedselementdetails.aspx?termid=26567")</f>
        <v>https://ceds.ed.gov/cedselementdetails.aspx?termid=26567</v>
      </c>
      <c r="Q1316" s="16">
        <v>70960</v>
      </c>
    </row>
    <row r="1317" spans="1:17" ht="43.2" x14ac:dyDescent="0.3">
      <c r="A1317" s="16" t="s">
        <v>7665</v>
      </c>
      <c r="B1317" s="16" t="s">
        <v>7675</v>
      </c>
      <c r="C1317" s="16" t="s">
        <v>7672</v>
      </c>
      <c r="D1317" s="16" t="s">
        <v>7597</v>
      </c>
      <c r="E1317" s="16" t="s">
        <v>6961</v>
      </c>
      <c r="F1317" s="16" t="s">
        <v>6962</v>
      </c>
      <c r="G1317" s="16" t="s">
        <v>32</v>
      </c>
      <c r="H1317" s="16" t="s">
        <v>214</v>
      </c>
      <c r="I1317" s="16"/>
      <c r="J1317" s="16" t="s">
        <v>1481</v>
      </c>
      <c r="K1317" s="16"/>
      <c r="L1317" s="16"/>
      <c r="M1317" s="19" t="s">
        <v>6963</v>
      </c>
      <c r="N1317" s="16" t="s">
        <v>6964</v>
      </c>
      <c r="O1317" s="16" t="s">
        <v>6965</v>
      </c>
      <c r="P1317" s="16" t="str">
        <f>HYPERLINK("https://ceds.ed.gov/cedselementdetails.aspx?termid=26566")</f>
        <v>https://ceds.ed.gov/cedselementdetails.aspx?termid=26566</v>
      </c>
      <c r="Q1317" s="16">
        <v>70959</v>
      </c>
    </row>
    <row r="1318" spans="1:17" ht="144" x14ac:dyDescent="0.3">
      <c r="A1318" s="16" t="s">
        <v>7665</v>
      </c>
      <c r="B1318" s="16" t="s">
        <v>7675</v>
      </c>
      <c r="C1318" s="16" t="s">
        <v>7672</v>
      </c>
      <c r="D1318" s="16" t="s">
        <v>7597</v>
      </c>
      <c r="E1318" s="16" t="s">
        <v>7209</v>
      </c>
      <c r="F1318" s="16" t="s">
        <v>7210</v>
      </c>
      <c r="G1318" s="16" t="s">
        <v>8861</v>
      </c>
      <c r="H1318" s="16" t="s">
        <v>202</v>
      </c>
      <c r="I1318" s="16"/>
      <c r="J1318" s="16"/>
      <c r="K1318" s="16"/>
      <c r="L1318" s="16"/>
      <c r="M1318" s="19" t="s">
        <v>7211</v>
      </c>
      <c r="N1318" s="16" t="s">
        <v>7212</v>
      </c>
      <c r="O1318" s="16" t="s">
        <v>7213</v>
      </c>
      <c r="P1318" s="16" t="str">
        <f>HYPERLINK("https://ceds.ed.gov/cedselementdetails.aspx?termid=26477")</f>
        <v>https://ceds.ed.gov/cedselementdetails.aspx?termid=26477</v>
      </c>
      <c r="Q1318" s="16">
        <v>70945</v>
      </c>
    </row>
    <row r="1319" spans="1:17" ht="72" x14ac:dyDescent="0.3">
      <c r="A1319" s="16" t="s">
        <v>7665</v>
      </c>
      <c r="B1319" s="16" t="s">
        <v>7675</v>
      </c>
      <c r="C1319" s="16" t="s">
        <v>7672</v>
      </c>
      <c r="D1319" s="16" t="s">
        <v>7597</v>
      </c>
      <c r="E1319" s="16" t="s">
        <v>3856</v>
      </c>
      <c r="F1319" s="16" t="s">
        <v>7976</v>
      </c>
      <c r="G1319" s="16" t="s">
        <v>32</v>
      </c>
      <c r="H1319" s="16" t="s">
        <v>214</v>
      </c>
      <c r="I1319" s="16"/>
      <c r="J1319" s="16" t="s">
        <v>3857</v>
      </c>
      <c r="K1319" s="16"/>
      <c r="L1319" s="16"/>
      <c r="M1319" s="19" t="s">
        <v>3858</v>
      </c>
      <c r="N1319" s="16"/>
      <c r="O1319" s="16" t="s">
        <v>3859</v>
      </c>
      <c r="P1319" s="16" t="str">
        <f>HYPERLINK("https://ceds.ed.gov/cedselementdetails.aspx?termid=26538")</f>
        <v>https://ceds.ed.gov/cedselementdetails.aspx?termid=26538</v>
      </c>
      <c r="Q1319" s="16">
        <v>73708</v>
      </c>
    </row>
    <row r="1320" spans="1:17" ht="115.2" x14ac:dyDescent="0.3">
      <c r="A1320" s="16" t="s">
        <v>7665</v>
      </c>
      <c r="B1320" s="16" t="s">
        <v>7675</v>
      </c>
      <c r="C1320" s="16" t="s">
        <v>7676</v>
      </c>
      <c r="D1320" s="16" t="s">
        <v>7597</v>
      </c>
      <c r="E1320" s="16" t="s">
        <v>1497</v>
      </c>
      <c r="F1320" s="16" t="s">
        <v>1498</v>
      </c>
      <c r="G1320" s="16" t="s">
        <v>8368</v>
      </c>
      <c r="H1320" s="16" t="s">
        <v>202</v>
      </c>
      <c r="I1320" s="16"/>
      <c r="J1320" s="16"/>
      <c r="K1320" s="16"/>
      <c r="L1320" s="16"/>
      <c r="M1320" s="19" t="s">
        <v>1500</v>
      </c>
      <c r="N1320" s="16"/>
      <c r="O1320" s="16" t="s">
        <v>1501</v>
      </c>
      <c r="P1320" s="16" t="str">
        <f>HYPERLINK("https://ceds.ed.gov/cedselementdetails.aspx?termid=26439")</f>
        <v>https://ceds.ed.gov/cedselementdetails.aspx?termid=26439</v>
      </c>
      <c r="Q1320" s="16">
        <v>70923</v>
      </c>
    </row>
    <row r="1321" spans="1:17" ht="72" x14ac:dyDescent="0.3">
      <c r="A1321" s="16" t="s">
        <v>7665</v>
      </c>
      <c r="B1321" s="16" t="s">
        <v>7675</v>
      </c>
      <c r="C1321" s="16" t="s">
        <v>7676</v>
      </c>
      <c r="D1321" s="16" t="s">
        <v>7597</v>
      </c>
      <c r="E1321" s="16" t="s">
        <v>3061</v>
      </c>
      <c r="F1321" s="16" t="s">
        <v>3062</v>
      </c>
      <c r="G1321" s="16" t="s">
        <v>22</v>
      </c>
      <c r="H1321" s="16" t="s">
        <v>25</v>
      </c>
      <c r="I1321" s="16"/>
      <c r="J1321" s="16"/>
      <c r="K1321" s="16"/>
      <c r="L1321" s="16"/>
      <c r="M1321" s="19" t="s">
        <v>3063</v>
      </c>
      <c r="N1321" s="16"/>
      <c r="O1321" s="16" t="s">
        <v>3064</v>
      </c>
      <c r="P1321" s="16" t="str">
        <f>HYPERLINK("https://ceds.ed.gov/cedselementdetails.aspx?termid=26080")</f>
        <v>https://ceds.ed.gov/cedselementdetails.aspx?termid=26080</v>
      </c>
      <c r="Q1321" s="16">
        <v>70888</v>
      </c>
    </row>
    <row r="1322" spans="1:17" ht="57.6" x14ac:dyDescent="0.3">
      <c r="A1322" s="16" t="s">
        <v>7665</v>
      </c>
      <c r="B1322" s="16" t="s">
        <v>7675</v>
      </c>
      <c r="C1322" s="16" t="s">
        <v>7676</v>
      </c>
      <c r="D1322" s="16" t="s">
        <v>7597</v>
      </c>
      <c r="E1322" s="16" t="s">
        <v>4205</v>
      </c>
      <c r="F1322" s="16" t="s">
        <v>4206</v>
      </c>
      <c r="G1322" s="16" t="s">
        <v>22</v>
      </c>
      <c r="H1322" s="16" t="s">
        <v>25</v>
      </c>
      <c r="I1322" s="16"/>
      <c r="J1322" s="16"/>
      <c r="K1322" s="16"/>
      <c r="L1322" s="16"/>
      <c r="M1322" s="19" t="s">
        <v>4207</v>
      </c>
      <c r="N1322" s="16"/>
      <c r="O1322" s="16" t="s">
        <v>4208</v>
      </c>
      <c r="P1322" s="16" t="str">
        <f>HYPERLINK("https://ceds.ed.gov/cedselementdetails.aspx?termid=26135")</f>
        <v>https://ceds.ed.gov/cedselementdetails.aspx?termid=26135</v>
      </c>
      <c r="Q1322" s="16">
        <v>70891</v>
      </c>
    </row>
    <row r="1323" spans="1:17" ht="86.4" x14ac:dyDescent="0.3">
      <c r="A1323" s="16" t="s">
        <v>7665</v>
      </c>
      <c r="B1323" s="16" t="s">
        <v>7675</v>
      </c>
      <c r="C1323" s="16" t="s">
        <v>7676</v>
      </c>
      <c r="D1323" s="16" t="s">
        <v>7597</v>
      </c>
      <c r="E1323" s="16" t="s">
        <v>4761</v>
      </c>
      <c r="F1323" s="16" t="s">
        <v>4762</v>
      </c>
      <c r="G1323" s="16" t="s">
        <v>8667</v>
      </c>
      <c r="H1323" s="16" t="s">
        <v>214</v>
      </c>
      <c r="I1323" s="16"/>
      <c r="J1323" s="16"/>
      <c r="K1323" s="16"/>
      <c r="L1323" s="16"/>
      <c r="M1323" s="19" t="s">
        <v>4763</v>
      </c>
      <c r="N1323" s="16"/>
      <c r="O1323" s="16" t="s">
        <v>4764</v>
      </c>
      <c r="P1323" s="16" t="str">
        <f>HYPERLINK("https://ceds.ed.gov/cedselementdetails.aspx?termid=26170")</f>
        <v>https://ceds.ed.gov/cedselementdetails.aspx?termid=26170</v>
      </c>
      <c r="Q1323" s="16">
        <v>70896</v>
      </c>
    </row>
    <row r="1324" spans="1:17" ht="86.4" x14ac:dyDescent="0.3">
      <c r="A1324" s="16" t="s">
        <v>7665</v>
      </c>
      <c r="B1324" s="16" t="s">
        <v>7675</v>
      </c>
      <c r="C1324" s="16" t="s">
        <v>7676</v>
      </c>
      <c r="D1324" s="16" t="s">
        <v>7597</v>
      </c>
      <c r="E1324" s="16" t="s">
        <v>6429</v>
      </c>
      <c r="F1324" s="16" t="s">
        <v>6430</v>
      </c>
      <c r="G1324" s="16" t="s">
        <v>8317</v>
      </c>
      <c r="H1324" s="16" t="s">
        <v>214</v>
      </c>
      <c r="I1324" s="16"/>
      <c r="J1324" s="16"/>
      <c r="K1324" s="16"/>
      <c r="L1324" s="16"/>
      <c r="M1324" s="19" t="s">
        <v>6431</v>
      </c>
      <c r="N1324" s="16" t="s">
        <v>6432</v>
      </c>
      <c r="O1324" s="16" t="s">
        <v>6433</v>
      </c>
      <c r="P1324" s="16" t="str">
        <f>HYPERLINK("https://ceds.ed.gov/cedselementdetails.aspx?termid=26552")</f>
        <v>https://ceds.ed.gov/cedselementdetails.aspx?termid=26552</v>
      </c>
      <c r="Q1324" s="16">
        <v>70956</v>
      </c>
    </row>
    <row r="1325" spans="1:17" ht="100.8" x14ac:dyDescent="0.3">
      <c r="A1325" s="16" t="s">
        <v>7665</v>
      </c>
      <c r="B1325" s="16" t="s">
        <v>7675</v>
      </c>
      <c r="C1325" s="16" t="s">
        <v>7676</v>
      </c>
      <c r="D1325" s="16" t="s">
        <v>7597</v>
      </c>
      <c r="E1325" s="16" t="s">
        <v>6865</v>
      </c>
      <c r="F1325" s="16" t="s">
        <v>6866</v>
      </c>
      <c r="G1325" s="16" t="s">
        <v>32</v>
      </c>
      <c r="H1325" s="16" t="s">
        <v>202</v>
      </c>
      <c r="I1325" s="16"/>
      <c r="J1325" s="16" t="s">
        <v>742</v>
      </c>
      <c r="K1325" s="16"/>
      <c r="L1325" s="16"/>
      <c r="M1325" s="19" t="s">
        <v>6867</v>
      </c>
      <c r="N1325" s="16"/>
      <c r="O1325" s="16" t="s">
        <v>6868</v>
      </c>
      <c r="P1325" s="16" t="str">
        <f>HYPERLINK("https://ceds.ed.gov/cedselementdetails.aspx?termid=26444")</f>
        <v>https://ceds.ed.gov/cedselementdetails.aspx?termid=26444</v>
      </c>
      <c r="Q1325" s="16">
        <v>70927</v>
      </c>
    </row>
    <row r="1326" spans="1:17" ht="57.6" x14ac:dyDescent="0.3">
      <c r="A1326" s="16" t="s">
        <v>7665</v>
      </c>
      <c r="B1326" s="16" t="s">
        <v>7675</v>
      </c>
      <c r="C1326" s="16" t="s">
        <v>7676</v>
      </c>
      <c r="D1326" s="16" t="s">
        <v>7597</v>
      </c>
      <c r="E1326" s="16" t="s">
        <v>6869</v>
      </c>
      <c r="F1326" s="16" t="s">
        <v>6870</v>
      </c>
      <c r="G1326" s="16" t="s">
        <v>32</v>
      </c>
      <c r="H1326" s="16" t="s">
        <v>6873</v>
      </c>
      <c r="I1326" s="16"/>
      <c r="J1326" s="16" t="s">
        <v>742</v>
      </c>
      <c r="K1326" s="16"/>
      <c r="L1326" s="16"/>
      <c r="M1326" s="19" t="s">
        <v>6871</v>
      </c>
      <c r="N1326" s="16"/>
      <c r="O1326" s="16" t="s">
        <v>6872</v>
      </c>
      <c r="P1326" s="16" t="str">
        <f>HYPERLINK("https://ceds.ed.gov/cedselementdetails.aspx?termid=26443")</f>
        <v>https://ceds.ed.gov/cedselementdetails.aspx?termid=26443</v>
      </c>
      <c r="Q1326" s="16">
        <v>70926</v>
      </c>
    </row>
    <row r="1327" spans="1:17" ht="43.2" x14ac:dyDescent="0.3">
      <c r="A1327" s="16" t="s">
        <v>7665</v>
      </c>
      <c r="B1327" s="16" t="s">
        <v>7675</v>
      </c>
      <c r="C1327" s="16" t="s">
        <v>7676</v>
      </c>
      <c r="D1327" s="16" t="s">
        <v>7597</v>
      </c>
      <c r="E1327" s="16" t="s">
        <v>7070</v>
      </c>
      <c r="F1327" s="16" t="s">
        <v>7071</v>
      </c>
      <c r="G1327" s="16" t="s">
        <v>22</v>
      </c>
      <c r="H1327" s="16" t="s">
        <v>202</v>
      </c>
      <c r="I1327" s="16"/>
      <c r="J1327" s="16"/>
      <c r="K1327" s="16"/>
      <c r="L1327" s="16"/>
      <c r="M1327" s="19" t="s">
        <v>7072</v>
      </c>
      <c r="N1327" s="16"/>
      <c r="O1327" s="16" t="s">
        <v>7073</v>
      </c>
      <c r="P1327" s="16" t="str">
        <f>HYPERLINK("https://ceds.ed.gov/cedselementdetails.aspx?termid=26473")</f>
        <v>https://ceds.ed.gov/cedselementdetails.aspx?termid=26473</v>
      </c>
      <c r="Q1327" s="16">
        <v>70943</v>
      </c>
    </row>
    <row r="1328" spans="1:17" ht="72" x14ac:dyDescent="0.3">
      <c r="A1328" s="16" t="s">
        <v>7665</v>
      </c>
      <c r="B1328" s="16" t="s">
        <v>7675</v>
      </c>
      <c r="C1328" s="16" t="s">
        <v>7676</v>
      </c>
      <c r="D1328" s="16" t="s">
        <v>7597</v>
      </c>
      <c r="E1328" s="16" t="s">
        <v>4782</v>
      </c>
      <c r="F1328" s="16" t="s">
        <v>8071</v>
      </c>
      <c r="G1328" s="16" t="s">
        <v>32</v>
      </c>
      <c r="H1328" s="16"/>
      <c r="I1328" s="16"/>
      <c r="J1328" s="16" t="s">
        <v>305</v>
      </c>
      <c r="K1328" s="16"/>
      <c r="L1328" s="16"/>
      <c r="M1328" s="19" t="s">
        <v>4783</v>
      </c>
      <c r="N1328" s="16"/>
      <c r="O1328" s="16" t="s">
        <v>4784</v>
      </c>
      <c r="P1328" s="16" t="str">
        <f>HYPERLINK("https://ceds.ed.gov/cedselementdetails.aspx?termid=26660")</f>
        <v>https://ceds.ed.gov/cedselementdetails.aspx?termid=26660</v>
      </c>
      <c r="Q1328" s="16">
        <v>70963</v>
      </c>
    </row>
    <row r="1329" spans="1:17" ht="72" x14ac:dyDescent="0.3">
      <c r="A1329" s="16" t="s">
        <v>7665</v>
      </c>
      <c r="B1329" s="16" t="s">
        <v>7675</v>
      </c>
      <c r="C1329" s="16" t="s">
        <v>7676</v>
      </c>
      <c r="D1329" s="16" t="s">
        <v>7597</v>
      </c>
      <c r="E1329" s="16" t="s">
        <v>4779</v>
      </c>
      <c r="F1329" s="16" t="s">
        <v>8070</v>
      </c>
      <c r="G1329" s="16" t="s">
        <v>32</v>
      </c>
      <c r="H1329" s="16"/>
      <c r="I1329" s="16"/>
      <c r="J1329" s="16" t="s">
        <v>305</v>
      </c>
      <c r="K1329" s="16"/>
      <c r="L1329" s="16"/>
      <c r="M1329" s="19" t="s">
        <v>4780</v>
      </c>
      <c r="N1329" s="16"/>
      <c r="O1329" s="16" t="s">
        <v>4781</v>
      </c>
      <c r="P1329" s="16" t="str">
        <f>HYPERLINK("https://ceds.ed.gov/cedselementdetails.aspx?termid=26661")</f>
        <v>https://ceds.ed.gov/cedselementdetails.aspx?termid=26661</v>
      </c>
      <c r="Q1329" s="16">
        <v>70964</v>
      </c>
    </row>
    <row r="1330" spans="1:17" ht="86.4" x14ac:dyDescent="0.3">
      <c r="A1330" s="16" t="s">
        <v>7665</v>
      </c>
      <c r="B1330" s="16" t="s">
        <v>7675</v>
      </c>
      <c r="C1330" s="16" t="s">
        <v>7676</v>
      </c>
      <c r="D1330" s="16" t="s">
        <v>7597</v>
      </c>
      <c r="E1330" s="16" t="s">
        <v>4788</v>
      </c>
      <c r="F1330" s="16" t="s">
        <v>8073</v>
      </c>
      <c r="G1330" s="16" t="s">
        <v>32</v>
      </c>
      <c r="H1330" s="16"/>
      <c r="I1330" s="16"/>
      <c r="J1330" s="16" t="s">
        <v>305</v>
      </c>
      <c r="K1330" s="16"/>
      <c r="L1330" s="16"/>
      <c r="M1330" s="19" t="s">
        <v>4789</v>
      </c>
      <c r="N1330" s="16"/>
      <c r="O1330" s="16" t="s">
        <v>4790</v>
      </c>
      <c r="P1330" s="16" t="str">
        <f>HYPERLINK("https://ceds.ed.gov/cedselementdetails.aspx?termid=26662")</f>
        <v>https://ceds.ed.gov/cedselementdetails.aspx?termid=26662</v>
      </c>
      <c r="Q1330" s="16">
        <v>70965</v>
      </c>
    </row>
    <row r="1331" spans="1:17" ht="86.4" x14ac:dyDescent="0.3">
      <c r="A1331" s="16" t="s">
        <v>7665</v>
      </c>
      <c r="B1331" s="16" t="s">
        <v>7675</v>
      </c>
      <c r="C1331" s="16" t="s">
        <v>7676</v>
      </c>
      <c r="D1331" s="16" t="s">
        <v>7597</v>
      </c>
      <c r="E1331" s="16" t="s">
        <v>4785</v>
      </c>
      <c r="F1331" s="16" t="s">
        <v>8072</v>
      </c>
      <c r="G1331" s="16" t="s">
        <v>32</v>
      </c>
      <c r="H1331" s="16"/>
      <c r="I1331" s="16"/>
      <c r="J1331" s="16" t="s">
        <v>305</v>
      </c>
      <c r="K1331" s="16"/>
      <c r="L1331" s="16"/>
      <c r="M1331" s="19" t="s">
        <v>4786</v>
      </c>
      <c r="N1331" s="16"/>
      <c r="O1331" s="16" t="s">
        <v>4787</v>
      </c>
      <c r="P1331" s="16" t="str">
        <f>HYPERLINK("https://ceds.ed.gov/cedselementdetails.aspx?termid=26663")</f>
        <v>https://ceds.ed.gov/cedselementdetails.aspx?termid=26663</v>
      </c>
      <c r="Q1331" s="16">
        <v>70966</v>
      </c>
    </row>
    <row r="1332" spans="1:17" ht="57.6" x14ac:dyDescent="0.3">
      <c r="A1332" s="16" t="s">
        <v>7665</v>
      </c>
      <c r="B1332" s="16" t="s">
        <v>7675</v>
      </c>
      <c r="C1332" s="16" t="s">
        <v>7676</v>
      </c>
      <c r="D1332" s="16" t="s">
        <v>7597</v>
      </c>
      <c r="E1332" s="16" t="s">
        <v>4776</v>
      </c>
      <c r="F1332" s="16" t="s">
        <v>8069</v>
      </c>
      <c r="G1332" s="16" t="s">
        <v>32</v>
      </c>
      <c r="H1332" s="16"/>
      <c r="I1332" s="16"/>
      <c r="J1332" s="16" t="s">
        <v>305</v>
      </c>
      <c r="K1332" s="16"/>
      <c r="L1332" s="16"/>
      <c r="M1332" s="19" t="s">
        <v>4777</v>
      </c>
      <c r="N1332" s="16"/>
      <c r="O1332" s="16" t="s">
        <v>4778</v>
      </c>
      <c r="P1332" s="16" t="str">
        <f>HYPERLINK("https://ceds.ed.gov/cedselementdetails.aspx?termid=26664")</f>
        <v>https://ceds.ed.gov/cedselementdetails.aspx?termid=26664</v>
      </c>
      <c r="Q1332" s="16">
        <v>70967</v>
      </c>
    </row>
    <row r="1333" spans="1:17" ht="57.6" x14ac:dyDescent="0.3">
      <c r="A1333" s="16" t="s">
        <v>7665</v>
      </c>
      <c r="B1333" s="16" t="s">
        <v>7675</v>
      </c>
      <c r="C1333" s="16" t="s">
        <v>7676</v>
      </c>
      <c r="D1333" s="16" t="s">
        <v>7597</v>
      </c>
      <c r="E1333" s="16" t="s">
        <v>4773</v>
      </c>
      <c r="F1333" s="16" t="s">
        <v>8068</v>
      </c>
      <c r="G1333" s="16" t="s">
        <v>32</v>
      </c>
      <c r="H1333" s="16"/>
      <c r="I1333" s="16"/>
      <c r="J1333" s="16" t="s">
        <v>305</v>
      </c>
      <c r="K1333" s="16"/>
      <c r="L1333" s="16"/>
      <c r="M1333" s="19" t="s">
        <v>4774</v>
      </c>
      <c r="N1333" s="16"/>
      <c r="O1333" s="16" t="s">
        <v>4775</v>
      </c>
      <c r="P1333" s="16" t="str">
        <f>HYPERLINK("https://ceds.ed.gov/cedselementdetails.aspx?termid=26665")</f>
        <v>https://ceds.ed.gov/cedselementdetails.aspx?termid=26665</v>
      </c>
      <c r="Q1333" s="16">
        <v>70968</v>
      </c>
    </row>
    <row r="1334" spans="1:17" ht="43.2" x14ac:dyDescent="0.3">
      <c r="A1334" s="16" t="s">
        <v>7665</v>
      </c>
      <c r="B1334" s="16" t="s">
        <v>7675</v>
      </c>
      <c r="C1334" s="16" t="s">
        <v>7677</v>
      </c>
      <c r="D1334" s="16" t="s">
        <v>7597</v>
      </c>
      <c r="E1334" s="16" t="s">
        <v>6438</v>
      </c>
      <c r="F1334" s="16" t="s">
        <v>6439</v>
      </c>
      <c r="G1334" s="16" t="s">
        <v>32</v>
      </c>
      <c r="H1334" s="16" t="s">
        <v>202</v>
      </c>
      <c r="I1334" s="16"/>
      <c r="J1334" s="16" t="s">
        <v>145</v>
      </c>
      <c r="K1334" s="16"/>
      <c r="L1334" s="16"/>
      <c r="M1334" s="19" t="s">
        <v>6441</v>
      </c>
      <c r="N1334" s="16"/>
      <c r="O1334" s="16" t="s">
        <v>6442</v>
      </c>
      <c r="P1334" s="16" t="str">
        <f>HYPERLINK("https://ceds.ed.gov/cedselementdetails.aspx?termid=26468")</f>
        <v>https://ceds.ed.gov/cedselementdetails.aspx?termid=26468</v>
      </c>
      <c r="Q1334" s="16">
        <v>70939</v>
      </c>
    </row>
    <row r="1335" spans="1:17" ht="28.8" x14ac:dyDescent="0.3">
      <c r="A1335" s="16" t="s">
        <v>7665</v>
      </c>
      <c r="B1335" s="16" t="s">
        <v>7675</v>
      </c>
      <c r="C1335" s="16" t="s">
        <v>7677</v>
      </c>
      <c r="D1335" s="16" t="s">
        <v>7597</v>
      </c>
      <c r="E1335" s="16" t="s">
        <v>6443</v>
      </c>
      <c r="F1335" s="16" t="s">
        <v>6444</v>
      </c>
      <c r="G1335" s="16" t="s">
        <v>32</v>
      </c>
      <c r="H1335" s="16" t="s">
        <v>202</v>
      </c>
      <c r="I1335" s="16"/>
      <c r="J1335" s="16" t="s">
        <v>1130</v>
      </c>
      <c r="K1335" s="16"/>
      <c r="L1335" s="16"/>
      <c r="M1335" s="19" t="s">
        <v>6445</v>
      </c>
      <c r="N1335" s="16"/>
      <c r="O1335" s="16" t="s">
        <v>6446</v>
      </c>
      <c r="P1335" s="16" t="str">
        <f>HYPERLINK("https://ceds.ed.gov/cedselementdetails.aspx?termid=26469")</f>
        <v>https://ceds.ed.gov/cedselementdetails.aspx?termid=26469</v>
      </c>
      <c r="Q1335" s="16">
        <v>70940</v>
      </c>
    </row>
    <row r="1336" spans="1:17" ht="43.2" x14ac:dyDescent="0.3">
      <c r="A1336" s="16" t="s">
        <v>7665</v>
      </c>
      <c r="B1336" s="16" t="s">
        <v>7675</v>
      </c>
      <c r="C1336" s="16" t="s">
        <v>7677</v>
      </c>
      <c r="D1336" s="16" t="s">
        <v>7597</v>
      </c>
      <c r="E1336" s="16" t="s">
        <v>6447</v>
      </c>
      <c r="F1336" s="16" t="s">
        <v>8131</v>
      </c>
      <c r="G1336" s="16" t="s">
        <v>32</v>
      </c>
      <c r="H1336" s="16" t="s">
        <v>202</v>
      </c>
      <c r="I1336" s="16"/>
      <c r="J1336" s="16" t="s">
        <v>145</v>
      </c>
      <c r="K1336" s="16"/>
      <c r="L1336" s="16"/>
      <c r="M1336" s="19" t="s">
        <v>6448</v>
      </c>
      <c r="N1336" s="16"/>
      <c r="O1336" s="16" t="s">
        <v>6449</v>
      </c>
      <c r="P1336" s="16" t="str">
        <f>HYPERLINK("https://ceds.ed.gov/cedselementdetails.aspx?termid=26463")</f>
        <v>https://ceds.ed.gov/cedselementdetails.aspx?termid=26463</v>
      </c>
      <c r="Q1336" s="16">
        <v>70935</v>
      </c>
    </row>
    <row r="1337" spans="1:17" ht="43.2" x14ac:dyDescent="0.3">
      <c r="A1337" s="16" t="s">
        <v>7665</v>
      </c>
      <c r="B1337" s="16" t="s">
        <v>7675</v>
      </c>
      <c r="C1337" s="16" t="s">
        <v>7677</v>
      </c>
      <c r="D1337" s="16" t="s">
        <v>7597</v>
      </c>
      <c r="E1337" s="16" t="s">
        <v>6450</v>
      </c>
      <c r="F1337" s="16" t="s">
        <v>6451</v>
      </c>
      <c r="G1337" s="16" t="s">
        <v>32</v>
      </c>
      <c r="H1337" s="16" t="s">
        <v>202</v>
      </c>
      <c r="I1337" s="16"/>
      <c r="J1337" s="16" t="s">
        <v>145</v>
      </c>
      <c r="K1337" s="16"/>
      <c r="L1337" s="16"/>
      <c r="M1337" s="19" t="s">
        <v>6452</v>
      </c>
      <c r="N1337" s="16"/>
      <c r="O1337" s="16" t="s">
        <v>6453</v>
      </c>
      <c r="P1337" s="16" t="str">
        <f>HYPERLINK("https://ceds.ed.gov/cedselementdetails.aspx?termid=26461")</f>
        <v>https://ceds.ed.gov/cedselementdetails.aspx?termid=26461</v>
      </c>
      <c r="Q1337" s="16">
        <v>70933</v>
      </c>
    </row>
    <row r="1338" spans="1:17" ht="57.6" x14ac:dyDescent="0.3">
      <c r="A1338" s="16" t="s">
        <v>7665</v>
      </c>
      <c r="B1338" s="16" t="s">
        <v>7675</v>
      </c>
      <c r="C1338" s="16" t="s">
        <v>7677</v>
      </c>
      <c r="D1338" s="16" t="s">
        <v>7597</v>
      </c>
      <c r="E1338" s="16" t="s">
        <v>6454</v>
      </c>
      <c r="F1338" s="16" t="s">
        <v>6455</v>
      </c>
      <c r="G1338" s="16" t="s">
        <v>32</v>
      </c>
      <c r="H1338" s="16" t="s">
        <v>202</v>
      </c>
      <c r="I1338" s="16"/>
      <c r="J1338" s="16" t="s">
        <v>747</v>
      </c>
      <c r="K1338" s="16"/>
      <c r="L1338" s="16"/>
      <c r="M1338" s="19" t="s">
        <v>6456</v>
      </c>
      <c r="N1338" s="16"/>
      <c r="O1338" s="16" t="s">
        <v>6457</v>
      </c>
      <c r="P1338" s="16" t="str">
        <f>HYPERLINK("https://ceds.ed.gov/cedselementdetails.aspx?termid=26462")</f>
        <v>https://ceds.ed.gov/cedselementdetails.aspx?termid=26462</v>
      </c>
      <c r="Q1338" s="16">
        <v>70934</v>
      </c>
    </row>
    <row r="1339" spans="1:17" ht="43.2" x14ac:dyDescent="0.3">
      <c r="A1339" s="16" t="s">
        <v>7665</v>
      </c>
      <c r="B1339" s="16" t="s">
        <v>7675</v>
      </c>
      <c r="C1339" s="16" t="s">
        <v>7677</v>
      </c>
      <c r="D1339" s="16" t="s">
        <v>7597</v>
      </c>
      <c r="E1339" s="16" t="s">
        <v>6458</v>
      </c>
      <c r="F1339" s="16" t="s">
        <v>8132</v>
      </c>
      <c r="G1339" s="16" t="s">
        <v>32</v>
      </c>
      <c r="H1339" s="16" t="s">
        <v>202</v>
      </c>
      <c r="I1339" s="16"/>
      <c r="J1339" s="16" t="s">
        <v>1130</v>
      </c>
      <c r="K1339" s="16"/>
      <c r="L1339" s="16"/>
      <c r="M1339" s="19" t="s">
        <v>6459</v>
      </c>
      <c r="N1339" s="16"/>
      <c r="O1339" s="16" t="s">
        <v>6460</v>
      </c>
      <c r="P1339" s="16" t="str">
        <f>HYPERLINK("https://ceds.ed.gov/cedselementdetails.aspx?termid=26466")</f>
        <v>https://ceds.ed.gov/cedselementdetails.aspx?termid=26466</v>
      </c>
      <c r="Q1339" s="16">
        <v>70938</v>
      </c>
    </row>
    <row r="1340" spans="1:17" ht="57.6" x14ac:dyDescent="0.3">
      <c r="A1340" s="16" t="s">
        <v>7665</v>
      </c>
      <c r="B1340" s="16" t="s">
        <v>7675</v>
      </c>
      <c r="C1340" s="16" t="s">
        <v>7677</v>
      </c>
      <c r="D1340" s="16" t="s">
        <v>7597</v>
      </c>
      <c r="E1340" s="16" t="s">
        <v>6461</v>
      </c>
      <c r="F1340" s="16" t="s">
        <v>8133</v>
      </c>
      <c r="G1340" s="16" t="s">
        <v>32</v>
      </c>
      <c r="H1340" s="16" t="s">
        <v>202</v>
      </c>
      <c r="I1340" s="16"/>
      <c r="J1340" s="16" t="s">
        <v>1130</v>
      </c>
      <c r="K1340" s="16"/>
      <c r="L1340" s="16"/>
      <c r="M1340" s="19" t="s">
        <v>6462</v>
      </c>
      <c r="N1340" s="16"/>
      <c r="O1340" s="16" t="s">
        <v>6463</v>
      </c>
      <c r="P1340" s="16" t="str">
        <f>HYPERLINK("https://ceds.ed.gov/cedselementdetails.aspx?termid=26465")</f>
        <v>https://ceds.ed.gov/cedselementdetails.aspx?termid=26465</v>
      </c>
      <c r="Q1340" s="16">
        <v>70937</v>
      </c>
    </row>
    <row r="1341" spans="1:17" ht="57.6" x14ac:dyDescent="0.3">
      <c r="A1341" s="16" t="s">
        <v>7665</v>
      </c>
      <c r="B1341" s="16" t="s">
        <v>7675</v>
      </c>
      <c r="C1341" s="16" t="s">
        <v>7677</v>
      </c>
      <c r="D1341" s="16" t="s">
        <v>7597</v>
      </c>
      <c r="E1341" s="16" t="s">
        <v>6464</v>
      </c>
      <c r="F1341" s="16" t="s">
        <v>6465</v>
      </c>
      <c r="G1341" s="16" t="s">
        <v>32</v>
      </c>
      <c r="H1341" s="16" t="s">
        <v>202</v>
      </c>
      <c r="I1341" s="16"/>
      <c r="J1341" s="16" t="s">
        <v>1130</v>
      </c>
      <c r="K1341" s="16"/>
      <c r="L1341" s="16"/>
      <c r="M1341" s="19" t="s">
        <v>6466</v>
      </c>
      <c r="N1341" s="16"/>
      <c r="O1341" s="16" t="s">
        <v>6467</v>
      </c>
      <c r="P1341" s="16" t="str">
        <f>HYPERLINK("https://ceds.ed.gov/cedselementdetails.aspx?termid=26464")</f>
        <v>https://ceds.ed.gov/cedselementdetails.aspx?termid=26464</v>
      </c>
      <c r="Q1341" s="16">
        <v>70936</v>
      </c>
    </row>
    <row r="1342" spans="1:17" ht="86.4" x14ac:dyDescent="0.3">
      <c r="A1342" s="16" t="s">
        <v>7665</v>
      </c>
      <c r="B1342" s="16" t="s">
        <v>7675</v>
      </c>
      <c r="C1342" s="16" t="s">
        <v>7678</v>
      </c>
      <c r="D1342" s="16" t="s">
        <v>7597</v>
      </c>
      <c r="E1342" s="16" t="s">
        <v>5837</v>
      </c>
      <c r="F1342" s="16" t="s">
        <v>5838</v>
      </c>
      <c r="G1342" s="16" t="s">
        <v>8763</v>
      </c>
      <c r="H1342" s="16" t="s">
        <v>25</v>
      </c>
      <c r="I1342" s="16"/>
      <c r="J1342" s="16"/>
      <c r="K1342" s="16"/>
      <c r="L1342" s="16"/>
      <c r="M1342" s="19" t="s">
        <v>5839</v>
      </c>
      <c r="N1342" s="16"/>
      <c r="O1342" s="16" t="s">
        <v>5840</v>
      </c>
      <c r="P1342" s="16" t="str">
        <f>HYPERLINK("https://ceds.ed.gov/cedselementdetails.aspx?termid=26216")</f>
        <v>https://ceds.ed.gov/cedselementdetails.aspx?termid=26216</v>
      </c>
      <c r="Q1342" s="16">
        <v>70906</v>
      </c>
    </row>
    <row r="1343" spans="1:17" ht="72" x14ac:dyDescent="0.3">
      <c r="A1343" s="16" t="s">
        <v>7665</v>
      </c>
      <c r="B1343" s="16" t="s">
        <v>7675</v>
      </c>
      <c r="C1343" s="16" t="s">
        <v>7678</v>
      </c>
      <c r="D1343" s="16" t="s">
        <v>7597</v>
      </c>
      <c r="E1343" s="16" t="s">
        <v>5841</v>
      </c>
      <c r="F1343" s="16" t="s">
        <v>8107</v>
      </c>
      <c r="G1343" s="16" t="s">
        <v>8764</v>
      </c>
      <c r="H1343" s="16" t="s">
        <v>25</v>
      </c>
      <c r="I1343" s="16"/>
      <c r="J1343" s="16"/>
      <c r="K1343" s="16"/>
      <c r="L1343" s="16"/>
      <c r="M1343" s="19" t="s">
        <v>5842</v>
      </c>
      <c r="N1343" s="16"/>
      <c r="O1343" s="16" t="s">
        <v>5843</v>
      </c>
      <c r="P1343" s="16" t="str">
        <f>HYPERLINK("https://ceds.ed.gov/cedselementdetails.aspx?termid=26217")</f>
        <v>https://ceds.ed.gov/cedselementdetails.aspx?termid=26217</v>
      </c>
      <c r="Q1343" s="16">
        <v>70907</v>
      </c>
    </row>
    <row r="1344" spans="1:17" ht="57.6" x14ac:dyDescent="0.3">
      <c r="A1344" s="16" t="s">
        <v>7665</v>
      </c>
      <c r="B1344" s="16" t="s">
        <v>7675</v>
      </c>
      <c r="C1344" s="16" t="s">
        <v>7678</v>
      </c>
      <c r="D1344" s="16" t="s">
        <v>7597</v>
      </c>
      <c r="E1344" s="16" t="s">
        <v>5833</v>
      </c>
      <c r="F1344" s="16" t="s">
        <v>5834</v>
      </c>
      <c r="G1344" s="16" t="s">
        <v>8685</v>
      </c>
      <c r="H1344" s="16" t="s">
        <v>25</v>
      </c>
      <c r="I1344" s="16"/>
      <c r="J1344" s="16"/>
      <c r="K1344" s="16"/>
      <c r="L1344" s="16"/>
      <c r="M1344" s="19" t="s">
        <v>5835</v>
      </c>
      <c r="N1344" s="16"/>
      <c r="O1344" s="16" t="s">
        <v>5836</v>
      </c>
      <c r="P1344" s="16" t="str">
        <f>HYPERLINK("https://ceds.ed.gov/cedselementdetails.aspx?termid=26481")</f>
        <v>https://ceds.ed.gov/cedselementdetails.aspx?termid=26481</v>
      </c>
      <c r="Q1344" s="16">
        <v>70947</v>
      </c>
    </row>
    <row r="1345" spans="1:17" ht="57.6" x14ac:dyDescent="0.3">
      <c r="A1345" s="16" t="s">
        <v>7665</v>
      </c>
      <c r="B1345" s="16" t="s">
        <v>7675</v>
      </c>
      <c r="C1345" s="16" t="s">
        <v>7678</v>
      </c>
      <c r="D1345" s="16" t="s">
        <v>7597</v>
      </c>
      <c r="E1345" s="16" t="s">
        <v>4875</v>
      </c>
      <c r="F1345" s="16" t="s">
        <v>4876</v>
      </c>
      <c r="G1345" s="16" t="s">
        <v>8685</v>
      </c>
      <c r="H1345" s="16" t="s">
        <v>25</v>
      </c>
      <c r="I1345" s="16" t="s">
        <v>160</v>
      </c>
      <c r="J1345" s="16"/>
      <c r="K1345" s="16" t="s">
        <v>12935</v>
      </c>
      <c r="L1345" s="16"/>
      <c r="M1345" s="19" t="s">
        <v>4878</v>
      </c>
      <c r="N1345" s="16"/>
      <c r="O1345" s="16" t="s">
        <v>4879</v>
      </c>
      <c r="P1345" s="16" t="str">
        <f>HYPERLINK("https://ceds.ed.gov/cedselementdetails.aspx?termid=26482")</f>
        <v>https://ceds.ed.gov/cedselementdetails.aspx?termid=26482</v>
      </c>
      <c r="Q1345" s="16">
        <v>70948</v>
      </c>
    </row>
    <row r="1346" spans="1:17" ht="302.39999999999998" x14ac:dyDescent="0.3">
      <c r="A1346" s="16" t="s">
        <v>7665</v>
      </c>
      <c r="B1346" s="16" t="s">
        <v>7675</v>
      </c>
      <c r="C1346" s="16" t="s">
        <v>7678</v>
      </c>
      <c r="D1346" s="16" t="s">
        <v>7597</v>
      </c>
      <c r="E1346" s="16" t="s">
        <v>6065</v>
      </c>
      <c r="F1346" s="16" t="s">
        <v>6066</v>
      </c>
      <c r="G1346" s="16" t="s">
        <v>8797</v>
      </c>
      <c r="H1346" s="16"/>
      <c r="I1346" s="16"/>
      <c r="J1346" s="16"/>
      <c r="K1346" s="16"/>
      <c r="L1346" s="16"/>
      <c r="M1346" s="19" t="s">
        <v>6068</v>
      </c>
      <c r="N1346" s="16"/>
      <c r="O1346" s="16" t="s">
        <v>6069</v>
      </c>
      <c r="P1346" s="16" t="str">
        <f>HYPERLINK("https://ceds.ed.gov/cedselementdetails.aspx?termid=27210")</f>
        <v>https://ceds.ed.gov/cedselementdetails.aspx?termid=27210</v>
      </c>
      <c r="Q1346" s="16">
        <v>71991</v>
      </c>
    </row>
    <row r="1347" spans="1:17" ht="43.2" x14ac:dyDescent="0.3">
      <c r="A1347" s="16" t="s">
        <v>7665</v>
      </c>
      <c r="B1347" s="16" t="s">
        <v>7675</v>
      </c>
      <c r="C1347" s="16" t="s">
        <v>7678</v>
      </c>
      <c r="D1347" s="16" t="s">
        <v>7597</v>
      </c>
      <c r="E1347" s="16" t="s">
        <v>5372</v>
      </c>
      <c r="F1347" s="16" t="s">
        <v>5373</v>
      </c>
      <c r="G1347" s="16" t="s">
        <v>8725</v>
      </c>
      <c r="H1347" s="16" t="s">
        <v>214</v>
      </c>
      <c r="I1347" s="16"/>
      <c r="J1347" s="16"/>
      <c r="K1347" s="16"/>
      <c r="L1347" s="16"/>
      <c r="M1347" s="19" t="s">
        <v>5374</v>
      </c>
      <c r="N1347" s="16" t="s">
        <v>5375</v>
      </c>
      <c r="O1347" s="16" t="s">
        <v>5376</v>
      </c>
      <c r="P1347" s="16" t="str">
        <f>HYPERLINK("https://ceds.ed.gov/cedselementdetails.aspx?termid=26187")</f>
        <v>https://ceds.ed.gov/cedselementdetails.aspx?termid=26187</v>
      </c>
      <c r="Q1347" s="16">
        <v>70900</v>
      </c>
    </row>
    <row r="1348" spans="1:17" ht="72" x14ac:dyDescent="0.3">
      <c r="A1348" s="16" t="s">
        <v>7665</v>
      </c>
      <c r="B1348" s="16" t="s">
        <v>7675</v>
      </c>
      <c r="C1348" s="16" t="s">
        <v>7678</v>
      </c>
      <c r="D1348" s="16" t="s">
        <v>7597</v>
      </c>
      <c r="E1348" s="16" t="s">
        <v>5362</v>
      </c>
      <c r="F1348" s="16" t="s">
        <v>5363</v>
      </c>
      <c r="G1348" s="16" t="s">
        <v>8723</v>
      </c>
      <c r="H1348" s="16" t="s">
        <v>202</v>
      </c>
      <c r="I1348" s="16"/>
      <c r="J1348" s="16"/>
      <c r="K1348" s="16"/>
      <c r="L1348" s="16"/>
      <c r="M1348" s="19" t="s">
        <v>5364</v>
      </c>
      <c r="N1348" s="16" t="s">
        <v>5365</v>
      </c>
      <c r="O1348" s="16" t="s">
        <v>5366</v>
      </c>
      <c r="P1348" s="16" t="str">
        <f>HYPERLINK("https://ceds.ed.gov/cedselementdetails.aspx?termid=26453")</f>
        <v>https://ceds.ed.gov/cedselementdetails.aspx?termid=26453</v>
      </c>
      <c r="Q1348" s="16">
        <v>70930</v>
      </c>
    </row>
    <row r="1349" spans="1:17" ht="28.8" x14ac:dyDescent="0.3">
      <c r="A1349" s="16" t="s">
        <v>7665</v>
      </c>
      <c r="B1349" s="16" t="s">
        <v>7675</v>
      </c>
      <c r="C1349" s="16" t="s">
        <v>7678</v>
      </c>
      <c r="D1349" s="16" t="s">
        <v>7597</v>
      </c>
      <c r="E1349" s="16" t="s">
        <v>5532</v>
      </c>
      <c r="F1349" s="16" t="s">
        <v>5533</v>
      </c>
      <c r="G1349" s="16" t="s">
        <v>32</v>
      </c>
      <c r="H1349" s="16" t="s">
        <v>202</v>
      </c>
      <c r="I1349" s="16"/>
      <c r="J1349" s="16" t="s">
        <v>305</v>
      </c>
      <c r="K1349" s="16"/>
      <c r="L1349" s="16"/>
      <c r="M1349" s="19" t="s">
        <v>5534</v>
      </c>
      <c r="N1349" s="16"/>
      <c r="O1349" s="16" t="s">
        <v>5535</v>
      </c>
      <c r="P1349" s="16" t="str">
        <f>HYPERLINK("https://ceds.ed.gov/cedselementdetails.aspx?termid=26460")</f>
        <v>https://ceds.ed.gov/cedselementdetails.aspx?termid=26460</v>
      </c>
      <c r="Q1349" s="16">
        <v>70932</v>
      </c>
    </row>
    <row r="1350" spans="1:17" ht="72" x14ac:dyDescent="0.3">
      <c r="A1350" s="16" t="s">
        <v>7665</v>
      </c>
      <c r="B1350" s="16" t="s">
        <v>7675</v>
      </c>
      <c r="C1350" s="16" t="s">
        <v>7678</v>
      </c>
      <c r="D1350" s="16" t="s">
        <v>7597</v>
      </c>
      <c r="E1350" s="16" t="s">
        <v>6078</v>
      </c>
      <c r="F1350" s="16" t="s">
        <v>8115</v>
      </c>
      <c r="G1350" s="16" t="s">
        <v>22</v>
      </c>
      <c r="H1350" s="16" t="s">
        <v>202</v>
      </c>
      <c r="I1350" s="16"/>
      <c r="J1350" s="16"/>
      <c r="K1350" s="16"/>
      <c r="L1350" s="16"/>
      <c r="M1350" s="19" t="s">
        <v>6079</v>
      </c>
      <c r="N1350" s="16"/>
      <c r="O1350" s="16" t="s">
        <v>6080</v>
      </c>
      <c r="P1350" s="16" t="str">
        <f>HYPERLINK("https://ceds.ed.gov/cedselementdetails.aspx?termid=26476")</f>
        <v>https://ceds.ed.gov/cedselementdetails.aspx?termid=26476</v>
      </c>
      <c r="Q1350" s="16">
        <v>70944</v>
      </c>
    </row>
    <row r="1351" spans="1:17" ht="100.8" x14ac:dyDescent="0.3">
      <c r="A1351" s="16" t="s">
        <v>7665</v>
      </c>
      <c r="B1351" s="16" t="s">
        <v>7675</v>
      </c>
      <c r="C1351" s="16" t="s">
        <v>7678</v>
      </c>
      <c r="D1351" s="16" t="s">
        <v>7597</v>
      </c>
      <c r="E1351" s="16" t="s">
        <v>7086</v>
      </c>
      <c r="F1351" s="16" t="s">
        <v>7087</v>
      </c>
      <c r="G1351" s="16" t="s">
        <v>8851</v>
      </c>
      <c r="H1351" s="16" t="s">
        <v>214</v>
      </c>
      <c r="I1351" s="16"/>
      <c r="J1351" s="16"/>
      <c r="K1351" s="16"/>
      <c r="L1351" s="16"/>
      <c r="M1351" s="19" t="s">
        <v>7088</v>
      </c>
      <c r="N1351" s="16"/>
      <c r="O1351" s="16" t="s">
        <v>7089</v>
      </c>
      <c r="P1351" s="16" t="str">
        <f>HYPERLINK("https://ceds.ed.gov/cedselementdetails.aspx?termid=26282")</f>
        <v>https://ceds.ed.gov/cedselementdetails.aspx?termid=26282</v>
      </c>
      <c r="Q1351" s="16">
        <v>70914</v>
      </c>
    </row>
    <row r="1352" spans="1:17" ht="72" x14ac:dyDescent="0.3">
      <c r="A1352" s="16" t="s">
        <v>7665</v>
      </c>
      <c r="B1352" s="16" t="s">
        <v>7675</v>
      </c>
      <c r="C1352" s="16" t="s">
        <v>7678</v>
      </c>
      <c r="D1352" s="16" t="s">
        <v>7597</v>
      </c>
      <c r="E1352" s="16" t="s">
        <v>7094</v>
      </c>
      <c r="F1352" s="16" t="s">
        <v>7095</v>
      </c>
      <c r="G1352" s="16" t="s">
        <v>8276</v>
      </c>
      <c r="H1352" s="16" t="s">
        <v>214</v>
      </c>
      <c r="I1352" s="16"/>
      <c r="J1352" s="16"/>
      <c r="K1352" s="16"/>
      <c r="L1352" s="16"/>
      <c r="M1352" s="19" t="s">
        <v>7096</v>
      </c>
      <c r="N1352" s="16"/>
      <c r="O1352" s="16" t="s">
        <v>7097</v>
      </c>
      <c r="P1352" s="16" t="str">
        <f>HYPERLINK("https://ceds.ed.gov/cedselementdetails.aspx?termid=26284")</f>
        <v>https://ceds.ed.gov/cedselementdetails.aspx?termid=26284</v>
      </c>
      <c r="Q1352" s="16">
        <v>70915</v>
      </c>
    </row>
    <row r="1353" spans="1:17" ht="57.6" x14ac:dyDescent="0.3">
      <c r="A1353" s="16" t="s">
        <v>7665</v>
      </c>
      <c r="B1353" s="16" t="s">
        <v>7675</v>
      </c>
      <c r="C1353" s="16" t="s">
        <v>7678</v>
      </c>
      <c r="D1353" s="16" t="s">
        <v>7597</v>
      </c>
      <c r="E1353" s="16" t="s">
        <v>7118</v>
      </c>
      <c r="F1353" s="16" t="s">
        <v>7119</v>
      </c>
      <c r="G1353" s="16" t="s">
        <v>8853</v>
      </c>
      <c r="H1353" s="16" t="s">
        <v>214</v>
      </c>
      <c r="I1353" s="16"/>
      <c r="J1353" s="16"/>
      <c r="K1353" s="16"/>
      <c r="L1353" s="16"/>
      <c r="M1353" s="19" t="s">
        <v>7120</v>
      </c>
      <c r="N1353" s="16"/>
      <c r="O1353" s="16" t="s">
        <v>7121</v>
      </c>
      <c r="P1353" s="16" t="str">
        <f>HYPERLINK("https://ceds.ed.gov/cedselementdetails.aspx?termid=26289")</f>
        <v>https://ceds.ed.gov/cedselementdetails.aspx?termid=26289</v>
      </c>
      <c r="Q1353" s="16">
        <v>70916</v>
      </c>
    </row>
    <row r="1354" spans="1:17" ht="201.6" x14ac:dyDescent="0.3">
      <c r="A1354" s="16" t="s">
        <v>7665</v>
      </c>
      <c r="B1354" s="16" t="s">
        <v>7675</v>
      </c>
      <c r="C1354" s="16" t="s">
        <v>7678</v>
      </c>
      <c r="D1354" s="16" t="s">
        <v>7597</v>
      </c>
      <c r="E1354" s="16" t="s">
        <v>7146</v>
      </c>
      <c r="F1354" s="16" t="s">
        <v>7147</v>
      </c>
      <c r="G1354" s="16" t="s">
        <v>8855</v>
      </c>
      <c r="H1354" s="16" t="s">
        <v>202</v>
      </c>
      <c r="I1354" s="16"/>
      <c r="J1354" s="16"/>
      <c r="K1354" s="16"/>
      <c r="L1354" s="16"/>
      <c r="M1354" s="19" t="s">
        <v>7148</v>
      </c>
      <c r="N1354" s="16"/>
      <c r="O1354" s="16" t="s">
        <v>7149</v>
      </c>
      <c r="P1354" s="16" t="str">
        <f>HYPERLINK("https://ceds.ed.gov/cedselementdetails.aspx?termid=26437")</f>
        <v>https://ceds.ed.gov/cedselementdetails.aspx?termid=26437</v>
      </c>
      <c r="Q1354" s="16">
        <v>70922</v>
      </c>
    </row>
    <row r="1355" spans="1:17" ht="187.2" x14ac:dyDescent="0.3">
      <c r="A1355" s="16" t="s">
        <v>7665</v>
      </c>
      <c r="B1355" s="16" t="s">
        <v>7675</v>
      </c>
      <c r="C1355" s="16" t="s">
        <v>7678</v>
      </c>
      <c r="D1355" s="16" t="s">
        <v>7597</v>
      </c>
      <c r="E1355" s="16" t="s">
        <v>5582</v>
      </c>
      <c r="F1355" s="16" t="s">
        <v>5583</v>
      </c>
      <c r="G1355" s="16" t="s">
        <v>8247</v>
      </c>
      <c r="H1355" s="16" t="s">
        <v>98</v>
      </c>
      <c r="I1355" s="16"/>
      <c r="J1355" s="16"/>
      <c r="K1355" s="16"/>
      <c r="L1355" s="16"/>
      <c r="M1355" s="19" t="s">
        <v>5584</v>
      </c>
      <c r="N1355" s="16"/>
      <c r="O1355" s="16" t="s">
        <v>5585</v>
      </c>
      <c r="P1355" s="16" t="str">
        <f>HYPERLINK("https://ceds.ed.gov/cedselementdetails.aspx?termid=26827")</f>
        <v>https://ceds.ed.gov/cedselementdetails.aspx?termid=26827</v>
      </c>
      <c r="Q1355" s="16">
        <v>75171</v>
      </c>
    </row>
    <row r="1356" spans="1:17" ht="172.8" x14ac:dyDescent="0.3">
      <c r="A1356" s="16" t="s">
        <v>7665</v>
      </c>
      <c r="B1356" s="16" t="s">
        <v>7675</v>
      </c>
      <c r="C1356" s="16" t="s">
        <v>7678</v>
      </c>
      <c r="D1356" s="16" t="s">
        <v>7597</v>
      </c>
      <c r="E1356" s="16" t="s">
        <v>5586</v>
      </c>
      <c r="F1356" s="16" t="s">
        <v>5587</v>
      </c>
      <c r="G1356" s="16" t="s">
        <v>32</v>
      </c>
      <c r="H1356" s="16" t="s">
        <v>98</v>
      </c>
      <c r="I1356" s="16"/>
      <c r="J1356" s="16" t="s">
        <v>120</v>
      </c>
      <c r="K1356" s="16"/>
      <c r="L1356" s="16" t="s">
        <v>7817</v>
      </c>
      <c r="M1356" s="19" t="s">
        <v>5588</v>
      </c>
      <c r="N1356" s="16"/>
      <c r="O1356" s="16" t="s">
        <v>5589</v>
      </c>
      <c r="P1356" s="16" t="str">
        <f>HYPERLINK("https://ceds.ed.gov/cedselementdetails.aspx?termid=26825")</f>
        <v>https://ceds.ed.gov/cedselementdetails.aspx?termid=26825</v>
      </c>
      <c r="Q1356" s="16">
        <v>75172</v>
      </c>
    </row>
    <row r="1357" spans="1:17" ht="172.8" x14ac:dyDescent="0.3">
      <c r="A1357" s="16" t="s">
        <v>7665</v>
      </c>
      <c r="B1357" s="16" t="s">
        <v>7675</v>
      </c>
      <c r="C1357" s="16" t="s">
        <v>7678</v>
      </c>
      <c r="D1357" s="16" t="s">
        <v>7597</v>
      </c>
      <c r="E1357" s="16" t="s">
        <v>6074</v>
      </c>
      <c r="F1357" s="16" t="s">
        <v>6075</v>
      </c>
      <c r="G1357" s="16" t="s">
        <v>32</v>
      </c>
      <c r="H1357" s="16" t="s">
        <v>2564</v>
      </c>
      <c r="I1357" s="16"/>
      <c r="J1357" s="16" t="s">
        <v>120</v>
      </c>
      <c r="K1357" s="16"/>
      <c r="L1357" s="16" t="s">
        <v>7817</v>
      </c>
      <c r="M1357" s="19" t="s">
        <v>6076</v>
      </c>
      <c r="N1357" s="16"/>
      <c r="O1357" s="16" t="s">
        <v>6077</v>
      </c>
      <c r="P1357" s="16" t="str">
        <f>HYPERLINK("https://ceds.ed.gov/cedselementdetails.aspx?termid=26618")</f>
        <v>https://ceds.ed.gov/cedselementdetails.aspx?termid=26618</v>
      </c>
      <c r="Q1357" s="16">
        <v>75173</v>
      </c>
    </row>
    <row r="1358" spans="1:17" ht="100.8" x14ac:dyDescent="0.3">
      <c r="A1358" s="16" t="s">
        <v>7665</v>
      </c>
      <c r="B1358" s="16" t="s">
        <v>7675</v>
      </c>
      <c r="C1358" s="16" t="s">
        <v>7678</v>
      </c>
      <c r="D1358" s="16" t="s">
        <v>7597</v>
      </c>
      <c r="E1358" s="16" t="s">
        <v>4021</v>
      </c>
      <c r="F1358" s="16" t="s">
        <v>8050</v>
      </c>
      <c r="G1358" s="16" t="s">
        <v>8231</v>
      </c>
      <c r="H1358" s="16"/>
      <c r="I1358" s="16" t="s">
        <v>160</v>
      </c>
      <c r="J1358" s="16"/>
      <c r="K1358" s="16" t="s">
        <v>12935</v>
      </c>
      <c r="L1358" s="16" t="s">
        <v>8051</v>
      </c>
      <c r="M1358" s="19" t="s">
        <v>4022</v>
      </c>
      <c r="N1358" s="16"/>
      <c r="O1358" s="16" t="s">
        <v>4023</v>
      </c>
      <c r="P1358" s="16" t="str">
        <f>HYPERLINK("https://ceds.ed.gov/cedselementdetails.aspx?termid=27323")</f>
        <v>https://ceds.ed.gov/cedselementdetails.aspx?termid=27323</v>
      </c>
      <c r="Q1358" s="16">
        <v>75926</v>
      </c>
    </row>
    <row r="1359" spans="1:17" ht="28.8" x14ac:dyDescent="0.3">
      <c r="A1359" s="16" t="s">
        <v>7665</v>
      </c>
      <c r="B1359" s="16" t="s">
        <v>7675</v>
      </c>
      <c r="C1359" s="16" t="s">
        <v>7678</v>
      </c>
      <c r="D1359" s="16" t="s">
        <v>7597</v>
      </c>
      <c r="E1359" s="16" t="s">
        <v>5407</v>
      </c>
      <c r="F1359" s="16" t="s">
        <v>5408</v>
      </c>
      <c r="G1359" s="16" t="s">
        <v>32</v>
      </c>
      <c r="H1359" s="16"/>
      <c r="I1359" s="16" t="s">
        <v>160</v>
      </c>
      <c r="J1359" s="16" t="s">
        <v>305</v>
      </c>
      <c r="K1359" s="16" t="s">
        <v>12935</v>
      </c>
      <c r="L1359" s="16"/>
      <c r="M1359" s="19" t="s">
        <v>5409</v>
      </c>
      <c r="N1359" s="16"/>
      <c r="O1359" s="16" t="s">
        <v>5410</v>
      </c>
      <c r="P1359" s="16" t="str">
        <f>HYPERLINK("https://ceds.ed.gov/cedselementdetails.aspx?termid=26491")</f>
        <v>https://ceds.ed.gov/cedselementdetails.aspx?termid=26491</v>
      </c>
      <c r="Q1359" s="16">
        <v>76540</v>
      </c>
    </row>
    <row r="1360" spans="1:17" ht="115.2" x14ac:dyDescent="0.3">
      <c r="A1360" s="16" t="s">
        <v>7665</v>
      </c>
      <c r="B1360" s="16" t="s">
        <v>7675</v>
      </c>
      <c r="C1360" s="16" t="s">
        <v>7674</v>
      </c>
      <c r="D1360" s="16" t="s">
        <v>7597</v>
      </c>
      <c r="E1360" s="16" t="s">
        <v>7033</v>
      </c>
      <c r="F1360" s="16" t="s">
        <v>7034</v>
      </c>
      <c r="G1360" s="16" t="s">
        <v>22</v>
      </c>
      <c r="H1360" s="16"/>
      <c r="I1360" s="16"/>
      <c r="J1360" s="16"/>
      <c r="K1360" s="16"/>
      <c r="L1360" s="16" t="s">
        <v>8157</v>
      </c>
      <c r="M1360" s="19" t="s">
        <v>7035</v>
      </c>
      <c r="N1360" s="16"/>
      <c r="O1360" s="16" t="s">
        <v>7036</v>
      </c>
      <c r="P1360" s="16" t="str">
        <f>HYPERLINK("https://ceds.ed.gov/cedselementdetails.aspx?termid=27465")</f>
        <v>https://ceds.ed.gov/cedselementdetails.aspx?termid=27465</v>
      </c>
      <c r="Q1360" s="16">
        <v>73435</v>
      </c>
    </row>
    <row r="1361" spans="1:17" ht="115.2" x14ac:dyDescent="0.3">
      <c r="A1361" s="16" t="s">
        <v>7665</v>
      </c>
      <c r="B1361" s="16" t="s">
        <v>7675</v>
      </c>
      <c r="C1361" s="16" t="s">
        <v>7674</v>
      </c>
      <c r="D1361" s="16" t="s">
        <v>7597</v>
      </c>
      <c r="E1361" s="16" t="s">
        <v>7037</v>
      </c>
      <c r="F1361" s="16" t="s">
        <v>7038</v>
      </c>
      <c r="G1361" s="16" t="s">
        <v>8274</v>
      </c>
      <c r="H1361" s="16"/>
      <c r="I1361" s="16"/>
      <c r="J1361" s="16"/>
      <c r="K1361" s="16"/>
      <c r="L1361" s="16" t="s">
        <v>8157</v>
      </c>
      <c r="M1361" s="19" t="s">
        <v>7039</v>
      </c>
      <c r="N1361" s="16"/>
      <c r="O1361" s="16" t="s">
        <v>7040</v>
      </c>
      <c r="P1361" s="16" t="str">
        <f>HYPERLINK("https://ceds.ed.gov/cedselementdetails.aspx?termid=27466")</f>
        <v>https://ceds.ed.gov/cedselementdetails.aspx?termid=27466</v>
      </c>
      <c r="Q1361" s="16">
        <v>73438</v>
      </c>
    </row>
    <row r="1362" spans="1:17" ht="259.2" x14ac:dyDescent="0.3">
      <c r="A1362" s="16" t="s">
        <v>7665</v>
      </c>
      <c r="B1362" s="16" t="s">
        <v>7675</v>
      </c>
      <c r="C1362" s="16" t="s">
        <v>7674</v>
      </c>
      <c r="D1362" s="16" t="s">
        <v>7597</v>
      </c>
      <c r="E1362" s="16" t="s">
        <v>7041</v>
      </c>
      <c r="F1362" s="16" t="s">
        <v>7042</v>
      </c>
      <c r="G1362" s="16" t="s">
        <v>8846</v>
      </c>
      <c r="H1362" s="16"/>
      <c r="I1362" s="16"/>
      <c r="J1362" s="16"/>
      <c r="K1362" s="16"/>
      <c r="L1362" s="16" t="s">
        <v>8157</v>
      </c>
      <c r="M1362" s="19" t="s">
        <v>7043</v>
      </c>
      <c r="N1362" s="16"/>
      <c r="O1362" s="16" t="s">
        <v>7044</v>
      </c>
      <c r="P1362" s="16" t="str">
        <f>HYPERLINK("https://ceds.ed.gov/cedselementdetails.aspx?termid=27467")</f>
        <v>https://ceds.ed.gov/cedselementdetails.aspx?termid=27467</v>
      </c>
      <c r="Q1362" s="16">
        <v>73443</v>
      </c>
    </row>
    <row r="1363" spans="1:17" ht="86.4" x14ac:dyDescent="0.3">
      <c r="A1363" s="16" t="s">
        <v>7665</v>
      </c>
      <c r="B1363" s="16" t="s">
        <v>7675</v>
      </c>
      <c r="C1363" s="16" t="s">
        <v>9415</v>
      </c>
      <c r="D1363" s="16" t="s">
        <v>7597</v>
      </c>
      <c r="E1363" s="16" t="s">
        <v>4201</v>
      </c>
      <c r="F1363" s="16" t="s">
        <v>4202</v>
      </c>
      <c r="G1363" s="16" t="s">
        <v>8617</v>
      </c>
      <c r="H1363" s="16" t="s">
        <v>214</v>
      </c>
      <c r="I1363" s="16"/>
      <c r="J1363" s="16"/>
      <c r="K1363" s="16"/>
      <c r="L1363" s="16"/>
      <c r="M1363" s="19" t="s">
        <v>4203</v>
      </c>
      <c r="N1363" s="16"/>
      <c r="O1363" s="16" t="s">
        <v>4204</v>
      </c>
      <c r="P1363" s="16" t="str">
        <f>HYPERLINK("https://ceds.ed.gov/cedselementdetails.aspx?termid=26134")</f>
        <v>https://ceds.ed.gov/cedselementdetails.aspx?termid=26134</v>
      </c>
      <c r="Q1363" s="16">
        <v>76245</v>
      </c>
    </row>
    <row r="1364" spans="1:17" ht="158.4" x14ac:dyDescent="0.3">
      <c r="A1364" s="16" t="s">
        <v>7665</v>
      </c>
      <c r="B1364" s="16" t="s">
        <v>7675</v>
      </c>
      <c r="C1364" s="16" t="s">
        <v>9415</v>
      </c>
      <c r="D1364" s="16" t="s">
        <v>7597</v>
      </c>
      <c r="E1364" s="16" t="s">
        <v>9034</v>
      </c>
      <c r="F1364" s="16" t="s">
        <v>9035</v>
      </c>
      <c r="G1364" s="16" t="s">
        <v>9295</v>
      </c>
      <c r="H1364" s="16"/>
      <c r="I1364" s="16"/>
      <c r="J1364" s="16" t="s">
        <v>2</v>
      </c>
      <c r="K1364" s="16"/>
      <c r="L1364" s="16" t="s">
        <v>9036</v>
      </c>
      <c r="M1364" s="19" t="s">
        <v>9037</v>
      </c>
      <c r="N1364" s="16"/>
      <c r="O1364" s="16" t="s">
        <v>9038</v>
      </c>
      <c r="P1364" s="16" t="str">
        <f>HYPERLINK("https://ceds.ed.gov/cedselementdetails.aspx?termid=28034")</f>
        <v>https://ceds.ed.gov/cedselementdetails.aspx?termid=28034</v>
      </c>
      <c r="Q1364" s="16">
        <v>76246</v>
      </c>
    </row>
    <row r="1365" spans="1:17" ht="129.6" x14ac:dyDescent="0.3">
      <c r="A1365" s="16" t="s">
        <v>7665</v>
      </c>
      <c r="B1365" s="16" t="s">
        <v>7675</v>
      </c>
      <c r="C1365" s="16" t="s">
        <v>9415</v>
      </c>
      <c r="D1365" s="16" t="s">
        <v>7597</v>
      </c>
      <c r="E1365" s="16" t="s">
        <v>9039</v>
      </c>
      <c r="F1365" s="16" t="s">
        <v>9040</v>
      </c>
      <c r="G1365" s="16" t="s">
        <v>9295</v>
      </c>
      <c r="H1365" s="16"/>
      <c r="I1365" s="16"/>
      <c r="J1365" s="16" t="s">
        <v>2</v>
      </c>
      <c r="K1365" s="16"/>
      <c r="L1365" s="16" t="s">
        <v>9036</v>
      </c>
      <c r="M1365" s="19" t="s">
        <v>9041</v>
      </c>
      <c r="N1365" s="16"/>
      <c r="O1365" s="16" t="s">
        <v>9042</v>
      </c>
      <c r="P1365" s="16" t="str">
        <f>HYPERLINK("https://ceds.ed.gov/cedselementdetails.aspx?termid=28035")</f>
        <v>https://ceds.ed.gov/cedselementdetails.aspx?termid=28035</v>
      </c>
      <c r="Q1365" s="16">
        <v>76247</v>
      </c>
    </row>
    <row r="1366" spans="1:17" ht="57.6" x14ac:dyDescent="0.3">
      <c r="A1366" s="16" t="s">
        <v>7665</v>
      </c>
      <c r="B1366" s="16" t="s">
        <v>7675</v>
      </c>
      <c r="C1366" s="16" t="s">
        <v>9410</v>
      </c>
      <c r="D1366" s="16" t="s">
        <v>7597</v>
      </c>
      <c r="E1366" s="16" t="s">
        <v>8929</v>
      </c>
      <c r="F1366" s="16" t="s">
        <v>8930</v>
      </c>
      <c r="G1366" s="16" t="s">
        <v>9290</v>
      </c>
      <c r="H1366" s="16"/>
      <c r="I1366" s="16"/>
      <c r="J1366" s="16" t="s">
        <v>2</v>
      </c>
      <c r="K1366" s="16"/>
      <c r="L1366" s="16"/>
      <c r="M1366" s="19" t="s">
        <v>8931</v>
      </c>
      <c r="N1366" s="16"/>
      <c r="O1366" s="16" t="s">
        <v>8932</v>
      </c>
      <c r="P1366" s="16" t="str">
        <f>HYPERLINK("https://ceds.ed.gov/cedselementdetails.aspx?termid=28009")</f>
        <v>https://ceds.ed.gov/cedselementdetails.aspx?termid=28009</v>
      </c>
      <c r="Q1366" s="16">
        <v>76252</v>
      </c>
    </row>
    <row r="1367" spans="1:17" ht="72" x14ac:dyDescent="0.3">
      <c r="A1367" s="16" t="s">
        <v>7665</v>
      </c>
      <c r="B1367" s="16" t="s">
        <v>7675</v>
      </c>
      <c r="C1367" s="16" t="s">
        <v>9410</v>
      </c>
      <c r="D1367" s="16" t="s">
        <v>7597</v>
      </c>
      <c r="E1367" s="16" t="s">
        <v>8954</v>
      </c>
      <c r="F1367" s="16" t="s">
        <v>8955</v>
      </c>
      <c r="G1367" s="16" t="s">
        <v>9422</v>
      </c>
      <c r="H1367" s="16"/>
      <c r="I1367" s="16"/>
      <c r="J1367" s="16" t="s">
        <v>2</v>
      </c>
      <c r="K1367" s="16"/>
      <c r="L1367" s="16"/>
      <c r="M1367" s="19" t="s">
        <v>8956</v>
      </c>
      <c r="N1367" s="16"/>
      <c r="O1367" s="16" t="s">
        <v>8957</v>
      </c>
      <c r="P1367" s="16" t="str">
        <f>HYPERLINK("https://ceds.ed.gov/cedselementdetails.aspx?termid=28015")</f>
        <v>https://ceds.ed.gov/cedselementdetails.aspx?termid=28015</v>
      </c>
      <c r="Q1367" s="16">
        <v>76253</v>
      </c>
    </row>
    <row r="1368" spans="1:17" ht="72" x14ac:dyDescent="0.3">
      <c r="A1368" s="16" t="s">
        <v>7665</v>
      </c>
      <c r="B1368" s="16" t="s">
        <v>7675</v>
      </c>
      <c r="C1368" s="16" t="s">
        <v>9410</v>
      </c>
      <c r="D1368" s="16" t="s">
        <v>7597</v>
      </c>
      <c r="E1368" s="16" t="s">
        <v>9000</v>
      </c>
      <c r="F1368" s="16" t="s">
        <v>9001</v>
      </c>
      <c r="G1368" s="16" t="s">
        <v>9293</v>
      </c>
      <c r="H1368" s="16"/>
      <c r="I1368" s="16"/>
      <c r="J1368" s="16" t="s">
        <v>2</v>
      </c>
      <c r="K1368" s="16"/>
      <c r="L1368" s="16"/>
      <c r="M1368" s="19" t="s">
        <v>9002</v>
      </c>
      <c r="N1368" s="16"/>
      <c r="O1368" s="16" t="s">
        <v>9003</v>
      </c>
      <c r="P1368" s="16" t="str">
        <f>HYPERLINK("https://ceds.ed.gov/cedselementdetails.aspx?termid=28026")</f>
        <v>https://ceds.ed.gov/cedselementdetails.aspx?termid=28026</v>
      </c>
      <c r="Q1368" s="16">
        <v>76254</v>
      </c>
    </row>
    <row r="1369" spans="1:17" ht="28.8" x14ac:dyDescent="0.3">
      <c r="A1369" s="16" t="s">
        <v>7665</v>
      </c>
      <c r="B1369" s="16" t="s">
        <v>7675</v>
      </c>
      <c r="C1369" s="16" t="s">
        <v>9410</v>
      </c>
      <c r="D1369" s="16" t="s">
        <v>7597</v>
      </c>
      <c r="E1369" s="16" t="s">
        <v>9004</v>
      </c>
      <c r="F1369" s="16" t="s">
        <v>9005</v>
      </c>
      <c r="G1369" s="16" t="s">
        <v>32</v>
      </c>
      <c r="H1369" s="16"/>
      <c r="I1369" s="16"/>
      <c r="J1369" s="16" t="s">
        <v>120</v>
      </c>
      <c r="K1369" s="16"/>
      <c r="L1369" s="16"/>
      <c r="M1369" s="19" t="s">
        <v>9006</v>
      </c>
      <c r="N1369" s="16"/>
      <c r="O1369" s="16" t="s">
        <v>9007</v>
      </c>
      <c r="P1369" s="16" t="str">
        <f>HYPERLINK("https://ceds.ed.gov/cedselementdetails.aspx?termid=28027")</f>
        <v>https://ceds.ed.gov/cedselementdetails.aspx?termid=28027</v>
      </c>
      <c r="Q1369" s="16">
        <v>76255</v>
      </c>
    </row>
    <row r="1370" spans="1:17" ht="57.6" x14ac:dyDescent="0.3">
      <c r="A1370" s="16" t="s">
        <v>7665</v>
      </c>
      <c r="B1370" s="16" t="s">
        <v>7675</v>
      </c>
      <c r="C1370" s="16" t="s">
        <v>9410</v>
      </c>
      <c r="D1370" s="16" t="s">
        <v>7597</v>
      </c>
      <c r="E1370" s="16" t="s">
        <v>9008</v>
      </c>
      <c r="F1370" s="16" t="s">
        <v>9009</v>
      </c>
      <c r="G1370" s="16" t="s">
        <v>32</v>
      </c>
      <c r="H1370" s="16"/>
      <c r="I1370" s="16"/>
      <c r="J1370" s="16" t="s">
        <v>106</v>
      </c>
      <c r="K1370" s="16"/>
      <c r="L1370" s="16"/>
      <c r="M1370" s="19" t="s">
        <v>9010</v>
      </c>
      <c r="N1370" s="16"/>
      <c r="O1370" s="16" t="s">
        <v>9011</v>
      </c>
      <c r="P1370" s="16" t="str">
        <f>HYPERLINK("https://ceds.ed.gov/cedselementdetails.aspx?termid=28028")</f>
        <v>https://ceds.ed.gov/cedselementdetails.aspx?termid=28028</v>
      </c>
      <c r="Q1370" s="16">
        <v>76256</v>
      </c>
    </row>
    <row r="1371" spans="1:17" ht="72" x14ac:dyDescent="0.3">
      <c r="A1371" s="16" t="s">
        <v>7665</v>
      </c>
      <c r="B1371" s="16" t="s">
        <v>7675</v>
      </c>
      <c r="C1371" s="16" t="s">
        <v>9410</v>
      </c>
      <c r="D1371" s="16" t="s">
        <v>7597</v>
      </c>
      <c r="E1371" s="16" t="s">
        <v>9012</v>
      </c>
      <c r="F1371" s="16" t="s">
        <v>9013</v>
      </c>
      <c r="G1371" s="16" t="s">
        <v>9293</v>
      </c>
      <c r="H1371" s="16"/>
      <c r="I1371" s="16"/>
      <c r="J1371" s="16" t="s">
        <v>2</v>
      </c>
      <c r="K1371" s="16"/>
      <c r="L1371" s="16"/>
      <c r="M1371" s="19" t="s">
        <v>9014</v>
      </c>
      <c r="N1371" s="16"/>
      <c r="O1371" s="16" t="s">
        <v>9015</v>
      </c>
      <c r="P1371" s="16" t="str">
        <f>HYPERLINK("https://ceds.ed.gov/cedselementdetails.aspx?termid=28029")</f>
        <v>https://ceds.ed.gov/cedselementdetails.aspx?termid=28029</v>
      </c>
      <c r="Q1371" s="16">
        <v>76257</v>
      </c>
    </row>
    <row r="1372" spans="1:17" ht="28.8" x14ac:dyDescent="0.3">
      <c r="A1372" s="16" t="s">
        <v>7665</v>
      </c>
      <c r="B1372" s="16" t="s">
        <v>7675</v>
      </c>
      <c r="C1372" s="16" t="s">
        <v>9410</v>
      </c>
      <c r="D1372" s="16" t="s">
        <v>7597</v>
      </c>
      <c r="E1372" s="16" t="s">
        <v>9016</v>
      </c>
      <c r="F1372" s="16" t="s">
        <v>9017</v>
      </c>
      <c r="G1372" s="16" t="s">
        <v>32</v>
      </c>
      <c r="H1372" s="16"/>
      <c r="I1372" s="16"/>
      <c r="J1372" s="16" t="s">
        <v>120</v>
      </c>
      <c r="K1372" s="16"/>
      <c r="L1372" s="16"/>
      <c r="M1372" s="19" t="s">
        <v>9018</v>
      </c>
      <c r="N1372" s="16"/>
      <c r="O1372" s="16" t="s">
        <v>9019</v>
      </c>
      <c r="P1372" s="16" t="str">
        <f>HYPERLINK("https://ceds.ed.gov/cedselementdetails.aspx?termid=28030")</f>
        <v>https://ceds.ed.gov/cedselementdetails.aspx?termid=28030</v>
      </c>
      <c r="Q1372" s="16">
        <v>76258</v>
      </c>
    </row>
    <row r="1373" spans="1:17" ht="86.4" x14ac:dyDescent="0.3">
      <c r="A1373" s="16" t="s">
        <v>7665</v>
      </c>
      <c r="B1373" s="16" t="s">
        <v>7675</v>
      </c>
      <c r="C1373" s="16" t="s">
        <v>9410</v>
      </c>
      <c r="D1373" s="16" t="s">
        <v>7597</v>
      </c>
      <c r="E1373" s="16" t="s">
        <v>9020</v>
      </c>
      <c r="F1373" s="16" t="s">
        <v>9021</v>
      </c>
      <c r="G1373" s="16" t="s">
        <v>9294</v>
      </c>
      <c r="H1373" s="16"/>
      <c r="I1373" s="16"/>
      <c r="J1373" s="16" t="s">
        <v>2</v>
      </c>
      <c r="K1373" s="16"/>
      <c r="L1373" s="16"/>
      <c r="M1373" s="19" t="s">
        <v>9022</v>
      </c>
      <c r="N1373" s="16"/>
      <c r="O1373" s="16" t="s">
        <v>9023</v>
      </c>
      <c r="P1373" s="16" t="str">
        <f>HYPERLINK("https://ceds.ed.gov/cedselementdetails.aspx?termid=28031")</f>
        <v>https://ceds.ed.gov/cedselementdetails.aspx?termid=28031</v>
      </c>
      <c r="Q1373" s="16">
        <v>76259</v>
      </c>
    </row>
    <row r="1374" spans="1:17" ht="86.4" x14ac:dyDescent="0.3">
      <c r="A1374" s="16" t="s">
        <v>7665</v>
      </c>
      <c r="B1374" s="16" t="s">
        <v>7675</v>
      </c>
      <c r="C1374" s="16" t="s">
        <v>9410</v>
      </c>
      <c r="D1374" s="16" t="s">
        <v>7597</v>
      </c>
      <c r="E1374" s="16" t="s">
        <v>9024</v>
      </c>
      <c r="F1374" s="16" t="s">
        <v>9025</v>
      </c>
      <c r="G1374" s="16" t="s">
        <v>9423</v>
      </c>
      <c r="H1374" s="16"/>
      <c r="I1374" s="16"/>
      <c r="J1374" s="16" t="s">
        <v>2</v>
      </c>
      <c r="K1374" s="16"/>
      <c r="L1374" s="16" t="s">
        <v>9026</v>
      </c>
      <c r="M1374" s="19" t="s">
        <v>9027</v>
      </c>
      <c r="N1374" s="16"/>
      <c r="O1374" s="16" t="s">
        <v>9028</v>
      </c>
      <c r="P1374" s="16" t="str">
        <f>HYPERLINK("https://ceds.ed.gov/cedselementdetails.aspx?termid=28032")</f>
        <v>https://ceds.ed.gov/cedselementdetails.aspx?termid=28032</v>
      </c>
      <c r="Q1374" s="16">
        <v>76260</v>
      </c>
    </row>
    <row r="1375" spans="1:17" ht="28.8" x14ac:dyDescent="0.3">
      <c r="A1375" s="16" t="s">
        <v>7665</v>
      </c>
      <c r="B1375" s="16" t="s">
        <v>7675</v>
      </c>
      <c r="C1375" s="16" t="s">
        <v>9410</v>
      </c>
      <c r="D1375" s="16" t="s">
        <v>7597</v>
      </c>
      <c r="E1375" s="16" t="s">
        <v>9029</v>
      </c>
      <c r="F1375" s="16" t="s">
        <v>9030</v>
      </c>
      <c r="G1375" s="16" t="s">
        <v>32</v>
      </c>
      <c r="H1375" s="16"/>
      <c r="I1375" s="16"/>
      <c r="J1375" s="16" t="s">
        <v>106</v>
      </c>
      <c r="K1375" s="16"/>
      <c r="L1375" s="16" t="s">
        <v>9031</v>
      </c>
      <c r="M1375" s="19" t="s">
        <v>9032</v>
      </c>
      <c r="N1375" s="16"/>
      <c r="O1375" s="16" t="s">
        <v>9033</v>
      </c>
      <c r="P1375" s="16" t="str">
        <f>HYPERLINK("https://ceds.ed.gov/cedselementdetails.aspx?termid=28033")</f>
        <v>https://ceds.ed.gov/cedselementdetails.aspx?termid=28033</v>
      </c>
      <c r="Q1375" s="16">
        <v>76261</v>
      </c>
    </row>
    <row r="1376" spans="1:17" ht="28.8" x14ac:dyDescent="0.3">
      <c r="A1376" s="16" t="s">
        <v>7665</v>
      </c>
      <c r="B1376" s="16" t="s">
        <v>7675</v>
      </c>
      <c r="C1376" s="16" t="s">
        <v>9410</v>
      </c>
      <c r="D1376" s="16" t="s">
        <v>7597</v>
      </c>
      <c r="E1376" s="16" t="s">
        <v>9071</v>
      </c>
      <c r="F1376" s="16" t="s">
        <v>9072</v>
      </c>
      <c r="G1376" s="16" t="s">
        <v>8200</v>
      </c>
      <c r="H1376" s="16"/>
      <c r="I1376" s="16"/>
      <c r="J1376" s="16" t="s">
        <v>2</v>
      </c>
      <c r="K1376" s="16"/>
      <c r="L1376" s="16"/>
      <c r="M1376" s="19" t="s">
        <v>9073</v>
      </c>
      <c r="N1376" s="16"/>
      <c r="O1376" s="16" t="s">
        <v>9074</v>
      </c>
      <c r="P1376" s="16" t="str">
        <f>HYPERLINK("https://ceds.ed.gov/cedselementdetails.aspx?termid=28043")</f>
        <v>https://ceds.ed.gov/cedselementdetails.aspx?termid=28043</v>
      </c>
      <c r="Q1376" s="16">
        <v>76262</v>
      </c>
    </row>
    <row r="1377" spans="1:17" ht="28.8" x14ac:dyDescent="0.3">
      <c r="A1377" s="16" t="s">
        <v>7665</v>
      </c>
      <c r="B1377" s="16" t="s">
        <v>7675</v>
      </c>
      <c r="C1377" s="16" t="s">
        <v>9410</v>
      </c>
      <c r="D1377" s="16" t="s">
        <v>7597</v>
      </c>
      <c r="E1377" s="16" t="s">
        <v>9075</v>
      </c>
      <c r="F1377" s="16" t="s">
        <v>9076</v>
      </c>
      <c r="G1377" s="16" t="s">
        <v>8200</v>
      </c>
      <c r="H1377" s="16"/>
      <c r="I1377" s="16"/>
      <c r="J1377" s="16" t="s">
        <v>2</v>
      </c>
      <c r="K1377" s="16"/>
      <c r="L1377" s="16"/>
      <c r="M1377" s="19" t="s">
        <v>9077</v>
      </c>
      <c r="N1377" s="16"/>
      <c r="O1377" s="16" t="s">
        <v>9078</v>
      </c>
      <c r="P1377" s="16" t="str">
        <f>HYPERLINK("https://ceds.ed.gov/cedselementdetails.aspx?termid=28044")</f>
        <v>https://ceds.ed.gov/cedselementdetails.aspx?termid=28044</v>
      </c>
      <c r="Q1377" s="16">
        <v>76263</v>
      </c>
    </row>
    <row r="1378" spans="1:17" ht="72" x14ac:dyDescent="0.3">
      <c r="A1378" s="16" t="s">
        <v>7665</v>
      </c>
      <c r="B1378" s="16" t="s">
        <v>7675</v>
      </c>
      <c r="C1378" s="16" t="s">
        <v>9411</v>
      </c>
      <c r="D1378" s="16" t="s">
        <v>7597</v>
      </c>
      <c r="E1378" s="16" t="s">
        <v>9201</v>
      </c>
      <c r="F1378" s="16" t="s">
        <v>9202</v>
      </c>
      <c r="G1378" s="16" t="s">
        <v>32</v>
      </c>
      <c r="H1378" s="16"/>
      <c r="I1378" s="16"/>
      <c r="J1378" s="16" t="s">
        <v>955</v>
      </c>
      <c r="K1378" s="16"/>
      <c r="L1378" s="16"/>
      <c r="M1378" s="19" t="s">
        <v>9203</v>
      </c>
      <c r="N1378" s="16"/>
      <c r="O1378" s="16" t="s">
        <v>9204</v>
      </c>
      <c r="P1378" s="16" t="str">
        <f>HYPERLINK("https://ceds.ed.gov/cedselementdetails.aspx?termid=28074")</f>
        <v>https://ceds.ed.gov/cedselementdetails.aspx?termid=28074</v>
      </c>
      <c r="Q1378" s="16">
        <v>76264</v>
      </c>
    </row>
    <row r="1379" spans="1:17" ht="43.2" x14ac:dyDescent="0.3">
      <c r="A1379" s="16" t="s">
        <v>7665</v>
      </c>
      <c r="B1379" s="16" t="s">
        <v>7679</v>
      </c>
      <c r="C1379" s="16"/>
      <c r="D1379" s="16" t="s">
        <v>7597</v>
      </c>
      <c r="E1379" s="16" t="s">
        <v>5590</v>
      </c>
      <c r="F1379" s="16" t="s">
        <v>5591</v>
      </c>
      <c r="G1379" s="16" t="s">
        <v>32</v>
      </c>
      <c r="H1379" s="16"/>
      <c r="I1379" s="16"/>
      <c r="J1379" s="16" t="s">
        <v>50</v>
      </c>
      <c r="K1379" s="16"/>
      <c r="L1379" s="16"/>
      <c r="M1379" s="19" t="s">
        <v>5592</v>
      </c>
      <c r="N1379" s="16"/>
      <c r="O1379" s="16" t="s">
        <v>5593</v>
      </c>
      <c r="P1379" s="16" t="str">
        <f>HYPERLINK("https://ceds.ed.gov/cedselementdetails.aspx?termid=27644")</f>
        <v>https://ceds.ed.gov/cedselementdetails.aspx?termid=27644</v>
      </c>
      <c r="Q1379" s="16">
        <v>74978</v>
      </c>
    </row>
    <row r="1380" spans="1:17" ht="28.8" x14ac:dyDescent="0.3">
      <c r="A1380" s="16" t="s">
        <v>7665</v>
      </c>
      <c r="B1380" s="16" t="s">
        <v>7679</v>
      </c>
      <c r="C1380" s="16"/>
      <c r="D1380" s="16" t="s">
        <v>7597</v>
      </c>
      <c r="E1380" s="16" t="s">
        <v>5606</v>
      </c>
      <c r="F1380" s="16" t="s">
        <v>5607</v>
      </c>
      <c r="G1380" s="16" t="s">
        <v>32</v>
      </c>
      <c r="H1380" s="16"/>
      <c r="I1380" s="16"/>
      <c r="J1380" s="16" t="s">
        <v>2807</v>
      </c>
      <c r="K1380" s="16"/>
      <c r="L1380" s="16"/>
      <c r="M1380" s="19" t="s">
        <v>5608</v>
      </c>
      <c r="N1380" s="16"/>
      <c r="O1380" s="16" t="s">
        <v>5609</v>
      </c>
      <c r="P1380" s="16" t="str">
        <f>HYPERLINK("https://ceds.ed.gov/cedselementdetails.aspx?termid=27731")</f>
        <v>https://ceds.ed.gov/cedselementdetails.aspx?termid=27731</v>
      </c>
      <c r="Q1380" s="16">
        <v>74985</v>
      </c>
    </row>
    <row r="1381" spans="1:17" ht="172.8" x14ac:dyDescent="0.3">
      <c r="A1381" s="16" t="s">
        <v>7665</v>
      </c>
      <c r="B1381" s="16" t="s">
        <v>7679</v>
      </c>
      <c r="C1381" s="16" t="s">
        <v>7598</v>
      </c>
      <c r="D1381" s="16" t="s">
        <v>7597</v>
      </c>
      <c r="E1381" s="16" t="s">
        <v>6848</v>
      </c>
      <c r="F1381" s="16" t="s">
        <v>6849</v>
      </c>
      <c r="G1381" s="16" t="s">
        <v>32</v>
      </c>
      <c r="H1381" s="16"/>
      <c r="I1381" s="16"/>
      <c r="J1381" s="16" t="s">
        <v>120</v>
      </c>
      <c r="K1381" s="16"/>
      <c r="L1381" s="16" t="s">
        <v>7905</v>
      </c>
      <c r="M1381" s="19" t="s">
        <v>6850</v>
      </c>
      <c r="N1381" s="16"/>
      <c r="O1381" s="16" t="s">
        <v>6851</v>
      </c>
      <c r="P1381" s="16" t="str">
        <f>HYPERLINK("https://ceds.ed.gov/cedselementdetails.aspx?termid=27462")</f>
        <v>https://ceds.ed.gov/cedselementdetails.aspx?termid=27462</v>
      </c>
      <c r="Q1381" s="16">
        <v>73430</v>
      </c>
    </row>
    <row r="1382" spans="1:17" ht="100.8" x14ac:dyDescent="0.3">
      <c r="A1382" s="16" t="s">
        <v>7665</v>
      </c>
      <c r="B1382" s="16" t="s">
        <v>7679</v>
      </c>
      <c r="C1382" s="16" t="s">
        <v>7598</v>
      </c>
      <c r="D1382" s="16" t="s">
        <v>7597</v>
      </c>
      <c r="E1382" s="16" t="s">
        <v>6845</v>
      </c>
      <c r="F1382" s="16" t="s">
        <v>8156</v>
      </c>
      <c r="G1382" s="16" t="s">
        <v>8267</v>
      </c>
      <c r="H1382" s="16"/>
      <c r="I1382" s="16"/>
      <c r="J1382" s="16"/>
      <c r="K1382" s="16"/>
      <c r="L1382" s="16"/>
      <c r="M1382" s="19" t="s">
        <v>6846</v>
      </c>
      <c r="N1382" s="16"/>
      <c r="O1382" s="16" t="s">
        <v>6847</v>
      </c>
      <c r="P1382" s="16" t="str">
        <f>HYPERLINK("https://ceds.ed.gov/cedselementdetails.aspx?termid=27463")</f>
        <v>https://ceds.ed.gov/cedselementdetails.aspx?termid=27463</v>
      </c>
      <c r="Q1382" s="16">
        <v>73431</v>
      </c>
    </row>
    <row r="1383" spans="1:17" ht="43.2" x14ac:dyDescent="0.3">
      <c r="A1383" s="16" t="s">
        <v>7665</v>
      </c>
      <c r="B1383" s="16" t="s">
        <v>7679</v>
      </c>
      <c r="C1383" s="16" t="s">
        <v>7598</v>
      </c>
      <c r="D1383" s="16" t="s">
        <v>7597</v>
      </c>
      <c r="E1383" s="16" t="s">
        <v>5598</v>
      </c>
      <c r="F1383" s="16" t="s">
        <v>5599</v>
      </c>
      <c r="G1383" s="16" t="s">
        <v>32</v>
      </c>
      <c r="H1383" s="16" t="s">
        <v>195</v>
      </c>
      <c r="I1383" s="16"/>
      <c r="J1383" s="16" t="s">
        <v>145</v>
      </c>
      <c r="K1383" s="16"/>
      <c r="L1383" s="16"/>
      <c r="M1383" s="19" t="s">
        <v>5600</v>
      </c>
      <c r="N1383" s="16"/>
      <c r="O1383" s="16" t="s">
        <v>5601</v>
      </c>
      <c r="P1383" s="16" t="str">
        <f>HYPERLINK("https://ceds.ed.gov/cedselementdetails.aspx?termid=26204")</f>
        <v>https://ceds.ed.gov/cedselementdetails.aspx?termid=26204</v>
      </c>
      <c r="Q1383" s="16">
        <v>70972</v>
      </c>
    </row>
    <row r="1384" spans="1:17" ht="409.6" x14ac:dyDescent="0.3">
      <c r="A1384" s="16" t="s">
        <v>7665</v>
      </c>
      <c r="B1384" s="16" t="s">
        <v>7679</v>
      </c>
      <c r="C1384" s="16" t="s">
        <v>7598</v>
      </c>
      <c r="D1384" s="16" t="s">
        <v>7597</v>
      </c>
      <c r="E1384" s="16" t="s">
        <v>5618</v>
      </c>
      <c r="F1384" s="16" t="s">
        <v>5619</v>
      </c>
      <c r="G1384" s="16" t="s">
        <v>9335</v>
      </c>
      <c r="H1384" s="16"/>
      <c r="I1384" s="16"/>
      <c r="J1384" s="16"/>
      <c r="K1384" s="16"/>
      <c r="L1384" s="16" t="s">
        <v>5620</v>
      </c>
      <c r="M1384" s="19" t="s">
        <v>5621</v>
      </c>
      <c r="N1384" s="16"/>
      <c r="O1384" s="16" t="s">
        <v>5622</v>
      </c>
      <c r="P1384" s="16" t="str">
        <f>HYPERLINK("https://ceds.ed.gov/cedselementdetails.aspx?termid=27165")</f>
        <v>https://ceds.ed.gov/cedselementdetails.aspx?termid=27165</v>
      </c>
      <c r="Q1384" s="16">
        <v>71818</v>
      </c>
    </row>
    <row r="1385" spans="1:17" ht="86.4" x14ac:dyDescent="0.3">
      <c r="A1385" s="16" t="s">
        <v>7665</v>
      </c>
      <c r="B1385" s="16" t="s">
        <v>7679</v>
      </c>
      <c r="C1385" s="16" t="s">
        <v>7598</v>
      </c>
      <c r="D1385" s="16" t="s">
        <v>7597</v>
      </c>
      <c r="E1385" s="16" t="s">
        <v>5610</v>
      </c>
      <c r="F1385" s="16" t="s">
        <v>5611</v>
      </c>
      <c r="G1385" s="16" t="s">
        <v>8249</v>
      </c>
      <c r="H1385" s="16"/>
      <c r="I1385" s="16"/>
      <c r="J1385" s="16"/>
      <c r="K1385" s="16"/>
      <c r="L1385" s="16" t="s">
        <v>8099</v>
      </c>
      <c r="M1385" s="19" t="s">
        <v>5612</v>
      </c>
      <c r="N1385" s="16"/>
      <c r="O1385" s="16" t="s">
        <v>5613</v>
      </c>
      <c r="P1385" s="16" t="str">
        <f>HYPERLINK("https://ceds.ed.gov/cedselementdetails.aspx?termid=27886")</f>
        <v>https://ceds.ed.gov/cedselementdetails.aspx?termid=27886</v>
      </c>
      <c r="Q1385" s="16">
        <v>75155</v>
      </c>
    </row>
    <row r="1386" spans="1:17" ht="72" x14ac:dyDescent="0.3">
      <c r="A1386" s="16" t="s">
        <v>7665</v>
      </c>
      <c r="B1386" s="16" t="s">
        <v>7679</v>
      </c>
      <c r="C1386" s="16" t="s">
        <v>7599</v>
      </c>
      <c r="D1386" s="16" t="s">
        <v>7597</v>
      </c>
      <c r="E1386" s="16" t="s">
        <v>187</v>
      </c>
      <c r="F1386" s="16" t="s">
        <v>188</v>
      </c>
      <c r="G1386" s="16" t="s">
        <v>8205</v>
      </c>
      <c r="H1386" s="16" t="s">
        <v>64</v>
      </c>
      <c r="I1386" s="16"/>
      <c r="J1386" s="16" t="s">
        <v>81</v>
      </c>
      <c r="K1386" s="16"/>
      <c r="L1386" s="16"/>
      <c r="M1386" s="19" t="s">
        <v>189</v>
      </c>
      <c r="N1386" s="16"/>
      <c r="O1386" s="16" t="s">
        <v>190</v>
      </c>
      <c r="P1386" s="16" t="str">
        <f>HYPERLINK("https://ceds.ed.gov/cedselementdetails.aspx?termid=26644")</f>
        <v>https://ceds.ed.gov/cedselementdetails.aspx?termid=26644</v>
      </c>
      <c r="Q1386" s="16">
        <v>70987</v>
      </c>
    </row>
    <row r="1387" spans="1:17" ht="187.2" x14ac:dyDescent="0.3">
      <c r="A1387" s="16" t="s">
        <v>7665</v>
      </c>
      <c r="B1387" s="16" t="s">
        <v>7679</v>
      </c>
      <c r="C1387" s="16" t="s">
        <v>7599</v>
      </c>
      <c r="D1387" s="16" t="s">
        <v>7597</v>
      </c>
      <c r="E1387" s="16" t="s">
        <v>177</v>
      </c>
      <c r="F1387" s="16" t="s">
        <v>178</v>
      </c>
      <c r="G1387" s="16" t="s">
        <v>32</v>
      </c>
      <c r="H1387" s="16" t="s">
        <v>163</v>
      </c>
      <c r="I1387" s="16"/>
      <c r="J1387" s="16" t="s">
        <v>179</v>
      </c>
      <c r="K1387" s="16"/>
      <c r="L1387" s="16"/>
      <c r="M1387" s="19" t="s">
        <v>180</v>
      </c>
      <c r="N1387" s="16"/>
      <c r="O1387" s="16" t="s">
        <v>181</v>
      </c>
      <c r="P1387" s="16" t="str">
        <f>HYPERLINK("https://ceds.ed.gov/cedselementdetails.aspx?termid=26269")</f>
        <v>https://ceds.ed.gov/cedselementdetails.aspx?termid=26269</v>
      </c>
      <c r="Q1387" s="16">
        <v>70975</v>
      </c>
    </row>
    <row r="1388" spans="1:17" ht="187.2" x14ac:dyDescent="0.3">
      <c r="A1388" s="16" t="s">
        <v>7665</v>
      </c>
      <c r="B1388" s="16" t="s">
        <v>7679</v>
      </c>
      <c r="C1388" s="16" t="s">
        <v>7599</v>
      </c>
      <c r="D1388" s="16" t="s">
        <v>7597</v>
      </c>
      <c r="E1388" s="16" t="s">
        <v>158</v>
      </c>
      <c r="F1388" s="16" t="s">
        <v>159</v>
      </c>
      <c r="G1388" s="16" t="s">
        <v>32</v>
      </c>
      <c r="H1388" s="16" t="s">
        <v>163</v>
      </c>
      <c r="I1388" s="16"/>
      <c r="J1388" s="16" t="s">
        <v>145</v>
      </c>
      <c r="K1388" s="16"/>
      <c r="L1388" s="16"/>
      <c r="M1388" s="19" t="s">
        <v>161</v>
      </c>
      <c r="N1388" s="16"/>
      <c r="O1388" s="16" t="s">
        <v>162</v>
      </c>
      <c r="P1388" s="16" t="str">
        <f>HYPERLINK("https://ceds.ed.gov/cedselementdetails.aspx?termid=26019")</f>
        <v>https://ceds.ed.gov/cedselementdetails.aspx?termid=26019</v>
      </c>
      <c r="Q1388" s="16">
        <v>72147</v>
      </c>
    </row>
    <row r="1389" spans="1:17" ht="187.2" x14ac:dyDescent="0.3">
      <c r="A1389" s="16" t="s">
        <v>7665</v>
      </c>
      <c r="B1389" s="16" t="s">
        <v>7679</v>
      </c>
      <c r="C1389" s="16" t="s">
        <v>7599</v>
      </c>
      <c r="D1389" s="16" t="s">
        <v>7597</v>
      </c>
      <c r="E1389" s="16" t="s">
        <v>164</v>
      </c>
      <c r="F1389" s="16" t="s">
        <v>165</v>
      </c>
      <c r="G1389" s="16" t="s">
        <v>32</v>
      </c>
      <c r="H1389" s="16" t="s">
        <v>163</v>
      </c>
      <c r="I1389" s="16"/>
      <c r="J1389" s="16" t="s">
        <v>81</v>
      </c>
      <c r="K1389" s="16"/>
      <c r="L1389" s="16"/>
      <c r="M1389" s="19" t="s">
        <v>166</v>
      </c>
      <c r="N1389" s="16"/>
      <c r="O1389" s="16" t="s">
        <v>167</v>
      </c>
      <c r="P1389" s="16" t="str">
        <f>HYPERLINK("https://ceds.ed.gov/cedselementdetails.aspx?termid=26040")</f>
        <v>https://ceds.ed.gov/cedselementdetails.aspx?termid=26040</v>
      </c>
      <c r="Q1389" s="16">
        <v>70970</v>
      </c>
    </row>
    <row r="1390" spans="1:17" ht="409.6" x14ac:dyDescent="0.3">
      <c r="A1390" s="16" t="s">
        <v>7665</v>
      </c>
      <c r="B1390" s="16" t="s">
        <v>7679</v>
      </c>
      <c r="C1390" s="16" t="s">
        <v>7599</v>
      </c>
      <c r="D1390" s="16" t="s">
        <v>7597</v>
      </c>
      <c r="E1390" s="16" t="s">
        <v>6840</v>
      </c>
      <c r="F1390" s="16" t="s">
        <v>6841</v>
      </c>
      <c r="G1390" s="16" t="s">
        <v>8266</v>
      </c>
      <c r="H1390" s="16" t="s">
        <v>6844</v>
      </c>
      <c r="I1390" s="16"/>
      <c r="J1390" s="16"/>
      <c r="K1390" s="16"/>
      <c r="L1390" s="16"/>
      <c r="M1390" s="19" t="s">
        <v>6842</v>
      </c>
      <c r="N1390" s="16"/>
      <c r="O1390" s="16" t="s">
        <v>6843</v>
      </c>
      <c r="P1390" s="16" t="str">
        <f>HYPERLINK("https://ceds.ed.gov/cedselementdetails.aspx?termid=26267")</f>
        <v>https://ceds.ed.gov/cedselementdetails.aspx?termid=26267</v>
      </c>
      <c r="Q1390" s="16">
        <v>70974</v>
      </c>
    </row>
    <row r="1391" spans="1:17" ht="187.2" x14ac:dyDescent="0.3">
      <c r="A1391" s="16" t="s">
        <v>7665</v>
      </c>
      <c r="B1391" s="16" t="s">
        <v>7679</v>
      </c>
      <c r="C1391" s="16" t="s">
        <v>7599</v>
      </c>
      <c r="D1391" s="16" t="s">
        <v>7597</v>
      </c>
      <c r="E1391" s="16" t="s">
        <v>172</v>
      </c>
      <c r="F1391" s="16" t="s">
        <v>173</v>
      </c>
      <c r="G1391" s="16" t="s">
        <v>32</v>
      </c>
      <c r="H1391" s="16" t="s">
        <v>163</v>
      </c>
      <c r="I1391" s="16"/>
      <c r="J1391" s="16" t="s">
        <v>174</v>
      </c>
      <c r="K1391" s="16"/>
      <c r="L1391" s="16"/>
      <c r="M1391" s="19" t="s">
        <v>175</v>
      </c>
      <c r="N1391" s="16"/>
      <c r="O1391" s="16" t="s">
        <v>176</v>
      </c>
      <c r="P1391" s="16" t="str">
        <f>HYPERLINK("https://ceds.ed.gov/cedselementdetails.aspx?termid=26214")</f>
        <v>https://ceds.ed.gov/cedselementdetails.aspx?termid=26214</v>
      </c>
      <c r="Q1391" s="16">
        <v>70973</v>
      </c>
    </row>
    <row r="1392" spans="1:17" ht="409.6" x14ac:dyDescent="0.3">
      <c r="A1392" s="16" t="s">
        <v>7665</v>
      </c>
      <c r="B1392" s="16" t="s">
        <v>7679</v>
      </c>
      <c r="C1392" s="16" t="s">
        <v>7599</v>
      </c>
      <c r="D1392" s="16" t="s">
        <v>7597</v>
      </c>
      <c r="E1392" s="16" t="s">
        <v>6852</v>
      </c>
      <c r="F1392" s="16" t="s">
        <v>6853</v>
      </c>
      <c r="G1392" s="16" t="s">
        <v>8268</v>
      </c>
      <c r="H1392" s="16" t="s">
        <v>6856</v>
      </c>
      <c r="I1392" s="16"/>
      <c r="J1392" s="16"/>
      <c r="K1392" s="16"/>
      <c r="L1392" s="16"/>
      <c r="M1392" s="19" t="s">
        <v>6854</v>
      </c>
      <c r="N1392" s="16"/>
      <c r="O1392" s="16" t="s">
        <v>6855</v>
      </c>
      <c r="P1392" s="16" t="str">
        <f>HYPERLINK("https://ceds.ed.gov/cedselementdetails.aspx?termid=26414")</f>
        <v>https://ceds.ed.gov/cedselementdetails.aspx?termid=26414</v>
      </c>
      <c r="Q1392" s="16">
        <v>72142</v>
      </c>
    </row>
    <row r="1393" spans="1:17" ht="43.2" x14ac:dyDescent="0.3">
      <c r="A1393" s="16" t="s">
        <v>7665</v>
      </c>
      <c r="B1393" s="16" t="s">
        <v>7679</v>
      </c>
      <c r="C1393" s="16" t="s">
        <v>7599</v>
      </c>
      <c r="D1393" s="16" t="s">
        <v>7597</v>
      </c>
      <c r="E1393" s="16" t="s">
        <v>1761</v>
      </c>
      <c r="F1393" s="16" t="s">
        <v>1762</v>
      </c>
      <c r="G1393" s="16" t="s">
        <v>32</v>
      </c>
      <c r="H1393" s="16"/>
      <c r="I1393" s="16"/>
      <c r="J1393" s="16" t="s">
        <v>145</v>
      </c>
      <c r="K1393" s="16"/>
      <c r="L1393" s="16"/>
      <c r="M1393" s="19" t="s">
        <v>1763</v>
      </c>
      <c r="N1393" s="16"/>
      <c r="O1393" s="16" t="s">
        <v>1764</v>
      </c>
      <c r="P1393" s="16" t="str">
        <f>HYPERLINK("https://ceds.ed.gov/cedselementdetails.aspx?termid=26595")</f>
        <v>https://ceds.ed.gov/cedselementdetails.aspx?termid=26595</v>
      </c>
      <c r="Q1393" s="16">
        <v>74178</v>
      </c>
    </row>
    <row r="1394" spans="1:17" ht="57.6" x14ac:dyDescent="0.3">
      <c r="A1394" s="16" t="s">
        <v>7665</v>
      </c>
      <c r="B1394" s="16" t="s">
        <v>7679</v>
      </c>
      <c r="C1394" s="16" t="s">
        <v>7599</v>
      </c>
      <c r="D1394" s="16" t="s">
        <v>7597</v>
      </c>
      <c r="E1394" s="16" t="s">
        <v>4902</v>
      </c>
      <c r="F1394" s="16" t="s">
        <v>4903</v>
      </c>
      <c r="G1394" s="16" t="s">
        <v>32</v>
      </c>
      <c r="H1394" s="16"/>
      <c r="I1394" s="16"/>
      <c r="J1394" s="16" t="s">
        <v>1130</v>
      </c>
      <c r="K1394" s="16"/>
      <c r="L1394" s="16"/>
      <c r="M1394" s="19" t="s">
        <v>4904</v>
      </c>
      <c r="N1394" s="16"/>
      <c r="O1394" s="16" t="s">
        <v>4902</v>
      </c>
      <c r="P1394" s="16" t="str">
        <f>HYPERLINK("https://ceds.ed.gov/cedselementdetails.aspx?termid=26599")</f>
        <v>https://ceds.ed.gov/cedselementdetails.aspx?termid=26599</v>
      </c>
      <c r="Q1394" s="16">
        <v>74260</v>
      </c>
    </row>
    <row r="1395" spans="1:17" ht="57.6" x14ac:dyDescent="0.3">
      <c r="A1395" s="16" t="s">
        <v>7665</v>
      </c>
      <c r="B1395" s="16" t="s">
        <v>7679</v>
      </c>
      <c r="C1395" s="16" t="s">
        <v>7599</v>
      </c>
      <c r="D1395" s="16" t="s">
        <v>7597</v>
      </c>
      <c r="E1395" s="16" t="s">
        <v>5285</v>
      </c>
      <c r="F1395" s="16" t="s">
        <v>5286</v>
      </c>
      <c r="G1395" s="16" t="s">
        <v>32</v>
      </c>
      <c r="H1395" s="16"/>
      <c r="I1395" s="16"/>
      <c r="J1395" s="16" t="s">
        <v>1130</v>
      </c>
      <c r="K1395" s="16"/>
      <c r="L1395" s="16"/>
      <c r="M1395" s="19" t="s">
        <v>5287</v>
      </c>
      <c r="N1395" s="16"/>
      <c r="O1395" s="16" t="s">
        <v>5285</v>
      </c>
      <c r="P1395" s="16" t="str">
        <f>HYPERLINK("https://ceds.ed.gov/cedselementdetails.aspx?termid=26600")</f>
        <v>https://ceds.ed.gov/cedselementdetails.aspx?termid=26600</v>
      </c>
      <c r="Q1395" s="16">
        <v>74283</v>
      </c>
    </row>
    <row r="1396" spans="1:17" ht="158.4" x14ac:dyDescent="0.3">
      <c r="A1396" s="16" t="s">
        <v>7665</v>
      </c>
      <c r="B1396" s="16" t="s">
        <v>7679</v>
      </c>
      <c r="C1396" s="16" t="s">
        <v>7599</v>
      </c>
      <c r="D1396" s="16" t="s">
        <v>7597</v>
      </c>
      <c r="E1396" s="16" t="s">
        <v>2493</v>
      </c>
      <c r="F1396" s="16" t="s">
        <v>2494</v>
      </c>
      <c r="G1396" s="16" t="s">
        <v>32</v>
      </c>
      <c r="H1396" s="16"/>
      <c r="I1396" s="16"/>
      <c r="J1396" s="16" t="s">
        <v>2495</v>
      </c>
      <c r="K1396" s="16"/>
      <c r="L1396" s="16"/>
      <c r="M1396" s="19" t="s">
        <v>2496</v>
      </c>
      <c r="N1396" s="16"/>
      <c r="O1396" s="16" t="s">
        <v>2497</v>
      </c>
      <c r="P1396" s="16" t="str">
        <f>HYPERLINK("https://ceds.ed.gov/cedselementdetails.aspx?termid=27176")</f>
        <v>https://ceds.ed.gov/cedselementdetails.aspx?termid=27176</v>
      </c>
      <c r="Q1396" s="16">
        <v>75381</v>
      </c>
    </row>
    <row r="1397" spans="1:17" ht="57.6" x14ac:dyDescent="0.3">
      <c r="A1397" s="16" t="s">
        <v>7665</v>
      </c>
      <c r="B1397" s="16" t="s">
        <v>7679</v>
      </c>
      <c r="C1397" s="16" t="s">
        <v>7599</v>
      </c>
      <c r="D1397" s="16" t="s">
        <v>7597</v>
      </c>
      <c r="E1397" s="16" t="s">
        <v>3175</v>
      </c>
      <c r="F1397" s="16" t="s">
        <v>3176</v>
      </c>
      <c r="G1397" s="16" t="s">
        <v>2987</v>
      </c>
      <c r="H1397" s="16"/>
      <c r="I1397" s="16"/>
      <c r="J1397" s="16"/>
      <c r="K1397" s="16"/>
      <c r="L1397" s="16"/>
      <c r="M1397" s="19" t="s">
        <v>3177</v>
      </c>
      <c r="N1397" s="16"/>
      <c r="O1397" s="16" t="s">
        <v>3178</v>
      </c>
      <c r="P1397" s="16" t="str">
        <f>HYPERLINK("https://ceds.ed.gov/cedselementdetails.aspx?termid=27905")</f>
        <v>https://ceds.ed.gov/cedselementdetails.aspx?termid=27905</v>
      </c>
      <c r="Q1397" s="16">
        <v>75382</v>
      </c>
    </row>
    <row r="1398" spans="1:17" ht="72" x14ac:dyDescent="0.3">
      <c r="A1398" s="16" t="s">
        <v>7665</v>
      </c>
      <c r="B1398" s="16" t="s">
        <v>7679</v>
      </c>
      <c r="C1398" s="16" t="s">
        <v>7601</v>
      </c>
      <c r="D1398" s="16" t="s">
        <v>7597</v>
      </c>
      <c r="E1398" s="16" t="s">
        <v>5773</v>
      </c>
      <c r="F1398" s="16" t="s">
        <v>5774</v>
      </c>
      <c r="G1398" s="16" t="s">
        <v>32</v>
      </c>
      <c r="H1398" s="16" t="s">
        <v>64</v>
      </c>
      <c r="I1398" s="16"/>
      <c r="J1398" s="16" t="s">
        <v>1304</v>
      </c>
      <c r="K1398" s="16"/>
      <c r="L1398" s="16"/>
      <c r="M1398" s="19" t="s">
        <v>5775</v>
      </c>
      <c r="N1398" s="16"/>
      <c r="O1398" s="16" t="s">
        <v>5776</v>
      </c>
      <c r="P1398" s="16" t="str">
        <f>HYPERLINK("https://ceds.ed.gov/cedselementdetails.aspx?termid=26213")</f>
        <v>https://ceds.ed.gov/cedselementdetails.aspx?termid=26213</v>
      </c>
      <c r="Q1398" s="16">
        <v>73313</v>
      </c>
    </row>
    <row r="1399" spans="1:17" ht="86.4" x14ac:dyDescent="0.3">
      <c r="A1399" s="16" t="s">
        <v>7665</v>
      </c>
      <c r="B1399" s="16" t="s">
        <v>7679</v>
      </c>
      <c r="C1399" s="16" t="s">
        <v>7601</v>
      </c>
      <c r="D1399" s="16" t="s">
        <v>7597</v>
      </c>
      <c r="E1399" s="16" t="s">
        <v>5855</v>
      </c>
      <c r="F1399" s="16" t="s">
        <v>5856</v>
      </c>
      <c r="G1399" s="16" t="s">
        <v>22</v>
      </c>
      <c r="H1399" s="16"/>
      <c r="I1399" s="16"/>
      <c r="J1399" s="16"/>
      <c r="K1399" s="16"/>
      <c r="L1399" s="16"/>
      <c r="M1399" s="19" t="s">
        <v>5857</v>
      </c>
      <c r="N1399" s="16"/>
      <c r="O1399" s="16" t="s">
        <v>5858</v>
      </c>
      <c r="P1399" s="16" t="str">
        <f>HYPERLINK("https://ceds.ed.gov/cedselementdetails.aspx?termid=27397")</f>
        <v>https://ceds.ed.gov/cedselementdetails.aspx?termid=27397</v>
      </c>
      <c r="Q1399" s="16">
        <v>73324</v>
      </c>
    </row>
    <row r="1400" spans="1:17" ht="28.8" x14ac:dyDescent="0.3">
      <c r="A1400" s="16" t="s">
        <v>7665</v>
      </c>
      <c r="B1400" s="16" t="s">
        <v>7679</v>
      </c>
      <c r="C1400" s="16" t="s">
        <v>7601</v>
      </c>
      <c r="D1400" s="16" t="s">
        <v>7597</v>
      </c>
      <c r="E1400" s="16" t="s">
        <v>7262</v>
      </c>
      <c r="F1400" s="16" t="s">
        <v>7263</v>
      </c>
      <c r="G1400" s="16" t="s">
        <v>32</v>
      </c>
      <c r="H1400" s="16" t="s">
        <v>214</v>
      </c>
      <c r="I1400" s="16"/>
      <c r="J1400" s="16" t="s">
        <v>101</v>
      </c>
      <c r="K1400" s="16"/>
      <c r="L1400" s="16"/>
      <c r="M1400" s="19" t="s">
        <v>7264</v>
      </c>
      <c r="N1400" s="16"/>
      <c r="O1400" s="16" t="s">
        <v>7265</v>
      </c>
      <c r="P1400" s="16" t="str">
        <f>HYPERLINK("https://ceds.ed.gov/cedselementdetails.aspx?termid=26300")</f>
        <v>https://ceds.ed.gov/cedselementdetails.aspx?termid=26300</v>
      </c>
      <c r="Q1400" s="16">
        <v>73451</v>
      </c>
    </row>
    <row r="1401" spans="1:17" ht="158.4" x14ac:dyDescent="0.3">
      <c r="A1401" s="16" t="s">
        <v>7665</v>
      </c>
      <c r="B1401" s="16" t="s">
        <v>7679</v>
      </c>
      <c r="C1401" s="16" t="s">
        <v>7602</v>
      </c>
      <c r="D1401" s="16" t="s">
        <v>7597</v>
      </c>
      <c r="E1401" s="16" t="s">
        <v>3990</v>
      </c>
      <c r="F1401" s="16" t="s">
        <v>3991</v>
      </c>
      <c r="G1401" s="16" t="s">
        <v>32</v>
      </c>
      <c r="H1401" s="16" t="s">
        <v>3994</v>
      </c>
      <c r="I1401" s="16"/>
      <c r="J1401" s="16" t="s">
        <v>7426</v>
      </c>
      <c r="K1401" s="16"/>
      <c r="L1401" s="16" t="s">
        <v>8047</v>
      </c>
      <c r="M1401" s="19" t="s">
        <v>3992</v>
      </c>
      <c r="N1401" s="16"/>
      <c r="O1401" s="16" t="s">
        <v>3993</v>
      </c>
      <c r="P1401" s="16" t="str">
        <f>HYPERLINK("https://ceds.ed.gov/cedselementdetails.aspx?termid=26115")</f>
        <v>https://ceds.ed.gov/cedselementdetails.aspx?termid=26115</v>
      </c>
      <c r="Q1401" s="16">
        <v>73046</v>
      </c>
    </row>
    <row r="1402" spans="1:17" ht="158.4" x14ac:dyDescent="0.3">
      <c r="A1402" s="16" t="s">
        <v>7665</v>
      </c>
      <c r="B1402" s="16" t="s">
        <v>7679</v>
      </c>
      <c r="C1402" s="16" t="s">
        <v>7602</v>
      </c>
      <c r="D1402" s="16" t="s">
        <v>7597</v>
      </c>
      <c r="E1402" s="16" t="s">
        <v>5328</v>
      </c>
      <c r="F1402" s="16" t="s">
        <v>5329</v>
      </c>
      <c r="G1402" s="16" t="s">
        <v>32</v>
      </c>
      <c r="H1402" s="16" t="s">
        <v>3994</v>
      </c>
      <c r="I1402" s="16"/>
      <c r="J1402" s="16" t="s">
        <v>7426</v>
      </c>
      <c r="K1402" s="16"/>
      <c r="L1402" s="16" t="s">
        <v>8053</v>
      </c>
      <c r="M1402" s="19" t="s">
        <v>5330</v>
      </c>
      <c r="N1402" s="16"/>
      <c r="O1402" s="16" t="s">
        <v>5331</v>
      </c>
      <c r="P1402" s="16" t="str">
        <f>HYPERLINK("https://ceds.ed.gov/cedselementdetails.aspx?termid=26184")</f>
        <v>https://ceds.ed.gov/cedselementdetails.aspx?termid=26184</v>
      </c>
      <c r="Q1402" s="16">
        <v>73047</v>
      </c>
    </row>
    <row r="1403" spans="1:17" ht="158.4" x14ac:dyDescent="0.3">
      <c r="A1403" s="16" t="s">
        <v>7665</v>
      </c>
      <c r="B1403" s="16" t="s">
        <v>7679</v>
      </c>
      <c r="C1403" s="16" t="s">
        <v>7602</v>
      </c>
      <c r="D1403" s="16" t="s">
        <v>7597</v>
      </c>
      <c r="E1403" s="16" t="s">
        <v>4893</v>
      </c>
      <c r="F1403" s="16" t="s">
        <v>4894</v>
      </c>
      <c r="G1403" s="16" t="s">
        <v>32</v>
      </c>
      <c r="H1403" s="16" t="s">
        <v>3994</v>
      </c>
      <c r="I1403" s="16"/>
      <c r="J1403" s="16" t="s">
        <v>7426</v>
      </c>
      <c r="K1403" s="16"/>
      <c r="L1403" s="16" t="s">
        <v>8053</v>
      </c>
      <c r="M1403" s="19" t="s">
        <v>4895</v>
      </c>
      <c r="N1403" s="16" t="s">
        <v>4896</v>
      </c>
      <c r="O1403" s="16" t="s">
        <v>4897</v>
      </c>
      <c r="P1403" s="16" t="str">
        <f>HYPERLINK("https://ceds.ed.gov/cedselementdetails.aspx?termid=26172")</f>
        <v>https://ceds.ed.gov/cedselementdetails.aspx?termid=26172</v>
      </c>
      <c r="Q1403" s="16">
        <v>73048</v>
      </c>
    </row>
    <row r="1404" spans="1:17" ht="129.6" x14ac:dyDescent="0.3">
      <c r="A1404" s="16" t="s">
        <v>7665</v>
      </c>
      <c r="B1404" s="16" t="s">
        <v>7679</v>
      </c>
      <c r="C1404" s="16" t="s">
        <v>7602</v>
      </c>
      <c r="D1404" s="16" t="s">
        <v>7597</v>
      </c>
      <c r="E1404" s="16" t="s">
        <v>4054</v>
      </c>
      <c r="F1404" s="16" t="s">
        <v>4055</v>
      </c>
      <c r="G1404" s="16" t="s">
        <v>32</v>
      </c>
      <c r="H1404" s="16" t="s">
        <v>4059</v>
      </c>
      <c r="I1404" s="16"/>
      <c r="J1404" s="16" t="s">
        <v>2697</v>
      </c>
      <c r="K1404" s="16"/>
      <c r="L1404" s="16" t="s">
        <v>8053</v>
      </c>
      <c r="M1404" s="19" t="s">
        <v>4057</v>
      </c>
      <c r="N1404" s="16"/>
      <c r="O1404" s="16" t="s">
        <v>4058</v>
      </c>
      <c r="P1404" s="16" t="str">
        <f>HYPERLINK("https://ceds.ed.gov/cedselementdetails.aspx?termid=26121")</f>
        <v>https://ceds.ed.gov/cedselementdetails.aspx?termid=26121</v>
      </c>
      <c r="Q1404" s="16">
        <v>73049</v>
      </c>
    </row>
    <row r="1405" spans="1:17" ht="86.4" x14ac:dyDescent="0.3">
      <c r="A1405" s="16" t="s">
        <v>7665</v>
      </c>
      <c r="B1405" s="16" t="s">
        <v>7679</v>
      </c>
      <c r="C1405" s="16" t="s">
        <v>7602</v>
      </c>
      <c r="D1405" s="16" t="s">
        <v>7597</v>
      </c>
      <c r="E1405" s="16" t="s">
        <v>5760</v>
      </c>
      <c r="F1405" s="16" t="s">
        <v>5761</v>
      </c>
      <c r="G1405" s="16" t="s">
        <v>32</v>
      </c>
      <c r="H1405" s="16" t="s">
        <v>5765</v>
      </c>
      <c r="I1405" s="16"/>
      <c r="J1405" s="16" t="s">
        <v>81</v>
      </c>
      <c r="K1405" s="16"/>
      <c r="L1405" s="16"/>
      <c r="M1405" s="19" t="s">
        <v>5762</v>
      </c>
      <c r="N1405" s="16" t="s">
        <v>5763</v>
      </c>
      <c r="O1405" s="16" t="s">
        <v>5764</v>
      </c>
      <c r="P1405" s="16" t="str">
        <f>HYPERLINK("https://ceds.ed.gov/cedselementdetails.aspx?termid=26212")</f>
        <v>https://ceds.ed.gov/cedselementdetails.aspx?termid=26212</v>
      </c>
      <c r="Q1405" s="16">
        <v>73050</v>
      </c>
    </row>
    <row r="1406" spans="1:17" ht="100.8" x14ac:dyDescent="0.3">
      <c r="A1406" s="16" t="s">
        <v>7665</v>
      </c>
      <c r="B1406" s="16" t="s">
        <v>7679</v>
      </c>
      <c r="C1406" s="16" t="s">
        <v>7603</v>
      </c>
      <c r="D1406" s="16" t="s">
        <v>7597</v>
      </c>
      <c r="E1406" s="16" t="s">
        <v>191</v>
      </c>
      <c r="F1406" s="16" t="s">
        <v>192</v>
      </c>
      <c r="G1406" s="16" t="s">
        <v>8295</v>
      </c>
      <c r="H1406" s="16" t="s">
        <v>195</v>
      </c>
      <c r="I1406" s="16"/>
      <c r="J1406" s="16" t="s">
        <v>81</v>
      </c>
      <c r="K1406" s="16"/>
      <c r="L1406" s="16"/>
      <c r="M1406" s="19" t="s">
        <v>193</v>
      </c>
      <c r="N1406" s="16"/>
      <c r="O1406" s="16" t="s">
        <v>194</v>
      </c>
      <c r="P1406" s="16" t="str">
        <f>HYPERLINK("https://ceds.ed.gov/cedselementdetails.aspx?termid=26698")</f>
        <v>https://ceds.ed.gov/cedselementdetails.aspx?termid=26698</v>
      </c>
      <c r="Q1406" s="16">
        <v>73051</v>
      </c>
    </row>
    <row r="1407" spans="1:17" ht="187.2" x14ac:dyDescent="0.3">
      <c r="A1407" s="16" t="s">
        <v>7665</v>
      </c>
      <c r="B1407" s="16" t="s">
        <v>7679</v>
      </c>
      <c r="C1407" s="16" t="s">
        <v>7603</v>
      </c>
      <c r="D1407" s="16" t="s">
        <v>7597</v>
      </c>
      <c r="E1407" s="16" t="s">
        <v>177</v>
      </c>
      <c r="F1407" s="16" t="s">
        <v>178</v>
      </c>
      <c r="G1407" s="16" t="s">
        <v>32</v>
      </c>
      <c r="H1407" s="16" t="s">
        <v>163</v>
      </c>
      <c r="I1407" s="16"/>
      <c r="J1407" s="16" t="s">
        <v>179</v>
      </c>
      <c r="K1407" s="16"/>
      <c r="L1407" s="16"/>
      <c r="M1407" s="19" t="s">
        <v>180</v>
      </c>
      <c r="N1407" s="16"/>
      <c r="O1407" s="16" t="s">
        <v>181</v>
      </c>
      <c r="P1407" s="16" t="str">
        <f>HYPERLINK("https://ceds.ed.gov/cedselementdetails.aspx?termid=26269")</f>
        <v>https://ceds.ed.gov/cedselementdetails.aspx?termid=26269</v>
      </c>
      <c r="Q1407" s="16">
        <v>73052</v>
      </c>
    </row>
    <row r="1408" spans="1:17" ht="187.2" x14ac:dyDescent="0.3">
      <c r="A1408" s="16" t="s">
        <v>7665</v>
      </c>
      <c r="B1408" s="16" t="s">
        <v>7679</v>
      </c>
      <c r="C1408" s="16" t="s">
        <v>7603</v>
      </c>
      <c r="D1408" s="16" t="s">
        <v>7597</v>
      </c>
      <c r="E1408" s="16" t="s">
        <v>158</v>
      </c>
      <c r="F1408" s="16" t="s">
        <v>159</v>
      </c>
      <c r="G1408" s="16" t="s">
        <v>32</v>
      </c>
      <c r="H1408" s="16" t="s">
        <v>163</v>
      </c>
      <c r="I1408" s="16"/>
      <c r="J1408" s="16" t="s">
        <v>145</v>
      </c>
      <c r="K1408" s="16"/>
      <c r="L1408" s="16"/>
      <c r="M1408" s="19" t="s">
        <v>161</v>
      </c>
      <c r="N1408" s="16"/>
      <c r="O1408" s="16" t="s">
        <v>162</v>
      </c>
      <c r="P1408" s="16" t="str">
        <f>HYPERLINK("https://ceds.ed.gov/cedselementdetails.aspx?termid=26019")</f>
        <v>https://ceds.ed.gov/cedselementdetails.aspx?termid=26019</v>
      </c>
      <c r="Q1408" s="16">
        <v>73053</v>
      </c>
    </row>
    <row r="1409" spans="1:17" ht="187.2" x14ac:dyDescent="0.3">
      <c r="A1409" s="16" t="s">
        <v>7665</v>
      </c>
      <c r="B1409" s="16" t="s">
        <v>7679</v>
      </c>
      <c r="C1409" s="16" t="s">
        <v>7603</v>
      </c>
      <c r="D1409" s="16" t="s">
        <v>7597</v>
      </c>
      <c r="E1409" s="16" t="s">
        <v>164</v>
      </c>
      <c r="F1409" s="16" t="s">
        <v>165</v>
      </c>
      <c r="G1409" s="16" t="s">
        <v>32</v>
      </c>
      <c r="H1409" s="16" t="s">
        <v>163</v>
      </c>
      <c r="I1409" s="16"/>
      <c r="J1409" s="16" t="s">
        <v>81</v>
      </c>
      <c r="K1409" s="16"/>
      <c r="L1409" s="16"/>
      <c r="M1409" s="19" t="s">
        <v>166</v>
      </c>
      <c r="N1409" s="16"/>
      <c r="O1409" s="16" t="s">
        <v>167</v>
      </c>
      <c r="P1409" s="16" t="str">
        <f>HYPERLINK("https://ceds.ed.gov/cedselementdetails.aspx?termid=26040")</f>
        <v>https://ceds.ed.gov/cedselementdetails.aspx?termid=26040</v>
      </c>
      <c r="Q1409" s="16">
        <v>73054</v>
      </c>
    </row>
    <row r="1410" spans="1:17" ht="409.6" x14ac:dyDescent="0.3">
      <c r="A1410" s="16" t="s">
        <v>7665</v>
      </c>
      <c r="B1410" s="16" t="s">
        <v>7679</v>
      </c>
      <c r="C1410" s="16" t="s">
        <v>7603</v>
      </c>
      <c r="D1410" s="16" t="s">
        <v>7597</v>
      </c>
      <c r="E1410" s="16" t="s">
        <v>6840</v>
      </c>
      <c r="F1410" s="16" t="s">
        <v>6841</v>
      </c>
      <c r="G1410" s="16" t="s">
        <v>8266</v>
      </c>
      <c r="H1410" s="16" t="s">
        <v>6844</v>
      </c>
      <c r="I1410" s="16"/>
      <c r="J1410" s="16"/>
      <c r="K1410" s="16"/>
      <c r="L1410" s="16"/>
      <c r="M1410" s="19" t="s">
        <v>6842</v>
      </c>
      <c r="N1410" s="16"/>
      <c r="O1410" s="16" t="s">
        <v>6843</v>
      </c>
      <c r="P1410" s="16" t="str">
        <f>HYPERLINK("https://ceds.ed.gov/cedselementdetails.aspx?termid=26267")</f>
        <v>https://ceds.ed.gov/cedselementdetails.aspx?termid=26267</v>
      </c>
      <c r="Q1410" s="16">
        <v>73055</v>
      </c>
    </row>
    <row r="1411" spans="1:17" ht="187.2" x14ac:dyDescent="0.3">
      <c r="A1411" s="16" t="s">
        <v>7665</v>
      </c>
      <c r="B1411" s="16" t="s">
        <v>7679</v>
      </c>
      <c r="C1411" s="16" t="s">
        <v>7603</v>
      </c>
      <c r="D1411" s="16" t="s">
        <v>7597</v>
      </c>
      <c r="E1411" s="16" t="s">
        <v>172</v>
      </c>
      <c r="F1411" s="16" t="s">
        <v>173</v>
      </c>
      <c r="G1411" s="16" t="s">
        <v>32</v>
      </c>
      <c r="H1411" s="16" t="s">
        <v>163</v>
      </c>
      <c r="I1411" s="16"/>
      <c r="J1411" s="16" t="s">
        <v>174</v>
      </c>
      <c r="K1411" s="16"/>
      <c r="L1411" s="16"/>
      <c r="M1411" s="19" t="s">
        <v>175</v>
      </c>
      <c r="N1411" s="16"/>
      <c r="O1411" s="16" t="s">
        <v>176</v>
      </c>
      <c r="P1411" s="16" t="str">
        <f>HYPERLINK("https://ceds.ed.gov/cedselementdetails.aspx?termid=26214")</f>
        <v>https://ceds.ed.gov/cedselementdetails.aspx?termid=26214</v>
      </c>
      <c r="Q1411" s="16">
        <v>73056</v>
      </c>
    </row>
    <row r="1412" spans="1:17" ht="187.2" x14ac:dyDescent="0.3">
      <c r="A1412" s="16" t="s">
        <v>7665</v>
      </c>
      <c r="B1412" s="16" t="s">
        <v>7679</v>
      </c>
      <c r="C1412" s="16" t="s">
        <v>7603</v>
      </c>
      <c r="D1412" s="16" t="s">
        <v>7597</v>
      </c>
      <c r="E1412" s="16" t="s">
        <v>168</v>
      </c>
      <c r="F1412" s="16" t="s">
        <v>169</v>
      </c>
      <c r="G1412" s="16" t="s">
        <v>32</v>
      </c>
      <c r="H1412" s="16" t="s">
        <v>163</v>
      </c>
      <c r="I1412" s="16"/>
      <c r="J1412" s="16" t="s">
        <v>81</v>
      </c>
      <c r="K1412" s="16"/>
      <c r="L1412" s="16"/>
      <c r="M1412" s="19" t="s">
        <v>170</v>
      </c>
      <c r="N1412" s="16"/>
      <c r="O1412" s="16" t="s">
        <v>171</v>
      </c>
      <c r="P1412" s="16" t="str">
        <f>HYPERLINK("https://ceds.ed.gov/cedselementdetails.aspx?termid=26190")</f>
        <v>https://ceds.ed.gov/cedselementdetails.aspx?termid=26190</v>
      </c>
      <c r="Q1412" s="16">
        <v>73057</v>
      </c>
    </row>
    <row r="1413" spans="1:17" ht="409.6" x14ac:dyDescent="0.3">
      <c r="A1413" s="16" t="s">
        <v>7665</v>
      </c>
      <c r="B1413" s="16" t="s">
        <v>7679</v>
      </c>
      <c r="C1413" s="16" t="s">
        <v>7603</v>
      </c>
      <c r="D1413" s="16" t="s">
        <v>7597</v>
      </c>
      <c r="E1413" s="16" t="s">
        <v>2483</v>
      </c>
      <c r="F1413" s="16" t="s">
        <v>2484</v>
      </c>
      <c r="G1413" s="16" t="s">
        <v>8454</v>
      </c>
      <c r="H1413" s="16" t="s">
        <v>2487</v>
      </c>
      <c r="I1413" s="16"/>
      <c r="J1413" s="16"/>
      <c r="K1413" s="16"/>
      <c r="L1413" s="16" t="s">
        <v>7915</v>
      </c>
      <c r="M1413" s="19" t="s">
        <v>2485</v>
      </c>
      <c r="N1413" s="16"/>
      <c r="O1413" s="16" t="s">
        <v>2486</v>
      </c>
      <c r="P1413" s="16" t="str">
        <f>HYPERLINK("https://ceds.ed.gov/cedselementdetails.aspx?termid=26050")</f>
        <v>https://ceds.ed.gov/cedselementdetails.aspx?termid=26050</v>
      </c>
      <c r="Q1413" s="16">
        <v>73058</v>
      </c>
    </row>
    <row r="1414" spans="1:17" ht="57.6" x14ac:dyDescent="0.3">
      <c r="A1414" s="16" t="s">
        <v>7665</v>
      </c>
      <c r="B1414" s="16" t="s">
        <v>7679</v>
      </c>
      <c r="C1414" s="16" t="s">
        <v>7603</v>
      </c>
      <c r="D1414" s="16" t="s">
        <v>7597</v>
      </c>
      <c r="E1414" s="16" t="s">
        <v>4902</v>
      </c>
      <c r="F1414" s="16" t="s">
        <v>4903</v>
      </c>
      <c r="G1414" s="16" t="s">
        <v>32</v>
      </c>
      <c r="H1414" s="16"/>
      <c r="I1414" s="16"/>
      <c r="J1414" s="16" t="s">
        <v>1130</v>
      </c>
      <c r="K1414" s="16"/>
      <c r="L1414" s="16"/>
      <c r="M1414" s="19" t="s">
        <v>4904</v>
      </c>
      <c r="N1414" s="16"/>
      <c r="O1414" s="16" t="s">
        <v>4902</v>
      </c>
      <c r="P1414" s="16" t="str">
        <f>HYPERLINK("https://ceds.ed.gov/cedselementdetails.aspx?termid=26599")</f>
        <v>https://ceds.ed.gov/cedselementdetails.aspx?termid=26599</v>
      </c>
      <c r="Q1414" s="16">
        <v>74268</v>
      </c>
    </row>
    <row r="1415" spans="1:17" ht="57.6" x14ac:dyDescent="0.3">
      <c r="A1415" s="16" t="s">
        <v>7665</v>
      </c>
      <c r="B1415" s="16" t="s">
        <v>7679</v>
      </c>
      <c r="C1415" s="16" t="s">
        <v>7603</v>
      </c>
      <c r="D1415" s="16" t="s">
        <v>7597</v>
      </c>
      <c r="E1415" s="16" t="s">
        <v>5285</v>
      </c>
      <c r="F1415" s="16" t="s">
        <v>5286</v>
      </c>
      <c r="G1415" s="16" t="s">
        <v>32</v>
      </c>
      <c r="H1415" s="16"/>
      <c r="I1415" s="16"/>
      <c r="J1415" s="16" t="s">
        <v>1130</v>
      </c>
      <c r="K1415" s="16"/>
      <c r="L1415" s="16"/>
      <c r="M1415" s="19" t="s">
        <v>5287</v>
      </c>
      <c r="N1415" s="16"/>
      <c r="O1415" s="16" t="s">
        <v>5285</v>
      </c>
      <c r="P1415" s="16" t="str">
        <f>HYPERLINK("https://ceds.ed.gov/cedselementdetails.aspx?termid=26600")</f>
        <v>https://ceds.ed.gov/cedselementdetails.aspx?termid=26600</v>
      </c>
      <c r="Q1415" s="16">
        <v>74291</v>
      </c>
    </row>
    <row r="1416" spans="1:17" ht="158.4" x14ac:dyDescent="0.3">
      <c r="A1416" s="16" t="s">
        <v>7665</v>
      </c>
      <c r="B1416" s="16" t="s">
        <v>7679</v>
      </c>
      <c r="C1416" s="16" t="s">
        <v>7603</v>
      </c>
      <c r="D1416" s="16" t="s">
        <v>7597</v>
      </c>
      <c r="E1416" s="16" t="s">
        <v>2493</v>
      </c>
      <c r="F1416" s="16" t="s">
        <v>2494</v>
      </c>
      <c r="G1416" s="16" t="s">
        <v>32</v>
      </c>
      <c r="H1416" s="16"/>
      <c r="I1416" s="16"/>
      <c r="J1416" s="16" t="s">
        <v>2495</v>
      </c>
      <c r="K1416" s="16"/>
      <c r="L1416" s="16"/>
      <c r="M1416" s="19" t="s">
        <v>2496</v>
      </c>
      <c r="N1416" s="16"/>
      <c r="O1416" s="16" t="s">
        <v>2497</v>
      </c>
      <c r="P1416" s="16" t="str">
        <f>HYPERLINK("https://ceds.ed.gov/cedselementdetails.aspx?termid=27176")</f>
        <v>https://ceds.ed.gov/cedselementdetails.aspx?termid=27176</v>
      </c>
      <c r="Q1416" s="16">
        <v>75383</v>
      </c>
    </row>
    <row r="1417" spans="1:17" ht="57.6" x14ac:dyDescent="0.3">
      <c r="A1417" s="16" t="s">
        <v>7665</v>
      </c>
      <c r="B1417" s="16" t="s">
        <v>7679</v>
      </c>
      <c r="C1417" s="16" t="s">
        <v>7603</v>
      </c>
      <c r="D1417" s="16" t="s">
        <v>7597</v>
      </c>
      <c r="E1417" s="16" t="s">
        <v>3175</v>
      </c>
      <c r="F1417" s="16" t="s">
        <v>3176</v>
      </c>
      <c r="G1417" s="16" t="s">
        <v>2987</v>
      </c>
      <c r="H1417" s="16"/>
      <c r="I1417" s="16"/>
      <c r="J1417" s="16"/>
      <c r="K1417" s="16"/>
      <c r="L1417" s="16"/>
      <c r="M1417" s="19" t="s">
        <v>3177</v>
      </c>
      <c r="N1417" s="16"/>
      <c r="O1417" s="16" t="s">
        <v>3178</v>
      </c>
      <c r="P1417" s="16" t="str">
        <f>HYPERLINK("https://ceds.ed.gov/cedselementdetails.aspx?termid=27905")</f>
        <v>https://ceds.ed.gov/cedselementdetails.aspx?termid=27905</v>
      </c>
      <c r="Q1417" s="16">
        <v>75384</v>
      </c>
    </row>
    <row r="1418" spans="1:17" ht="72" x14ac:dyDescent="0.3">
      <c r="A1418" s="16" t="s">
        <v>7665</v>
      </c>
      <c r="B1418" s="16" t="s">
        <v>7679</v>
      </c>
      <c r="C1418" s="16" t="s">
        <v>7605</v>
      </c>
      <c r="D1418" s="16" t="s">
        <v>7597</v>
      </c>
      <c r="E1418" s="16" t="s">
        <v>3406</v>
      </c>
      <c r="F1418" s="16" t="s">
        <v>3407</v>
      </c>
      <c r="G1418" s="16" t="s">
        <v>32</v>
      </c>
      <c r="H1418" s="16" t="s">
        <v>64</v>
      </c>
      <c r="I1418" s="16"/>
      <c r="J1418" s="16" t="s">
        <v>3408</v>
      </c>
      <c r="K1418" s="16"/>
      <c r="L1418" s="16"/>
      <c r="M1418" s="19" t="s">
        <v>3409</v>
      </c>
      <c r="N1418" s="16" t="s">
        <v>3410</v>
      </c>
      <c r="O1418" s="16" t="s">
        <v>3411</v>
      </c>
      <c r="P1418" s="16" t="str">
        <f>HYPERLINK("https://ceds.ed.gov/cedselementdetails.aspx?termid=26088")</f>
        <v>https://ceds.ed.gov/cedselementdetails.aspx?termid=26088</v>
      </c>
      <c r="Q1418" s="16">
        <v>73148</v>
      </c>
    </row>
    <row r="1419" spans="1:17" ht="72" x14ac:dyDescent="0.3">
      <c r="A1419" s="16" t="s">
        <v>7665</v>
      </c>
      <c r="B1419" s="16" t="s">
        <v>7679</v>
      </c>
      <c r="C1419" s="16" t="s">
        <v>7605</v>
      </c>
      <c r="D1419" s="16" t="s">
        <v>7597</v>
      </c>
      <c r="E1419" s="16" t="s">
        <v>3412</v>
      </c>
      <c r="F1419" s="16" t="s">
        <v>3413</v>
      </c>
      <c r="G1419" s="16" t="s">
        <v>9330</v>
      </c>
      <c r="H1419" s="16" t="s">
        <v>64</v>
      </c>
      <c r="I1419" s="16"/>
      <c r="J1419" s="16"/>
      <c r="K1419" s="16"/>
      <c r="L1419" s="16"/>
      <c r="M1419" s="19" t="s">
        <v>3414</v>
      </c>
      <c r="N1419" s="16" t="s">
        <v>3415</v>
      </c>
      <c r="O1419" s="16" t="s">
        <v>3416</v>
      </c>
      <c r="P1419" s="16" t="str">
        <f>HYPERLINK("https://ceds.ed.gov/cedselementdetails.aspx?termid=26089")</f>
        <v>https://ceds.ed.gov/cedselementdetails.aspx?termid=26089</v>
      </c>
      <c r="Q1419" s="16">
        <v>73149</v>
      </c>
    </row>
    <row r="1420" spans="1:17" ht="57.6" x14ac:dyDescent="0.3">
      <c r="A1420" s="16" t="s">
        <v>7665</v>
      </c>
      <c r="B1420" s="16" t="s">
        <v>7679</v>
      </c>
      <c r="C1420" s="16" t="s">
        <v>7605</v>
      </c>
      <c r="D1420" s="16" t="s">
        <v>7597</v>
      </c>
      <c r="E1420" s="16" t="s">
        <v>3175</v>
      </c>
      <c r="F1420" s="16" t="s">
        <v>3176</v>
      </c>
      <c r="G1420" s="16" t="s">
        <v>2987</v>
      </c>
      <c r="H1420" s="16"/>
      <c r="I1420" s="16"/>
      <c r="J1420" s="16"/>
      <c r="K1420" s="16"/>
      <c r="L1420" s="16"/>
      <c r="M1420" s="19" t="s">
        <v>3177</v>
      </c>
      <c r="N1420" s="16"/>
      <c r="O1420" s="16" t="s">
        <v>3178</v>
      </c>
      <c r="P1420" s="16" t="str">
        <f>HYPERLINK("https://ceds.ed.gov/cedselementdetails.aspx?termid=27905")</f>
        <v>https://ceds.ed.gov/cedselementdetails.aspx?termid=27905</v>
      </c>
      <c r="Q1420" s="16">
        <v>75385</v>
      </c>
    </row>
    <row r="1421" spans="1:17" ht="72" x14ac:dyDescent="0.3">
      <c r="A1421" s="16" t="s">
        <v>7665</v>
      </c>
      <c r="B1421" s="16" t="s">
        <v>7679</v>
      </c>
      <c r="C1421" s="16" t="s">
        <v>7604</v>
      </c>
      <c r="D1421" s="16" t="s">
        <v>7597</v>
      </c>
      <c r="E1421" s="16" t="s">
        <v>7053</v>
      </c>
      <c r="F1421" s="16" t="s">
        <v>7054</v>
      </c>
      <c r="G1421" s="16" t="s">
        <v>32</v>
      </c>
      <c r="H1421" s="16" t="s">
        <v>64</v>
      </c>
      <c r="I1421" s="16"/>
      <c r="J1421" s="16" t="s">
        <v>7055</v>
      </c>
      <c r="K1421" s="16"/>
      <c r="L1421" s="16"/>
      <c r="M1421" s="19" t="s">
        <v>7056</v>
      </c>
      <c r="N1421" s="16"/>
      <c r="O1421" s="16" t="s">
        <v>7057</v>
      </c>
      <c r="P1421" s="16" t="str">
        <f>HYPERLINK("https://ceds.ed.gov/cedselementdetails.aspx?termid=26279")</f>
        <v>https://ceds.ed.gov/cedselementdetails.aspx?termid=26279</v>
      </c>
      <c r="Q1421" s="16">
        <v>73445</v>
      </c>
    </row>
    <row r="1422" spans="1:17" ht="86.4" x14ac:dyDescent="0.3">
      <c r="A1422" s="16" t="s">
        <v>7665</v>
      </c>
      <c r="B1422" s="16" t="s">
        <v>7679</v>
      </c>
      <c r="C1422" s="16" t="s">
        <v>7604</v>
      </c>
      <c r="D1422" s="16" t="s">
        <v>7597</v>
      </c>
      <c r="E1422" s="16" t="s">
        <v>7062</v>
      </c>
      <c r="F1422" s="16" t="s">
        <v>7063</v>
      </c>
      <c r="G1422" s="16" t="s">
        <v>8849</v>
      </c>
      <c r="H1422" s="16" t="s">
        <v>64</v>
      </c>
      <c r="I1422" s="16"/>
      <c r="J1422" s="16" t="s">
        <v>2500</v>
      </c>
      <c r="K1422" s="16"/>
      <c r="L1422" s="16"/>
      <c r="M1422" s="19" t="s">
        <v>7064</v>
      </c>
      <c r="N1422" s="16"/>
      <c r="O1422" s="16" t="s">
        <v>7065</v>
      </c>
      <c r="P1422" s="16" t="str">
        <f>HYPERLINK("https://ceds.ed.gov/cedselementdetails.aspx?termid=26280")</f>
        <v>https://ceds.ed.gov/cedselementdetails.aspx?termid=26280</v>
      </c>
      <c r="Q1422" s="16">
        <v>73447</v>
      </c>
    </row>
    <row r="1423" spans="1:17" ht="72" x14ac:dyDescent="0.3">
      <c r="A1423" s="16" t="s">
        <v>7665</v>
      </c>
      <c r="B1423" s="16" t="s">
        <v>7679</v>
      </c>
      <c r="C1423" s="16" t="s">
        <v>7604</v>
      </c>
      <c r="D1423" s="16" t="s">
        <v>7597</v>
      </c>
      <c r="E1423" s="16" t="s">
        <v>5865</v>
      </c>
      <c r="F1423" s="16" t="s">
        <v>5866</v>
      </c>
      <c r="G1423" s="16" t="s">
        <v>22</v>
      </c>
      <c r="H1423" s="16" t="s">
        <v>64</v>
      </c>
      <c r="I1423" s="16"/>
      <c r="J1423" s="16"/>
      <c r="K1423" s="16"/>
      <c r="L1423" s="16"/>
      <c r="M1423" s="19" t="s">
        <v>5867</v>
      </c>
      <c r="N1423" s="16"/>
      <c r="O1423" s="16" t="s">
        <v>5868</v>
      </c>
      <c r="P1423" s="16" t="str">
        <f>HYPERLINK("https://ceds.ed.gov/cedselementdetails.aspx?termid=26219")</f>
        <v>https://ceds.ed.gov/cedselementdetails.aspx?termid=26219</v>
      </c>
      <c r="Q1423" s="16">
        <v>73327</v>
      </c>
    </row>
    <row r="1424" spans="1:17" ht="57.6" x14ac:dyDescent="0.3">
      <c r="A1424" s="16" t="s">
        <v>7665</v>
      </c>
      <c r="B1424" s="16" t="s">
        <v>7679</v>
      </c>
      <c r="C1424" s="16" t="s">
        <v>7604</v>
      </c>
      <c r="D1424" s="16" t="s">
        <v>7597</v>
      </c>
      <c r="E1424" s="16" t="s">
        <v>3175</v>
      </c>
      <c r="F1424" s="16" t="s">
        <v>3176</v>
      </c>
      <c r="G1424" s="16" t="s">
        <v>2987</v>
      </c>
      <c r="H1424" s="16"/>
      <c r="I1424" s="16"/>
      <c r="J1424" s="16"/>
      <c r="K1424" s="16"/>
      <c r="L1424" s="16"/>
      <c r="M1424" s="19" t="s">
        <v>3177</v>
      </c>
      <c r="N1424" s="16"/>
      <c r="O1424" s="16" t="s">
        <v>3178</v>
      </c>
      <c r="P1424" s="16" t="str">
        <f>HYPERLINK("https://ceds.ed.gov/cedselementdetails.aspx?termid=27905")</f>
        <v>https://ceds.ed.gov/cedselementdetails.aspx?termid=27905</v>
      </c>
      <c r="Q1424" s="16">
        <v>75386</v>
      </c>
    </row>
    <row r="1425" spans="1:17" ht="57.6" x14ac:dyDescent="0.3">
      <c r="A1425" s="16" t="s">
        <v>7665</v>
      </c>
      <c r="B1425" s="16" t="s">
        <v>7679</v>
      </c>
      <c r="C1425" s="16" t="s">
        <v>7604</v>
      </c>
      <c r="D1425" s="16" t="s">
        <v>7597</v>
      </c>
      <c r="E1425" s="16" t="s">
        <v>7058</v>
      </c>
      <c r="F1425" s="16" t="s">
        <v>7059</v>
      </c>
      <c r="G1425" s="16" t="s">
        <v>8848</v>
      </c>
      <c r="H1425" s="16"/>
      <c r="I1425" s="16"/>
      <c r="J1425" s="16"/>
      <c r="K1425" s="16"/>
      <c r="L1425" s="16"/>
      <c r="M1425" s="19" t="s">
        <v>7060</v>
      </c>
      <c r="N1425" s="16"/>
      <c r="O1425" s="16" t="s">
        <v>7061</v>
      </c>
      <c r="P1425" s="16" t="str">
        <f>HYPERLINK("https://ceds.ed.gov/cedselementdetails.aspx?termid=27911")</f>
        <v>https://ceds.ed.gov/cedselementdetails.aspx?termid=27911</v>
      </c>
      <c r="Q1425" s="16">
        <v>75387</v>
      </c>
    </row>
    <row r="1426" spans="1:17" ht="28.8" x14ac:dyDescent="0.3">
      <c r="A1426" s="16" t="s">
        <v>7665</v>
      </c>
      <c r="B1426" s="16" t="s">
        <v>7679</v>
      </c>
      <c r="C1426" s="16" t="s">
        <v>7606</v>
      </c>
      <c r="D1426" s="16" t="s">
        <v>7597</v>
      </c>
      <c r="E1426" s="16" t="s">
        <v>5631</v>
      </c>
      <c r="F1426" s="16" t="s">
        <v>5632</v>
      </c>
      <c r="G1426" s="16" t="s">
        <v>32</v>
      </c>
      <c r="H1426" s="16"/>
      <c r="I1426" s="16"/>
      <c r="J1426" s="16" t="s">
        <v>1266</v>
      </c>
      <c r="K1426" s="16"/>
      <c r="L1426" s="16" t="s">
        <v>5633</v>
      </c>
      <c r="M1426" s="19" t="s">
        <v>5634</v>
      </c>
      <c r="N1426" s="16"/>
      <c r="O1426" s="16" t="s">
        <v>5635</v>
      </c>
      <c r="P1426" s="16" t="str">
        <f>HYPERLINK("https://ceds.ed.gov/cedselementdetails.aspx?termid=27486")</f>
        <v>https://ceds.ed.gov/cedselementdetails.aspx?termid=27486</v>
      </c>
      <c r="Q1426" s="16">
        <v>73639</v>
      </c>
    </row>
    <row r="1427" spans="1:17" ht="28.8" x14ac:dyDescent="0.3">
      <c r="A1427" s="16" t="s">
        <v>7665</v>
      </c>
      <c r="B1427" s="16" t="s">
        <v>7679</v>
      </c>
      <c r="C1427" s="16" t="s">
        <v>7606</v>
      </c>
      <c r="D1427" s="16" t="s">
        <v>7597</v>
      </c>
      <c r="E1427" s="16" t="s">
        <v>5641</v>
      </c>
      <c r="F1427" s="16" t="s">
        <v>5642</v>
      </c>
      <c r="G1427" s="16" t="s">
        <v>32</v>
      </c>
      <c r="H1427" s="16"/>
      <c r="I1427" s="16"/>
      <c r="J1427" s="16" t="s">
        <v>1266</v>
      </c>
      <c r="K1427" s="16"/>
      <c r="L1427" s="16" t="s">
        <v>5643</v>
      </c>
      <c r="M1427" s="19" t="s">
        <v>5644</v>
      </c>
      <c r="N1427" s="16"/>
      <c r="O1427" s="16" t="s">
        <v>5645</v>
      </c>
      <c r="P1427" s="16" t="str">
        <f>HYPERLINK("https://ceds.ed.gov/cedselementdetails.aspx?termid=27487")</f>
        <v>https://ceds.ed.gov/cedselementdetails.aspx?termid=27487</v>
      </c>
      <c r="Q1427" s="16">
        <v>73655</v>
      </c>
    </row>
    <row r="1428" spans="1:17" ht="28.8" x14ac:dyDescent="0.3">
      <c r="A1428" s="16" t="s">
        <v>7665</v>
      </c>
      <c r="B1428" s="16" t="s">
        <v>7679</v>
      </c>
      <c r="C1428" s="16" t="s">
        <v>7606</v>
      </c>
      <c r="D1428" s="16" t="s">
        <v>7597</v>
      </c>
      <c r="E1428" s="16" t="s">
        <v>5636</v>
      </c>
      <c r="F1428" s="16" t="s">
        <v>5637</v>
      </c>
      <c r="G1428" s="16" t="s">
        <v>32</v>
      </c>
      <c r="H1428" s="16"/>
      <c r="I1428" s="16"/>
      <c r="J1428" s="16" t="s">
        <v>1266</v>
      </c>
      <c r="K1428" s="16"/>
      <c r="L1428" s="16" t="s">
        <v>5638</v>
      </c>
      <c r="M1428" s="19" t="s">
        <v>5639</v>
      </c>
      <c r="N1428" s="16"/>
      <c r="O1428" s="16" t="s">
        <v>5640</v>
      </c>
      <c r="P1428" s="16" t="str">
        <f>HYPERLINK("https://ceds.ed.gov/cedselementdetails.aspx?termid=27485")</f>
        <v>https://ceds.ed.gov/cedselementdetails.aspx?termid=27485</v>
      </c>
      <c r="Q1428" s="16">
        <v>73623</v>
      </c>
    </row>
    <row r="1429" spans="1:17" ht="129.6" x14ac:dyDescent="0.3">
      <c r="A1429" s="16" t="s">
        <v>7665</v>
      </c>
      <c r="B1429" s="16" t="s">
        <v>7679</v>
      </c>
      <c r="C1429" s="16" t="s">
        <v>7606</v>
      </c>
      <c r="D1429" s="16" t="s">
        <v>7597</v>
      </c>
      <c r="E1429" s="16" t="s">
        <v>5646</v>
      </c>
      <c r="F1429" s="16" t="s">
        <v>5647</v>
      </c>
      <c r="G1429" s="16" t="s">
        <v>32</v>
      </c>
      <c r="H1429" s="16" t="s">
        <v>4059</v>
      </c>
      <c r="I1429" s="16"/>
      <c r="J1429" s="16" t="s">
        <v>120</v>
      </c>
      <c r="K1429" s="16"/>
      <c r="L1429" s="16"/>
      <c r="M1429" s="19" t="s">
        <v>5648</v>
      </c>
      <c r="N1429" s="16"/>
      <c r="O1429" s="16" t="s">
        <v>5649</v>
      </c>
      <c r="P1429" s="16" t="str">
        <f>HYPERLINK("https://ceds.ed.gov/cedselementdetails.aspx?termid=26206")</f>
        <v>https://ceds.ed.gov/cedselementdetails.aspx?termid=26206</v>
      </c>
      <c r="Q1429" s="16">
        <v>73303</v>
      </c>
    </row>
    <row r="1430" spans="1:17" ht="115.2" x14ac:dyDescent="0.3">
      <c r="A1430" s="16" t="s">
        <v>7665</v>
      </c>
      <c r="B1430" s="16" t="s">
        <v>7679</v>
      </c>
      <c r="C1430" s="16" t="s">
        <v>7606</v>
      </c>
      <c r="D1430" s="16" t="s">
        <v>7597</v>
      </c>
      <c r="E1430" s="16" t="s">
        <v>5650</v>
      </c>
      <c r="F1430" s="16" t="s">
        <v>5651</v>
      </c>
      <c r="G1430" s="16" t="s">
        <v>8746</v>
      </c>
      <c r="H1430" s="16" t="s">
        <v>5654</v>
      </c>
      <c r="I1430" s="16"/>
      <c r="J1430" s="16" t="s">
        <v>81</v>
      </c>
      <c r="K1430" s="16"/>
      <c r="L1430" s="16"/>
      <c r="M1430" s="19" t="s">
        <v>5652</v>
      </c>
      <c r="N1430" s="16"/>
      <c r="O1430" s="16" t="s">
        <v>5653</v>
      </c>
      <c r="P1430" s="16" t="str">
        <f>HYPERLINK("https://ceds.ed.gov/cedselementdetails.aspx?termid=26627")</f>
        <v>https://ceds.ed.gov/cedselementdetails.aspx?termid=26627</v>
      </c>
      <c r="Q1430" s="16">
        <v>73304</v>
      </c>
    </row>
    <row r="1431" spans="1:17" ht="43.2" x14ac:dyDescent="0.3">
      <c r="A1431" s="16" t="s">
        <v>7665</v>
      </c>
      <c r="B1431" s="16" t="s">
        <v>7679</v>
      </c>
      <c r="C1431" s="16" t="s">
        <v>7671</v>
      </c>
      <c r="D1431" s="16" t="s">
        <v>7597</v>
      </c>
      <c r="E1431" s="16" t="s">
        <v>6562</v>
      </c>
      <c r="F1431" s="16" t="s">
        <v>6563</v>
      </c>
      <c r="G1431" s="16" t="s">
        <v>32</v>
      </c>
      <c r="H1431" s="16" t="s">
        <v>2450</v>
      </c>
      <c r="I1431" s="16"/>
      <c r="J1431" s="16" t="s">
        <v>1807</v>
      </c>
      <c r="K1431" s="16"/>
      <c r="L1431" s="16" t="s">
        <v>8141</v>
      </c>
      <c r="M1431" s="19" t="s">
        <v>6565</v>
      </c>
      <c r="N1431" s="16"/>
      <c r="O1431" s="16" t="s">
        <v>6566</v>
      </c>
      <c r="P1431" s="16" t="str">
        <f>HYPERLINK("https://ceds.ed.gov/cedselementdetails.aspx?termid=26243")</f>
        <v>https://ceds.ed.gov/cedselementdetails.aspx?termid=26243</v>
      </c>
      <c r="Q1431" s="16">
        <v>74172</v>
      </c>
    </row>
    <row r="1432" spans="1:17" ht="72" x14ac:dyDescent="0.3">
      <c r="A1432" s="16" t="s">
        <v>7665</v>
      </c>
      <c r="B1432" s="16" t="s">
        <v>7679</v>
      </c>
      <c r="C1432" s="16" t="s">
        <v>7671</v>
      </c>
      <c r="D1432" s="16" t="s">
        <v>7597</v>
      </c>
      <c r="E1432" s="16" t="s">
        <v>208</v>
      </c>
      <c r="F1432" s="16" t="s">
        <v>209</v>
      </c>
      <c r="G1432" s="16" t="s">
        <v>8297</v>
      </c>
      <c r="H1432" s="16" t="s">
        <v>214</v>
      </c>
      <c r="I1432" s="16"/>
      <c r="J1432" s="16"/>
      <c r="K1432" s="16"/>
      <c r="L1432" s="16"/>
      <c r="M1432" s="19" t="s">
        <v>211</v>
      </c>
      <c r="N1432" s="16" t="s">
        <v>212</v>
      </c>
      <c r="O1432" s="16" t="s">
        <v>213</v>
      </c>
      <c r="P1432" s="16" t="str">
        <f>HYPERLINK("https://ceds.ed.gov/cedselementdetails.aspx?termid=26011")</f>
        <v>https://ceds.ed.gov/cedselementdetails.aspx?termid=26011</v>
      </c>
      <c r="Q1432" s="16">
        <v>70969</v>
      </c>
    </row>
    <row r="1433" spans="1:17" ht="57.6" x14ac:dyDescent="0.3">
      <c r="A1433" s="16" t="s">
        <v>7665</v>
      </c>
      <c r="B1433" s="16" t="s">
        <v>7679</v>
      </c>
      <c r="C1433" s="16" t="s">
        <v>7671</v>
      </c>
      <c r="D1433" s="16" t="s">
        <v>7597</v>
      </c>
      <c r="E1433" s="16" t="s">
        <v>1864</v>
      </c>
      <c r="F1433" s="16" t="s">
        <v>1865</v>
      </c>
      <c r="G1433" s="16" t="s">
        <v>8424</v>
      </c>
      <c r="H1433" s="16" t="s">
        <v>214</v>
      </c>
      <c r="I1433" s="16"/>
      <c r="J1433" s="16"/>
      <c r="K1433" s="16"/>
      <c r="L1433" s="16"/>
      <c r="M1433" s="19" t="s">
        <v>1867</v>
      </c>
      <c r="N1433" s="16" t="s">
        <v>1868</v>
      </c>
      <c r="O1433" s="16" t="s">
        <v>1869</v>
      </c>
      <c r="P1433" s="16" t="str">
        <f>HYPERLINK("https://ceds.ed.gov/cedselementdetails.aspx?termid=26075")</f>
        <v>https://ceds.ed.gov/cedselementdetails.aspx?termid=26075</v>
      </c>
      <c r="Q1433" s="16">
        <v>70971</v>
      </c>
    </row>
    <row r="1434" spans="1:17" ht="43.2" x14ac:dyDescent="0.3">
      <c r="A1434" s="16" t="s">
        <v>7665</v>
      </c>
      <c r="B1434" s="16" t="s">
        <v>7679</v>
      </c>
      <c r="C1434" s="16" t="s">
        <v>7617</v>
      </c>
      <c r="D1434" s="16" t="s">
        <v>7597</v>
      </c>
      <c r="E1434" s="16" t="s">
        <v>4006</v>
      </c>
      <c r="F1434" s="16" t="s">
        <v>8049</v>
      </c>
      <c r="G1434" s="16" t="s">
        <v>32</v>
      </c>
      <c r="H1434" s="16"/>
      <c r="I1434" s="16"/>
      <c r="J1434" s="16" t="s">
        <v>1807</v>
      </c>
      <c r="K1434" s="16"/>
      <c r="L1434" s="16"/>
      <c r="M1434" s="19" t="s">
        <v>4007</v>
      </c>
      <c r="N1434" s="16"/>
      <c r="O1434" s="16" t="s">
        <v>4008</v>
      </c>
      <c r="P1434" s="16" t="str">
        <f>HYPERLINK("https://ceds.ed.gov/cedselementdetails.aspx?termid=27620")</f>
        <v>https://ceds.ed.gov/cedselementdetails.aspx?termid=27620</v>
      </c>
      <c r="Q1434" s="16">
        <v>74307</v>
      </c>
    </row>
    <row r="1435" spans="1:17" ht="28.8" x14ac:dyDescent="0.3">
      <c r="A1435" s="16" t="s">
        <v>7665</v>
      </c>
      <c r="B1435" s="16" t="s">
        <v>7679</v>
      </c>
      <c r="C1435" s="16" t="s">
        <v>7617</v>
      </c>
      <c r="D1435" s="16" t="s">
        <v>7597</v>
      </c>
      <c r="E1435" s="16" t="s">
        <v>3998</v>
      </c>
      <c r="F1435" s="16" t="s">
        <v>3999</v>
      </c>
      <c r="G1435" s="16" t="s">
        <v>32</v>
      </c>
      <c r="H1435" s="16"/>
      <c r="I1435" s="16"/>
      <c r="J1435" s="16" t="s">
        <v>106</v>
      </c>
      <c r="K1435" s="16"/>
      <c r="L1435" s="16"/>
      <c r="M1435" s="19" t="s">
        <v>4000</v>
      </c>
      <c r="N1435" s="16"/>
      <c r="O1435" s="16" t="s">
        <v>4001</v>
      </c>
      <c r="P1435" s="16" t="str">
        <f>HYPERLINK("https://ceds.ed.gov/cedselementdetails.aspx?termid=27623")</f>
        <v>https://ceds.ed.gov/cedselementdetails.aspx?termid=27623</v>
      </c>
      <c r="Q1435" s="16">
        <v>74317</v>
      </c>
    </row>
    <row r="1436" spans="1:17" ht="57.6" x14ac:dyDescent="0.3">
      <c r="A1436" s="16" t="s">
        <v>7665</v>
      </c>
      <c r="B1436" s="16" t="s">
        <v>7679</v>
      </c>
      <c r="C1436" s="16" t="s">
        <v>7617</v>
      </c>
      <c r="D1436" s="16" t="s">
        <v>7597</v>
      </c>
      <c r="E1436" s="16" t="s">
        <v>4002</v>
      </c>
      <c r="F1436" s="16" t="s">
        <v>4003</v>
      </c>
      <c r="G1436" s="16" t="s">
        <v>32</v>
      </c>
      <c r="H1436" s="16"/>
      <c r="I1436" s="16"/>
      <c r="J1436" s="16" t="s">
        <v>106</v>
      </c>
      <c r="K1436" s="16"/>
      <c r="L1436" s="16" t="s">
        <v>131</v>
      </c>
      <c r="M1436" s="19" t="s">
        <v>4004</v>
      </c>
      <c r="N1436" s="16"/>
      <c r="O1436" s="16" t="s">
        <v>4005</v>
      </c>
      <c r="P1436" s="16" t="str">
        <f>HYPERLINK("https://ceds.ed.gov/cedselementdetails.aspx?termid=27624")</f>
        <v>https://ceds.ed.gov/cedselementdetails.aspx?termid=27624</v>
      </c>
      <c r="Q1436" s="16">
        <v>74321</v>
      </c>
    </row>
    <row r="1437" spans="1:17" ht="86.4" x14ac:dyDescent="0.3">
      <c r="A1437" s="16" t="s">
        <v>7665</v>
      </c>
      <c r="B1437" s="16" t="s">
        <v>7679</v>
      </c>
      <c r="C1437" s="16" t="s">
        <v>7617</v>
      </c>
      <c r="D1437" s="16" t="s">
        <v>7597</v>
      </c>
      <c r="E1437" s="16" t="s">
        <v>3891</v>
      </c>
      <c r="F1437" s="16" t="s">
        <v>8004</v>
      </c>
      <c r="G1437" s="16" t="s">
        <v>32</v>
      </c>
      <c r="H1437" s="16"/>
      <c r="I1437" s="16"/>
      <c r="J1437" s="16" t="s">
        <v>81</v>
      </c>
      <c r="K1437" s="16"/>
      <c r="L1437" s="16"/>
      <c r="M1437" s="19" t="s">
        <v>3892</v>
      </c>
      <c r="N1437" s="16"/>
      <c r="O1437" s="16" t="s">
        <v>3893</v>
      </c>
      <c r="P1437" s="16" t="str">
        <f>HYPERLINK("https://ceds.ed.gov/cedselementdetails.aspx?termid=27530")</f>
        <v>https://ceds.ed.gov/cedselementdetails.aspx?termid=27530</v>
      </c>
      <c r="Q1437" s="16">
        <v>73843</v>
      </c>
    </row>
    <row r="1438" spans="1:17" ht="28.8" x14ac:dyDescent="0.3">
      <c r="A1438" s="16" t="s">
        <v>7665</v>
      </c>
      <c r="B1438" s="16" t="s">
        <v>7679</v>
      </c>
      <c r="C1438" s="16" t="s">
        <v>7617</v>
      </c>
      <c r="D1438" s="16" t="s">
        <v>7597</v>
      </c>
      <c r="E1438" s="16" t="s">
        <v>3888</v>
      </c>
      <c r="F1438" s="16" t="s">
        <v>8003</v>
      </c>
      <c r="G1438" s="16" t="s">
        <v>32</v>
      </c>
      <c r="H1438" s="16"/>
      <c r="I1438" s="16"/>
      <c r="J1438" s="16" t="s">
        <v>747</v>
      </c>
      <c r="K1438" s="16"/>
      <c r="L1438" s="16"/>
      <c r="M1438" s="19" t="s">
        <v>3889</v>
      </c>
      <c r="N1438" s="16"/>
      <c r="O1438" s="16" t="s">
        <v>3890</v>
      </c>
      <c r="P1438" s="16" t="str">
        <f>HYPERLINK("https://ceds.ed.gov/cedselementdetails.aspx?termid=27315")</f>
        <v>https://ceds.ed.gov/cedselementdetails.aspx?termid=27315</v>
      </c>
      <c r="Q1438" s="16">
        <v>73180</v>
      </c>
    </row>
    <row r="1439" spans="1:17" ht="28.8" x14ac:dyDescent="0.3">
      <c r="A1439" s="16" t="s">
        <v>7665</v>
      </c>
      <c r="B1439" s="16" t="s">
        <v>7679</v>
      </c>
      <c r="C1439" s="16" t="s">
        <v>7617</v>
      </c>
      <c r="D1439" s="16" t="s">
        <v>7597</v>
      </c>
      <c r="E1439" s="16" t="s">
        <v>3878</v>
      </c>
      <c r="F1439" s="16" t="s">
        <v>7987</v>
      </c>
      <c r="G1439" s="16" t="s">
        <v>32</v>
      </c>
      <c r="H1439" s="16"/>
      <c r="I1439" s="16"/>
      <c r="J1439" s="16" t="s">
        <v>101</v>
      </c>
      <c r="K1439" s="16"/>
      <c r="L1439" s="16"/>
      <c r="M1439" s="19" t="s">
        <v>3879</v>
      </c>
      <c r="N1439" s="16"/>
      <c r="O1439" s="16" t="s">
        <v>3880</v>
      </c>
      <c r="P1439" s="16" t="str">
        <f>HYPERLINK("https://ceds.ed.gov/cedselementdetails.aspx?termid=27313")</f>
        <v>https://ceds.ed.gov/cedselementdetails.aspx?termid=27313</v>
      </c>
      <c r="Q1439" s="16">
        <v>73169</v>
      </c>
    </row>
    <row r="1440" spans="1:17" ht="86.4" x14ac:dyDescent="0.3">
      <c r="A1440" s="16" t="s">
        <v>7665</v>
      </c>
      <c r="B1440" s="16" t="s">
        <v>7679</v>
      </c>
      <c r="C1440" s="16" t="s">
        <v>7617</v>
      </c>
      <c r="D1440" s="16" t="s">
        <v>7597</v>
      </c>
      <c r="E1440" s="16" t="s">
        <v>3874</v>
      </c>
      <c r="F1440" s="16" t="s">
        <v>3875</v>
      </c>
      <c r="G1440" s="16" t="s">
        <v>8224</v>
      </c>
      <c r="H1440" s="16"/>
      <c r="I1440" s="16"/>
      <c r="J1440" s="16"/>
      <c r="K1440" s="16"/>
      <c r="L1440" s="16"/>
      <c r="M1440" s="19" t="s">
        <v>3876</v>
      </c>
      <c r="N1440" s="16"/>
      <c r="O1440" s="16" t="s">
        <v>3877</v>
      </c>
      <c r="P1440" s="16" t="str">
        <f>HYPERLINK("https://ceds.ed.gov/cedselementdetails.aspx?termid=27312")</f>
        <v>https://ceds.ed.gov/cedselementdetails.aspx?termid=27312</v>
      </c>
      <c r="Q1440" s="16">
        <v>73165</v>
      </c>
    </row>
    <row r="1441" spans="1:17" ht="409.6" x14ac:dyDescent="0.3">
      <c r="A1441" s="16" t="s">
        <v>7665</v>
      </c>
      <c r="B1441" s="16" t="s">
        <v>7679</v>
      </c>
      <c r="C1441" s="16" t="s">
        <v>7617</v>
      </c>
      <c r="D1441" s="16" t="s">
        <v>7597</v>
      </c>
      <c r="E1441" s="16" t="s">
        <v>8011</v>
      </c>
      <c r="F1441" s="16" t="s">
        <v>8012</v>
      </c>
      <c r="G1441" s="16" t="s">
        <v>8227</v>
      </c>
      <c r="H1441" s="16"/>
      <c r="I1441" s="16"/>
      <c r="J1441" s="16"/>
      <c r="K1441" s="16"/>
      <c r="L1441" s="16" t="s">
        <v>8013</v>
      </c>
      <c r="M1441" s="19" t="s">
        <v>3887</v>
      </c>
      <c r="N1441" s="16"/>
      <c r="O1441" s="16" t="s">
        <v>8014</v>
      </c>
      <c r="P1441" s="16" t="str">
        <f>HYPERLINK("https://ceds.ed.gov/cedselementdetails.aspx?termid=27440")</f>
        <v>https://ceds.ed.gov/cedselementdetails.aspx?termid=27440</v>
      </c>
      <c r="Q1441" s="16">
        <v>73856</v>
      </c>
    </row>
    <row r="1442" spans="1:17" ht="409.6" x14ac:dyDescent="0.3">
      <c r="A1442" s="16" t="s">
        <v>7665</v>
      </c>
      <c r="B1442" s="16" t="s">
        <v>7679</v>
      </c>
      <c r="C1442" s="16" t="s">
        <v>7617</v>
      </c>
      <c r="D1442" s="16" t="s">
        <v>7597</v>
      </c>
      <c r="E1442" s="16" t="s">
        <v>8023</v>
      </c>
      <c r="F1442" s="16" t="s">
        <v>8024</v>
      </c>
      <c r="G1442" s="16" t="s">
        <v>8228</v>
      </c>
      <c r="H1442" s="16"/>
      <c r="I1442" s="16"/>
      <c r="J1442" s="16"/>
      <c r="K1442" s="16"/>
      <c r="L1442" s="16" t="s">
        <v>8025</v>
      </c>
      <c r="M1442" s="19" t="s">
        <v>3957</v>
      </c>
      <c r="N1442" s="16"/>
      <c r="O1442" s="16" t="s">
        <v>8026</v>
      </c>
      <c r="P1442" s="16" t="str">
        <f>HYPERLINK("https://ceds.ed.gov/cedselementdetails.aspx?termid=27321")</f>
        <v>https://ceds.ed.gov/cedselementdetails.aspx?termid=27321</v>
      </c>
      <c r="Q1442" s="16">
        <v>73202</v>
      </c>
    </row>
    <row r="1443" spans="1:17" ht="409.6" x14ac:dyDescent="0.3">
      <c r="A1443" s="16" t="s">
        <v>7665</v>
      </c>
      <c r="B1443" s="16" t="s">
        <v>7679</v>
      </c>
      <c r="C1443" s="16" t="s">
        <v>7617</v>
      </c>
      <c r="D1443" s="16" t="s">
        <v>7597</v>
      </c>
      <c r="E1443" s="16" t="s">
        <v>8039</v>
      </c>
      <c r="F1443" s="16" t="s">
        <v>8040</v>
      </c>
      <c r="G1443" s="16" t="s">
        <v>8230</v>
      </c>
      <c r="H1443" s="16"/>
      <c r="I1443" s="16"/>
      <c r="J1443" s="16"/>
      <c r="K1443" s="16"/>
      <c r="L1443" s="16" t="s">
        <v>8041</v>
      </c>
      <c r="M1443" s="19" t="s">
        <v>3960</v>
      </c>
      <c r="N1443" s="16"/>
      <c r="O1443" s="16" t="s">
        <v>8042</v>
      </c>
      <c r="P1443" s="16" t="str">
        <f>HYPERLINK("https://ceds.ed.gov/cedselementdetails.aspx?termid=27322")</f>
        <v>https://ceds.ed.gov/cedselementdetails.aspx?termid=27322</v>
      </c>
      <c r="Q1443" s="16">
        <v>73206</v>
      </c>
    </row>
    <row r="1444" spans="1:17" ht="187.2" x14ac:dyDescent="0.3">
      <c r="A1444" s="16" t="s">
        <v>7665</v>
      </c>
      <c r="B1444" s="16" t="s">
        <v>7679</v>
      </c>
      <c r="C1444" s="16" t="s">
        <v>7617</v>
      </c>
      <c r="D1444" s="16" t="s">
        <v>7597</v>
      </c>
      <c r="E1444" s="16" t="s">
        <v>8027</v>
      </c>
      <c r="F1444" s="16" t="s">
        <v>3958</v>
      </c>
      <c r="G1444" s="16" t="s">
        <v>8229</v>
      </c>
      <c r="H1444" s="16"/>
      <c r="I1444" s="16"/>
      <c r="J1444" s="16"/>
      <c r="K1444" s="16"/>
      <c r="L1444" s="16" t="s">
        <v>8028</v>
      </c>
      <c r="M1444" s="19" t="s">
        <v>3959</v>
      </c>
      <c r="N1444" s="16"/>
      <c r="O1444" s="16" t="s">
        <v>8029</v>
      </c>
      <c r="P1444" s="16" t="str">
        <f>HYPERLINK("https://ceds.ed.gov/cedselementdetails.aspx?termid=27531")</f>
        <v>https://ceds.ed.gov/cedselementdetails.aspx?termid=27531</v>
      </c>
      <c r="Q1444" s="16">
        <v>73848</v>
      </c>
    </row>
    <row r="1445" spans="1:17" ht="259.2" x14ac:dyDescent="0.3">
      <c r="A1445" s="16" t="s">
        <v>7665</v>
      </c>
      <c r="B1445" s="16" t="s">
        <v>7679</v>
      </c>
      <c r="C1445" s="16" t="s">
        <v>7617</v>
      </c>
      <c r="D1445" s="16" t="s">
        <v>7597</v>
      </c>
      <c r="E1445" s="16" t="s">
        <v>8043</v>
      </c>
      <c r="F1445" s="16" t="s">
        <v>8044</v>
      </c>
      <c r="G1445" s="16" t="s">
        <v>32</v>
      </c>
      <c r="H1445" s="16"/>
      <c r="I1445" s="16"/>
      <c r="J1445" s="16" t="s">
        <v>136</v>
      </c>
      <c r="K1445" s="16"/>
      <c r="L1445" s="16" t="s">
        <v>8045</v>
      </c>
      <c r="M1445" s="19" t="s">
        <v>3961</v>
      </c>
      <c r="N1445" s="16"/>
      <c r="O1445" s="16" t="s">
        <v>8046</v>
      </c>
      <c r="P1445" s="16" t="str">
        <f>HYPERLINK("https://ceds.ed.gov/cedselementdetails.aspx?termid=27532")</f>
        <v>https://ceds.ed.gov/cedselementdetails.aspx?termid=27532</v>
      </c>
      <c r="Q1445" s="16">
        <v>73852</v>
      </c>
    </row>
    <row r="1446" spans="1:17" ht="409.6" x14ac:dyDescent="0.3">
      <c r="A1446" s="16" t="s">
        <v>7665</v>
      </c>
      <c r="B1446" s="16" t="s">
        <v>7679</v>
      </c>
      <c r="C1446" s="16" t="s">
        <v>7617</v>
      </c>
      <c r="D1446" s="16" t="s">
        <v>7597</v>
      </c>
      <c r="E1446" s="16" t="s">
        <v>7981</v>
      </c>
      <c r="F1446" s="16" t="s">
        <v>3881</v>
      </c>
      <c r="G1446" s="16" t="s">
        <v>8223</v>
      </c>
      <c r="H1446" s="16"/>
      <c r="I1446" s="16"/>
      <c r="J1446" s="16"/>
      <c r="K1446" s="16"/>
      <c r="L1446" s="16" t="s">
        <v>7982</v>
      </c>
      <c r="M1446" s="19" t="s">
        <v>3883</v>
      </c>
      <c r="N1446" s="16"/>
      <c r="O1446" s="16" t="s">
        <v>7983</v>
      </c>
      <c r="P1446" s="16" t="str">
        <f>HYPERLINK("https://ceds.ed.gov/cedselementdetails.aspx?termid=27320")</f>
        <v>https://ceds.ed.gov/cedselementdetails.aspx?termid=27320</v>
      </c>
      <c r="Q1446" s="16">
        <v>73198</v>
      </c>
    </row>
    <row r="1447" spans="1:17" ht="43.2" x14ac:dyDescent="0.3">
      <c r="A1447" s="16" t="s">
        <v>7665</v>
      </c>
      <c r="B1447" s="16" t="s">
        <v>7679</v>
      </c>
      <c r="C1447" s="16" t="s">
        <v>7617</v>
      </c>
      <c r="D1447" s="16" t="s">
        <v>7597</v>
      </c>
      <c r="E1447" s="16" t="s">
        <v>3908</v>
      </c>
      <c r="F1447" s="16" t="s">
        <v>3909</v>
      </c>
      <c r="G1447" s="16" t="s">
        <v>32</v>
      </c>
      <c r="H1447" s="16"/>
      <c r="I1447" s="16"/>
      <c r="J1447" s="16" t="s">
        <v>1481</v>
      </c>
      <c r="K1447" s="16"/>
      <c r="L1447" s="16"/>
      <c r="M1447" s="19" t="s">
        <v>3910</v>
      </c>
      <c r="N1447" s="16"/>
      <c r="O1447" s="16" t="s">
        <v>3911</v>
      </c>
      <c r="P1447" s="16" t="str">
        <f>HYPERLINK("https://ceds.ed.gov/cedselementdetails.aspx?termid=27318")</f>
        <v>https://ceds.ed.gov/cedselementdetails.aspx?termid=27318</v>
      </c>
      <c r="Q1447" s="16">
        <v>73193</v>
      </c>
    </row>
    <row r="1448" spans="1:17" ht="57.6" x14ac:dyDescent="0.3">
      <c r="A1448" s="16" t="s">
        <v>7665</v>
      </c>
      <c r="B1448" s="16" t="s">
        <v>7679</v>
      </c>
      <c r="C1448" s="16" t="s">
        <v>7617</v>
      </c>
      <c r="D1448" s="16" t="s">
        <v>7597</v>
      </c>
      <c r="E1448" s="16" t="s">
        <v>3912</v>
      </c>
      <c r="F1448" s="16" t="s">
        <v>3913</v>
      </c>
      <c r="G1448" s="16" t="s">
        <v>32</v>
      </c>
      <c r="H1448" s="16"/>
      <c r="I1448" s="16"/>
      <c r="J1448" s="16" t="s">
        <v>1481</v>
      </c>
      <c r="K1448" s="16"/>
      <c r="L1448" s="16" t="s">
        <v>3914</v>
      </c>
      <c r="M1448" s="19" t="s">
        <v>3915</v>
      </c>
      <c r="N1448" s="16"/>
      <c r="O1448" s="16" t="s">
        <v>3916</v>
      </c>
      <c r="P1448" s="16" t="str">
        <f>HYPERLINK("https://ceds.ed.gov/cedselementdetails.aspx?termid=27625")</f>
        <v>https://ceds.ed.gov/cedselementdetails.aspx?termid=27625</v>
      </c>
      <c r="Q1448" s="16">
        <v>74325</v>
      </c>
    </row>
    <row r="1449" spans="1:17" ht="43.2" x14ac:dyDescent="0.3">
      <c r="A1449" s="16" t="s">
        <v>7665</v>
      </c>
      <c r="B1449" s="16" t="s">
        <v>7679</v>
      </c>
      <c r="C1449" s="16" t="s">
        <v>7617</v>
      </c>
      <c r="D1449" s="16" t="s">
        <v>7597</v>
      </c>
      <c r="E1449" s="16" t="s">
        <v>3904</v>
      </c>
      <c r="F1449" s="16" t="s">
        <v>3905</v>
      </c>
      <c r="G1449" s="16" t="s">
        <v>32</v>
      </c>
      <c r="H1449" s="16"/>
      <c r="I1449" s="16"/>
      <c r="J1449" s="16" t="s">
        <v>1481</v>
      </c>
      <c r="K1449" s="16"/>
      <c r="L1449" s="16"/>
      <c r="M1449" s="19" t="s">
        <v>3906</v>
      </c>
      <c r="N1449" s="16"/>
      <c r="O1449" s="16" t="s">
        <v>3907</v>
      </c>
      <c r="P1449" s="16" t="str">
        <f>HYPERLINK("https://ceds.ed.gov/cedselementdetails.aspx?termid=27317")</f>
        <v>https://ceds.ed.gov/cedselementdetails.aspx?termid=27317</v>
      </c>
      <c r="Q1449" s="16">
        <v>73189</v>
      </c>
    </row>
    <row r="1450" spans="1:17" ht="129.6" x14ac:dyDescent="0.3">
      <c r="A1450" s="16" t="s">
        <v>7665</v>
      </c>
      <c r="B1450" s="16" t="s">
        <v>7679</v>
      </c>
      <c r="C1450" s="16" t="s">
        <v>7617</v>
      </c>
      <c r="D1450" s="16" t="s">
        <v>7597</v>
      </c>
      <c r="E1450" s="16" t="s">
        <v>3917</v>
      </c>
      <c r="F1450" s="16" t="s">
        <v>3918</v>
      </c>
      <c r="G1450" s="16" t="s">
        <v>32</v>
      </c>
      <c r="H1450" s="16"/>
      <c r="I1450" s="16"/>
      <c r="J1450" s="16" t="s">
        <v>1481</v>
      </c>
      <c r="K1450" s="16"/>
      <c r="L1450" s="16" t="s">
        <v>3919</v>
      </c>
      <c r="M1450" s="19" t="s">
        <v>3920</v>
      </c>
      <c r="N1450" s="16"/>
      <c r="O1450" s="16" t="s">
        <v>3921</v>
      </c>
      <c r="P1450" s="16" t="str">
        <f>HYPERLINK("https://ceds.ed.gov/cedselementdetails.aspx?termid=27628")</f>
        <v>https://ceds.ed.gov/cedselementdetails.aspx?termid=27628</v>
      </c>
      <c r="Q1450" s="16">
        <v>74337</v>
      </c>
    </row>
    <row r="1451" spans="1:17" ht="28.8" x14ac:dyDescent="0.3">
      <c r="A1451" s="16" t="s">
        <v>7665</v>
      </c>
      <c r="B1451" s="16" t="s">
        <v>7679</v>
      </c>
      <c r="C1451" s="16" t="s">
        <v>7617</v>
      </c>
      <c r="D1451" s="16" t="s">
        <v>7597</v>
      </c>
      <c r="E1451" s="16" t="s">
        <v>3900</v>
      </c>
      <c r="F1451" s="16" t="s">
        <v>3901</v>
      </c>
      <c r="G1451" s="16" t="s">
        <v>32</v>
      </c>
      <c r="H1451" s="16"/>
      <c r="I1451" s="16"/>
      <c r="J1451" s="16" t="s">
        <v>106</v>
      </c>
      <c r="K1451" s="16"/>
      <c r="L1451" s="16"/>
      <c r="M1451" s="19" t="s">
        <v>3902</v>
      </c>
      <c r="N1451" s="16"/>
      <c r="O1451" s="16" t="s">
        <v>3903</v>
      </c>
      <c r="P1451" s="16" t="str">
        <f>HYPERLINK("https://ceds.ed.gov/cedselementdetails.aspx?termid=27629")</f>
        <v>https://ceds.ed.gov/cedselementdetails.aspx?termid=27629</v>
      </c>
      <c r="Q1451" s="16">
        <v>74341</v>
      </c>
    </row>
    <row r="1452" spans="1:17" ht="144" x14ac:dyDescent="0.3">
      <c r="A1452" s="16" t="s">
        <v>7665</v>
      </c>
      <c r="B1452" s="16" t="s">
        <v>7679</v>
      </c>
      <c r="C1452" s="16" t="s">
        <v>7617</v>
      </c>
      <c r="D1452" s="16" t="s">
        <v>7597</v>
      </c>
      <c r="E1452" s="16" t="s">
        <v>7988</v>
      </c>
      <c r="F1452" s="16" t="s">
        <v>3884</v>
      </c>
      <c r="G1452" s="16" t="s">
        <v>8225</v>
      </c>
      <c r="H1452" s="16"/>
      <c r="I1452" s="16"/>
      <c r="J1452" s="16"/>
      <c r="K1452" s="16"/>
      <c r="L1452" s="16" t="s">
        <v>7989</v>
      </c>
      <c r="M1452" s="19" t="s">
        <v>3885</v>
      </c>
      <c r="N1452" s="16"/>
      <c r="O1452" s="16" t="s">
        <v>7990</v>
      </c>
      <c r="P1452" s="16" t="str">
        <f>HYPERLINK("https://ceds.ed.gov/cedselementdetails.aspx?termid=27314")</f>
        <v>https://ceds.ed.gov/cedselementdetails.aspx?termid=27314</v>
      </c>
      <c r="Q1452" s="16">
        <v>73176</v>
      </c>
    </row>
    <row r="1453" spans="1:17" ht="144" x14ac:dyDescent="0.3">
      <c r="A1453" s="16" t="s">
        <v>7665</v>
      </c>
      <c r="B1453" s="16" t="s">
        <v>7679</v>
      </c>
      <c r="C1453" s="16" t="s">
        <v>7617</v>
      </c>
      <c r="D1453" s="16" t="s">
        <v>7597</v>
      </c>
      <c r="E1453" s="16" t="s">
        <v>8005</v>
      </c>
      <c r="F1453" s="16" t="s">
        <v>8006</v>
      </c>
      <c r="G1453" s="16" t="s">
        <v>8226</v>
      </c>
      <c r="H1453" s="16"/>
      <c r="I1453" s="16"/>
      <c r="J1453" s="16"/>
      <c r="K1453" s="16"/>
      <c r="L1453" s="16" t="s">
        <v>8007</v>
      </c>
      <c r="M1453" s="19" t="s">
        <v>3886</v>
      </c>
      <c r="N1453" s="16"/>
      <c r="O1453" s="16" t="s">
        <v>8008</v>
      </c>
      <c r="P1453" s="16" t="str">
        <f>HYPERLINK("https://ceds.ed.gov/cedselementdetails.aspx?termid=27316")</f>
        <v>https://ceds.ed.gov/cedselementdetails.aspx?termid=27316</v>
      </c>
      <c r="Q1453" s="16">
        <v>73184</v>
      </c>
    </row>
    <row r="1454" spans="1:17" ht="28.8" x14ac:dyDescent="0.3">
      <c r="A1454" s="16" t="s">
        <v>7665</v>
      </c>
      <c r="B1454" s="16" t="s">
        <v>7679</v>
      </c>
      <c r="C1454" s="16" t="s">
        <v>7617</v>
      </c>
      <c r="D1454" s="16" t="s">
        <v>7597</v>
      </c>
      <c r="E1454" s="16" t="s">
        <v>3897</v>
      </c>
      <c r="F1454" s="16" t="s">
        <v>8010</v>
      </c>
      <c r="G1454" s="16" t="s">
        <v>32</v>
      </c>
      <c r="H1454" s="16"/>
      <c r="I1454" s="16"/>
      <c r="J1454" s="16" t="s">
        <v>81</v>
      </c>
      <c r="K1454" s="16"/>
      <c r="L1454" s="16"/>
      <c r="M1454" s="19" t="s">
        <v>3898</v>
      </c>
      <c r="N1454" s="16"/>
      <c r="O1454" s="16" t="s">
        <v>3899</v>
      </c>
      <c r="P1454" s="16" t="str">
        <f>HYPERLINK("https://ceds.ed.gov/cedselementdetails.aspx?termid=27627")</f>
        <v>https://ceds.ed.gov/cedselementdetails.aspx?termid=27627</v>
      </c>
      <c r="Q1454" s="16">
        <v>74333</v>
      </c>
    </row>
    <row r="1455" spans="1:17" ht="28.8" x14ac:dyDescent="0.3">
      <c r="A1455" s="16" t="s">
        <v>7665</v>
      </c>
      <c r="B1455" s="16" t="s">
        <v>7679</v>
      </c>
      <c r="C1455" s="16" t="s">
        <v>7617</v>
      </c>
      <c r="D1455" s="16" t="s">
        <v>7597</v>
      </c>
      <c r="E1455" s="16" t="s">
        <v>3894</v>
      </c>
      <c r="F1455" s="16" t="s">
        <v>8009</v>
      </c>
      <c r="G1455" s="16" t="s">
        <v>32</v>
      </c>
      <c r="H1455" s="16"/>
      <c r="I1455" s="16"/>
      <c r="J1455" s="16" t="s">
        <v>747</v>
      </c>
      <c r="K1455" s="16"/>
      <c r="L1455" s="16"/>
      <c r="M1455" s="19" t="s">
        <v>3895</v>
      </c>
      <c r="N1455" s="16"/>
      <c r="O1455" s="16" t="s">
        <v>3896</v>
      </c>
      <c r="P1455" s="16" t="str">
        <f>HYPERLINK("https://ceds.ed.gov/cedselementdetails.aspx?termid=27626")</f>
        <v>https://ceds.ed.gov/cedselementdetails.aspx?termid=27626</v>
      </c>
      <c r="Q1455" s="16">
        <v>74329</v>
      </c>
    </row>
    <row r="1456" spans="1:17" ht="72" x14ac:dyDescent="0.3">
      <c r="A1456" s="16" t="s">
        <v>7665</v>
      </c>
      <c r="B1456" s="16" t="s">
        <v>7679</v>
      </c>
      <c r="C1456" s="16" t="s">
        <v>7617</v>
      </c>
      <c r="D1456" s="16" t="s">
        <v>7597</v>
      </c>
      <c r="E1456" s="16" t="s">
        <v>8974</v>
      </c>
      <c r="F1456" s="16" t="s">
        <v>8975</v>
      </c>
      <c r="G1456" s="16" t="s">
        <v>32</v>
      </c>
      <c r="H1456" s="16"/>
      <c r="I1456" s="16"/>
      <c r="J1456" s="16" t="s">
        <v>120</v>
      </c>
      <c r="K1456" s="16"/>
      <c r="L1456" s="16" t="s">
        <v>8976</v>
      </c>
      <c r="M1456" s="19" t="s">
        <v>8977</v>
      </c>
      <c r="N1456" s="16"/>
      <c r="O1456" s="16" t="s">
        <v>8978</v>
      </c>
      <c r="P1456" s="16" t="str">
        <f>HYPERLINK("https://ceds.ed.gov/cedselementdetails.aspx?termid=28020")</f>
        <v>https://ceds.ed.gov/cedselementdetails.aspx?termid=28020</v>
      </c>
      <c r="Q1456" s="16">
        <v>76311</v>
      </c>
    </row>
    <row r="1457" spans="1:17" ht="72" x14ac:dyDescent="0.3">
      <c r="A1457" s="16" t="s">
        <v>7665</v>
      </c>
      <c r="B1457" s="16" t="s">
        <v>7679</v>
      </c>
      <c r="C1457" s="16" t="s">
        <v>7617</v>
      </c>
      <c r="D1457" s="16" t="s">
        <v>7597</v>
      </c>
      <c r="E1457" s="16" t="s">
        <v>8979</v>
      </c>
      <c r="F1457" s="16" t="s">
        <v>8980</v>
      </c>
      <c r="G1457" s="16" t="s">
        <v>32</v>
      </c>
      <c r="H1457" s="16"/>
      <c r="I1457" s="16"/>
      <c r="J1457" s="16" t="s">
        <v>1481</v>
      </c>
      <c r="K1457" s="16"/>
      <c r="L1457" s="16" t="s">
        <v>8976</v>
      </c>
      <c r="M1457" s="19" t="s">
        <v>8981</v>
      </c>
      <c r="N1457" s="16"/>
      <c r="O1457" s="16" t="s">
        <v>8982</v>
      </c>
      <c r="P1457" s="16" t="str">
        <f>HYPERLINK("https://ceds.ed.gov/cedselementdetails.aspx?termid=28021")</f>
        <v>https://ceds.ed.gov/cedselementdetails.aspx?termid=28021</v>
      </c>
      <c r="Q1457" s="16">
        <v>76312</v>
      </c>
    </row>
    <row r="1458" spans="1:17" ht="57.6" x14ac:dyDescent="0.3">
      <c r="A1458" s="16" t="s">
        <v>7665</v>
      </c>
      <c r="B1458" s="16" t="s">
        <v>7679</v>
      </c>
      <c r="C1458" s="16" t="s">
        <v>7617</v>
      </c>
      <c r="D1458" s="16" t="s">
        <v>7597</v>
      </c>
      <c r="E1458" s="16" t="s">
        <v>12783</v>
      </c>
      <c r="F1458" s="16" t="s">
        <v>12784</v>
      </c>
      <c r="G1458" s="16" t="s">
        <v>32</v>
      </c>
      <c r="H1458" s="16"/>
      <c r="I1458" s="16" t="s">
        <v>155</v>
      </c>
      <c r="J1458" s="16" t="s">
        <v>136</v>
      </c>
      <c r="K1458" s="16" t="s">
        <v>12636</v>
      </c>
      <c r="L1458" s="16"/>
      <c r="M1458" s="19" t="s">
        <v>12785</v>
      </c>
      <c r="N1458" s="16"/>
      <c r="O1458" s="16" t="s">
        <v>12786</v>
      </c>
      <c r="P1458" s="16" t="str">
        <f>HYPERLINK("https://ceds.ed.gov/cedselementdetails.aspx?termid=28118")</f>
        <v>https://ceds.ed.gov/cedselementdetails.aspx?termid=28118</v>
      </c>
      <c r="Q1458" s="16">
        <v>76634</v>
      </c>
    </row>
    <row r="1459" spans="1:17" ht="43.2" x14ac:dyDescent="0.3">
      <c r="A1459" s="16" t="s">
        <v>7665</v>
      </c>
      <c r="B1459" s="16" t="s">
        <v>7679</v>
      </c>
      <c r="C1459" s="16" t="s">
        <v>7617</v>
      </c>
      <c r="D1459" s="16" t="s">
        <v>7597</v>
      </c>
      <c r="E1459" s="16" t="s">
        <v>12787</v>
      </c>
      <c r="F1459" s="16" t="s">
        <v>12788</v>
      </c>
      <c r="G1459" s="16" t="s">
        <v>32</v>
      </c>
      <c r="H1459" s="16"/>
      <c r="I1459" s="16" t="s">
        <v>155</v>
      </c>
      <c r="J1459" s="16" t="s">
        <v>9103</v>
      </c>
      <c r="K1459" s="16" t="s">
        <v>12636</v>
      </c>
      <c r="L1459" s="16"/>
      <c r="M1459" s="19" t="s">
        <v>12789</v>
      </c>
      <c r="N1459" s="16"/>
      <c r="O1459" s="16" t="s">
        <v>12790</v>
      </c>
      <c r="P1459" s="16" t="str">
        <f>HYPERLINK("https://ceds.ed.gov/cedselementdetails.aspx?termid=28117")</f>
        <v>https://ceds.ed.gov/cedselementdetails.aspx?termid=28117</v>
      </c>
      <c r="Q1459" s="16">
        <v>76627</v>
      </c>
    </row>
    <row r="1460" spans="1:17" ht="43.2" x14ac:dyDescent="0.3">
      <c r="A1460" s="16" t="s">
        <v>7665</v>
      </c>
      <c r="B1460" s="16" t="s">
        <v>7679</v>
      </c>
      <c r="C1460" s="16" t="s">
        <v>7617</v>
      </c>
      <c r="D1460" s="16" t="s">
        <v>7597</v>
      </c>
      <c r="E1460" s="16" t="s">
        <v>12791</v>
      </c>
      <c r="F1460" s="16" t="s">
        <v>12792</v>
      </c>
      <c r="G1460" s="16" t="s">
        <v>32</v>
      </c>
      <c r="H1460" s="16"/>
      <c r="I1460" s="16" t="s">
        <v>155</v>
      </c>
      <c r="J1460" s="16" t="s">
        <v>106</v>
      </c>
      <c r="K1460" s="16" t="s">
        <v>12636</v>
      </c>
      <c r="L1460" s="16"/>
      <c r="M1460" s="19" t="s">
        <v>12793</v>
      </c>
      <c r="N1460" s="16"/>
      <c r="O1460" s="16" t="s">
        <v>12794</v>
      </c>
      <c r="P1460" s="16" t="str">
        <f>HYPERLINK("https://ceds.ed.gov/cedselementdetails.aspx?termid=28116")</f>
        <v>https://ceds.ed.gov/cedselementdetails.aspx?termid=28116</v>
      </c>
      <c r="Q1460" s="16">
        <v>76620</v>
      </c>
    </row>
    <row r="1461" spans="1:17" ht="43.2" x14ac:dyDescent="0.3">
      <c r="A1461" s="16" t="s">
        <v>7665</v>
      </c>
      <c r="B1461" s="16" t="s">
        <v>7679</v>
      </c>
      <c r="C1461" s="16" t="s">
        <v>7617</v>
      </c>
      <c r="D1461" s="16" t="s">
        <v>7597</v>
      </c>
      <c r="E1461" s="16" t="s">
        <v>12795</v>
      </c>
      <c r="F1461" s="16" t="s">
        <v>12796</v>
      </c>
      <c r="G1461" s="16" t="s">
        <v>12891</v>
      </c>
      <c r="H1461" s="16"/>
      <c r="I1461" s="16" t="s">
        <v>155</v>
      </c>
      <c r="J1461" s="16" t="s">
        <v>2</v>
      </c>
      <c r="K1461" s="16" t="s">
        <v>12636</v>
      </c>
      <c r="L1461" s="16"/>
      <c r="M1461" s="19" t="s">
        <v>12797</v>
      </c>
      <c r="N1461" s="16"/>
      <c r="O1461" s="16" t="s">
        <v>12798</v>
      </c>
      <c r="P1461" s="16" t="str">
        <f>HYPERLINK("https://ceds.ed.gov/cedselementdetails.aspx?termid=28114")</f>
        <v>https://ceds.ed.gov/cedselementdetails.aspx?termid=28114</v>
      </c>
      <c r="Q1461" s="16">
        <v>76606</v>
      </c>
    </row>
    <row r="1462" spans="1:17" ht="43.2" x14ac:dyDescent="0.3">
      <c r="A1462" s="16" t="s">
        <v>7665</v>
      </c>
      <c r="B1462" s="16" t="s">
        <v>7679</v>
      </c>
      <c r="C1462" s="16" t="s">
        <v>7617</v>
      </c>
      <c r="D1462" s="16" t="s">
        <v>7597</v>
      </c>
      <c r="E1462" s="16" t="s">
        <v>12799</v>
      </c>
      <c r="F1462" s="16" t="s">
        <v>12800</v>
      </c>
      <c r="G1462" s="16" t="s">
        <v>32</v>
      </c>
      <c r="H1462" s="16"/>
      <c r="I1462" s="16" t="s">
        <v>155</v>
      </c>
      <c r="J1462" s="16" t="s">
        <v>106</v>
      </c>
      <c r="K1462" s="16" t="s">
        <v>12636</v>
      </c>
      <c r="L1462" s="16"/>
      <c r="M1462" s="19" t="s">
        <v>12801</v>
      </c>
      <c r="N1462" s="16"/>
      <c r="O1462" s="16" t="s">
        <v>12802</v>
      </c>
      <c r="P1462" s="16" t="str">
        <f>HYPERLINK("https://ceds.ed.gov/cedselementdetails.aspx?termid=28115")</f>
        <v>https://ceds.ed.gov/cedselementdetails.aspx?termid=28115</v>
      </c>
      <c r="Q1462" s="16">
        <v>76613</v>
      </c>
    </row>
    <row r="1463" spans="1:17" ht="100.8" x14ac:dyDescent="0.3">
      <c r="A1463" s="16" t="s">
        <v>7665</v>
      </c>
      <c r="B1463" s="16" t="s">
        <v>7679</v>
      </c>
      <c r="C1463" s="16" t="s">
        <v>7617</v>
      </c>
      <c r="D1463" s="16" t="s">
        <v>7597</v>
      </c>
      <c r="E1463" s="16" t="s">
        <v>12803</v>
      </c>
      <c r="F1463" s="16" t="s">
        <v>12804</v>
      </c>
      <c r="G1463" s="16" t="s">
        <v>12911</v>
      </c>
      <c r="H1463" s="16"/>
      <c r="I1463" s="16" t="s">
        <v>155</v>
      </c>
      <c r="J1463" s="16" t="s">
        <v>2</v>
      </c>
      <c r="K1463" s="16" t="s">
        <v>12636</v>
      </c>
      <c r="L1463" s="16"/>
      <c r="M1463" s="19" t="s">
        <v>12805</v>
      </c>
      <c r="N1463" s="16"/>
      <c r="O1463" s="16" t="s">
        <v>12806</v>
      </c>
      <c r="P1463" s="16" t="str">
        <f>HYPERLINK("https://ceds.ed.gov/cedselementdetails.aspx?termid=28120")</f>
        <v>https://ceds.ed.gov/cedselementdetails.aspx?termid=28120</v>
      </c>
      <c r="Q1463" s="16">
        <v>76648</v>
      </c>
    </row>
    <row r="1464" spans="1:17" ht="72" x14ac:dyDescent="0.3">
      <c r="A1464" s="16" t="s">
        <v>7665</v>
      </c>
      <c r="B1464" s="16" t="s">
        <v>7679</v>
      </c>
      <c r="C1464" s="16" t="s">
        <v>7617</v>
      </c>
      <c r="D1464" s="16" t="s">
        <v>7597</v>
      </c>
      <c r="E1464" s="16" t="s">
        <v>12807</v>
      </c>
      <c r="F1464" s="16" t="s">
        <v>12808</v>
      </c>
      <c r="G1464" s="16" t="s">
        <v>12912</v>
      </c>
      <c r="H1464" s="16"/>
      <c r="I1464" s="16" t="s">
        <v>155</v>
      </c>
      <c r="J1464" s="16" t="s">
        <v>2</v>
      </c>
      <c r="K1464" s="16" t="s">
        <v>12636</v>
      </c>
      <c r="L1464" s="16"/>
      <c r="M1464" s="19" t="s">
        <v>12809</v>
      </c>
      <c r="N1464" s="16"/>
      <c r="O1464" s="16" t="s">
        <v>12810</v>
      </c>
      <c r="P1464" s="16" t="str">
        <f>HYPERLINK("https://ceds.ed.gov/cedselementdetails.aspx?termid=28119")</f>
        <v>https://ceds.ed.gov/cedselementdetails.aspx?termid=28119</v>
      </c>
      <c r="Q1464" s="16">
        <v>76641</v>
      </c>
    </row>
    <row r="1465" spans="1:17" ht="72" x14ac:dyDescent="0.3">
      <c r="A1465" s="16" t="s">
        <v>7665</v>
      </c>
      <c r="B1465" s="16" t="s">
        <v>7679</v>
      </c>
      <c r="C1465" s="16" t="s">
        <v>7672</v>
      </c>
      <c r="D1465" s="16" t="s">
        <v>7597</v>
      </c>
      <c r="E1465" s="16" t="s">
        <v>3856</v>
      </c>
      <c r="F1465" s="16" t="s">
        <v>7976</v>
      </c>
      <c r="G1465" s="16" t="s">
        <v>32</v>
      </c>
      <c r="H1465" s="16" t="s">
        <v>214</v>
      </c>
      <c r="I1465" s="16"/>
      <c r="J1465" s="16" t="s">
        <v>3857</v>
      </c>
      <c r="K1465" s="16"/>
      <c r="L1465" s="16"/>
      <c r="M1465" s="19" t="s">
        <v>3858</v>
      </c>
      <c r="N1465" s="16"/>
      <c r="O1465" s="16" t="s">
        <v>3859</v>
      </c>
      <c r="P1465" s="16" t="str">
        <f>HYPERLINK("https://ceds.ed.gov/cedselementdetails.aspx?termid=26538")</f>
        <v>https://ceds.ed.gov/cedselementdetails.aspx?termid=26538</v>
      </c>
      <c r="Q1465" s="16">
        <v>70982</v>
      </c>
    </row>
    <row r="1466" spans="1:17" ht="115.2" x14ac:dyDescent="0.3">
      <c r="A1466" s="16" t="s">
        <v>7665</v>
      </c>
      <c r="B1466" s="16" t="s">
        <v>7679</v>
      </c>
      <c r="C1466" s="16" t="s">
        <v>7672</v>
      </c>
      <c r="D1466" s="16" t="s">
        <v>7597</v>
      </c>
      <c r="E1466" s="16" t="s">
        <v>3860</v>
      </c>
      <c r="F1466" s="16" t="s">
        <v>3861</v>
      </c>
      <c r="G1466" s="16" t="s">
        <v>32</v>
      </c>
      <c r="H1466" s="16" t="s">
        <v>214</v>
      </c>
      <c r="I1466" s="16"/>
      <c r="J1466" s="16" t="s">
        <v>1481</v>
      </c>
      <c r="K1466" s="16"/>
      <c r="L1466" s="16"/>
      <c r="M1466" s="19" t="s">
        <v>3863</v>
      </c>
      <c r="N1466" s="16"/>
      <c r="O1466" s="16" t="s">
        <v>3864</v>
      </c>
      <c r="P1466" s="16" t="str">
        <f>HYPERLINK("https://ceds.ed.gov/cedselementdetails.aspx?termid=26540")</f>
        <v>https://ceds.ed.gov/cedselementdetails.aspx?termid=26540</v>
      </c>
      <c r="Q1466" s="16">
        <v>70984</v>
      </c>
    </row>
    <row r="1467" spans="1:17" ht="72" x14ac:dyDescent="0.3">
      <c r="A1467" s="16" t="s">
        <v>7665</v>
      </c>
      <c r="B1467" s="16" t="s">
        <v>7679</v>
      </c>
      <c r="C1467" s="16" t="s">
        <v>7672</v>
      </c>
      <c r="D1467" s="16" t="s">
        <v>7597</v>
      </c>
      <c r="E1467" s="16" t="s">
        <v>3865</v>
      </c>
      <c r="F1467" s="16" t="s">
        <v>3866</v>
      </c>
      <c r="G1467" s="16" t="s">
        <v>8596</v>
      </c>
      <c r="H1467" s="16"/>
      <c r="I1467" s="16"/>
      <c r="J1467" s="16"/>
      <c r="K1467" s="16"/>
      <c r="L1467" s="16"/>
      <c r="M1467" s="19" t="s">
        <v>3867</v>
      </c>
      <c r="N1467" s="16"/>
      <c r="O1467" s="16" t="s">
        <v>3868</v>
      </c>
      <c r="P1467" s="16" t="str">
        <f>HYPERLINK("https://ceds.ed.gov/cedselementdetails.aspx?termid=26539")</f>
        <v>https://ceds.ed.gov/cedselementdetails.aspx?termid=26539</v>
      </c>
      <c r="Q1467" s="16">
        <v>70983</v>
      </c>
    </row>
    <row r="1468" spans="1:17" ht="43.2" x14ac:dyDescent="0.3">
      <c r="A1468" s="16" t="s">
        <v>7665</v>
      </c>
      <c r="B1468" s="16" t="s">
        <v>7679</v>
      </c>
      <c r="C1468" s="16" t="s">
        <v>7672</v>
      </c>
      <c r="D1468" s="16" t="s">
        <v>7597</v>
      </c>
      <c r="E1468" s="16" t="s">
        <v>6899</v>
      </c>
      <c r="F1468" s="16" t="s">
        <v>6900</v>
      </c>
      <c r="G1468" s="16" t="s">
        <v>22</v>
      </c>
      <c r="H1468" s="16" t="s">
        <v>202</v>
      </c>
      <c r="I1468" s="16"/>
      <c r="J1468" s="16"/>
      <c r="K1468" s="16"/>
      <c r="L1468" s="16"/>
      <c r="M1468" s="19" t="s">
        <v>6901</v>
      </c>
      <c r="N1468" s="16"/>
      <c r="O1468" s="16" t="s">
        <v>6902</v>
      </c>
      <c r="P1468" s="16" t="str">
        <f>HYPERLINK("https://ceds.ed.gov/cedselementdetails.aspx?termid=26435")</f>
        <v>https://ceds.ed.gov/cedselementdetails.aspx?termid=26435</v>
      </c>
      <c r="Q1468" s="16">
        <v>70976</v>
      </c>
    </row>
    <row r="1469" spans="1:17" ht="43.2" x14ac:dyDescent="0.3">
      <c r="A1469" s="16" t="s">
        <v>7665</v>
      </c>
      <c r="B1469" s="16" t="s">
        <v>7679</v>
      </c>
      <c r="C1469" s="16" t="s">
        <v>7672</v>
      </c>
      <c r="D1469" s="16" t="s">
        <v>7597</v>
      </c>
      <c r="E1469" s="16" t="s">
        <v>2994</v>
      </c>
      <c r="F1469" s="16" t="s">
        <v>2995</v>
      </c>
      <c r="G1469" s="16" t="s">
        <v>32</v>
      </c>
      <c r="H1469" s="16" t="s">
        <v>202</v>
      </c>
      <c r="I1469" s="16"/>
      <c r="J1469" s="16" t="s">
        <v>106</v>
      </c>
      <c r="K1469" s="16"/>
      <c r="L1469" s="16"/>
      <c r="M1469" s="19" t="s">
        <v>2997</v>
      </c>
      <c r="N1469" s="16"/>
      <c r="O1469" s="16" t="s">
        <v>2998</v>
      </c>
      <c r="P1469" s="16" t="str">
        <f>HYPERLINK("https://ceds.ed.gov/cedselementdetails.aspx?termid=26445")</f>
        <v>https://ceds.ed.gov/cedselementdetails.aspx?termid=26445</v>
      </c>
      <c r="Q1469" s="16">
        <v>70977</v>
      </c>
    </row>
    <row r="1470" spans="1:17" ht="28.8" x14ac:dyDescent="0.3">
      <c r="A1470" s="16" t="s">
        <v>7665</v>
      </c>
      <c r="B1470" s="16" t="s">
        <v>7679</v>
      </c>
      <c r="C1470" s="16" t="s">
        <v>7672</v>
      </c>
      <c r="D1470" s="16" t="s">
        <v>7597</v>
      </c>
      <c r="E1470" s="16" t="s">
        <v>2999</v>
      </c>
      <c r="F1470" s="16" t="s">
        <v>3000</v>
      </c>
      <c r="G1470" s="16" t="s">
        <v>32</v>
      </c>
      <c r="H1470" s="16" t="s">
        <v>202</v>
      </c>
      <c r="I1470" s="16"/>
      <c r="J1470" s="16" t="s">
        <v>106</v>
      </c>
      <c r="K1470" s="16"/>
      <c r="L1470" s="16"/>
      <c r="M1470" s="19" t="s">
        <v>3001</v>
      </c>
      <c r="N1470" s="16"/>
      <c r="O1470" s="16" t="s">
        <v>3002</v>
      </c>
      <c r="P1470" s="16" t="str">
        <f>HYPERLINK("https://ceds.ed.gov/cedselementdetails.aspx?termid=26446")</f>
        <v>https://ceds.ed.gov/cedselementdetails.aspx?termid=26446</v>
      </c>
      <c r="Q1470" s="16">
        <v>70978</v>
      </c>
    </row>
    <row r="1471" spans="1:17" ht="72" x14ac:dyDescent="0.3">
      <c r="A1471" s="16" t="s">
        <v>7665</v>
      </c>
      <c r="B1471" s="16" t="s">
        <v>7679</v>
      </c>
      <c r="C1471" s="16" t="s">
        <v>7672</v>
      </c>
      <c r="D1471" s="16" t="s">
        <v>7597</v>
      </c>
      <c r="E1471" s="16" t="s">
        <v>5512</v>
      </c>
      <c r="F1471" s="16" t="s">
        <v>5513</v>
      </c>
      <c r="G1471" s="16" t="s">
        <v>32</v>
      </c>
      <c r="H1471" s="16" t="s">
        <v>202</v>
      </c>
      <c r="I1471" s="16"/>
      <c r="J1471" s="16" t="s">
        <v>1481</v>
      </c>
      <c r="K1471" s="16"/>
      <c r="L1471" s="16"/>
      <c r="M1471" s="19" t="s">
        <v>5514</v>
      </c>
      <c r="N1471" s="16"/>
      <c r="O1471" s="16" t="s">
        <v>5515</v>
      </c>
      <c r="P1471" s="16" t="str">
        <f>HYPERLINK("https://ceds.ed.gov/cedselementdetails.aspx?termid=26447")</f>
        <v>https://ceds.ed.gov/cedselementdetails.aspx?termid=26447</v>
      </c>
      <c r="Q1471" s="16">
        <v>70979</v>
      </c>
    </row>
    <row r="1472" spans="1:17" ht="57.6" x14ac:dyDescent="0.3">
      <c r="A1472" s="16" t="s">
        <v>7665</v>
      </c>
      <c r="B1472" s="16" t="s">
        <v>7679</v>
      </c>
      <c r="C1472" s="16" t="s">
        <v>9410</v>
      </c>
      <c r="D1472" s="16" t="s">
        <v>7597</v>
      </c>
      <c r="E1472" s="16" t="s">
        <v>8929</v>
      </c>
      <c r="F1472" s="16" t="s">
        <v>8930</v>
      </c>
      <c r="G1472" s="16" t="s">
        <v>9290</v>
      </c>
      <c r="H1472" s="16"/>
      <c r="I1472" s="16"/>
      <c r="J1472" s="16" t="s">
        <v>2</v>
      </c>
      <c r="K1472" s="16"/>
      <c r="L1472" s="16"/>
      <c r="M1472" s="19" t="s">
        <v>8931</v>
      </c>
      <c r="N1472" s="16"/>
      <c r="O1472" s="16" t="s">
        <v>8932</v>
      </c>
      <c r="P1472" s="16" t="str">
        <f>HYPERLINK("https://ceds.ed.gov/cedselementdetails.aspx?termid=28009")</f>
        <v>https://ceds.ed.gov/cedselementdetails.aspx?termid=28009</v>
      </c>
      <c r="Q1472" s="16">
        <v>76313</v>
      </c>
    </row>
    <row r="1473" spans="1:17" ht="72" x14ac:dyDescent="0.3">
      <c r="A1473" s="16" t="s">
        <v>7665</v>
      </c>
      <c r="B1473" s="16" t="s">
        <v>7679</v>
      </c>
      <c r="C1473" s="16" t="s">
        <v>9410</v>
      </c>
      <c r="D1473" s="16" t="s">
        <v>7597</v>
      </c>
      <c r="E1473" s="16" t="s">
        <v>8954</v>
      </c>
      <c r="F1473" s="16" t="s">
        <v>8955</v>
      </c>
      <c r="G1473" s="16" t="s">
        <v>9422</v>
      </c>
      <c r="H1473" s="16"/>
      <c r="I1473" s="16"/>
      <c r="J1473" s="16" t="s">
        <v>2</v>
      </c>
      <c r="K1473" s="16"/>
      <c r="L1473" s="16"/>
      <c r="M1473" s="19" t="s">
        <v>8956</v>
      </c>
      <c r="N1473" s="16"/>
      <c r="O1473" s="16" t="s">
        <v>8957</v>
      </c>
      <c r="P1473" s="16" t="str">
        <f>HYPERLINK("https://ceds.ed.gov/cedselementdetails.aspx?termid=28015")</f>
        <v>https://ceds.ed.gov/cedselementdetails.aspx?termid=28015</v>
      </c>
      <c r="Q1473" s="16">
        <v>76314</v>
      </c>
    </row>
    <row r="1474" spans="1:17" ht="72" x14ac:dyDescent="0.3">
      <c r="A1474" s="16" t="s">
        <v>7665</v>
      </c>
      <c r="B1474" s="16" t="s">
        <v>7679</v>
      </c>
      <c r="C1474" s="16" t="s">
        <v>9410</v>
      </c>
      <c r="D1474" s="16" t="s">
        <v>7597</v>
      </c>
      <c r="E1474" s="16" t="s">
        <v>9000</v>
      </c>
      <c r="F1474" s="16" t="s">
        <v>9001</v>
      </c>
      <c r="G1474" s="16" t="s">
        <v>9293</v>
      </c>
      <c r="H1474" s="16"/>
      <c r="I1474" s="16"/>
      <c r="J1474" s="16" t="s">
        <v>2</v>
      </c>
      <c r="K1474" s="16"/>
      <c r="L1474" s="16"/>
      <c r="M1474" s="19" t="s">
        <v>9002</v>
      </c>
      <c r="N1474" s="16"/>
      <c r="O1474" s="16" t="s">
        <v>9003</v>
      </c>
      <c r="P1474" s="16" t="str">
        <f>HYPERLINK("https://ceds.ed.gov/cedselementdetails.aspx?termid=28026")</f>
        <v>https://ceds.ed.gov/cedselementdetails.aspx?termid=28026</v>
      </c>
      <c r="Q1474" s="16">
        <v>76315</v>
      </c>
    </row>
    <row r="1475" spans="1:17" ht="28.8" x14ac:dyDescent="0.3">
      <c r="A1475" s="16" t="s">
        <v>7665</v>
      </c>
      <c r="B1475" s="16" t="s">
        <v>7679</v>
      </c>
      <c r="C1475" s="16" t="s">
        <v>9410</v>
      </c>
      <c r="D1475" s="16" t="s">
        <v>7597</v>
      </c>
      <c r="E1475" s="16" t="s">
        <v>9004</v>
      </c>
      <c r="F1475" s="16" t="s">
        <v>9005</v>
      </c>
      <c r="G1475" s="16" t="s">
        <v>32</v>
      </c>
      <c r="H1475" s="16"/>
      <c r="I1475" s="16"/>
      <c r="J1475" s="16" t="s">
        <v>120</v>
      </c>
      <c r="K1475" s="16"/>
      <c r="L1475" s="16"/>
      <c r="M1475" s="19" t="s">
        <v>9006</v>
      </c>
      <c r="N1475" s="16"/>
      <c r="O1475" s="16" t="s">
        <v>9007</v>
      </c>
      <c r="P1475" s="16" t="str">
        <f>HYPERLINK("https://ceds.ed.gov/cedselementdetails.aspx?termid=28027")</f>
        <v>https://ceds.ed.gov/cedselementdetails.aspx?termid=28027</v>
      </c>
      <c r="Q1475" s="16">
        <v>76316</v>
      </c>
    </row>
    <row r="1476" spans="1:17" ht="57.6" x14ac:dyDescent="0.3">
      <c r="A1476" s="16" t="s">
        <v>7665</v>
      </c>
      <c r="B1476" s="16" t="s">
        <v>7679</v>
      </c>
      <c r="C1476" s="16" t="s">
        <v>9410</v>
      </c>
      <c r="D1476" s="16" t="s">
        <v>7597</v>
      </c>
      <c r="E1476" s="16" t="s">
        <v>9008</v>
      </c>
      <c r="F1476" s="16" t="s">
        <v>9009</v>
      </c>
      <c r="G1476" s="16" t="s">
        <v>32</v>
      </c>
      <c r="H1476" s="16"/>
      <c r="I1476" s="16"/>
      <c r="J1476" s="16" t="s">
        <v>106</v>
      </c>
      <c r="K1476" s="16"/>
      <c r="L1476" s="16"/>
      <c r="M1476" s="19" t="s">
        <v>9010</v>
      </c>
      <c r="N1476" s="16"/>
      <c r="O1476" s="16" t="s">
        <v>9011</v>
      </c>
      <c r="P1476" s="16" t="str">
        <f>HYPERLINK("https://ceds.ed.gov/cedselementdetails.aspx?termid=28028")</f>
        <v>https://ceds.ed.gov/cedselementdetails.aspx?termid=28028</v>
      </c>
      <c r="Q1476" s="16">
        <v>76317</v>
      </c>
    </row>
    <row r="1477" spans="1:17" ht="72" x14ac:dyDescent="0.3">
      <c r="A1477" s="16" t="s">
        <v>7665</v>
      </c>
      <c r="B1477" s="16" t="s">
        <v>7679</v>
      </c>
      <c r="C1477" s="16" t="s">
        <v>9410</v>
      </c>
      <c r="D1477" s="16" t="s">
        <v>7597</v>
      </c>
      <c r="E1477" s="16" t="s">
        <v>9012</v>
      </c>
      <c r="F1477" s="16" t="s">
        <v>9013</v>
      </c>
      <c r="G1477" s="16" t="s">
        <v>9293</v>
      </c>
      <c r="H1477" s="16"/>
      <c r="I1477" s="16"/>
      <c r="J1477" s="16" t="s">
        <v>2</v>
      </c>
      <c r="K1477" s="16"/>
      <c r="L1477" s="16"/>
      <c r="M1477" s="19" t="s">
        <v>9014</v>
      </c>
      <c r="N1477" s="16"/>
      <c r="O1477" s="16" t="s">
        <v>9015</v>
      </c>
      <c r="P1477" s="16" t="str">
        <f>HYPERLINK("https://ceds.ed.gov/cedselementdetails.aspx?termid=28029")</f>
        <v>https://ceds.ed.gov/cedselementdetails.aspx?termid=28029</v>
      </c>
      <c r="Q1477" s="16">
        <v>76318</v>
      </c>
    </row>
    <row r="1478" spans="1:17" ht="28.8" x14ac:dyDescent="0.3">
      <c r="A1478" s="16" t="s">
        <v>7665</v>
      </c>
      <c r="B1478" s="16" t="s">
        <v>7679</v>
      </c>
      <c r="C1478" s="16" t="s">
        <v>9410</v>
      </c>
      <c r="D1478" s="16" t="s">
        <v>7597</v>
      </c>
      <c r="E1478" s="16" t="s">
        <v>9016</v>
      </c>
      <c r="F1478" s="16" t="s">
        <v>9017</v>
      </c>
      <c r="G1478" s="16" t="s">
        <v>32</v>
      </c>
      <c r="H1478" s="16"/>
      <c r="I1478" s="16"/>
      <c r="J1478" s="16" t="s">
        <v>120</v>
      </c>
      <c r="K1478" s="16"/>
      <c r="L1478" s="16"/>
      <c r="M1478" s="19" t="s">
        <v>9018</v>
      </c>
      <c r="N1478" s="16"/>
      <c r="O1478" s="16" t="s">
        <v>9019</v>
      </c>
      <c r="P1478" s="16" t="str">
        <f>HYPERLINK("https://ceds.ed.gov/cedselementdetails.aspx?termid=28030")</f>
        <v>https://ceds.ed.gov/cedselementdetails.aspx?termid=28030</v>
      </c>
      <c r="Q1478" s="16">
        <v>76319</v>
      </c>
    </row>
    <row r="1479" spans="1:17" ht="86.4" x14ac:dyDescent="0.3">
      <c r="A1479" s="16" t="s">
        <v>7665</v>
      </c>
      <c r="B1479" s="16" t="s">
        <v>7679</v>
      </c>
      <c r="C1479" s="16" t="s">
        <v>9410</v>
      </c>
      <c r="D1479" s="16" t="s">
        <v>7597</v>
      </c>
      <c r="E1479" s="16" t="s">
        <v>9020</v>
      </c>
      <c r="F1479" s="16" t="s">
        <v>9021</v>
      </c>
      <c r="G1479" s="16" t="s">
        <v>9294</v>
      </c>
      <c r="H1479" s="16"/>
      <c r="I1479" s="16"/>
      <c r="J1479" s="16" t="s">
        <v>2</v>
      </c>
      <c r="K1479" s="16"/>
      <c r="L1479" s="16"/>
      <c r="M1479" s="19" t="s">
        <v>9022</v>
      </c>
      <c r="N1479" s="16"/>
      <c r="O1479" s="16" t="s">
        <v>9023</v>
      </c>
      <c r="P1479" s="16" t="str">
        <f>HYPERLINK("https://ceds.ed.gov/cedselementdetails.aspx?termid=28031")</f>
        <v>https://ceds.ed.gov/cedselementdetails.aspx?termid=28031</v>
      </c>
      <c r="Q1479" s="16">
        <v>76320</v>
      </c>
    </row>
    <row r="1480" spans="1:17" ht="86.4" x14ac:dyDescent="0.3">
      <c r="A1480" s="16" t="s">
        <v>7665</v>
      </c>
      <c r="B1480" s="16" t="s">
        <v>7679</v>
      </c>
      <c r="C1480" s="16" t="s">
        <v>9410</v>
      </c>
      <c r="D1480" s="16" t="s">
        <v>7597</v>
      </c>
      <c r="E1480" s="16" t="s">
        <v>9024</v>
      </c>
      <c r="F1480" s="16" t="s">
        <v>9025</v>
      </c>
      <c r="G1480" s="16" t="s">
        <v>9423</v>
      </c>
      <c r="H1480" s="16"/>
      <c r="I1480" s="16"/>
      <c r="J1480" s="16" t="s">
        <v>2</v>
      </c>
      <c r="K1480" s="16"/>
      <c r="L1480" s="16" t="s">
        <v>9026</v>
      </c>
      <c r="M1480" s="19" t="s">
        <v>9027</v>
      </c>
      <c r="N1480" s="16"/>
      <c r="O1480" s="16" t="s">
        <v>9028</v>
      </c>
      <c r="P1480" s="16" t="str">
        <f>HYPERLINK("https://ceds.ed.gov/cedselementdetails.aspx?termid=28032")</f>
        <v>https://ceds.ed.gov/cedselementdetails.aspx?termid=28032</v>
      </c>
      <c r="Q1480" s="16">
        <v>76321</v>
      </c>
    </row>
    <row r="1481" spans="1:17" ht="28.8" x14ac:dyDescent="0.3">
      <c r="A1481" s="16" t="s">
        <v>7665</v>
      </c>
      <c r="B1481" s="16" t="s">
        <v>7679</v>
      </c>
      <c r="C1481" s="16" t="s">
        <v>9410</v>
      </c>
      <c r="D1481" s="16" t="s">
        <v>7597</v>
      </c>
      <c r="E1481" s="16" t="s">
        <v>9029</v>
      </c>
      <c r="F1481" s="16" t="s">
        <v>9030</v>
      </c>
      <c r="G1481" s="16" t="s">
        <v>32</v>
      </c>
      <c r="H1481" s="16"/>
      <c r="I1481" s="16"/>
      <c r="J1481" s="16" t="s">
        <v>106</v>
      </c>
      <c r="K1481" s="16"/>
      <c r="L1481" s="16" t="s">
        <v>9031</v>
      </c>
      <c r="M1481" s="19" t="s">
        <v>9032</v>
      </c>
      <c r="N1481" s="16"/>
      <c r="O1481" s="16" t="s">
        <v>9033</v>
      </c>
      <c r="P1481" s="16" t="str">
        <f>HYPERLINK("https://ceds.ed.gov/cedselementdetails.aspx?termid=28033")</f>
        <v>https://ceds.ed.gov/cedselementdetails.aspx?termid=28033</v>
      </c>
      <c r="Q1481" s="16">
        <v>76322</v>
      </c>
    </row>
    <row r="1482" spans="1:17" ht="28.8" x14ac:dyDescent="0.3">
      <c r="A1482" s="16" t="s">
        <v>7665</v>
      </c>
      <c r="B1482" s="16" t="s">
        <v>7679</v>
      </c>
      <c r="C1482" s="16" t="s">
        <v>9410</v>
      </c>
      <c r="D1482" s="16" t="s">
        <v>7597</v>
      </c>
      <c r="E1482" s="16" t="s">
        <v>9071</v>
      </c>
      <c r="F1482" s="16" t="s">
        <v>9072</v>
      </c>
      <c r="G1482" s="16" t="s">
        <v>8200</v>
      </c>
      <c r="H1482" s="16"/>
      <c r="I1482" s="16"/>
      <c r="J1482" s="16" t="s">
        <v>2</v>
      </c>
      <c r="K1482" s="16"/>
      <c r="L1482" s="16"/>
      <c r="M1482" s="19" t="s">
        <v>9073</v>
      </c>
      <c r="N1482" s="16"/>
      <c r="O1482" s="16" t="s">
        <v>9074</v>
      </c>
      <c r="P1482" s="16" t="str">
        <f>HYPERLINK("https://ceds.ed.gov/cedselementdetails.aspx?termid=28043")</f>
        <v>https://ceds.ed.gov/cedselementdetails.aspx?termid=28043</v>
      </c>
      <c r="Q1482" s="16">
        <v>76323</v>
      </c>
    </row>
    <row r="1483" spans="1:17" ht="28.8" x14ac:dyDescent="0.3">
      <c r="A1483" s="16" t="s">
        <v>7665</v>
      </c>
      <c r="B1483" s="16" t="s">
        <v>7679</v>
      </c>
      <c r="C1483" s="16" t="s">
        <v>9410</v>
      </c>
      <c r="D1483" s="16" t="s">
        <v>7597</v>
      </c>
      <c r="E1483" s="16" t="s">
        <v>9075</v>
      </c>
      <c r="F1483" s="16" t="s">
        <v>9076</v>
      </c>
      <c r="G1483" s="16" t="s">
        <v>8200</v>
      </c>
      <c r="H1483" s="16"/>
      <c r="I1483" s="16"/>
      <c r="J1483" s="16" t="s">
        <v>2</v>
      </c>
      <c r="K1483" s="16"/>
      <c r="L1483" s="16"/>
      <c r="M1483" s="19" t="s">
        <v>9077</v>
      </c>
      <c r="N1483" s="16"/>
      <c r="O1483" s="16" t="s">
        <v>9078</v>
      </c>
      <c r="P1483" s="16" t="str">
        <f>HYPERLINK("https://ceds.ed.gov/cedselementdetails.aspx?termid=28044")</f>
        <v>https://ceds.ed.gov/cedselementdetails.aspx?termid=28044</v>
      </c>
      <c r="Q1483" s="16">
        <v>76324</v>
      </c>
    </row>
    <row r="1484" spans="1:17" ht="72" x14ac:dyDescent="0.3">
      <c r="A1484" s="16" t="s">
        <v>7665</v>
      </c>
      <c r="B1484" s="16" t="s">
        <v>7679</v>
      </c>
      <c r="C1484" s="16" t="s">
        <v>9411</v>
      </c>
      <c r="D1484" s="16" t="s">
        <v>7597</v>
      </c>
      <c r="E1484" s="16" t="s">
        <v>9201</v>
      </c>
      <c r="F1484" s="16" t="s">
        <v>9202</v>
      </c>
      <c r="G1484" s="16" t="s">
        <v>32</v>
      </c>
      <c r="H1484" s="16"/>
      <c r="I1484" s="16"/>
      <c r="J1484" s="16" t="s">
        <v>955</v>
      </c>
      <c r="K1484" s="16"/>
      <c r="L1484" s="16"/>
      <c r="M1484" s="19" t="s">
        <v>9203</v>
      </c>
      <c r="N1484" s="16"/>
      <c r="O1484" s="16" t="s">
        <v>9204</v>
      </c>
      <c r="P1484" s="16" t="str">
        <f>HYPERLINK("https://ceds.ed.gov/cedselementdetails.aspx?termid=28074")</f>
        <v>https://ceds.ed.gov/cedselementdetails.aspx?termid=28074</v>
      </c>
      <c r="Q1484" s="16">
        <v>76325</v>
      </c>
    </row>
    <row r="1485" spans="1:17" ht="158.4" x14ac:dyDescent="0.3">
      <c r="A1485" s="16" t="s">
        <v>7665</v>
      </c>
      <c r="B1485" s="16" t="s">
        <v>7680</v>
      </c>
      <c r="C1485" s="16" t="s">
        <v>7625</v>
      </c>
      <c r="D1485" s="16" t="s">
        <v>7597</v>
      </c>
      <c r="E1485" s="16" t="s">
        <v>3990</v>
      </c>
      <c r="F1485" s="16" t="s">
        <v>3991</v>
      </c>
      <c r="G1485" s="16" t="s">
        <v>32</v>
      </c>
      <c r="H1485" s="16" t="s">
        <v>3994</v>
      </c>
      <c r="I1485" s="16"/>
      <c r="J1485" s="16" t="s">
        <v>7426</v>
      </c>
      <c r="K1485" s="16"/>
      <c r="L1485" s="16" t="s">
        <v>8047</v>
      </c>
      <c r="M1485" s="19" t="s">
        <v>3992</v>
      </c>
      <c r="N1485" s="16"/>
      <c r="O1485" s="16" t="s">
        <v>3993</v>
      </c>
      <c r="P1485" s="16" t="str">
        <f>HYPERLINK("https://ceds.ed.gov/cedselementdetails.aspx?termid=26115")</f>
        <v>https://ceds.ed.gov/cedselementdetails.aspx?termid=26115</v>
      </c>
      <c r="Q1485" s="16">
        <v>71753</v>
      </c>
    </row>
    <row r="1486" spans="1:17" ht="158.4" x14ac:dyDescent="0.3">
      <c r="A1486" s="16" t="s">
        <v>7665</v>
      </c>
      <c r="B1486" s="16" t="s">
        <v>7680</v>
      </c>
      <c r="C1486" s="16" t="s">
        <v>7625</v>
      </c>
      <c r="D1486" s="16" t="s">
        <v>7597</v>
      </c>
      <c r="E1486" s="16" t="s">
        <v>5328</v>
      </c>
      <c r="F1486" s="16" t="s">
        <v>5329</v>
      </c>
      <c r="G1486" s="16" t="s">
        <v>32</v>
      </c>
      <c r="H1486" s="16" t="s">
        <v>3994</v>
      </c>
      <c r="I1486" s="16"/>
      <c r="J1486" s="16" t="s">
        <v>7426</v>
      </c>
      <c r="K1486" s="16"/>
      <c r="L1486" s="16" t="s">
        <v>8053</v>
      </c>
      <c r="M1486" s="19" t="s">
        <v>5330</v>
      </c>
      <c r="N1486" s="16"/>
      <c r="O1486" s="16" t="s">
        <v>5331</v>
      </c>
      <c r="P1486" s="16" t="str">
        <f>HYPERLINK("https://ceds.ed.gov/cedselementdetails.aspx?termid=26184")</f>
        <v>https://ceds.ed.gov/cedselementdetails.aspx?termid=26184</v>
      </c>
      <c r="Q1486" s="16">
        <v>71786</v>
      </c>
    </row>
    <row r="1487" spans="1:17" ht="158.4" x14ac:dyDescent="0.3">
      <c r="A1487" s="16" t="s">
        <v>7665</v>
      </c>
      <c r="B1487" s="16" t="s">
        <v>7680</v>
      </c>
      <c r="C1487" s="16" t="s">
        <v>7625</v>
      </c>
      <c r="D1487" s="16" t="s">
        <v>7597</v>
      </c>
      <c r="E1487" s="16" t="s">
        <v>4893</v>
      </c>
      <c r="F1487" s="16" t="s">
        <v>4894</v>
      </c>
      <c r="G1487" s="16" t="s">
        <v>32</v>
      </c>
      <c r="H1487" s="16" t="s">
        <v>3994</v>
      </c>
      <c r="I1487" s="16"/>
      <c r="J1487" s="16" t="s">
        <v>7426</v>
      </c>
      <c r="K1487" s="16"/>
      <c r="L1487" s="16" t="s">
        <v>8053</v>
      </c>
      <c r="M1487" s="19" t="s">
        <v>4895</v>
      </c>
      <c r="N1487" s="16" t="s">
        <v>4896</v>
      </c>
      <c r="O1487" s="16" t="s">
        <v>4897</v>
      </c>
      <c r="P1487" s="16" t="str">
        <f>HYPERLINK("https://ceds.ed.gov/cedselementdetails.aspx?termid=26172")</f>
        <v>https://ceds.ed.gov/cedselementdetails.aspx?termid=26172</v>
      </c>
      <c r="Q1487" s="16">
        <v>71781</v>
      </c>
    </row>
    <row r="1488" spans="1:17" ht="129.6" x14ac:dyDescent="0.3">
      <c r="A1488" s="16" t="s">
        <v>7665</v>
      </c>
      <c r="B1488" s="16" t="s">
        <v>7680</v>
      </c>
      <c r="C1488" s="16" t="s">
        <v>7625</v>
      </c>
      <c r="D1488" s="16" t="s">
        <v>7597</v>
      </c>
      <c r="E1488" s="16" t="s">
        <v>4054</v>
      </c>
      <c r="F1488" s="16" t="s">
        <v>4055</v>
      </c>
      <c r="G1488" s="16" t="s">
        <v>32</v>
      </c>
      <c r="H1488" s="16" t="s">
        <v>4059</v>
      </c>
      <c r="I1488" s="16"/>
      <c r="J1488" s="16" t="s">
        <v>2697</v>
      </c>
      <c r="K1488" s="16"/>
      <c r="L1488" s="16" t="s">
        <v>8053</v>
      </c>
      <c r="M1488" s="19" t="s">
        <v>4057</v>
      </c>
      <c r="N1488" s="16"/>
      <c r="O1488" s="16" t="s">
        <v>4058</v>
      </c>
      <c r="P1488" s="16" t="str">
        <f>HYPERLINK("https://ceds.ed.gov/cedselementdetails.aspx?termid=26121")</f>
        <v>https://ceds.ed.gov/cedselementdetails.aspx?termid=26121</v>
      </c>
      <c r="Q1488" s="16">
        <v>71755</v>
      </c>
    </row>
    <row r="1489" spans="1:17" ht="86.4" x14ac:dyDescent="0.3">
      <c r="A1489" s="16" t="s">
        <v>7665</v>
      </c>
      <c r="B1489" s="16" t="s">
        <v>7680</v>
      </c>
      <c r="C1489" s="16" t="s">
        <v>7625</v>
      </c>
      <c r="D1489" s="16" t="s">
        <v>7597</v>
      </c>
      <c r="E1489" s="16" t="s">
        <v>5760</v>
      </c>
      <c r="F1489" s="16" t="s">
        <v>5761</v>
      </c>
      <c r="G1489" s="16" t="s">
        <v>32</v>
      </c>
      <c r="H1489" s="16" t="s">
        <v>5765</v>
      </c>
      <c r="I1489" s="16"/>
      <c r="J1489" s="16" t="s">
        <v>81</v>
      </c>
      <c r="K1489" s="16"/>
      <c r="L1489" s="16"/>
      <c r="M1489" s="19" t="s">
        <v>5762</v>
      </c>
      <c r="N1489" s="16" t="s">
        <v>5763</v>
      </c>
      <c r="O1489" s="16" t="s">
        <v>5764</v>
      </c>
      <c r="P1489" s="16" t="str">
        <f>HYPERLINK("https://ceds.ed.gov/cedselementdetails.aspx?termid=26212")</f>
        <v>https://ceds.ed.gov/cedselementdetails.aspx?termid=26212</v>
      </c>
      <c r="Q1489" s="16">
        <v>71798</v>
      </c>
    </row>
    <row r="1490" spans="1:17" ht="28.8" x14ac:dyDescent="0.3">
      <c r="A1490" s="16" t="s">
        <v>7665</v>
      </c>
      <c r="B1490" s="16" t="s">
        <v>7680</v>
      </c>
      <c r="C1490" s="16" t="s">
        <v>7626</v>
      </c>
      <c r="D1490" s="16" t="s">
        <v>7597</v>
      </c>
      <c r="E1490" s="16" t="s">
        <v>5631</v>
      </c>
      <c r="F1490" s="16" t="s">
        <v>5632</v>
      </c>
      <c r="G1490" s="16" t="s">
        <v>32</v>
      </c>
      <c r="H1490" s="16"/>
      <c r="I1490" s="16"/>
      <c r="J1490" s="16" t="s">
        <v>1266</v>
      </c>
      <c r="K1490" s="16"/>
      <c r="L1490" s="16" t="s">
        <v>5633</v>
      </c>
      <c r="M1490" s="19" t="s">
        <v>5634</v>
      </c>
      <c r="N1490" s="16"/>
      <c r="O1490" s="16" t="s">
        <v>5635</v>
      </c>
      <c r="P1490" s="16" t="str">
        <f>HYPERLINK("https://ceds.ed.gov/cedselementdetails.aspx?termid=27486")</f>
        <v>https://ceds.ed.gov/cedselementdetails.aspx?termid=27486</v>
      </c>
      <c r="Q1490" s="16">
        <v>73630</v>
      </c>
    </row>
    <row r="1491" spans="1:17" ht="28.8" x14ac:dyDescent="0.3">
      <c r="A1491" s="16" t="s">
        <v>7665</v>
      </c>
      <c r="B1491" s="16" t="s">
        <v>7680</v>
      </c>
      <c r="C1491" s="16" t="s">
        <v>7626</v>
      </c>
      <c r="D1491" s="16" t="s">
        <v>7597</v>
      </c>
      <c r="E1491" s="16" t="s">
        <v>5641</v>
      </c>
      <c r="F1491" s="16" t="s">
        <v>5642</v>
      </c>
      <c r="G1491" s="16" t="s">
        <v>32</v>
      </c>
      <c r="H1491" s="16"/>
      <c r="I1491" s="16"/>
      <c r="J1491" s="16" t="s">
        <v>1266</v>
      </c>
      <c r="K1491" s="16"/>
      <c r="L1491" s="16" t="s">
        <v>5643</v>
      </c>
      <c r="M1491" s="19" t="s">
        <v>5644</v>
      </c>
      <c r="N1491" s="16"/>
      <c r="O1491" s="16" t="s">
        <v>5645</v>
      </c>
      <c r="P1491" s="16" t="str">
        <f>HYPERLINK("https://ceds.ed.gov/cedselementdetails.aspx?termid=27487")</f>
        <v>https://ceds.ed.gov/cedselementdetails.aspx?termid=27487</v>
      </c>
      <c r="Q1491" s="16">
        <v>73646</v>
      </c>
    </row>
    <row r="1492" spans="1:17" ht="28.8" x14ac:dyDescent="0.3">
      <c r="A1492" s="16" t="s">
        <v>7665</v>
      </c>
      <c r="B1492" s="16" t="s">
        <v>7680</v>
      </c>
      <c r="C1492" s="16" t="s">
        <v>7626</v>
      </c>
      <c r="D1492" s="16" t="s">
        <v>7597</v>
      </c>
      <c r="E1492" s="16" t="s">
        <v>5636</v>
      </c>
      <c r="F1492" s="16" t="s">
        <v>5637</v>
      </c>
      <c r="G1492" s="16" t="s">
        <v>32</v>
      </c>
      <c r="H1492" s="16"/>
      <c r="I1492" s="16"/>
      <c r="J1492" s="16" t="s">
        <v>1266</v>
      </c>
      <c r="K1492" s="16"/>
      <c r="L1492" s="16" t="s">
        <v>5638</v>
      </c>
      <c r="M1492" s="19" t="s">
        <v>5639</v>
      </c>
      <c r="N1492" s="16"/>
      <c r="O1492" s="16" t="s">
        <v>5640</v>
      </c>
      <c r="P1492" s="16" t="str">
        <f>HYPERLINK("https://ceds.ed.gov/cedselementdetails.aspx?termid=27485")</f>
        <v>https://ceds.ed.gov/cedselementdetails.aspx?termid=27485</v>
      </c>
      <c r="Q1492" s="16">
        <v>73614</v>
      </c>
    </row>
    <row r="1493" spans="1:17" ht="129.6" x14ac:dyDescent="0.3">
      <c r="A1493" s="16" t="s">
        <v>7665</v>
      </c>
      <c r="B1493" s="16" t="s">
        <v>7680</v>
      </c>
      <c r="C1493" s="16" t="s">
        <v>7626</v>
      </c>
      <c r="D1493" s="16" t="s">
        <v>7597</v>
      </c>
      <c r="E1493" s="16" t="s">
        <v>5646</v>
      </c>
      <c r="F1493" s="16" t="s">
        <v>5647</v>
      </c>
      <c r="G1493" s="16" t="s">
        <v>32</v>
      </c>
      <c r="H1493" s="16" t="s">
        <v>4059</v>
      </c>
      <c r="I1493" s="16"/>
      <c r="J1493" s="16" t="s">
        <v>120</v>
      </c>
      <c r="K1493" s="16"/>
      <c r="L1493" s="16"/>
      <c r="M1493" s="19" t="s">
        <v>5648</v>
      </c>
      <c r="N1493" s="16"/>
      <c r="O1493" s="16" t="s">
        <v>5649</v>
      </c>
      <c r="P1493" s="16" t="str">
        <f>HYPERLINK("https://ceds.ed.gov/cedselementdetails.aspx?termid=26206")</f>
        <v>https://ceds.ed.gov/cedselementdetails.aspx?termid=26206</v>
      </c>
      <c r="Q1493" s="16">
        <v>71797</v>
      </c>
    </row>
    <row r="1494" spans="1:17" ht="115.2" x14ac:dyDescent="0.3">
      <c r="A1494" s="16" t="s">
        <v>7665</v>
      </c>
      <c r="B1494" s="16" t="s">
        <v>7680</v>
      </c>
      <c r="C1494" s="16" t="s">
        <v>7626</v>
      </c>
      <c r="D1494" s="16" t="s">
        <v>7597</v>
      </c>
      <c r="E1494" s="16" t="s">
        <v>5650</v>
      </c>
      <c r="F1494" s="16" t="s">
        <v>5651</v>
      </c>
      <c r="G1494" s="16" t="s">
        <v>8746</v>
      </c>
      <c r="H1494" s="16" t="s">
        <v>5654</v>
      </c>
      <c r="I1494" s="16"/>
      <c r="J1494" s="16" t="s">
        <v>81</v>
      </c>
      <c r="K1494" s="16"/>
      <c r="L1494" s="16"/>
      <c r="M1494" s="19" t="s">
        <v>5652</v>
      </c>
      <c r="N1494" s="16"/>
      <c r="O1494" s="16" t="s">
        <v>5653</v>
      </c>
      <c r="P1494" s="16" t="str">
        <f>HYPERLINK("https://ceds.ed.gov/cedselementdetails.aspx?termid=26627")</f>
        <v>https://ceds.ed.gov/cedselementdetails.aspx?termid=26627</v>
      </c>
      <c r="Q1494" s="16">
        <v>71902</v>
      </c>
    </row>
    <row r="1495" spans="1:17" ht="172.8" x14ac:dyDescent="0.3">
      <c r="A1495" s="16" t="s">
        <v>7665</v>
      </c>
      <c r="B1495" s="16" t="s">
        <v>7680</v>
      </c>
      <c r="C1495" s="16" t="s">
        <v>7627</v>
      </c>
      <c r="D1495" s="16" t="s">
        <v>7597</v>
      </c>
      <c r="E1495" s="16" t="s">
        <v>6937</v>
      </c>
      <c r="F1495" s="16" t="s">
        <v>6938</v>
      </c>
      <c r="G1495" s="16" t="s">
        <v>32</v>
      </c>
      <c r="H1495" s="16" t="s">
        <v>6936</v>
      </c>
      <c r="I1495" s="16"/>
      <c r="J1495" s="16" t="s">
        <v>120</v>
      </c>
      <c r="K1495" s="16"/>
      <c r="L1495" s="16" t="s">
        <v>7817</v>
      </c>
      <c r="M1495" s="19" t="s">
        <v>6939</v>
      </c>
      <c r="N1495" s="16"/>
      <c r="O1495" s="16" t="s">
        <v>6940</v>
      </c>
      <c r="P1495" s="16" t="str">
        <f>HYPERLINK("https://ceds.ed.gov/cedselementdetails.aspx?termid=26157")</f>
        <v>https://ceds.ed.gov/cedselementdetails.aspx?termid=26157</v>
      </c>
      <c r="Q1495" s="16">
        <v>71775</v>
      </c>
    </row>
    <row r="1496" spans="1:17" ht="158.4" x14ac:dyDescent="0.3">
      <c r="A1496" s="16" t="s">
        <v>7665</v>
      </c>
      <c r="B1496" s="16" t="s">
        <v>7680</v>
      </c>
      <c r="C1496" s="16" t="s">
        <v>7627</v>
      </c>
      <c r="D1496" s="16" t="s">
        <v>7597</v>
      </c>
      <c r="E1496" s="16" t="s">
        <v>6932</v>
      </c>
      <c r="F1496" s="16" t="s">
        <v>6933</v>
      </c>
      <c r="G1496" s="16" t="s">
        <v>9344</v>
      </c>
      <c r="H1496" s="16" t="s">
        <v>6936</v>
      </c>
      <c r="I1496" s="16"/>
      <c r="J1496" s="16"/>
      <c r="K1496" s="16"/>
      <c r="L1496" s="16"/>
      <c r="M1496" s="19" t="s">
        <v>6934</v>
      </c>
      <c r="N1496" s="16"/>
      <c r="O1496" s="16" t="s">
        <v>6935</v>
      </c>
      <c r="P1496" s="16" t="str">
        <f>HYPERLINK("https://ceds.ed.gov/cedselementdetails.aspx?termid=26163")</f>
        <v>https://ceds.ed.gov/cedselementdetails.aspx?termid=26163</v>
      </c>
      <c r="Q1496" s="16">
        <v>71779</v>
      </c>
    </row>
    <row r="1497" spans="1:17" ht="403.2" x14ac:dyDescent="0.3">
      <c r="A1497" s="16" t="s">
        <v>7665</v>
      </c>
      <c r="B1497" s="16" t="s">
        <v>7680</v>
      </c>
      <c r="C1497" s="16" t="s">
        <v>7627</v>
      </c>
      <c r="D1497" s="16" t="s">
        <v>7597</v>
      </c>
      <c r="E1497" s="16" t="s">
        <v>5756</v>
      </c>
      <c r="F1497" s="16" t="s">
        <v>5757</v>
      </c>
      <c r="G1497" s="16" t="s">
        <v>8252</v>
      </c>
      <c r="H1497" s="16"/>
      <c r="I1497" s="16"/>
      <c r="J1497" s="16"/>
      <c r="K1497" s="16"/>
      <c r="L1497" s="16"/>
      <c r="M1497" s="19" t="s">
        <v>5758</v>
      </c>
      <c r="N1497" s="16"/>
      <c r="O1497" s="16" t="s">
        <v>5759</v>
      </c>
      <c r="P1497" s="16" t="str">
        <f>HYPERLINK("https://ceds.ed.gov/cedselementdetails.aspx?termid=26611")</f>
        <v>https://ceds.ed.gov/cedselementdetails.aspx?termid=26611</v>
      </c>
      <c r="Q1497" s="16">
        <v>71901</v>
      </c>
    </row>
    <row r="1498" spans="1:17" ht="72" x14ac:dyDescent="0.3">
      <c r="A1498" s="16" t="s">
        <v>7665</v>
      </c>
      <c r="B1498" s="16" t="s">
        <v>7680</v>
      </c>
      <c r="C1498" s="16" t="s">
        <v>7627</v>
      </c>
      <c r="D1498" s="16" t="s">
        <v>7597</v>
      </c>
      <c r="E1498" s="16" t="s">
        <v>7508</v>
      </c>
      <c r="F1498" s="16" t="s">
        <v>7509</v>
      </c>
      <c r="G1498" s="16" t="s">
        <v>8251</v>
      </c>
      <c r="H1498" s="16"/>
      <c r="I1498" s="16"/>
      <c r="J1498" s="16"/>
      <c r="K1498" s="16"/>
      <c r="L1498" s="16"/>
      <c r="M1498" s="19" t="s">
        <v>7510</v>
      </c>
      <c r="N1498" s="16"/>
      <c r="O1498" s="16" t="s">
        <v>7511</v>
      </c>
      <c r="P1498" s="16" t="str">
        <f>HYPERLINK("https://ceds.ed.gov/cedselementdetails.aspx?termid=27951")</f>
        <v>https://ceds.ed.gov/cedselementdetails.aspx?termid=27951</v>
      </c>
      <c r="Q1498" s="16">
        <v>75570</v>
      </c>
    </row>
    <row r="1499" spans="1:17" ht="172.8" x14ac:dyDescent="0.3">
      <c r="A1499" s="16" t="s">
        <v>7665</v>
      </c>
      <c r="B1499" s="16" t="s">
        <v>7680</v>
      </c>
      <c r="C1499" s="16" t="s">
        <v>7603</v>
      </c>
      <c r="D1499" s="16" t="s">
        <v>7597</v>
      </c>
      <c r="E1499" s="16" t="s">
        <v>182</v>
      </c>
      <c r="F1499" s="16" t="s">
        <v>183</v>
      </c>
      <c r="G1499" s="16" t="s">
        <v>8293</v>
      </c>
      <c r="H1499" s="16" t="s">
        <v>186</v>
      </c>
      <c r="I1499" s="16"/>
      <c r="J1499" s="16" t="s">
        <v>81</v>
      </c>
      <c r="K1499" s="16"/>
      <c r="L1499" s="16"/>
      <c r="M1499" s="19" t="s">
        <v>184</v>
      </c>
      <c r="N1499" s="16"/>
      <c r="O1499" s="16" t="s">
        <v>185</v>
      </c>
      <c r="P1499" s="16" t="str">
        <f>HYPERLINK("https://ceds.ed.gov/cedselementdetails.aspx?termid=26358")</f>
        <v>https://ceds.ed.gov/cedselementdetails.aspx?termid=26358</v>
      </c>
      <c r="Q1499" s="16">
        <v>71831</v>
      </c>
    </row>
    <row r="1500" spans="1:17" ht="187.2" x14ac:dyDescent="0.3">
      <c r="A1500" s="16" t="s">
        <v>7665</v>
      </c>
      <c r="B1500" s="16" t="s">
        <v>7680</v>
      </c>
      <c r="C1500" s="16" t="s">
        <v>7603</v>
      </c>
      <c r="D1500" s="16" t="s">
        <v>7597</v>
      </c>
      <c r="E1500" s="16" t="s">
        <v>177</v>
      </c>
      <c r="F1500" s="16" t="s">
        <v>178</v>
      </c>
      <c r="G1500" s="16" t="s">
        <v>32</v>
      </c>
      <c r="H1500" s="16" t="s">
        <v>163</v>
      </c>
      <c r="I1500" s="16"/>
      <c r="J1500" s="16" t="s">
        <v>179</v>
      </c>
      <c r="K1500" s="16"/>
      <c r="L1500" s="16"/>
      <c r="M1500" s="19" t="s">
        <v>180</v>
      </c>
      <c r="N1500" s="16"/>
      <c r="O1500" s="16" t="s">
        <v>181</v>
      </c>
      <c r="P1500" s="16" t="str">
        <f>HYPERLINK("https://ceds.ed.gov/cedselementdetails.aspx?termid=26269")</f>
        <v>https://ceds.ed.gov/cedselementdetails.aspx?termid=26269</v>
      </c>
      <c r="Q1500" s="16">
        <v>71815</v>
      </c>
    </row>
    <row r="1501" spans="1:17" ht="187.2" x14ac:dyDescent="0.3">
      <c r="A1501" s="16" t="s">
        <v>7665</v>
      </c>
      <c r="B1501" s="16" t="s">
        <v>7680</v>
      </c>
      <c r="C1501" s="16" t="s">
        <v>7603</v>
      </c>
      <c r="D1501" s="16" t="s">
        <v>7597</v>
      </c>
      <c r="E1501" s="16" t="s">
        <v>158</v>
      </c>
      <c r="F1501" s="16" t="s">
        <v>159</v>
      </c>
      <c r="G1501" s="16" t="s">
        <v>32</v>
      </c>
      <c r="H1501" s="16" t="s">
        <v>163</v>
      </c>
      <c r="I1501" s="16"/>
      <c r="J1501" s="16" t="s">
        <v>145</v>
      </c>
      <c r="K1501" s="16"/>
      <c r="L1501" s="16"/>
      <c r="M1501" s="19" t="s">
        <v>161</v>
      </c>
      <c r="N1501" s="16"/>
      <c r="O1501" s="16" t="s">
        <v>162</v>
      </c>
      <c r="P1501" s="16" t="str">
        <f>HYPERLINK("https://ceds.ed.gov/cedselementdetails.aspx?termid=26019")</f>
        <v>https://ceds.ed.gov/cedselementdetails.aspx?termid=26019</v>
      </c>
      <c r="Q1501" s="16">
        <v>70993</v>
      </c>
    </row>
    <row r="1502" spans="1:17" ht="187.2" x14ac:dyDescent="0.3">
      <c r="A1502" s="16" t="s">
        <v>7665</v>
      </c>
      <c r="B1502" s="16" t="s">
        <v>7680</v>
      </c>
      <c r="C1502" s="16" t="s">
        <v>7603</v>
      </c>
      <c r="D1502" s="16" t="s">
        <v>7597</v>
      </c>
      <c r="E1502" s="16" t="s">
        <v>164</v>
      </c>
      <c r="F1502" s="16" t="s">
        <v>165</v>
      </c>
      <c r="G1502" s="16" t="s">
        <v>32</v>
      </c>
      <c r="H1502" s="16" t="s">
        <v>163</v>
      </c>
      <c r="I1502" s="16"/>
      <c r="J1502" s="16" t="s">
        <v>81</v>
      </c>
      <c r="K1502" s="16"/>
      <c r="L1502" s="16"/>
      <c r="M1502" s="19" t="s">
        <v>166</v>
      </c>
      <c r="N1502" s="16"/>
      <c r="O1502" s="16" t="s">
        <v>167</v>
      </c>
      <c r="P1502" s="16" t="str">
        <f>HYPERLINK("https://ceds.ed.gov/cedselementdetails.aspx?termid=26040")</f>
        <v>https://ceds.ed.gov/cedselementdetails.aspx?termid=26040</v>
      </c>
      <c r="Q1502" s="16">
        <v>70997</v>
      </c>
    </row>
    <row r="1503" spans="1:17" ht="409.6" x14ac:dyDescent="0.3">
      <c r="A1503" s="16" t="s">
        <v>7665</v>
      </c>
      <c r="B1503" s="16" t="s">
        <v>7680</v>
      </c>
      <c r="C1503" s="16" t="s">
        <v>7603</v>
      </c>
      <c r="D1503" s="16" t="s">
        <v>7597</v>
      </c>
      <c r="E1503" s="16" t="s">
        <v>6840</v>
      </c>
      <c r="F1503" s="16" t="s">
        <v>6841</v>
      </c>
      <c r="G1503" s="16" t="s">
        <v>8266</v>
      </c>
      <c r="H1503" s="16" t="s">
        <v>6844</v>
      </c>
      <c r="I1503" s="16"/>
      <c r="J1503" s="16"/>
      <c r="K1503" s="16"/>
      <c r="L1503" s="16"/>
      <c r="M1503" s="19" t="s">
        <v>6842</v>
      </c>
      <c r="N1503" s="16"/>
      <c r="O1503" s="16" t="s">
        <v>6843</v>
      </c>
      <c r="P1503" s="16" t="str">
        <f>HYPERLINK("https://ceds.ed.gov/cedselementdetails.aspx?termid=26267")</f>
        <v>https://ceds.ed.gov/cedselementdetails.aspx?termid=26267</v>
      </c>
      <c r="Q1503" s="16">
        <v>71814</v>
      </c>
    </row>
    <row r="1504" spans="1:17" ht="187.2" x14ac:dyDescent="0.3">
      <c r="A1504" s="16" t="s">
        <v>7665</v>
      </c>
      <c r="B1504" s="16" t="s">
        <v>7680</v>
      </c>
      <c r="C1504" s="16" t="s">
        <v>7603</v>
      </c>
      <c r="D1504" s="16" t="s">
        <v>7597</v>
      </c>
      <c r="E1504" s="16" t="s">
        <v>172</v>
      </c>
      <c r="F1504" s="16" t="s">
        <v>173</v>
      </c>
      <c r="G1504" s="16" t="s">
        <v>32</v>
      </c>
      <c r="H1504" s="16" t="s">
        <v>163</v>
      </c>
      <c r="I1504" s="16"/>
      <c r="J1504" s="16" t="s">
        <v>174</v>
      </c>
      <c r="K1504" s="16"/>
      <c r="L1504" s="16"/>
      <c r="M1504" s="19" t="s">
        <v>175</v>
      </c>
      <c r="N1504" s="16"/>
      <c r="O1504" s="16" t="s">
        <v>176</v>
      </c>
      <c r="P1504" s="16" t="str">
        <f>HYPERLINK("https://ceds.ed.gov/cedselementdetails.aspx?termid=26214")</f>
        <v>https://ceds.ed.gov/cedselementdetails.aspx?termid=26214</v>
      </c>
      <c r="Q1504" s="16">
        <v>71799</v>
      </c>
    </row>
    <row r="1505" spans="1:17" ht="187.2" x14ac:dyDescent="0.3">
      <c r="A1505" s="16" t="s">
        <v>7665</v>
      </c>
      <c r="B1505" s="16" t="s">
        <v>7680</v>
      </c>
      <c r="C1505" s="16" t="s">
        <v>7603</v>
      </c>
      <c r="D1505" s="16" t="s">
        <v>7597</v>
      </c>
      <c r="E1505" s="16" t="s">
        <v>168</v>
      </c>
      <c r="F1505" s="16" t="s">
        <v>169</v>
      </c>
      <c r="G1505" s="16" t="s">
        <v>32</v>
      </c>
      <c r="H1505" s="16" t="s">
        <v>163</v>
      </c>
      <c r="I1505" s="16"/>
      <c r="J1505" s="16" t="s">
        <v>81</v>
      </c>
      <c r="K1505" s="16"/>
      <c r="L1505" s="16"/>
      <c r="M1505" s="19" t="s">
        <v>170</v>
      </c>
      <c r="N1505" s="16"/>
      <c r="O1505" s="16" t="s">
        <v>171</v>
      </c>
      <c r="P1505" s="16" t="str">
        <f>HYPERLINK("https://ceds.ed.gov/cedselementdetails.aspx?termid=26190")</f>
        <v>https://ceds.ed.gov/cedselementdetails.aspx?termid=26190</v>
      </c>
      <c r="Q1505" s="16">
        <v>71790</v>
      </c>
    </row>
    <row r="1506" spans="1:17" ht="409.6" x14ac:dyDescent="0.3">
      <c r="A1506" s="16" t="s">
        <v>7665</v>
      </c>
      <c r="B1506" s="16" t="s">
        <v>7680</v>
      </c>
      <c r="C1506" s="16" t="s">
        <v>7603</v>
      </c>
      <c r="D1506" s="16" t="s">
        <v>7597</v>
      </c>
      <c r="E1506" s="16" t="s">
        <v>2483</v>
      </c>
      <c r="F1506" s="16" t="s">
        <v>2484</v>
      </c>
      <c r="G1506" s="16" t="s">
        <v>8454</v>
      </c>
      <c r="H1506" s="16" t="s">
        <v>2487</v>
      </c>
      <c r="I1506" s="16"/>
      <c r="J1506" s="16"/>
      <c r="K1506" s="16"/>
      <c r="L1506" s="16" t="s">
        <v>7915</v>
      </c>
      <c r="M1506" s="19" t="s">
        <v>2485</v>
      </c>
      <c r="N1506" s="16"/>
      <c r="O1506" s="16" t="s">
        <v>2486</v>
      </c>
      <c r="P1506" s="16" t="str">
        <f>HYPERLINK("https://ceds.ed.gov/cedselementdetails.aspx?termid=26050")</f>
        <v>https://ceds.ed.gov/cedselementdetails.aspx?termid=26050</v>
      </c>
      <c r="Q1506" s="16">
        <v>71001</v>
      </c>
    </row>
    <row r="1507" spans="1:17" ht="57.6" x14ac:dyDescent="0.3">
      <c r="A1507" s="16" t="s">
        <v>7665</v>
      </c>
      <c r="B1507" s="16" t="s">
        <v>7680</v>
      </c>
      <c r="C1507" s="16" t="s">
        <v>7603</v>
      </c>
      <c r="D1507" s="16" t="s">
        <v>7597</v>
      </c>
      <c r="E1507" s="16" t="s">
        <v>4902</v>
      </c>
      <c r="F1507" s="16" t="s">
        <v>4903</v>
      </c>
      <c r="G1507" s="16" t="s">
        <v>32</v>
      </c>
      <c r="H1507" s="16"/>
      <c r="I1507" s="16"/>
      <c r="J1507" s="16" t="s">
        <v>1130</v>
      </c>
      <c r="K1507" s="16"/>
      <c r="L1507" s="16"/>
      <c r="M1507" s="19" t="s">
        <v>4904</v>
      </c>
      <c r="N1507" s="16"/>
      <c r="O1507" s="16" t="s">
        <v>4902</v>
      </c>
      <c r="P1507" s="16" t="str">
        <f>HYPERLINK("https://ceds.ed.gov/cedselementdetails.aspx?termid=26599")</f>
        <v>https://ceds.ed.gov/cedselementdetails.aspx?termid=26599</v>
      </c>
      <c r="Q1507" s="16">
        <v>74253</v>
      </c>
    </row>
    <row r="1508" spans="1:17" ht="57.6" x14ac:dyDescent="0.3">
      <c r="A1508" s="16" t="s">
        <v>7665</v>
      </c>
      <c r="B1508" s="16" t="s">
        <v>7680</v>
      </c>
      <c r="C1508" s="16" t="s">
        <v>7603</v>
      </c>
      <c r="D1508" s="16" t="s">
        <v>7597</v>
      </c>
      <c r="E1508" s="16" t="s">
        <v>5285</v>
      </c>
      <c r="F1508" s="16" t="s">
        <v>5286</v>
      </c>
      <c r="G1508" s="16" t="s">
        <v>32</v>
      </c>
      <c r="H1508" s="16"/>
      <c r="I1508" s="16"/>
      <c r="J1508" s="16" t="s">
        <v>1130</v>
      </c>
      <c r="K1508" s="16"/>
      <c r="L1508" s="16"/>
      <c r="M1508" s="19" t="s">
        <v>5287</v>
      </c>
      <c r="N1508" s="16"/>
      <c r="O1508" s="16" t="s">
        <v>5285</v>
      </c>
      <c r="P1508" s="16" t="str">
        <f>HYPERLINK("https://ceds.ed.gov/cedselementdetails.aspx?termid=26600")</f>
        <v>https://ceds.ed.gov/cedselementdetails.aspx?termid=26600</v>
      </c>
      <c r="Q1508" s="16">
        <v>74276</v>
      </c>
    </row>
    <row r="1509" spans="1:17" ht="158.4" x14ac:dyDescent="0.3">
      <c r="A1509" s="16" t="s">
        <v>7665</v>
      </c>
      <c r="B1509" s="16" t="s">
        <v>7680</v>
      </c>
      <c r="C1509" s="16" t="s">
        <v>7603</v>
      </c>
      <c r="D1509" s="16" t="s">
        <v>7597</v>
      </c>
      <c r="E1509" s="16" t="s">
        <v>2493</v>
      </c>
      <c r="F1509" s="16" t="s">
        <v>2494</v>
      </c>
      <c r="G1509" s="16" t="s">
        <v>32</v>
      </c>
      <c r="H1509" s="16"/>
      <c r="I1509" s="16"/>
      <c r="J1509" s="16" t="s">
        <v>2495</v>
      </c>
      <c r="K1509" s="16"/>
      <c r="L1509" s="16"/>
      <c r="M1509" s="19" t="s">
        <v>2496</v>
      </c>
      <c r="N1509" s="16"/>
      <c r="O1509" s="16" t="s">
        <v>2497</v>
      </c>
      <c r="P1509" s="16" t="str">
        <f>HYPERLINK("https://ceds.ed.gov/cedselementdetails.aspx?termid=27176")</f>
        <v>https://ceds.ed.gov/cedselementdetails.aspx?termid=27176</v>
      </c>
      <c r="Q1509" s="16">
        <v>75340</v>
      </c>
    </row>
    <row r="1510" spans="1:17" ht="57.6" x14ac:dyDescent="0.3">
      <c r="A1510" s="16" t="s">
        <v>7665</v>
      </c>
      <c r="B1510" s="16" t="s">
        <v>7680</v>
      </c>
      <c r="C1510" s="16" t="s">
        <v>7603</v>
      </c>
      <c r="D1510" s="16" t="s">
        <v>7597</v>
      </c>
      <c r="E1510" s="16" t="s">
        <v>3175</v>
      </c>
      <c r="F1510" s="16" t="s">
        <v>3176</v>
      </c>
      <c r="G1510" s="16" t="s">
        <v>2987</v>
      </c>
      <c r="H1510" s="16"/>
      <c r="I1510" s="16"/>
      <c r="J1510" s="16"/>
      <c r="K1510" s="16"/>
      <c r="L1510" s="16"/>
      <c r="M1510" s="19" t="s">
        <v>3177</v>
      </c>
      <c r="N1510" s="16"/>
      <c r="O1510" s="16" t="s">
        <v>3178</v>
      </c>
      <c r="P1510" s="16" t="str">
        <f>HYPERLINK("https://ceds.ed.gov/cedselementdetails.aspx?termid=27905")</f>
        <v>https://ceds.ed.gov/cedselementdetails.aspx?termid=27905</v>
      </c>
      <c r="Q1510" s="16">
        <v>75341</v>
      </c>
    </row>
    <row r="1511" spans="1:17" ht="72" x14ac:dyDescent="0.3">
      <c r="A1511" s="16" t="s">
        <v>7665</v>
      </c>
      <c r="B1511" s="16" t="s">
        <v>7680</v>
      </c>
      <c r="C1511" s="16" t="s">
        <v>7604</v>
      </c>
      <c r="D1511" s="16" t="s">
        <v>7597</v>
      </c>
      <c r="E1511" s="16" t="s">
        <v>7053</v>
      </c>
      <c r="F1511" s="16" t="s">
        <v>7054</v>
      </c>
      <c r="G1511" s="16" t="s">
        <v>32</v>
      </c>
      <c r="H1511" s="16" t="s">
        <v>64</v>
      </c>
      <c r="I1511" s="16"/>
      <c r="J1511" s="16" t="s">
        <v>7055</v>
      </c>
      <c r="K1511" s="16"/>
      <c r="L1511" s="16"/>
      <c r="M1511" s="19" t="s">
        <v>7056</v>
      </c>
      <c r="N1511" s="16"/>
      <c r="O1511" s="16" t="s">
        <v>7057</v>
      </c>
      <c r="P1511" s="16" t="str">
        <f>HYPERLINK("https://ceds.ed.gov/cedselementdetails.aspx?termid=26279")</f>
        <v>https://ceds.ed.gov/cedselementdetails.aspx?termid=26279</v>
      </c>
      <c r="Q1511" s="16">
        <v>71819</v>
      </c>
    </row>
    <row r="1512" spans="1:17" ht="86.4" x14ac:dyDescent="0.3">
      <c r="A1512" s="16" t="s">
        <v>7665</v>
      </c>
      <c r="B1512" s="16" t="s">
        <v>7680</v>
      </c>
      <c r="C1512" s="16" t="s">
        <v>7604</v>
      </c>
      <c r="D1512" s="16" t="s">
        <v>7597</v>
      </c>
      <c r="E1512" s="16" t="s">
        <v>7062</v>
      </c>
      <c r="F1512" s="16" t="s">
        <v>7063</v>
      </c>
      <c r="G1512" s="16" t="s">
        <v>8849</v>
      </c>
      <c r="H1512" s="16" t="s">
        <v>64</v>
      </c>
      <c r="I1512" s="16"/>
      <c r="J1512" s="16" t="s">
        <v>2500</v>
      </c>
      <c r="K1512" s="16"/>
      <c r="L1512" s="16"/>
      <c r="M1512" s="19" t="s">
        <v>7064</v>
      </c>
      <c r="N1512" s="16"/>
      <c r="O1512" s="16" t="s">
        <v>7065</v>
      </c>
      <c r="P1512" s="16" t="str">
        <f>HYPERLINK("https://ceds.ed.gov/cedselementdetails.aspx?termid=26280")</f>
        <v>https://ceds.ed.gov/cedselementdetails.aspx?termid=26280</v>
      </c>
      <c r="Q1512" s="16">
        <v>71820</v>
      </c>
    </row>
    <row r="1513" spans="1:17" ht="72" x14ac:dyDescent="0.3">
      <c r="A1513" s="16" t="s">
        <v>7665</v>
      </c>
      <c r="B1513" s="16" t="s">
        <v>7680</v>
      </c>
      <c r="C1513" s="16" t="s">
        <v>7604</v>
      </c>
      <c r="D1513" s="16" t="s">
        <v>7597</v>
      </c>
      <c r="E1513" s="16" t="s">
        <v>5865</v>
      </c>
      <c r="F1513" s="16" t="s">
        <v>5866</v>
      </c>
      <c r="G1513" s="16" t="s">
        <v>22</v>
      </c>
      <c r="H1513" s="16" t="s">
        <v>64</v>
      </c>
      <c r="I1513" s="16"/>
      <c r="J1513" s="16"/>
      <c r="K1513" s="16"/>
      <c r="L1513" s="16"/>
      <c r="M1513" s="19" t="s">
        <v>5867</v>
      </c>
      <c r="N1513" s="16"/>
      <c r="O1513" s="16" t="s">
        <v>5868</v>
      </c>
      <c r="P1513" s="16" t="str">
        <f>HYPERLINK("https://ceds.ed.gov/cedselementdetails.aspx?termid=26219")</f>
        <v>https://ceds.ed.gov/cedselementdetails.aspx?termid=26219</v>
      </c>
      <c r="Q1513" s="16">
        <v>71801</v>
      </c>
    </row>
    <row r="1514" spans="1:17" ht="57.6" x14ac:dyDescent="0.3">
      <c r="A1514" s="16" t="s">
        <v>7665</v>
      </c>
      <c r="B1514" s="16" t="s">
        <v>7680</v>
      </c>
      <c r="C1514" s="16" t="s">
        <v>7604</v>
      </c>
      <c r="D1514" s="16" t="s">
        <v>7597</v>
      </c>
      <c r="E1514" s="16" t="s">
        <v>3175</v>
      </c>
      <c r="F1514" s="16" t="s">
        <v>3176</v>
      </c>
      <c r="G1514" s="16" t="s">
        <v>2987</v>
      </c>
      <c r="H1514" s="16"/>
      <c r="I1514" s="16"/>
      <c r="J1514" s="16"/>
      <c r="K1514" s="16"/>
      <c r="L1514" s="16"/>
      <c r="M1514" s="19" t="s">
        <v>3177</v>
      </c>
      <c r="N1514" s="16"/>
      <c r="O1514" s="16" t="s">
        <v>3178</v>
      </c>
      <c r="P1514" s="16" t="str">
        <f>HYPERLINK("https://ceds.ed.gov/cedselementdetails.aspx?termid=27905")</f>
        <v>https://ceds.ed.gov/cedselementdetails.aspx?termid=27905</v>
      </c>
      <c r="Q1514" s="16">
        <v>75343</v>
      </c>
    </row>
    <row r="1515" spans="1:17" ht="57.6" x14ac:dyDescent="0.3">
      <c r="A1515" s="16" t="s">
        <v>7665</v>
      </c>
      <c r="B1515" s="16" t="s">
        <v>7680</v>
      </c>
      <c r="C1515" s="16" t="s">
        <v>7604</v>
      </c>
      <c r="D1515" s="16" t="s">
        <v>7597</v>
      </c>
      <c r="E1515" s="16" t="s">
        <v>7058</v>
      </c>
      <c r="F1515" s="16" t="s">
        <v>7059</v>
      </c>
      <c r="G1515" s="16" t="s">
        <v>8848</v>
      </c>
      <c r="H1515" s="16"/>
      <c r="I1515" s="16"/>
      <c r="J1515" s="16"/>
      <c r="K1515" s="16"/>
      <c r="L1515" s="16"/>
      <c r="M1515" s="19" t="s">
        <v>7060</v>
      </c>
      <c r="N1515" s="16"/>
      <c r="O1515" s="16" t="s">
        <v>7061</v>
      </c>
      <c r="P1515" s="16" t="str">
        <f>HYPERLINK("https://ceds.ed.gov/cedselementdetails.aspx?termid=27911")</f>
        <v>https://ceds.ed.gov/cedselementdetails.aspx?termid=27911</v>
      </c>
      <c r="Q1515" s="16">
        <v>75344</v>
      </c>
    </row>
    <row r="1516" spans="1:17" ht="72" x14ac:dyDescent="0.3">
      <c r="A1516" s="16" t="s">
        <v>7665</v>
      </c>
      <c r="B1516" s="16" t="s">
        <v>7680</v>
      </c>
      <c r="C1516" s="16" t="s">
        <v>7605</v>
      </c>
      <c r="D1516" s="16" t="s">
        <v>7597</v>
      </c>
      <c r="E1516" s="16" t="s">
        <v>3406</v>
      </c>
      <c r="F1516" s="16" t="s">
        <v>3407</v>
      </c>
      <c r="G1516" s="16" t="s">
        <v>32</v>
      </c>
      <c r="H1516" s="16" t="s">
        <v>64</v>
      </c>
      <c r="I1516" s="16"/>
      <c r="J1516" s="16" t="s">
        <v>3408</v>
      </c>
      <c r="K1516" s="16"/>
      <c r="L1516" s="16"/>
      <c r="M1516" s="19" t="s">
        <v>3409</v>
      </c>
      <c r="N1516" s="16" t="s">
        <v>3410</v>
      </c>
      <c r="O1516" s="16" t="s">
        <v>3411</v>
      </c>
      <c r="P1516" s="16" t="str">
        <f>HYPERLINK("https://ceds.ed.gov/cedselementdetails.aspx?termid=26088")</f>
        <v>https://ceds.ed.gov/cedselementdetails.aspx?termid=26088</v>
      </c>
      <c r="Q1516" s="16">
        <v>71742</v>
      </c>
    </row>
    <row r="1517" spans="1:17" ht="72" x14ac:dyDescent="0.3">
      <c r="A1517" s="16" t="s">
        <v>7665</v>
      </c>
      <c r="B1517" s="16" t="s">
        <v>7680</v>
      </c>
      <c r="C1517" s="16" t="s">
        <v>7605</v>
      </c>
      <c r="D1517" s="16" t="s">
        <v>7597</v>
      </c>
      <c r="E1517" s="16" t="s">
        <v>3412</v>
      </c>
      <c r="F1517" s="16" t="s">
        <v>3413</v>
      </c>
      <c r="G1517" s="16" t="s">
        <v>9330</v>
      </c>
      <c r="H1517" s="16" t="s">
        <v>64</v>
      </c>
      <c r="I1517" s="16"/>
      <c r="J1517" s="16"/>
      <c r="K1517" s="16"/>
      <c r="L1517" s="16"/>
      <c r="M1517" s="19" t="s">
        <v>3414</v>
      </c>
      <c r="N1517" s="16" t="s">
        <v>3415</v>
      </c>
      <c r="O1517" s="16" t="s">
        <v>3416</v>
      </c>
      <c r="P1517" s="16" t="str">
        <f>HYPERLINK("https://ceds.ed.gov/cedselementdetails.aspx?termid=26089")</f>
        <v>https://ceds.ed.gov/cedselementdetails.aspx?termid=26089</v>
      </c>
      <c r="Q1517" s="16">
        <v>71743</v>
      </c>
    </row>
    <row r="1518" spans="1:17" ht="57.6" x14ac:dyDescent="0.3">
      <c r="A1518" s="16" t="s">
        <v>7665</v>
      </c>
      <c r="B1518" s="16" t="s">
        <v>7680</v>
      </c>
      <c r="C1518" s="16" t="s">
        <v>7605</v>
      </c>
      <c r="D1518" s="16" t="s">
        <v>7597</v>
      </c>
      <c r="E1518" s="16" t="s">
        <v>3175</v>
      </c>
      <c r="F1518" s="16" t="s">
        <v>3176</v>
      </c>
      <c r="G1518" s="16" t="s">
        <v>2987</v>
      </c>
      <c r="H1518" s="16"/>
      <c r="I1518" s="16"/>
      <c r="J1518" s="16"/>
      <c r="K1518" s="16"/>
      <c r="L1518" s="16"/>
      <c r="M1518" s="19" t="s">
        <v>3177</v>
      </c>
      <c r="N1518" s="16"/>
      <c r="O1518" s="16" t="s">
        <v>3178</v>
      </c>
      <c r="P1518" s="16" t="str">
        <f>HYPERLINK("https://ceds.ed.gov/cedselementdetails.aspx?termid=27905")</f>
        <v>https://ceds.ed.gov/cedselementdetails.aspx?termid=27905</v>
      </c>
      <c r="Q1518" s="16">
        <v>75342</v>
      </c>
    </row>
    <row r="1519" spans="1:17" ht="201.6" x14ac:dyDescent="0.3">
      <c r="A1519" s="16" t="s">
        <v>7665</v>
      </c>
      <c r="B1519" s="16" t="s">
        <v>7680</v>
      </c>
      <c r="C1519" s="16" t="s">
        <v>7628</v>
      </c>
      <c r="D1519" s="16" t="s">
        <v>7597</v>
      </c>
      <c r="E1519" s="16" t="s">
        <v>1507</v>
      </c>
      <c r="F1519" s="16" t="s">
        <v>1508</v>
      </c>
      <c r="G1519" s="16" t="s">
        <v>32</v>
      </c>
      <c r="H1519" s="16" t="s">
        <v>1510</v>
      </c>
      <c r="I1519" s="16"/>
      <c r="J1519" s="16" t="s">
        <v>106</v>
      </c>
      <c r="K1519" s="16"/>
      <c r="L1519" s="16"/>
      <c r="M1519" s="19" t="s">
        <v>1509</v>
      </c>
      <c r="N1519" s="16"/>
      <c r="O1519" s="16" t="s">
        <v>1507</v>
      </c>
      <c r="P1519" s="16" t="str">
        <f>HYPERLINK("https://ceds.ed.gov/cedselementdetails.aspx?termid=26033")</f>
        <v>https://ceds.ed.gov/cedselementdetails.aspx?termid=26033</v>
      </c>
      <c r="Q1519" s="16">
        <v>70995</v>
      </c>
    </row>
    <row r="1520" spans="1:17" ht="28.8" x14ac:dyDescent="0.3">
      <c r="A1520" s="16" t="s">
        <v>7665</v>
      </c>
      <c r="B1520" s="16" t="s">
        <v>7680</v>
      </c>
      <c r="C1520" s="16" t="s">
        <v>7628</v>
      </c>
      <c r="D1520" s="16" t="s">
        <v>7597</v>
      </c>
      <c r="E1520" s="16" t="s">
        <v>1511</v>
      </c>
      <c r="F1520" s="16" t="s">
        <v>1512</v>
      </c>
      <c r="G1520" s="16" t="s">
        <v>32</v>
      </c>
      <c r="H1520" s="16" t="s">
        <v>1516</v>
      </c>
      <c r="I1520" s="16"/>
      <c r="J1520" s="16" t="s">
        <v>145</v>
      </c>
      <c r="K1520" s="16"/>
      <c r="L1520" s="16"/>
      <c r="M1520" s="19" t="s">
        <v>1514</v>
      </c>
      <c r="N1520" s="16"/>
      <c r="O1520" s="16" t="s">
        <v>1515</v>
      </c>
      <c r="P1520" s="16" t="str">
        <f>HYPERLINK("https://ceds.ed.gov/cedselementdetails.aspx?termid=26418")</f>
        <v>https://ceds.ed.gov/cedselementdetails.aspx?termid=26418</v>
      </c>
      <c r="Q1520" s="16">
        <v>73823</v>
      </c>
    </row>
    <row r="1521" spans="1:17" ht="216" x14ac:dyDescent="0.3">
      <c r="A1521" s="16" t="s">
        <v>7665</v>
      </c>
      <c r="B1521" s="16" t="s">
        <v>7680</v>
      </c>
      <c r="C1521" s="16" t="s">
        <v>7628</v>
      </c>
      <c r="D1521" s="16" t="s">
        <v>7597</v>
      </c>
      <c r="E1521" s="16" t="s">
        <v>6662</v>
      </c>
      <c r="F1521" s="16" t="s">
        <v>6663</v>
      </c>
      <c r="G1521" s="16" t="s">
        <v>8831</v>
      </c>
      <c r="H1521" s="16" t="s">
        <v>6666</v>
      </c>
      <c r="I1521" s="16"/>
      <c r="J1521" s="16"/>
      <c r="K1521" s="16"/>
      <c r="L1521" s="16" t="s">
        <v>6664</v>
      </c>
      <c r="M1521" s="19" t="s">
        <v>6665</v>
      </c>
      <c r="N1521" s="16"/>
      <c r="O1521" s="16" t="s">
        <v>6662</v>
      </c>
      <c r="P1521" s="16" t="str">
        <f>HYPERLINK("https://ceds.ed.gov/cedselementdetails.aspx?termid=26255")</f>
        <v>https://ceds.ed.gov/cedselementdetails.aspx?termid=26255</v>
      </c>
      <c r="Q1521" s="16">
        <v>71811</v>
      </c>
    </row>
    <row r="1522" spans="1:17" ht="201.6" x14ac:dyDescent="0.3">
      <c r="A1522" s="16" t="s">
        <v>7665</v>
      </c>
      <c r="B1522" s="16" t="s">
        <v>7680</v>
      </c>
      <c r="C1522" s="16" t="s">
        <v>7628</v>
      </c>
      <c r="D1522" s="16" t="s">
        <v>7597</v>
      </c>
      <c r="E1522" s="16" t="s">
        <v>348</v>
      </c>
      <c r="F1522" s="16" t="s">
        <v>349</v>
      </c>
      <c r="G1522" s="16" t="s">
        <v>8319</v>
      </c>
      <c r="H1522" s="16" t="s">
        <v>353</v>
      </c>
      <c r="I1522" s="16"/>
      <c r="J1522" s="16"/>
      <c r="K1522" s="16"/>
      <c r="L1522" s="16" t="s">
        <v>7828</v>
      </c>
      <c r="M1522" s="19" t="s">
        <v>350</v>
      </c>
      <c r="N1522" s="16" t="s">
        <v>351</v>
      </c>
      <c r="O1522" s="16" t="s">
        <v>352</v>
      </c>
      <c r="P1522" s="16" t="str">
        <f>HYPERLINK("https://ceds.ed.gov/cedselementdetails.aspx?termid=26655")</f>
        <v>https://ceds.ed.gov/cedselementdetails.aspx?termid=26655</v>
      </c>
      <c r="Q1522" s="16">
        <v>71907</v>
      </c>
    </row>
    <row r="1523" spans="1:17" ht="201.6" x14ac:dyDescent="0.3">
      <c r="A1523" s="16" t="s">
        <v>7665</v>
      </c>
      <c r="B1523" s="16" t="s">
        <v>7680</v>
      </c>
      <c r="C1523" s="16" t="s">
        <v>7628</v>
      </c>
      <c r="D1523" s="16" t="s">
        <v>7597</v>
      </c>
      <c r="E1523" s="16" t="s">
        <v>373</v>
      </c>
      <c r="F1523" s="16" t="s">
        <v>374</v>
      </c>
      <c r="G1523" s="16" t="s">
        <v>8319</v>
      </c>
      <c r="H1523" s="16" t="s">
        <v>353</v>
      </c>
      <c r="I1523" s="16"/>
      <c r="J1523" s="16"/>
      <c r="K1523" s="16"/>
      <c r="L1523" s="16" t="s">
        <v>7828</v>
      </c>
      <c r="M1523" s="19" t="s">
        <v>375</v>
      </c>
      <c r="N1523" s="16" t="s">
        <v>376</v>
      </c>
      <c r="O1523" s="16" t="s">
        <v>373</v>
      </c>
      <c r="P1523" s="16" t="str">
        <f>HYPERLINK("https://ceds.ed.gov/cedselementdetails.aspx?termid=26656")</f>
        <v>https://ceds.ed.gov/cedselementdetails.aspx?termid=26656</v>
      </c>
      <c r="Q1523" s="16">
        <v>71908</v>
      </c>
    </row>
    <row r="1524" spans="1:17" ht="201.6" x14ac:dyDescent="0.3">
      <c r="A1524" s="16" t="s">
        <v>7665</v>
      </c>
      <c r="B1524" s="16" t="s">
        <v>7680</v>
      </c>
      <c r="C1524" s="16" t="s">
        <v>7628</v>
      </c>
      <c r="D1524" s="16" t="s">
        <v>7597</v>
      </c>
      <c r="E1524" s="16" t="s">
        <v>1517</v>
      </c>
      <c r="F1524" s="16" t="s">
        <v>1518</v>
      </c>
      <c r="G1524" s="16" t="s">
        <v>8319</v>
      </c>
      <c r="H1524" s="16" t="s">
        <v>353</v>
      </c>
      <c r="I1524" s="16"/>
      <c r="J1524" s="16"/>
      <c r="K1524" s="16"/>
      <c r="L1524" s="16" t="s">
        <v>7828</v>
      </c>
      <c r="M1524" s="19" t="s">
        <v>1519</v>
      </c>
      <c r="N1524" s="16" t="s">
        <v>1520</v>
      </c>
      <c r="O1524" s="16" t="s">
        <v>1521</v>
      </c>
      <c r="P1524" s="16" t="str">
        <f>HYPERLINK("https://ceds.ed.gov/cedselementdetails.aspx?termid=26657")</f>
        <v>https://ceds.ed.gov/cedselementdetails.aspx?termid=26657</v>
      </c>
      <c r="Q1524" s="16">
        <v>71909</v>
      </c>
    </row>
    <row r="1525" spans="1:17" ht="201.6" x14ac:dyDescent="0.3">
      <c r="A1525" s="16" t="s">
        <v>7665</v>
      </c>
      <c r="B1525" s="16" t="s">
        <v>7680</v>
      </c>
      <c r="C1525" s="16" t="s">
        <v>7628</v>
      </c>
      <c r="D1525" s="16" t="s">
        <v>7597</v>
      </c>
      <c r="E1525" s="16" t="s">
        <v>5454</v>
      </c>
      <c r="F1525" s="16" t="s">
        <v>5455</v>
      </c>
      <c r="G1525" s="16" t="s">
        <v>8319</v>
      </c>
      <c r="H1525" s="16" t="s">
        <v>353</v>
      </c>
      <c r="I1525" s="16"/>
      <c r="J1525" s="16"/>
      <c r="K1525" s="16"/>
      <c r="L1525" s="16" t="s">
        <v>7828</v>
      </c>
      <c r="M1525" s="19" t="s">
        <v>5456</v>
      </c>
      <c r="N1525" s="16" t="s">
        <v>5457</v>
      </c>
      <c r="O1525" s="16" t="s">
        <v>5458</v>
      </c>
      <c r="P1525" s="16" t="str">
        <f>HYPERLINK("https://ceds.ed.gov/cedselementdetails.aspx?termid=26658")</f>
        <v>https://ceds.ed.gov/cedselementdetails.aspx?termid=26658</v>
      </c>
      <c r="Q1525" s="16">
        <v>71910</v>
      </c>
    </row>
    <row r="1526" spans="1:17" ht="201.6" x14ac:dyDescent="0.3">
      <c r="A1526" s="16" t="s">
        <v>7665</v>
      </c>
      <c r="B1526" s="16" t="s">
        <v>7680</v>
      </c>
      <c r="C1526" s="16" t="s">
        <v>7628</v>
      </c>
      <c r="D1526" s="16" t="s">
        <v>7597</v>
      </c>
      <c r="E1526" s="16" t="s">
        <v>7282</v>
      </c>
      <c r="F1526" s="16" t="s">
        <v>7283</v>
      </c>
      <c r="G1526" s="16" t="s">
        <v>8319</v>
      </c>
      <c r="H1526" s="16" t="s">
        <v>353</v>
      </c>
      <c r="I1526" s="16"/>
      <c r="J1526" s="16"/>
      <c r="K1526" s="16"/>
      <c r="L1526" s="16" t="s">
        <v>7828</v>
      </c>
      <c r="M1526" s="19" t="s">
        <v>7284</v>
      </c>
      <c r="N1526" s="16" t="s">
        <v>7285</v>
      </c>
      <c r="O1526" s="16" t="s">
        <v>7282</v>
      </c>
      <c r="P1526" s="16" t="str">
        <f>HYPERLINK("https://ceds.ed.gov/cedselementdetails.aspx?termid=26659")</f>
        <v>https://ceds.ed.gov/cedselementdetails.aspx?termid=26659</v>
      </c>
      <c r="Q1526" s="16">
        <v>71911</v>
      </c>
    </row>
    <row r="1527" spans="1:17" ht="72" x14ac:dyDescent="0.3">
      <c r="A1527" s="16" t="s">
        <v>7665</v>
      </c>
      <c r="B1527" s="16" t="s">
        <v>7680</v>
      </c>
      <c r="C1527" s="16" t="s">
        <v>7628</v>
      </c>
      <c r="D1527" s="16" t="s">
        <v>7597</v>
      </c>
      <c r="E1527" s="16" t="s">
        <v>3038</v>
      </c>
      <c r="F1527" s="16" t="s">
        <v>3039</v>
      </c>
      <c r="G1527" s="16" t="s">
        <v>22</v>
      </c>
      <c r="H1527" s="16"/>
      <c r="I1527" s="16"/>
      <c r="J1527" s="16"/>
      <c r="K1527" s="16"/>
      <c r="L1527" s="16" t="s">
        <v>3040</v>
      </c>
      <c r="M1527" s="19" t="s">
        <v>3041</v>
      </c>
      <c r="N1527" s="16"/>
      <c r="O1527" s="16" t="s">
        <v>3042</v>
      </c>
      <c r="P1527" s="16" t="str">
        <f>HYPERLINK("https://ceds.ed.gov/cedselementdetails.aspx?termid=26974")</f>
        <v>https://ceds.ed.gov/cedselementdetails.aspx?termid=26974</v>
      </c>
      <c r="Q1527" s="16">
        <v>71425</v>
      </c>
    </row>
    <row r="1528" spans="1:17" ht="201.6" x14ac:dyDescent="0.3">
      <c r="A1528" s="16" t="s">
        <v>7665</v>
      </c>
      <c r="B1528" s="16" t="s">
        <v>7680</v>
      </c>
      <c r="C1528" s="16" t="s">
        <v>7628</v>
      </c>
      <c r="D1528" s="16" t="s">
        <v>7597</v>
      </c>
      <c r="E1528" s="16" t="s">
        <v>4283</v>
      </c>
      <c r="F1528" s="16" t="s">
        <v>4284</v>
      </c>
      <c r="G1528" s="16" t="s">
        <v>8319</v>
      </c>
      <c r="H1528" s="16" t="s">
        <v>353</v>
      </c>
      <c r="I1528" s="16"/>
      <c r="J1528" s="16"/>
      <c r="K1528" s="16"/>
      <c r="L1528" s="16" t="s">
        <v>7828</v>
      </c>
      <c r="M1528" s="19" t="s">
        <v>4285</v>
      </c>
      <c r="N1528" s="16"/>
      <c r="O1528" s="16" t="s">
        <v>4286</v>
      </c>
      <c r="P1528" s="16" t="str">
        <f>HYPERLINK("https://ceds.ed.gov/cedselementdetails.aspx?termid=26144")</f>
        <v>https://ceds.ed.gov/cedselementdetails.aspx?termid=26144</v>
      </c>
      <c r="Q1528" s="16">
        <v>71765</v>
      </c>
    </row>
    <row r="1529" spans="1:17" ht="409.6" x14ac:dyDescent="0.3">
      <c r="A1529" s="16" t="s">
        <v>7665</v>
      </c>
      <c r="B1529" s="16" t="s">
        <v>7680</v>
      </c>
      <c r="C1529" s="16" t="s">
        <v>7628</v>
      </c>
      <c r="D1529" s="16" t="s">
        <v>7597</v>
      </c>
      <c r="E1529" s="16" t="s">
        <v>2488</v>
      </c>
      <c r="F1529" s="16" t="s">
        <v>2489</v>
      </c>
      <c r="G1529" s="16" t="s">
        <v>8454</v>
      </c>
      <c r="H1529" s="16" t="s">
        <v>2492</v>
      </c>
      <c r="I1529" s="16"/>
      <c r="J1529" s="16"/>
      <c r="K1529" s="16"/>
      <c r="L1529" s="16" t="s">
        <v>7915</v>
      </c>
      <c r="M1529" s="19" t="s">
        <v>2490</v>
      </c>
      <c r="N1529" s="16"/>
      <c r="O1529" s="16" t="s">
        <v>2491</v>
      </c>
      <c r="P1529" s="16" t="str">
        <f>HYPERLINK("https://ceds.ed.gov/cedselementdetails.aspx?termid=26051")</f>
        <v>https://ceds.ed.gov/cedselementdetails.aspx?termid=26051</v>
      </c>
      <c r="Q1529" s="16">
        <v>71002</v>
      </c>
    </row>
    <row r="1530" spans="1:17" ht="409.6" x14ac:dyDescent="0.3">
      <c r="A1530" s="16" t="s">
        <v>7665</v>
      </c>
      <c r="B1530" s="16" t="s">
        <v>7680</v>
      </c>
      <c r="C1530" s="16" t="s">
        <v>7628</v>
      </c>
      <c r="D1530" s="16" t="s">
        <v>7597</v>
      </c>
      <c r="E1530" s="16" t="s">
        <v>6886</v>
      </c>
      <c r="F1530" s="16" t="s">
        <v>6887</v>
      </c>
      <c r="G1530" s="16" t="s">
        <v>8270</v>
      </c>
      <c r="H1530" s="16" t="s">
        <v>1516</v>
      </c>
      <c r="I1530" s="16"/>
      <c r="J1530" s="16"/>
      <c r="K1530" s="16"/>
      <c r="L1530" s="16"/>
      <c r="M1530" s="19" t="s">
        <v>6888</v>
      </c>
      <c r="N1530" s="16"/>
      <c r="O1530" s="16" t="s">
        <v>6889</v>
      </c>
      <c r="P1530" s="16" t="str">
        <f>HYPERLINK("https://ceds.ed.gov/cedselementdetails.aspx?termid=26417")</f>
        <v>https://ceds.ed.gov/cedselementdetails.aspx?termid=26417</v>
      </c>
      <c r="Q1530" s="16">
        <v>71837</v>
      </c>
    </row>
    <row r="1531" spans="1:17" ht="28.8" x14ac:dyDescent="0.3">
      <c r="A1531" s="16" t="s">
        <v>7665</v>
      </c>
      <c r="B1531" s="16" t="s">
        <v>7680</v>
      </c>
      <c r="C1531" s="16" t="s">
        <v>7628</v>
      </c>
      <c r="D1531" s="16" t="s">
        <v>7597</v>
      </c>
      <c r="E1531" s="16" t="s">
        <v>2017</v>
      </c>
      <c r="F1531" s="16" t="s">
        <v>7901</v>
      </c>
      <c r="G1531" s="16" t="s">
        <v>32</v>
      </c>
      <c r="H1531" s="16" t="s">
        <v>1516</v>
      </c>
      <c r="I1531" s="16"/>
      <c r="J1531" s="16" t="s">
        <v>81</v>
      </c>
      <c r="K1531" s="16"/>
      <c r="L1531" s="16"/>
      <c r="M1531" s="19" t="s">
        <v>2019</v>
      </c>
      <c r="N1531" s="16"/>
      <c r="O1531" s="16" t="s">
        <v>2020</v>
      </c>
      <c r="P1531" s="16" t="str">
        <f>HYPERLINK("https://ceds.ed.gov/cedselementdetails.aspx?termid=26416")</f>
        <v>https://ceds.ed.gov/cedselementdetails.aspx?termid=26416</v>
      </c>
      <c r="Q1531" s="16">
        <v>71836</v>
      </c>
    </row>
    <row r="1532" spans="1:17" ht="129.6" x14ac:dyDescent="0.3">
      <c r="A1532" s="16" t="s">
        <v>7665</v>
      </c>
      <c r="B1532" s="16" t="s">
        <v>7680</v>
      </c>
      <c r="C1532" s="16" t="s">
        <v>7628</v>
      </c>
      <c r="D1532" s="16" t="s">
        <v>7597</v>
      </c>
      <c r="E1532" s="16" t="s">
        <v>6179</v>
      </c>
      <c r="F1532" s="16" t="s">
        <v>6180</v>
      </c>
      <c r="G1532" s="16" t="s">
        <v>8256</v>
      </c>
      <c r="H1532" s="16"/>
      <c r="I1532" s="16"/>
      <c r="J1532" s="16"/>
      <c r="K1532" s="16"/>
      <c r="L1532" s="16"/>
      <c r="M1532" s="19" t="s">
        <v>6181</v>
      </c>
      <c r="N1532" s="16"/>
      <c r="O1532" s="16" t="s">
        <v>6182</v>
      </c>
      <c r="P1532" s="16" t="str">
        <f>HYPERLINK("https://ceds.ed.gov/cedselementdetails.aspx?termid=26523")</f>
        <v>https://ceds.ed.gov/cedselementdetails.aspx?termid=26523</v>
      </c>
      <c r="Q1532" s="16">
        <v>71863</v>
      </c>
    </row>
    <row r="1533" spans="1:17" ht="57.6" x14ac:dyDescent="0.3">
      <c r="A1533" s="16" t="s">
        <v>7665</v>
      </c>
      <c r="B1533" s="16" t="s">
        <v>7680</v>
      </c>
      <c r="C1533" s="16" t="s">
        <v>7628</v>
      </c>
      <c r="D1533" s="16" t="s">
        <v>7597</v>
      </c>
      <c r="E1533" s="16" t="s">
        <v>7181</v>
      </c>
      <c r="F1533" s="16" t="s">
        <v>7182</v>
      </c>
      <c r="G1533" s="16" t="s">
        <v>7313</v>
      </c>
      <c r="H1533" s="16"/>
      <c r="I1533" s="16"/>
      <c r="J1533" s="16"/>
      <c r="K1533" s="16"/>
      <c r="L1533" s="16"/>
      <c r="M1533" s="19" t="s">
        <v>7183</v>
      </c>
      <c r="N1533" s="16"/>
      <c r="O1533" s="16" t="s">
        <v>7184</v>
      </c>
      <c r="P1533" s="16" t="str">
        <f>HYPERLINK("https://ceds.ed.gov/cedselementdetails.aspx?termid=27638")</f>
        <v>https://ceds.ed.gov/cedselementdetails.aspx?termid=27638</v>
      </c>
      <c r="Q1533" s="16">
        <v>74355</v>
      </c>
    </row>
    <row r="1534" spans="1:17" ht="100.8" x14ac:dyDescent="0.3">
      <c r="A1534" s="16" t="s">
        <v>7665</v>
      </c>
      <c r="B1534" s="16" t="s">
        <v>7680</v>
      </c>
      <c r="C1534" s="16" t="s">
        <v>7628</v>
      </c>
      <c r="D1534" s="16" t="s">
        <v>7597</v>
      </c>
      <c r="E1534" s="16" t="s">
        <v>5395</v>
      </c>
      <c r="F1534" s="16" t="s">
        <v>8092</v>
      </c>
      <c r="G1534" s="16" t="s">
        <v>8728</v>
      </c>
      <c r="H1534" s="16"/>
      <c r="I1534" s="16"/>
      <c r="J1534" s="16"/>
      <c r="K1534" s="16"/>
      <c r="L1534" s="16"/>
      <c r="M1534" s="19" t="s">
        <v>5396</v>
      </c>
      <c r="N1534" s="16"/>
      <c r="O1534" s="16" t="s">
        <v>5397</v>
      </c>
      <c r="P1534" s="16" t="str">
        <f>HYPERLINK("https://ceds.ed.gov/cedselementdetails.aspx?termid=27621")</f>
        <v>https://ceds.ed.gov/cedselementdetails.aspx?termid=27621</v>
      </c>
      <c r="Q1534" s="16">
        <v>74309</v>
      </c>
    </row>
    <row r="1535" spans="1:17" ht="72" x14ac:dyDescent="0.3">
      <c r="A1535" s="16" t="s">
        <v>7665</v>
      </c>
      <c r="B1535" s="16" t="s">
        <v>7680</v>
      </c>
      <c r="C1535" s="16" t="s">
        <v>7628</v>
      </c>
      <c r="D1535" s="16" t="s">
        <v>7597</v>
      </c>
      <c r="E1535" s="16" t="s">
        <v>5398</v>
      </c>
      <c r="F1535" s="16" t="s">
        <v>5399</v>
      </c>
      <c r="G1535" s="16" t="s">
        <v>8245</v>
      </c>
      <c r="H1535" s="16"/>
      <c r="I1535" s="16"/>
      <c r="J1535" s="16"/>
      <c r="K1535" s="16"/>
      <c r="L1535" s="16"/>
      <c r="M1535" s="19" t="s">
        <v>5400</v>
      </c>
      <c r="N1535" s="16"/>
      <c r="O1535" s="16" t="s">
        <v>5401</v>
      </c>
      <c r="P1535" s="16" t="str">
        <f>HYPERLINK("https://ceds.ed.gov/cedselementdetails.aspx?termid=27555")</f>
        <v>https://ceds.ed.gov/cedselementdetails.aspx?termid=27555</v>
      </c>
      <c r="Q1535" s="16">
        <v>73933</v>
      </c>
    </row>
    <row r="1536" spans="1:17" ht="115.2" x14ac:dyDescent="0.3">
      <c r="A1536" s="16" t="s">
        <v>7665</v>
      </c>
      <c r="B1536" s="16" t="s">
        <v>7680</v>
      </c>
      <c r="C1536" s="16" t="s">
        <v>7628</v>
      </c>
      <c r="D1536" s="16" t="s">
        <v>7597</v>
      </c>
      <c r="E1536" s="16" t="s">
        <v>6823</v>
      </c>
      <c r="F1536" s="16" t="s">
        <v>8155</v>
      </c>
      <c r="G1536" s="16" t="s">
        <v>32</v>
      </c>
      <c r="H1536" s="16" t="s">
        <v>69</v>
      </c>
      <c r="I1536" s="16"/>
      <c r="J1536" s="16" t="s">
        <v>6824</v>
      </c>
      <c r="K1536" s="16"/>
      <c r="L1536" s="16"/>
      <c r="M1536" s="19" t="s">
        <v>6825</v>
      </c>
      <c r="N1536" s="16"/>
      <c r="O1536" s="16" t="s">
        <v>6826</v>
      </c>
      <c r="P1536" s="16" t="str">
        <f>HYPERLINK("https://ceds.ed.gov/cedselementdetails.aspx?termid=26707")</f>
        <v>https://ceds.ed.gov/cedselementdetails.aspx?termid=26707</v>
      </c>
      <c r="Q1536" s="16">
        <v>75345</v>
      </c>
    </row>
    <row r="1537" spans="1:17" ht="57.6" x14ac:dyDescent="0.3">
      <c r="A1537" s="16" t="s">
        <v>7665</v>
      </c>
      <c r="B1537" s="16" t="s">
        <v>7680</v>
      </c>
      <c r="C1537" s="16" t="s">
        <v>7628</v>
      </c>
      <c r="D1537" s="16" t="s">
        <v>7597</v>
      </c>
      <c r="E1537" s="16" t="s">
        <v>7418</v>
      </c>
      <c r="F1537" s="16" t="s">
        <v>7419</v>
      </c>
      <c r="G1537" s="16" t="s">
        <v>22</v>
      </c>
      <c r="H1537" s="16"/>
      <c r="I1537" s="16"/>
      <c r="J1537" s="16"/>
      <c r="K1537" s="16"/>
      <c r="L1537" s="16"/>
      <c r="M1537" s="19" t="s">
        <v>7420</v>
      </c>
      <c r="N1537" s="16"/>
      <c r="O1537" s="16" t="s">
        <v>7421</v>
      </c>
      <c r="P1537" s="16" t="str">
        <f>HYPERLINK("https://ceds.ed.gov/cedselementdetails.aspx?termid=27932")</f>
        <v>https://ceds.ed.gov/cedselementdetails.aspx?termid=27932</v>
      </c>
      <c r="Q1537" s="16">
        <v>75546</v>
      </c>
    </row>
    <row r="1538" spans="1:17" ht="115.2" x14ac:dyDescent="0.3">
      <c r="A1538" s="16" t="s">
        <v>7665</v>
      </c>
      <c r="B1538" s="16" t="s">
        <v>7680</v>
      </c>
      <c r="C1538" s="16" t="s">
        <v>7628</v>
      </c>
      <c r="D1538" s="16" t="s">
        <v>7597</v>
      </c>
      <c r="E1538" s="16" t="s">
        <v>7422</v>
      </c>
      <c r="F1538" s="16" t="s">
        <v>7423</v>
      </c>
      <c r="G1538" s="16" t="s">
        <v>2987</v>
      </c>
      <c r="H1538" s="16"/>
      <c r="I1538" s="16"/>
      <c r="J1538" s="16"/>
      <c r="K1538" s="16"/>
      <c r="L1538" s="16"/>
      <c r="M1538" s="19" t="s">
        <v>7424</v>
      </c>
      <c r="N1538" s="16"/>
      <c r="O1538" s="16" t="s">
        <v>7425</v>
      </c>
      <c r="P1538" s="16" t="str">
        <f>HYPERLINK("https://ceds.ed.gov/cedselementdetails.aspx?termid=27933")</f>
        <v>https://ceds.ed.gov/cedselementdetails.aspx?termid=27933</v>
      </c>
      <c r="Q1538" s="16">
        <v>75547</v>
      </c>
    </row>
    <row r="1539" spans="1:17" ht="144" x14ac:dyDescent="0.3">
      <c r="A1539" s="16" t="s">
        <v>7665</v>
      </c>
      <c r="B1539" s="16" t="s">
        <v>7680</v>
      </c>
      <c r="C1539" s="16" t="s">
        <v>7628</v>
      </c>
      <c r="D1539" s="16" t="s">
        <v>7597</v>
      </c>
      <c r="E1539" s="16" t="s">
        <v>7527</v>
      </c>
      <c r="F1539" s="16" t="s">
        <v>7528</v>
      </c>
      <c r="G1539" s="16" t="s">
        <v>8811</v>
      </c>
      <c r="H1539" s="16"/>
      <c r="I1539" s="16"/>
      <c r="J1539" s="16"/>
      <c r="K1539" s="16"/>
      <c r="L1539" s="16" t="s">
        <v>7529</v>
      </c>
      <c r="M1539" s="19" t="s">
        <v>7530</v>
      </c>
      <c r="N1539" s="16"/>
      <c r="O1539" s="16" t="s">
        <v>7527</v>
      </c>
      <c r="P1539" s="16" t="str">
        <f>HYPERLINK("https://ceds.ed.gov/cedselementdetails.aspx?termid=27955")</f>
        <v>https://ceds.ed.gov/cedselementdetails.aspx?termid=27955</v>
      </c>
      <c r="Q1539" s="16">
        <v>75548</v>
      </c>
    </row>
    <row r="1540" spans="1:17" ht="72" x14ac:dyDescent="0.3">
      <c r="A1540" s="16" t="s">
        <v>7665</v>
      </c>
      <c r="B1540" s="16" t="s">
        <v>7680</v>
      </c>
      <c r="C1540" s="16" t="s">
        <v>7628</v>
      </c>
      <c r="D1540" s="16" t="s">
        <v>7597</v>
      </c>
      <c r="E1540" s="16" t="s">
        <v>6434</v>
      </c>
      <c r="F1540" s="16" t="s">
        <v>6435</v>
      </c>
      <c r="G1540" s="16" t="s">
        <v>22</v>
      </c>
      <c r="H1540" s="16"/>
      <c r="I1540" s="16"/>
      <c r="J1540" s="16"/>
      <c r="K1540" s="16"/>
      <c r="L1540" s="16"/>
      <c r="M1540" s="19" t="s">
        <v>6436</v>
      </c>
      <c r="N1540" s="16"/>
      <c r="O1540" s="16" t="s">
        <v>6437</v>
      </c>
      <c r="P1540" s="16" t="str">
        <f>HYPERLINK("https://ceds.ed.gov/cedselementdetails.aspx?termid=26761")</f>
        <v>https://ceds.ed.gov/cedselementdetails.aspx?termid=26761</v>
      </c>
      <c r="Q1540" s="16">
        <v>76201</v>
      </c>
    </row>
    <row r="1541" spans="1:17" x14ac:dyDescent="0.3">
      <c r="A1541" s="16" t="s">
        <v>7665</v>
      </c>
      <c r="B1541" s="16" t="s">
        <v>7680</v>
      </c>
      <c r="C1541" s="16" t="s">
        <v>7629</v>
      </c>
      <c r="D1541" s="16" t="s">
        <v>7597</v>
      </c>
      <c r="E1541" s="16" t="s">
        <v>6283</v>
      </c>
      <c r="F1541" s="16" t="s">
        <v>6284</v>
      </c>
      <c r="G1541" s="16" t="s">
        <v>32</v>
      </c>
      <c r="H1541" s="16"/>
      <c r="I1541" s="16"/>
      <c r="J1541" s="16" t="s">
        <v>106</v>
      </c>
      <c r="K1541" s="16"/>
      <c r="L1541" s="16"/>
      <c r="M1541" s="19" t="s">
        <v>6285</v>
      </c>
      <c r="N1541" s="16"/>
      <c r="O1541" s="16" t="s">
        <v>6286</v>
      </c>
      <c r="P1541" s="16" t="str">
        <f>HYPERLINK("https://ceds.ed.gov/cedselementdetails.aspx?termid=27453")</f>
        <v>https://ceds.ed.gov/cedselementdetails.aspx?termid=27453</v>
      </c>
      <c r="Q1541" s="16">
        <v>74829</v>
      </c>
    </row>
    <row r="1542" spans="1:17" x14ac:dyDescent="0.3">
      <c r="A1542" s="16" t="s">
        <v>7665</v>
      </c>
      <c r="B1542" s="16" t="s">
        <v>7680</v>
      </c>
      <c r="C1542" s="16" t="s">
        <v>7629</v>
      </c>
      <c r="D1542" s="16" t="s">
        <v>7597</v>
      </c>
      <c r="E1542" s="16" t="s">
        <v>6295</v>
      </c>
      <c r="F1542" s="16" t="s">
        <v>6296</v>
      </c>
      <c r="G1542" s="16" t="s">
        <v>32</v>
      </c>
      <c r="H1542" s="16"/>
      <c r="I1542" s="16"/>
      <c r="J1542" s="16" t="s">
        <v>316</v>
      </c>
      <c r="K1542" s="16"/>
      <c r="L1542" s="16"/>
      <c r="M1542" s="19" t="s">
        <v>6297</v>
      </c>
      <c r="N1542" s="16"/>
      <c r="O1542" s="16" t="s">
        <v>6298</v>
      </c>
      <c r="P1542" s="16" t="str">
        <f>HYPERLINK("https://ceds.ed.gov/cedselementdetails.aspx?termid=27455")</f>
        <v>https://ceds.ed.gov/cedselementdetails.aspx?termid=27455</v>
      </c>
      <c r="Q1542" s="16">
        <v>74831</v>
      </c>
    </row>
    <row r="1543" spans="1:17" ht="28.8" x14ac:dyDescent="0.3">
      <c r="A1543" s="16" t="s">
        <v>7665</v>
      </c>
      <c r="B1543" s="16" t="s">
        <v>7680</v>
      </c>
      <c r="C1543" s="16" t="s">
        <v>7629</v>
      </c>
      <c r="D1543" s="16" t="s">
        <v>7597</v>
      </c>
      <c r="E1543" s="16" t="s">
        <v>6299</v>
      </c>
      <c r="F1543" s="16" t="s">
        <v>6300</v>
      </c>
      <c r="G1543" s="16" t="s">
        <v>32</v>
      </c>
      <c r="H1543" s="16"/>
      <c r="I1543" s="16"/>
      <c r="J1543" s="16" t="s">
        <v>145</v>
      </c>
      <c r="K1543" s="16"/>
      <c r="L1543" s="16"/>
      <c r="M1543" s="19" t="s">
        <v>6301</v>
      </c>
      <c r="N1543" s="16"/>
      <c r="O1543" s="16" t="s">
        <v>6302</v>
      </c>
      <c r="P1543" s="16" t="str">
        <f>HYPERLINK("https://ceds.ed.gov/cedselementdetails.aspx?termid=27456")</f>
        <v>https://ceds.ed.gov/cedselementdetails.aspx?termid=27456</v>
      </c>
      <c r="Q1543" s="16">
        <v>74833</v>
      </c>
    </row>
    <row r="1544" spans="1:17" ht="57.6" x14ac:dyDescent="0.3">
      <c r="A1544" s="16" t="s">
        <v>7665</v>
      </c>
      <c r="B1544" s="16" t="s">
        <v>7680</v>
      </c>
      <c r="C1544" s="16" t="s">
        <v>7630</v>
      </c>
      <c r="D1544" s="16" t="s">
        <v>7597</v>
      </c>
      <c r="E1544" s="16" t="s">
        <v>5305</v>
      </c>
      <c r="F1544" s="16" t="s">
        <v>5306</v>
      </c>
      <c r="G1544" s="16" t="s">
        <v>8718</v>
      </c>
      <c r="H1544" s="16" t="s">
        <v>1516</v>
      </c>
      <c r="I1544" s="16"/>
      <c r="J1544" s="16"/>
      <c r="K1544" s="16"/>
      <c r="L1544" s="16"/>
      <c r="M1544" s="19" t="s">
        <v>5307</v>
      </c>
      <c r="N1544" s="16"/>
      <c r="O1544" s="16" t="s">
        <v>5308</v>
      </c>
      <c r="P1544" s="16" t="str">
        <f>HYPERLINK("https://ceds.ed.gov/cedselementdetails.aspx?termid=26429")</f>
        <v>https://ceds.ed.gov/cedselementdetails.aspx?termid=26429</v>
      </c>
      <c r="Q1544" s="16">
        <v>71849</v>
      </c>
    </row>
    <row r="1545" spans="1:17" ht="409.6" x14ac:dyDescent="0.3">
      <c r="A1545" s="16" t="s">
        <v>7665</v>
      </c>
      <c r="B1545" s="16" t="s">
        <v>7680</v>
      </c>
      <c r="C1545" s="16" t="s">
        <v>7630</v>
      </c>
      <c r="D1545" s="16" t="s">
        <v>7597</v>
      </c>
      <c r="E1545" s="16" t="s">
        <v>323</v>
      </c>
      <c r="F1545" s="16" t="s">
        <v>324</v>
      </c>
      <c r="G1545" s="16" t="s">
        <v>8316</v>
      </c>
      <c r="H1545" s="16"/>
      <c r="I1545" s="16"/>
      <c r="J1545" s="16"/>
      <c r="K1545" s="16"/>
      <c r="L1545" s="16" t="s">
        <v>325</v>
      </c>
      <c r="M1545" s="19" t="s">
        <v>326</v>
      </c>
      <c r="N1545" s="16"/>
      <c r="O1545" s="16" t="s">
        <v>327</v>
      </c>
      <c r="P1545" s="16" t="str">
        <f>HYPERLINK("https://ceds.ed.gov/cedselementdetails.aspx?termid=27249")</f>
        <v>https://ceds.ed.gov/cedselementdetails.aspx?termid=27249</v>
      </c>
      <c r="Q1545" s="16">
        <v>73066</v>
      </c>
    </row>
    <row r="1546" spans="1:17" ht="43.2" x14ac:dyDescent="0.3">
      <c r="A1546" s="16" t="s">
        <v>7665</v>
      </c>
      <c r="B1546" s="16" t="s">
        <v>7680</v>
      </c>
      <c r="C1546" s="16" t="s">
        <v>7630</v>
      </c>
      <c r="D1546" s="16" t="s">
        <v>7597</v>
      </c>
      <c r="E1546" s="16" t="s">
        <v>314</v>
      </c>
      <c r="F1546" s="16" t="s">
        <v>315</v>
      </c>
      <c r="G1546" s="16" t="s">
        <v>32</v>
      </c>
      <c r="H1546" s="16"/>
      <c r="I1546" s="16"/>
      <c r="J1546" s="16" t="s">
        <v>316</v>
      </c>
      <c r="K1546" s="16"/>
      <c r="L1546" s="16"/>
      <c r="M1546" s="19" t="s">
        <v>317</v>
      </c>
      <c r="N1546" s="16"/>
      <c r="O1546" s="16" t="s">
        <v>318</v>
      </c>
      <c r="P1546" s="16" t="str">
        <f>HYPERLINK("https://ceds.ed.gov/cedselementdetails.aspx?termid=27247")</f>
        <v>https://ceds.ed.gov/cedselementdetails.aspx?termid=27247</v>
      </c>
      <c r="Q1546" s="16">
        <v>73064</v>
      </c>
    </row>
    <row r="1547" spans="1:17" ht="43.2" x14ac:dyDescent="0.3">
      <c r="A1547" s="16" t="s">
        <v>7665</v>
      </c>
      <c r="B1547" s="16" t="s">
        <v>7680</v>
      </c>
      <c r="C1547" s="16" t="s">
        <v>7630</v>
      </c>
      <c r="D1547" s="16" t="s">
        <v>7597</v>
      </c>
      <c r="E1547" s="16" t="s">
        <v>319</v>
      </c>
      <c r="F1547" s="16" t="s">
        <v>320</v>
      </c>
      <c r="G1547" s="16" t="s">
        <v>8315</v>
      </c>
      <c r="H1547" s="16"/>
      <c r="I1547" s="16"/>
      <c r="J1547" s="16"/>
      <c r="K1547" s="16"/>
      <c r="L1547" s="16"/>
      <c r="M1547" s="19" t="s">
        <v>321</v>
      </c>
      <c r="N1547" s="16"/>
      <c r="O1547" s="16" t="s">
        <v>322</v>
      </c>
      <c r="P1547" s="16" t="str">
        <f>HYPERLINK("https://ceds.ed.gov/cedselementdetails.aspx?termid=27248")</f>
        <v>https://ceds.ed.gov/cedselementdetails.aspx?termid=27248</v>
      </c>
      <c r="Q1547" s="16">
        <v>73065</v>
      </c>
    </row>
    <row r="1548" spans="1:17" ht="43.2" x14ac:dyDescent="0.3">
      <c r="A1548" s="16" t="s">
        <v>7665</v>
      </c>
      <c r="B1548" s="16" t="s">
        <v>7680</v>
      </c>
      <c r="C1548" s="16" t="s">
        <v>7630</v>
      </c>
      <c r="D1548" s="16" t="s">
        <v>7597</v>
      </c>
      <c r="E1548" s="16" t="s">
        <v>4217</v>
      </c>
      <c r="F1548" s="16" t="s">
        <v>4218</v>
      </c>
      <c r="G1548" s="16" t="s">
        <v>32</v>
      </c>
      <c r="H1548" s="16"/>
      <c r="I1548" s="16"/>
      <c r="J1548" s="16" t="s">
        <v>101</v>
      </c>
      <c r="K1548" s="16"/>
      <c r="L1548" s="16"/>
      <c r="M1548" s="19" t="s">
        <v>4219</v>
      </c>
      <c r="N1548" s="16"/>
      <c r="O1548" s="16" t="s">
        <v>4220</v>
      </c>
      <c r="P1548" s="16" t="str">
        <f>HYPERLINK("https://ceds.ed.gov/cedselementdetails.aspx?termid=27325")</f>
        <v>https://ceds.ed.gov/cedselementdetails.aspx?termid=27325</v>
      </c>
      <c r="Q1548" s="16">
        <v>74467</v>
      </c>
    </row>
    <row r="1549" spans="1:17" ht="28.8" x14ac:dyDescent="0.3">
      <c r="A1549" s="16" t="s">
        <v>7665</v>
      </c>
      <c r="B1549" s="16" t="s">
        <v>7680</v>
      </c>
      <c r="C1549" s="16" t="s">
        <v>7630</v>
      </c>
      <c r="D1549" s="16" t="s">
        <v>7597</v>
      </c>
      <c r="E1549" s="16" t="s">
        <v>4221</v>
      </c>
      <c r="F1549" s="16" t="s">
        <v>4222</v>
      </c>
      <c r="G1549" s="16" t="s">
        <v>32</v>
      </c>
      <c r="H1549" s="16"/>
      <c r="I1549" s="16"/>
      <c r="J1549" s="16" t="s">
        <v>316</v>
      </c>
      <c r="K1549" s="16"/>
      <c r="L1549" s="16"/>
      <c r="M1549" s="19" t="s">
        <v>4223</v>
      </c>
      <c r="N1549" s="16"/>
      <c r="O1549" s="16" t="s">
        <v>4224</v>
      </c>
      <c r="P1549" s="16" t="str">
        <f>HYPERLINK("https://ceds.ed.gov/cedselementdetails.aspx?termid=27326")</f>
        <v>https://ceds.ed.gov/cedselementdetails.aspx?termid=27326</v>
      </c>
      <c r="Q1549" s="16">
        <v>74468</v>
      </c>
    </row>
    <row r="1550" spans="1:17" ht="28.8" x14ac:dyDescent="0.3">
      <c r="A1550" s="16" t="s">
        <v>7665</v>
      </c>
      <c r="B1550" s="16" t="s">
        <v>7680</v>
      </c>
      <c r="C1550" s="16" t="s">
        <v>7634</v>
      </c>
      <c r="D1550" s="16" t="s">
        <v>7597</v>
      </c>
      <c r="E1550" s="16" t="s">
        <v>3048</v>
      </c>
      <c r="F1550" s="16" t="s">
        <v>3049</v>
      </c>
      <c r="G1550" s="16" t="s">
        <v>32</v>
      </c>
      <c r="H1550" s="16"/>
      <c r="I1550" s="16"/>
      <c r="J1550" s="16" t="s">
        <v>106</v>
      </c>
      <c r="K1550" s="16"/>
      <c r="L1550" s="16"/>
      <c r="M1550" s="19" t="s">
        <v>3050</v>
      </c>
      <c r="N1550" s="16"/>
      <c r="O1550" s="16" t="s">
        <v>3051</v>
      </c>
      <c r="P1550" s="16" t="str">
        <f>HYPERLINK("https://ceds.ed.gov/cedselementdetails.aspx?termid=26682")</f>
        <v>https://ceds.ed.gov/cedselementdetails.aspx?termid=26682</v>
      </c>
      <c r="Q1550" s="16">
        <v>74710</v>
      </c>
    </row>
    <row r="1551" spans="1:17" ht="115.2" x14ac:dyDescent="0.3">
      <c r="A1551" s="16" t="s">
        <v>7665</v>
      </c>
      <c r="B1551" s="16" t="s">
        <v>7680</v>
      </c>
      <c r="C1551" s="16" t="s">
        <v>7634</v>
      </c>
      <c r="D1551" s="16" t="s">
        <v>7597</v>
      </c>
      <c r="E1551" s="16" t="s">
        <v>3052</v>
      </c>
      <c r="F1551" s="16" t="s">
        <v>3053</v>
      </c>
      <c r="G1551" s="16" t="s">
        <v>8497</v>
      </c>
      <c r="H1551" s="16" t="s">
        <v>1977</v>
      </c>
      <c r="I1551" s="16"/>
      <c r="J1551" s="16"/>
      <c r="K1551" s="16"/>
      <c r="L1551" s="16"/>
      <c r="M1551" s="19" t="s">
        <v>3054</v>
      </c>
      <c r="N1551" s="16"/>
      <c r="O1551" s="16" t="s">
        <v>3055</v>
      </c>
      <c r="P1551" s="16" t="str">
        <f>HYPERLINK("https://ceds.ed.gov/cedselementdetails.aspx?termid=26310")</f>
        <v>https://ceds.ed.gov/cedselementdetails.aspx?termid=26310</v>
      </c>
      <c r="Q1551" s="16">
        <v>74711</v>
      </c>
    </row>
    <row r="1552" spans="1:17" ht="28.8" x14ac:dyDescent="0.3">
      <c r="A1552" s="16" t="s">
        <v>7665</v>
      </c>
      <c r="B1552" s="16" t="s">
        <v>7680</v>
      </c>
      <c r="C1552" s="16" t="s">
        <v>7633</v>
      </c>
      <c r="D1552" s="16" t="s">
        <v>7597</v>
      </c>
      <c r="E1552" s="16" t="s">
        <v>4225</v>
      </c>
      <c r="F1552" s="16" t="s">
        <v>4226</v>
      </c>
      <c r="G1552" s="16" t="s">
        <v>32</v>
      </c>
      <c r="H1552" s="16"/>
      <c r="I1552" s="16"/>
      <c r="J1552" s="16" t="s">
        <v>106</v>
      </c>
      <c r="K1552" s="16"/>
      <c r="L1552" s="16"/>
      <c r="M1552" s="19" t="s">
        <v>4227</v>
      </c>
      <c r="N1552" s="16"/>
      <c r="O1552" s="16" t="s">
        <v>4228</v>
      </c>
      <c r="P1552" s="16" t="str">
        <f>HYPERLINK("https://ceds.ed.gov/cedselementdetails.aspx?termid=26681")</f>
        <v>https://ceds.ed.gov/cedselementdetails.aspx?termid=26681</v>
      </c>
      <c r="Q1552" s="16">
        <v>73711</v>
      </c>
    </row>
    <row r="1553" spans="1:17" ht="43.2" x14ac:dyDescent="0.3">
      <c r="A1553" s="16" t="s">
        <v>7665</v>
      </c>
      <c r="B1553" s="16" t="s">
        <v>7680</v>
      </c>
      <c r="C1553" s="16" t="s">
        <v>7633</v>
      </c>
      <c r="D1553" s="16" t="s">
        <v>7597</v>
      </c>
      <c r="E1553" s="16" t="s">
        <v>4229</v>
      </c>
      <c r="F1553" s="16" t="s">
        <v>4230</v>
      </c>
      <c r="G1553" s="16" t="s">
        <v>8619</v>
      </c>
      <c r="H1553" s="16" t="s">
        <v>1977</v>
      </c>
      <c r="I1553" s="16"/>
      <c r="J1553" s="16"/>
      <c r="K1553" s="16"/>
      <c r="L1553" s="16"/>
      <c r="M1553" s="19" t="s">
        <v>4231</v>
      </c>
      <c r="N1553" s="16"/>
      <c r="O1553" s="16" t="s">
        <v>4232</v>
      </c>
      <c r="P1553" s="16" t="str">
        <f>HYPERLINK("https://ceds.ed.gov/cedselementdetails.aspx?termid=26309")</f>
        <v>https://ceds.ed.gov/cedselementdetails.aspx?termid=26309</v>
      </c>
      <c r="Q1553" s="16">
        <v>73712</v>
      </c>
    </row>
    <row r="1554" spans="1:17" ht="72" x14ac:dyDescent="0.3">
      <c r="A1554" s="16" t="s">
        <v>7665</v>
      </c>
      <c r="B1554" s="16" t="s">
        <v>7680</v>
      </c>
      <c r="C1554" s="16" t="s">
        <v>7631</v>
      </c>
      <c r="D1554" s="16" t="s">
        <v>7597</v>
      </c>
      <c r="E1554" s="16" t="s">
        <v>4445</v>
      </c>
      <c r="F1554" s="16" t="s">
        <v>4446</v>
      </c>
      <c r="G1554" s="16" t="s">
        <v>32</v>
      </c>
      <c r="H1554" s="16" t="s">
        <v>4449</v>
      </c>
      <c r="I1554" s="16"/>
      <c r="J1554" s="16" t="s">
        <v>106</v>
      </c>
      <c r="K1554" s="16"/>
      <c r="L1554" s="16"/>
      <c r="M1554" s="19" t="s">
        <v>4447</v>
      </c>
      <c r="N1554" s="16"/>
      <c r="O1554" s="16" t="s">
        <v>4448</v>
      </c>
      <c r="P1554" s="16" t="str">
        <f>HYPERLINK("https://ceds.ed.gov/cedselementdetails.aspx?termid=26306")</f>
        <v>https://ceds.ed.gov/cedselementdetails.aspx?termid=26306</v>
      </c>
      <c r="Q1554" s="16">
        <v>71721</v>
      </c>
    </row>
    <row r="1555" spans="1:17" ht="288" x14ac:dyDescent="0.3">
      <c r="A1555" s="16" t="s">
        <v>7665</v>
      </c>
      <c r="B1555" s="16" t="s">
        <v>7680</v>
      </c>
      <c r="C1555" s="16" t="s">
        <v>7631</v>
      </c>
      <c r="D1555" s="16" t="s">
        <v>7597</v>
      </c>
      <c r="E1555" s="16" t="s">
        <v>4458</v>
      </c>
      <c r="F1555" s="16" t="s">
        <v>4459</v>
      </c>
      <c r="G1555" s="16" t="s">
        <v>8641</v>
      </c>
      <c r="H1555" s="16"/>
      <c r="I1555" s="16"/>
      <c r="J1555" s="16"/>
      <c r="K1555" s="16"/>
      <c r="L1555" s="16"/>
      <c r="M1555" s="19" t="s">
        <v>4460</v>
      </c>
      <c r="N1555" s="16"/>
      <c r="O1555" s="16" t="s">
        <v>4461</v>
      </c>
      <c r="P1555" s="16" t="str">
        <f>HYPERLINK("https://ceds.ed.gov/cedselementdetails.aspx?termid=27214")</f>
        <v>https://ceds.ed.gov/cedselementdetails.aspx?termid=27214</v>
      </c>
      <c r="Q1555" s="16">
        <v>71720</v>
      </c>
    </row>
    <row r="1556" spans="1:17" ht="158.4" x14ac:dyDescent="0.3">
      <c r="A1556" s="16" t="s">
        <v>7665</v>
      </c>
      <c r="B1556" s="16" t="s">
        <v>7680</v>
      </c>
      <c r="C1556" s="16" t="s">
        <v>7635</v>
      </c>
      <c r="D1556" s="16" t="s">
        <v>7597</v>
      </c>
      <c r="E1556" s="16" t="s">
        <v>4753</v>
      </c>
      <c r="F1556" s="16" t="s">
        <v>4754</v>
      </c>
      <c r="G1556" s="16" t="s">
        <v>8494</v>
      </c>
      <c r="H1556" s="16" t="s">
        <v>3047</v>
      </c>
      <c r="I1556" s="16"/>
      <c r="J1556" s="16"/>
      <c r="K1556" s="16"/>
      <c r="L1556" s="16" t="s">
        <v>7936</v>
      </c>
      <c r="M1556" s="19" t="s">
        <v>4755</v>
      </c>
      <c r="N1556" s="16"/>
      <c r="O1556" s="16" t="s">
        <v>4756</v>
      </c>
      <c r="P1556" s="16" t="str">
        <f>HYPERLINK("https://ceds.ed.gov/cedselementdetails.aspx?termid=26334")</f>
        <v>https://ceds.ed.gov/cedselementdetails.aspx?termid=26334</v>
      </c>
      <c r="Q1556" s="16">
        <v>74712</v>
      </c>
    </row>
    <row r="1557" spans="1:17" ht="158.4" x14ac:dyDescent="0.3">
      <c r="A1557" s="16" t="s">
        <v>7665</v>
      </c>
      <c r="B1557" s="16" t="s">
        <v>7680</v>
      </c>
      <c r="C1557" s="16" t="s">
        <v>7635</v>
      </c>
      <c r="D1557" s="16" t="s">
        <v>7597</v>
      </c>
      <c r="E1557" s="16" t="s">
        <v>3043</v>
      </c>
      <c r="F1557" s="16" t="s">
        <v>3044</v>
      </c>
      <c r="G1557" s="16" t="s">
        <v>8494</v>
      </c>
      <c r="H1557" s="16" t="s">
        <v>3047</v>
      </c>
      <c r="I1557" s="16"/>
      <c r="J1557" s="16"/>
      <c r="K1557" s="16"/>
      <c r="L1557" s="16" t="s">
        <v>7936</v>
      </c>
      <c r="M1557" s="19" t="s">
        <v>3045</v>
      </c>
      <c r="N1557" s="16"/>
      <c r="O1557" s="16" t="s">
        <v>3046</v>
      </c>
      <c r="P1557" s="16" t="str">
        <f>HYPERLINK("https://ceds.ed.gov/cedselementdetails.aspx?termid=26335")</f>
        <v>https://ceds.ed.gov/cedselementdetails.aspx?termid=26335</v>
      </c>
      <c r="Q1557" s="16">
        <v>74713</v>
      </c>
    </row>
    <row r="1558" spans="1:17" ht="28.8" x14ac:dyDescent="0.3">
      <c r="A1558" s="16" t="s">
        <v>7665</v>
      </c>
      <c r="B1558" s="16" t="s">
        <v>7680</v>
      </c>
      <c r="C1558" s="16" t="s">
        <v>7632</v>
      </c>
      <c r="D1558" s="16" t="s">
        <v>7597</v>
      </c>
      <c r="E1558" s="16" t="s">
        <v>7237</v>
      </c>
      <c r="F1558" s="16" t="s">
        <v>7238</v>
      </c>
      <c r="G1558" s="16" t="s">
        <v>32</v>
      </c>
      <c r="H1558" s="16"/>
      <c r="I1558" s="16"/>
      <c r="J1558" s="16" t="s">
        <v>106</v>
      </c>
      <c r="K1558" s="16"/>
      <c r="L1558" s="16"/>
      <c r="M1558" s="19" t="s">
        <v>7239</v>
      </c>
      <c r="N1558" s="16"/>
      <c r="O1558" s="16" t="s">
        <v>7240</v>
      </c>
      <c r="P1558" s="16" t="str">
        <f>HYPERLINK("https://ceds.ed.gov/cedselementdetails.aspx?termid=26680")</f>
        <v>https://ceds.ed.gov/cedselementdetails.aspx?termid=26680</v>
      </c>
      <c r="Q1558" s="16">
        <v>73709</v>
      </c>
    </row>
    <row r="1559" spans="1:17" ht="43.2" x14ac:dyDescent="0.3">
      <c r="A1559" s="16" t="s">
        <v>7665</v>
      </c>
      <c r="B1559" s="16" t="s">
        <v>7680</v>
      </c>
      <c r="C1559" s="16" t="s">
        <v>7632</v>
      </c>
      <c r="D1559" s="16" t="s">
        <v>7597</v>
      </c>
      <c r="E1559" s="16" t="s">
        <v>7241</v>
      </c>
      <c r="F1559" s="16" t="s">
        <v>7242</v>
      </c>
      <c r="G1559" s="16" t="s">
        <v>8619</v>
      </c>
      <c r="H1559" s="16" t="s">
        <v>1977</v>
      </c>
      <c r="I1559" s="16"/>
      <c r="J1559" s="16"/>
      <c r="K1559" s="16"/>
      <c r="L1559" s="16"/>
      <c r="M1559" s="19" t="s">
        <v>7243</v>
      </c>
      <c r="N1559" s="16"/>
      <c r="O1559" s="16" t="s">
        <v>7244</v>
      </c>
      <c r="P1559" s="16" t="str">
        <f>HYPERLINK("https://ceds.ed.gov/cedselementdetails.aspx?termid=26308")</f>
        <v>https://ceds.ed.gov/cedselementdetails.aspx?termid=26308</v>
      </c>
      <c r="Q1559" s="16">
        <v>73710</v>
      </c>
    </row>
    <row r="1560" spans="1:17" ht="172.8" x14ac:dyDescent="0.3">
      <c r="A1560" s="16" t="s">
        <v>7665</v>
      </c>
      <c r="B1560" s="16" t="s">
        <v>7680</v>
      </c>
      <c r="C1560" s="16" t="s">
        <v>7641</v>
      </c>
      <c r="D1560" s="16" t="s">
        <v>7597</v>
      </c>
      <c r="E1560" s="16" t="s">
        <v>5257</v>
      </c>
      <c r="F1560" s="16" t="s">
        <v>5258</v>
      </c>
      <c r="G1560" s="16" t="s">
        <v>32</v>
      </c>
      <c r="H1560" s="16" t="s">
        <v>5256</v>
      </c>
      <c r="I1560" s="16"/>
      <c r="J1560" s="16" t="s">
        <v>120</v>
      </c>
      <c r="K1560" s="16"/>
      <c r="L1560" s="16" t="s">
        <v>7905</v>
      </c>
      <c r="M1560" s="19" t="s">
        <v>5259</v>
      </c>
      <c r="N1560" s="16" t="s">
        <v>5260</v>
      </c>
      <c r="O1560" s="16" t="s">
        <v>5261</v>
      </c>
      <c r="P1560" s="16" t="str">
        <f>HYPERLINK("https://ceds.ed.gov/cedselementdetails.aspx?termid=26153")</f>
        <v>https://ceds.ed.gov/cedselementdetails.aspx?termid=26153</v>
      </c>
      <c r="Q1560" s="16">
        <v>71773</v>
      </c>
    </row>
    <row r="1561" spans="1:17" ht="172.8" x14ac:dyDescent="0.3">
      <c r="A1561" s="16" t="s">
        <v>7665</v>
      </c>
      <c r="B1561" s="16" t="s">
        <v>7680</v>
      </c>
      <c r="C1561" s="16" t="s">
        <v>7641</v>
      </c>
      <c r="D1561" s="16" t="s">
        <v>7597</v>
      </c>
      <c r="E1561" s="16" t="s">
        <v>5251</v>
      </c>
      <c r="F1561" s="16" t="s">
        <v>5252</v>
      </c>
      <c r="G1561" s="16" t="s">
        <v>8242</v>
      </c>
      <c r="H1561" s="16" t="s">
        <v>5256</v>
      </c>
      <c r="I1561" s="16"/>
      <c r="J1561" s="16"/>
      <c r="K1561" s="16"/>
      <c r="L1561" s="16"/>
      <c r="M1561" s="19" t="s">
        <v>5253</v>
      </c>
      <c r="N1561" s="16" t="s">
        <v>5254</v>
      </c>
      <c r="O1561" s="16" t="s">
        <v>5255</v>
      </c>
      <c r="P1561" s="16" t="str">
        <f>HYPERLINK("https://ceds.ed.gov/cedselementdetails.aspx?termid=26159")</f>
        <v>https://ceds.ed.gov/cedselementdetails.aspx?termid=26159</v>
      </c>
      <c r="Q1561" s="16">
        <v>71777</v>
      </c>
    </row>
    <row r="1562" spans="1:17" ht="172.8" x14ac:dyDescent="0.3">
      <c r="A1562" s="16" t="s">
        <v>7665</v>
      </c>
      <c r="B1562" s="16" t="s">
        <v>7680</v>
      </c>
      <c r="C1562" s="16" t="s">
        <v>7641</v>
      </c>
      <c r="D1562" s="16" t="s">
        <v>7597</v>
      </c>
      <c r="E1562" s="16" t="s">
        <v>6524</v>
      </c>
      <c r="F1562" s="16" t="s">
        <v>268</v>
      </c>
      <c r="G1562" s="16" t="s">
        <v>32</v>
      </c>
      <c r="H1562" s="16" t="s">
        <v>6523</v>
      </c>
      <c r="I1562" s="16"/>
      <c r="J1562" s="16" t="s">
        <v>120</v>
      </c>
      <c r="K1562" s="16"/>
      <c r="L1562" s="16" t="s">
        <v>7817</v>
      </c>
      <c r="M1562" s="19" t="s">
        <v>6525</v>
      </c>
      <c r="N1562" s="16"/>
      <c r="O1562" s="16" t="s">
        <v>6526</v>
      </c>
      <c r="P1562" s="16" t="str">
        <f>HYPERLINK("https://ceds.ed.gov/cedselementdetails.aspx?termid=26155")</f>
        <v>https://ceds.ed.gov/cedselementdetails.aspx?termid=26155</v>
      </c>
      <c r="Q1562" s="16">
        <v>71774</v>
      </c>
    </row>
    <row r="1563" spans="1:17" ht="187.2" x14ac:dyDescent="0.3">
      <c r="A1563" s="16" t="s">
        <v>7665</v>
      </c>
      <c r="B1563" s="16" t="s">
        <v>7680</v>
      </c>
      <c r="C1563" s="16" t="s">
        <v>7641</v>
      </c>
      <c r="D1563" s="16" t="s">
        <v>7597</v>
      </c>
      <c r="E1563" s="16" t="s">
        <v>6520</v>
      </c>
      <c r="F1563" s="16" t="s">
        <v>263</v>
      </c>
      <c r="G1563" s="16" t="s">
        <v>8261</v>
      </c>
      <c r="H1563" s="16" t="s">
        <v>6523</v>
      </c>
      <c r="I1563" s="16"/>
      <c r="J1563" s="16"/>
      <c r="K1563" s="16"/>
      <c r="L1563" s="16"/>
      <c r="M1563" s="19" t="s">
        <v>6521</v>
      </c>
      <c r="N1563" s="16"/>
      <c r="O1563" s="16" t="s">
        <v>6522</v>
      </c>
      <c r="P1563" s="16" t="str">
        <f>HYPERLINK("https://ceds.ed.gov/cedselementdetails.aspx?termid=26161")</f>
        <v>https://ceds.ed.gov/cedselementdetails.aspx?termid=26161</v>
      </c>
      <c r="Q1563" s="16">
        <v>71778</v>
      </c>
    </row>
    <row r="1564" spans="1:17" ht="187.2" x14ac:dyDescent="0.3">
      <c r="A1564" s="16" t="s">
        <v>7665</v>
      </c>
      <c r="B1564" s="16" t="s">
        <v>7680</v>
      </c>
      <c r="C1564" s="16" t="s">
        <v>7641</v>
      </c>
      <c r="D1564" s="16" t="s">
        <v>7597</v>
      </c>
      <c r="E1564" s="16" t="s">
        <v>5582</v>
      </c>
      <c r="F1564" s="16" t="s">
        <v>5583</v>
      </c>
      <c r="G1564" s="16" t="s">
        <v>8247</v>
      </c>
      <c r="H1564" s="16" t="s">
        <v>98</v>
      </c>
      <c r="I1564" s="16"/>
      <c r="J1564" s="16"/>
      <c r="K1564" s="16"/>
      <c r="L1564" s="16"/>
      <c r="M1564" s="19" t="s">
        <v>5584</v>
      </c>
      <c r="N1564" s="16"/>
      <c r="O1564" s="16" t="s">
        <v>5585</v>
      </c>
      <c r="P1564" s="16" t="str">
        <f>HYPERLINK("https://ceds.ed.gov/cedselementdetails.aspx?termid=26827")</f>
        <v>https://ceds.ed.gov/cedselementdetails.aspx?termid=26827</v>
      </c>
      <c r="Q1564" s="16">
        <v>74378</v>
      </c>
    </row>
    <row r="1565" spans="1:17" ht="172.8" x14ac:dyDescent="0.3">
      <c r="A1565" s="16" t="s">
        <v>7665</v>
      </c>
      <c r="B1565" s="16" t="s">
        <v>7680</v>
      </c>
      <c r="C1565" s="16" t="s">
        <v>7641</v>
      </c>
      <c r="D1565" s="16" t="s">
        <v>7597</v>
      </c>
      <c r="E1565" s="16" t="s">
        <v>6343</v>
      </c>
      <c r="F1565" s="16" t="s">
        <v>6344</v>
      </c>
      <c r="G1565" s="16" t="s">
        <v>32</v>
      </c>
      <c r="H1565" s="16" t="s">
        <v>214</v>
      </c>
      <c r="I1565" s="16"/>
      <c r="J1565" s="16" t="s">
        <v>120</v>
      </c>
      <c r="K1565" s="16"/>
      <c r="L1565" s="16" t="s">
        <v>7817</v>
      </c>
      <c r="M1565" s="19" t="s">
        <v>6345</v>
      </c>
      <c r="N1565" s="16"/>
      <c r="O1565" s="16" t="s">
        <v>6346</v>
      </c>
      <c r="P1565" s="16" t="str">
        <f>HYPERLINK("https://ceds.ed.gov/cedselementdetails.aspx?termid=26639")</f>
        <v>https://ceds.ed.gov/cedselementdetails.aspx?termid=26639</v>
      </c>
      <c r="Q1565" s="16">
        <v>71905</v>
      </c>
    </row>
    <row r="1566" spans="1:17" ht="187.2" x14ac:dyDescent="0.3">
      <c r="A1566" s="16" t="s">
        <v>7665</v>
      </c>
      <c r="B1566" s="16" t="s">
        <v>7680</v>
      </c>
      <c r="C1566" s="16" t="s">
        <v>7641</v>
      </c>
      <c r="D1566" s="16" t="s">
        <v>7597</v>
      </c>
      <c r="E1566" s="16" t="s">
        <v>6347</v>
      </c>
      <c r="F1566" s="16" t="s">
        <v>6348</v>
      </c>
      <c r="G1566" s="16" t="s">
        <v>9339</v>
      </c>
      <c r="H1566" s="16" t="s">
        <v>214</v>
      </c>
      <c r="I1566" s="16"/>
      <c r="J1566" s="16"/>
      <c r="K1566" s="16"/>
      <c r="L1566" s="16"/>
      <c r="M1566" s="19" t="s">
        <v>6349</v>
      </c>
      <c r="N1566" s="16"/>
      <c r="O1566" s="16" t="s">
        <v>6350</v>
      </c>
      <c r="P1566" s="16" t="str">
        <f>HYPERLINK("https://ceds.ed.gov/cedselementdetails.aspx?termid=26587")</f>
        <v>https://ceds.ed.gov/cedselementdetails.aspx?termid=26587</v>
      </c>
      <c r="Q1566" s="16">
        <v>71893</v>
      </c>
    </row>
    <row r="1567" spans="1:17" ht="172.8" x14ac:dyDescent="0.3">
      <c r="A1567" s="16" t="s">
        <v>7665</v>
      </c>
      <c r="B1567" s="16" t="s">
        <v>7680</v>
      </c>
      <c r="C1567" s="16" t="s">
        <v>7641</v>
      </c>
      <c r="D1567" s="16" t="s">
        <v>7597</v>
      </c>
      <c r="E1567" s="16" t="s">
        <v>6359</v>
      </c>
      <c r="F1567" s="16" t="s">
        <v>6360</v>
      </c>
      <c r="G1567" s="16" t="s">
        <v>32</v>
      </c>
      <c r="H1567" s="16" t="s">
        <v>214</v>
      </c>
      <c r="I1567" s="16"/>
      <c r="J1567" s="16" t="s">
        <v>120</v>
      </c>
      <c r="K1567" s="16"/>
      <c r="L1567" s="16" t="s">
        <v>7817</v>
      </c>
      <c r="M1567" s="19" t="s">
        <v>6361</v>
      </c>
      <c r="N1567" s="16"/>
      <c r="O1567" s="16" t="s">
        <v>6362</v>
      </c>
      <c r="P1567" s="16" t="str">
        <f>HYPERLINK("https://ceds.ed.gov/cedselementdetails.aspx?termid=26640")</f>
        <v>https://ceds.ed.gov/cedselementdetails.aspx?termid=26640</v>
      </c>
      <c r="Q1567" s="16">
        <v>71906</v>
      </c>
    </row>
    <row r="1568" spans="1:17" ht="187.2" x14ac:dyDescent="0.3">
      <c r="A1568" s="16" t="s">
        <v>7665</v>
      </c>
      <c r="B1568" s="16" t="s">
        <v>7680</v>
      </c>
      <c r="C1568" s="16" t="s">
        <v>7641</v>
      </c>
      <c r="D1568" s="16" t="s">
        <v>7597</v>
      </c>
      <c r="E1568" s="16" t="s">
        <v>6363</v>
      </c>
      <c r="F1568" s="16" t="s">
        <v>6364</v>
      </c>
      <c r="G1568" s="16" t="s">
        <v>9339</v>
      </c>
      <c r="H1568" s="16" t="s">
        <v>214</v>
      </c>
      <c r="I1568" s="16"/>
      <c r="J1568" s="16"/>
      <c r="K1568" s="16"/>
      <c r="L1568" s="16"/>
      <c r="M1568" s="19" t="s">
        <v>6365</v>
      </c>
      <c r="N1568" s="16"/>
      <c r="O1568" s="16" t="s">
        <v>6366</v>
      </c>
      <c r="P1568" s="16" t="str">
        <f>HYPERLINK("https://ceds.ed.gov/cedselementdetails.aspx?termid=26588")</f>
        <v>https://ceds.ed.gov/cedselementdetails.aspx?termid=26588</v>
      </c>
      <c r="Q1568" s="16">
        <v>71894</v>
      </c>
    </row>
    <row r="1569" spans="1:17" ht="230.4" x14ac:dyDescent="0.3">
      <c r="A1569" s="16" t="s">
        <v>7665</v>
      </c>
      <c r="B1569" s="16" t="s">
        <v>7680</v>
      </c>
      <c r="C1569" s="16" t="s">
        <v>7641</v>
      </c>
      <c r="D1569" s="16" t="s">
        <v>7597</v>
      </c>
      <c r="E1569" s="16" t="s">
        <v>6351</v>
      </c>
      <c r="F1569" s="16" t="s">
        <v>8127</v>
      </c>
      <c r="G1569" s="16" t="s">
        <v>32</v>
      </c>
      <c r="H1569" s="16"/>
      <c r="I1569" s="16"/>
      <c r="J1569" s="16" t="s">
        <v>120</v>
      </c>
      <c r="K1569" s="16"/>
      <c r="L1569" s="16" t="s">
        <v>8128</v>
      </c>
      <c r="M1569" s="19" t="s">
        <v>6353</v>
      </c>
      <c r="N1569" s="16"/>
      <c r="O1569" s="16" t="s">
        <v>6354</v>
      </c>
      <c r="P1569" s="16" t="str">
        <f>HYPERLINK("https://ceds.ed.gov/cedselementdetails.aspx?termid=27438")</f>
        <v>https://ceds.ed.gov/cedselementdetails.aspx?termid=27438</v>
      </c>
      <c r="Q1569" s="16">
        <v>74382</v>
      </c>
    </row>
    <row r="1570" spans="1:17" ht="187.2" x14ac:dyDescent="0.3">
      <c r="A1570" s="16" t="s">
        <v>7665</v>
      </c>
      <c r="B1570" s="16" t="s">
        <v>7680</v>
      </c>
      <c r="C1570" s="16" t="s">
        <v>7641</v>
      </c>
      <c r="D1570" s="16" t="s">
        <v>7597</v>
      </c>
      <c r="E1570" s="16" t="s">
        <v>6355</v>
      </c>
      <c r="F1570" s="16" t="s">
        <v>6356</v>
      </c>
      <c r="G1570" s="16" t="s">
        <v>9339</v>
      </c>
      <c r="H1570" s="16"/>
      <c r="I1570" s="16"/>
      <c r="J1570" s="16"/>
      <c r="K1570" s="16"/>
      <c r="L1570" s="16" t="s">
        <v>6352</v>
      </c>
      <c r="M1570" s="19" t="s">
        <v>6357</v>
      </c>
      <c r="N1570" s="16"/>
      <c r="O1570" s="16" t="s">
        <v>6358</v>
      </c>
      <c r="P1570" s="16" t="str">
        <f>HYPERLINK("https://ceds.ed.gov/cedselementdetails.aspx?termid=27439")</f>
        <v>https://ceds.ed.gov/cedselementdetails.aspx?termid=27439</v>
      </c>
      <c r="Q1570" s="16">
        <v>74385</v>
      </c>
    </row>
    <row r="1571" spans="1:17" ht="57.6" x14ac:dyDescent="0.3">
      <c r="A1571" s="16" t="s">
        <v>7665</v>
      </c>
      <c r="B1571" s="16" t="s">
        <v>7680</v>
      </c>
      <c r="C1571" s="16" t="s">
        <v>7641</v>
      </c>
      <c r="D1571" s="16" t="s">
        <v>7597</v>
      </c>
      <c r="E1571" s="16" t="s">
        <v>8075</v>
      </c>
      <c r="F1571" s="16" t="s">
        <v>4880</v>
      </c>
      <c r="G1571" s="16" t="s">
        <v>8686</v>
      </c>
      <c r="H1571" s="16"/>
      <c r="I1571" s="16"/>
      <c r="J1571" s="16"/>
      <c r="K1571" s="16"/>
      <c r="L1571" s="16"/>
      <c r="M1571" s="19" t="s">
        <v>4881</v>
      </c>
      <c r="N1571" s="16"/>
      <c r="O1571" s="16" t="s">
        <v>4882</v>
      </c>
      <c r="P1571" s="16" t="str">
        <f>HYPERLINK("https://ceds.ed.gov/cedselementdetails.aspx?termid=26690")</f>
        <v>https://ceds.ed.gov/cedselementdetails.aspx?termid=26690</v>
      </c>
      <c r="Q1571" s="16">
        <v>71914</v>
      </c>
    </row>
    <row r="1572" spans="1:17" ht="72" x14ac:dyDescent="0.3">
      <c r="A1572" s="16" t="s">
        <v>7665</v>
      </c>
      <c r="B1572" s="16" t="s">
        <v>7680</v>
      </c>
      <c r="C1572" s="16" t="s">
        <v>7641</v>
      </c>
      <c r="D1572" s="16" t="s">
        <v>7597</v>
      </c>
      <c r="E1572" s="16" t="s">
        <v>4060</v>
      </c>
      <c r="F1572" s="16" t="s">
        <v>4061</v>
      </c>
      <c r="G1572" s="16" t="s">
        <v>2987</v>
      </c>
      <c r="H1572" s="16" t="s">
        <v>64</v>
      </c>
      <c r="I1572" s="16"/>
      <c r="J1572" s="16"/>
      <c r="K1572" s="16"/>
      <c r="L1572" s="16"/>
      <c r="M1572" s="19" t="s">
        <v>4062</v>
      </c>
      <c r="N1572" s="16"/>
      <c r="O1572" s="16" t="s">
        <v>4063</v>
      </c>
      <c r="P1572" s="16" t="str">
        <f>HYPERLINK("https://ceds.ed.gov/cedselementdetails.aspx?termid=26122")</f>
        <v>https://ceds.ed.gov/cedselementdetails.aspx?termid=26122</v>
      </c>
      <c r="Q1572" s="16">
        <v>71756</v>
      </c>
    </row>
    <row r="1573" spans="1:17" ht="72" x14ac:dyDescent="0.3">
      <c r="A1573" s="16" t="s">
        <v>7665</v>
      </c>
      <c r="B1573" s="16" t="s">
        <v>7680</v>
      </c>
      <c r="C1573" s="16" t="s">
        <v>7641</v>
      </c>
      <c r="D1573" s="16" t="s">
        <v>7597</v>
      </c>
      <c r="E1573" s="16" t="s">
        <v>3540</v>
      </c>
      <c r="F1573" s="16" t="s">
        <v>3541</v>
      </c>
      <c r="G1573" s="16" t="s">
        <v>8560</v>
      </c>
      <c r="H1573" s="16" t="s">
        <v>214</v>
      </c>
      <c r="I1573" s="16"/>
      <c r="J1573" s="16"/>
      <c r="K1573" s="16"/>
      <c r="L1573" s="16"/>
      <c r="M1573" s="19" t="s">
        <v>3542</v>
      </c>
      <c r="N1573" s="16"/>
      <c r="O1573" s="16" t="s">
        <v>3543</v>
      </c>
      <c r="P1573" s="16" t="str">
        <f>HYPERLINK("https://ceds.ed.gov/cedselementdetails.aspx?termid=26094")</f>
        <v>https://ceds.ed.gov/cedselementdetails.aspx?termid=26094</v>
      </c>
      <c r="Q1573" s="16">
        <v>71746</v>
      </c>
    </row>
    <row r="1574" spans="1:17" ht="172.8" x14ac:dyDescent="0.3">
      <c r="A1574" s="16" t="s">
        <v>7665</v>
      </c>
      <c r="B1574" s="16" t="s">
        <v>7680</v>
      </c>
      <c r="C1574" s="16" t="s">
        <v>7641</v>
      </c>
      <c r="D1574" s="16" t="s">
        <v>7597</v>
      </c>
      <c r="E1574" s="16" t="s">
        <v>3526</v>
      </c>
      <c r="F1574" s="16" t="s">
        <v>3527</v>
      </c>
      <c r="G1574" s="16" t="s">
        <v>32</v>
      </c>
      <c r="H1574" s="16" t="s">
        <v>3530</v>
      </c>
      <c r="I1574" s="16"/>
      <c r="J1574" s="16" t="s">
        <v>106</v>
      </c>
      <c r="K1574" s="16"/>
      <c r="L1574" s="16"/>
      <c r="M1574" s="19" t="s">
        <v>3528</v>
      </c>
      <c r="N1574" s="16"/>
      <c r="O1574" s="16" t="s">
        <v>3529</v>
      </c>
      <c r="P1574" s="16" t="str">
        <f>HYPERLINK("https://ceds.ed.gov/cedselementdetails.aspx?termid=26097")</f>
        <v>https://ceds.ed.gov/cedselementdetails.aspx?termid=26097</v>
      </c>
      <c r="Q1574" s="16">
        <v>71747</v>
      </c>
    </row>
    <row r="1575" spans="1:17" ht="331.2" x14ac:dyDescent="0.3">
      <c r="A1575" s="16" t="s">
        <v>7665</v>
      </c>
      <c r="B1575" s="16" t="s">
        <v>7680</v>
      </c>
      <c r="C1575" s="16" t="s">
        <v>7641</v>
      </c>
      <c r="D1575" s="16" t="s">
        <v>7597</v>
      </c>
      <c r="E1575" s="16" t="s">
        <v>3548</v>
      </c>
      <c r="F1575" s="16" t="s">
        <v>3549</v>
      </c>
      <c r="G1575" s="16" t="s">
        <v>8235</v>
      </c>
      <c r="H1575" s="16" t="s">
        <v>1863</v>
      </c>
      <c r="I1575" s="16"/>
      <c r="J1575" s="16"/>
      <c r="K1575" s="16"/>
      <c r="L1575" s="16"/>
      <c r="M1575" s="19" t="s">
        <v>3551</v>
      </c>
      <c r="N1575" s="16"/>
      <c r="O1575" s="16" t="s">
        <v>3552</v>
      </c>
      <c r="P1575" s="16" t="str">
        <f>HYPERLINK("https://ceds.ed.gov/cedselementdetails.aspx?termid=26100")</f>
        <v>https://ceds.ed.gov/cedselementdetails.aspx?termid=26100</v>
      </c>
      <c r="Q1575" s="16">
        <v>71749</v>
      </c>
    </row>
    <row r="1576" spans="1:17" ht="409.6" x14ac:dyDescent="0.3">
      <c r="A1576" s="16" t="s">
        <v>7665</v>
      </c>
      <c r="B1576" s="16" t="s">
        <v>7680</v>
      </c>
      <c r="C1576" s="16" t="s">
        <v>7641</v>
      </c>
      <c r="D1576" s="16" t="s">
        <v>7597</v>
      </c>
      <c r="E1576" s="16" t="s">
        <v>3553</v>
      </c>
      <c r="F1576" s="16" t="s">
        <v>3554</v>
      </c>
      <c r="G1576" s="16" t="s">
        <v>13043</v>
      </c>
      <c r="H1576" s="16" t="s">
        <v>64</v>
      </c>
      <c r="I1576" s="16"/>
      <c r="J1576" s="16"/>
      <c r="K1576" s="16"/>
      <c r="L1576" s="16"/>
      <c r="M1576" s="19" t="s">
        <v>3555</v>
      </c>
      <c r="N1576" s="16"/>
      <c r="O1576" s="16" t="s">
        <v>3556</v>
      </c>
      <c r="P1576" s="16" t="str">
        <f>HYPERLINK("https://ceds.ed.gov/cedselementdetails.aspx?termid=26099")</f>
        <v>https://ceds.ed.gov/cedselementdetails.aspx?termid=26099</v>
      </c>
      <c r="Q1576" s="16">
        <v>71748</v>
      </c>
    </row>
    <row r="1577" spans="1:17" ht="57.6" x14ac:dyDescent="0.3">
      <c r="A1577" s="16" t="s">
        <v>7665</v>
      </c>
      <c r="B1577" s="16" t="s">
        <v>7680</v>
      </c>
      <c r="C1577" s="16" t="s">
        <v>7641</v>
      </c>
      <c r="D1577" s="16" t="s">
        <v>7597</v>
      </c>
      <c r="E1577" s="16" t="s">
        <v>3531</v>
      </c>
      <c r="F1577" s="16" t="s">
        <v>3532</v>
      </c>
      <c r="G1577" s="16" t="s">
        <v>32</v>
      </c>
      <c r="H1577" s="16" t="s">
        <v>58</v>
      </c>
      <c r="I1577" s="16"/>
      <c r="J1577" s="16" t="s">
        <v>106</v>
      </c>
      <c r="K1577" s="16"/>
      <c r="L1577" s="16" t="s">
        <v>131</v>
      </c>
      <c r="M1577" s="19" t="s">
        <v>3533</v>
      </c>
      <c r="N1577" s="16"/>
      <c r="O1577" s="16" t="s">
        <v>3534</v>
      </c>
      <c r="P1577" s="16" t="str">
        <f>HYPERLINK("https://ceds.ed.gov/cedselementdetails.aspx?termid=26107")</f>
        <v>https://ceds.ed.gov/cedselementdetails.aspx?termid=26107</v>
      </c>
      <c r="Q1577" s="16">
        <v>71750</v>
      </c>
    </row>
    <row r="1578" spans="1:17" ht="331.2" x14ac:dyDescent="0.3">
      <c r="A1578" s="16" t="s">
        <v>7665</v>
      </c>
      <c r="B1578" s="16" t="s">
        <v>7680</v>
      </c>
      <c r="C1578" s="16" t="s">
        <v>7641</v>
      </c>
      <c r="D1578" s="16" t="s">
        <v>7597</v>
      </c>
      <c r="E1578" s="16" t="s">
        <v>3557</v>
      </c>
      <c r="F1578" s="16" t="s">
        <v>3558</v>
      </c>
      <c r="G1578" s="16" t="s">
        <v>8235</v>
      </c>
      <c r="H1578" s="16"/>
      <c r="I1578" s="16"/>
      <c r="J1578" s="16"/>
      <c r="K1578" s="16"/>
      <c r="L1578" s="16"/>
      <c r="M1578" s="19" t="s">
        <v>3559</v>
      </c>
      <c r="N1578" s="16"/>
      <c r="O1578" s="16" t="s">
        <v>3560</v>
      </c>
      <c r="P1578" s="16" t="str">
        <f>HYPERLINK("https://ceds.ed.gov/cedselementdetails.aspx?termid=27177")</f>
        <v>https://ceds.ed.gov/cedselementdetails.aspx?termid=27177</v>
      </c>
      <c r="Q1578" s="16">
        <v>71623</v>
      </c>
    </row>
    <row r="1579" spans="1:17" ht="409.6" x14ac:dyDescent="0.3">
      <c r="A1579" s="16" t="s">
        <v>7665</v>
      </c>
      <c r="B1579" s="16" t="s">
        <v>7680</v>
      </c>
      <c r="C1579" s="16" t="s">
        <v>7641</v>
      </c>
      <c r="D1579" s="16" t="s">
        <v>7597</v>
      </c>
      <c r="E1579" s="16" t="s">
        <v>3566</v>
      </c>
      <c r="F1579" s="16" t="s">
        <v>7971</v>
      </c>
      <c r="G1579" s="16" t="s">
        <v>9426</v>
      </c>
      <c r="H1579" s="16" t="s">
        <v>3568</v>
      </c>
      <c r="I1579" s="16"/>
      <c r="J1579" s="16"/>
      <c r="K1579" s="16"/>
      <c r="L1579" s="16" t="s">
        <v>12993</v>
      </c>
      <c r="M1579" s="19"/>
      <c r="N1579" s="16"/>
      <c r="O1579" s="16"/>
      <c r="P1579" s="16"/>
      <c r="Q1579" s="16"/>
    </row>
    <row r="1580" spans="1:17" ht="57.6" x14ac:dyDescent="0.3">
      <c r="A1580" s="16"/>
      <c r="B1580" s="16" t="s">
        <v>12994</v>
      </c>
      <c r="C1580" s="16"/>
      <c r="D1580" s="16"/>
      <c r="E1580" s="16"/>
      <c r="F1580" s="16"/>
      <c r="G1580" s="16"/>
      <c r="H1580" s="16"/>
      <c r="I1580" s="16"/>
      <c r="J1580" s="16"/>
      <c r="K1580" s="16"/>
      <c r="L1580" s="16"/>
      <c r="M1580" s="19"/>
      <c r="N1580" s="16"/>
      <c r="O1580" s="16"/>
      <c r="P1580" s="16"/>
      <c r="Q1580" s="16"/>
    </row>
    <row r="1581" spans="1:17" ht="72" x14ac:dyDescent="0.3">
      <c r="A1581" s="16"/>
      <c r="B1581" s="16" t="s">
        <v>12995</v>
      </c>
      <c r="C1581" s="16"/>
      <c r="D1581" s="16"/>
      <c r="E1581" s="16"/>
      <c r="F1581" s="16"/>
      <c r="G1581" s="16"/>
      <c r="H1581" s="16"/>
      <c r="I1581" s="16"/>
      <c r="J1581" s="16"/>
      <c r="K1581" s="16"/>
      <c r="L1581" s="16"/>
      <c r="M1581" s="19"/>
      <c r="N1581" s="16"/>
      <c r="O1581" s="16"/>
      <c r="P1581" s="16"/>
      <c r="Q1581" s="16"/>
    </row>
    <row r="1582" spans="1:17" ht="115.2" x14ac:dyDescent="0.3">
      <c r="A1582" s="16"/>
      <c r="B1582" s="16" t="s">
        <v>12996</v>
      </c>
      <c r="C1582" s="16"/>
      <c r="D1582" s="16"/>
      <c r="E1582" s="16"/>
      <c r="F1582" s="16"/>
      <c r="G1582" s="16"/>
      <c r="H1582" s="16"/>
      <c r="I1582" s="16"/>
      <c r="J1582" s="16"/>
      <c r="K1582" s="16"/>
      <c r="L1582" s="16"/>
      <c r="M1582" s="19"/>
      <c r="N1582" s="16"/>
      <c r="O1582" s="16"/>
      <c r="P1582" s="16"/>
      <c r="Q1582" s="16"/>
    </row>
    <row r="1583" spans="1:17" ht="129.6" x14ac:dyDescent="0.3">
      <c r="A1583" s="16"/>
      <c r="B1583" s="16" t="s">
        <v>12997</v>
      </c>
      <c r="C1583" s="16">
        <v>110</v>
      </c>
      <c r="D1583" s="16"/>
      <c r="E1583" s="16" t="s">
        <v>3567</v>
      </c>
      <c r="F1583" s="16" t="str">
        <f>HYPERLINK("https://ceds.ed.gov/cedselementdetails.aspx?termid=26110")</f>
        <v>https://ceds.ed.gov/cedselementdetails.aspx?termid=26110</v>
      </c>
      <c r="G1583" s="16">
        <v>71752</v>
      </c>
      <c r="H1583" s="16"/>
      <c r="I1583" s="16"/>
      <c r="J1583" s="16"/>
      <c r="K1583" s="16"/>
      <c r="L1583" s="16"/>
      <c r="M1583" s="19"/>
      <c r="N1583" s="16"/>
      <c r="O1583" s="16"/>
      <c r="P1583" s="16"/>
      <c r="Q1583" s="16"/>
    </row>
    <row r="1584" spans="1:17" ht="43.2" x14ac:dyDescent="0.3">
      <c r="A1584" s="16" t="s">
        <v>7665</v>
      </c>
      <c r="B1584" s="16" t="s">
        <v>7680</v>
      </c>
      <c r="C1584" s="16" t="s">
        <v>7641</v>
      </c>
      <c r="D1584" s="16" t="s">
        <v>7597</v>
      </c>
      <c r="E1584" s="16" t="s">
        <v>3561</v>
      </c>
      <c r="F1584" s="16" t="s">
        <v>3562</v>
      </c>
      <c r="G1584" s="16" t="s">
        <v>8221</v>
      </c>
      <c r="H1584" s="16" t="s">
        <v>2661</v>
      </c>
      <c r="I1584" s="16"/>
      <c r="J1584" s="16"/>
      <c r="K1584" s="16"/>
      <c r="L1584" s="16"/>
      <c r="M1584" s="19" t="s">
        <v>3564</v>
      </c>
      <c r="N1584" s="16"/>
      <c r="O1584" s="16" t="s">
        <v>3565</v>
      </c>
      <c r="P1584" s="16" t="str">
        <f>HYPERLINK("https://ceds.ed.gov/cedselementdetails.aspx?termid=26108")</f>
        <v>https://ceds.ed.gov/cedselementdetails.aspx?termid=26108</v>
      </c>
      <c r="Q1584" s="16">
        <v>71751</v>
      </c>
    </row>
    <row r="1585" spans="1:17" ht="57.6" x14ac:dyDescent="0.3">
      <c r="A1585" s="16" t="s">
        <v>7665</v>
      </c>
      <c r="B1585" s="16" t="s">
        <v>7680</v>
      </c>
      <c r="C1585" s="16" t="s">
        <v>7641</v>
      </c>
      <c r="D1585" s="16" t="s">
        <v>7597</v>
      </c>
      <c r="E1585" s="16" t="s">
        <v>2081</v>
      </c>
      <c r="F1585" s="16" t="s">
        <v>2082</v>
      </c>
      <c r="G1585" s="16" t="s">
        <v>32</v>
      </c>
      <c r="H1585" s="16" t="s">
        <v>1927</v>
      </c>
      <c r="I1585" s="16"/>
      <c r="J1585" s="16" t="s">
        <v>1807</v>
      </c>
      <c r="K1585" s="16"/>
      <c r="L1585" s="16"/>
      <c r="M1585" s="19" t="s">
        <v>2084</v>
      </c>
      <c r="N1585" s="16"/>
      <c r="O1585" s="16" t="s">
        <v>2085</v>
      </c>
      <c r="P1585" s="16" t="str">
        <f>HYPERLINK("https://ceds.ed.gov/cedselementdetails.aspx?termid=26046")</f>
        <v>https://ceds.ed.gov/cedselementdetails.aspx?termid=26046</v>
      </c>
      <c r="Q1585" s="16">
        <v>71000</v>
      </c>
    </row>
    <row r="1586" spans="1:17" ht="43.2" x14ac:dyDescent="0.3">
      <c r="A1586" s="16" t="s">
        <v>7665</v>
      </c>
      <c r="B1586" s="16" t="s">
        <v>7680</v>
      </c>
      <c r="C1586" s="16" t="s">
        <v>7641</v>
      </c>
      <c r="D1586" s="16" t="s">
        <v>7597</v>
      </c>
      <c r="E1586" s="16" t="s">
        <v>2077</v>
      </c>
      <c r="F1586" s="16" t="s">
        <v>7342</v>
      </c>
      <c r="G1586" s="16" t="s">
        <v>32</v>
      </c>
      <c r="H1586" s="16" t="s">
        <v>2080</v>
      </c>
      <c r="I1586" s="16"/>
      <c r="J1586" s="16" t="s">
        <v>1807</v>
      </c>
      <c r="K1586" s="16"/>
      <c r="L1586" s="16"/>
      <c r="M1586" s="19" t="s">
        <v>2078</v>
      </c>
      <c r="N1586" s="16"/>
      <c r="O1586" s="16" t="s">
        <v>2079</v>
      </c>
      <c r="P1586" s="16" t="str">
        <f>HYPERLINK("https://ceds.ed.gov/cedselementdetails.aspx?termid=26577")</f>
        <v>https://ceds.ed.gov/cedselementdetails.aspx?termid=26577</v>
      </c>
      <c r="Q1586" s="16">
        <v>71888</v>
      </c>
    </row>
    <row r="1587" spans="1:17" ht="43.2" x14ac:dyDescent="0.3">
      <c r="A1587" s="16" t="s">
        <v>7665</v>
      </c>
      <c r="B1587" s="16" t="s">
        <v>7680</v>
      </c>
      <c r="C1587" s="16" t="s">
        <v>7641</v>
      </c>
      <c r="D1587" s="16" t="s">
        <v>7597</v>
      </c>
      <c r="E1587" s="16" t="s">
        <v>4050</v>
      </c>
      <c r="F1587" s="16" t="s">
        <v>4051</v>
      </c>
      <c r="G1587" s="16" t="s">
        <v>22</v>
      </c>
      <c r="H1587" s="16" t="s">
        <v>25</v>
      </c>
      <c r="I1587" s="16"/>
      <c r="J1587" s="16"/>
      <c r="K1587" s="16"/>
      <c r="L1587" s="16"/>
      <c r="M1587" s="19" t="s">
        <v>4052</v>
      </c>
      <c r="N1587" s="16"/>
      <c r="O1587" s="16" t="s">
        <v>4053</v>
      </c>
      <c r="P1587" s="16" t="str">
        <f>HYPERLINK("https://ceds.ed.gov/cedselementdetails.aspx?termid=26120")</f>
        <v>https://ceds.ed.gov/cedselementdetails.aspx?termid=26120</v>
      </c>
      <c r="Q1587" s="16">
        <v>71754</v>
      </c>
    </row>
    <row r="1588" spans="1:17" ht="43.2" x14ac:dyDescent="0.3">
      <c r="A1588" s="16" t="s">
        <v>7665</v>
      </c>
      <c r="B1588" s="16" t="s">
        <v>7680</v>
      </c>
      <c r="C1588" s="16" t="s">
        <v>7641</v>
      </c>
      <c r="D1588" s="16" t="s">
        <v>7597</v>
      </c>
      <c r="E1588" s="16" t="s">
        <v>3159</v>
      </c>
      <c r="F1588" s="16" t="s">
        <v>3160</v>
      </c>
      <c r="G1588" s="16" t="s">
        <v>22</v>
      </c>
      <c r="H1588" s="16"/>
      <c r="I1588" s="16"/>
      <c r="J1588" s="16"/>
      <c r="K1588" s="16"/>
      <c r="L1588" s="16"/>
      <c r="M1588" s="19" t="s">
        <v>3162</v>
      </c>
      <c r="N1588" s="16"/>
      <c r="O1588" s="16" t="s">
        <v>3163</v>
      </c>
      <c r="P1588" s="16" t="str">
        <f>HYPERLINK("https://ceds.ed.gov/cedselementdetails.aspx?termid=26603")</f>
        <v>https://ceds.ed.gov/cedselementdetails.aspx?termid=26603</v>
      </c>
      <c r="Q1588" s="16">
        <v>71899</v>
      </c>
    </row>
    <row r="1589" spans="1:17" ht="144" x14ac:dyDescent="0.3">
      <c r="A1589" s="16" t="s">
        <v>7665</v>
      </c>
      <c r="B1589" s="16" t="s">
        <v>7680</v>
      </c>
      <c r="C1589" s="16" t="s">
        <v>7641</v>
      </c>
      <c r="D1589" s="16" t="s">
        <v>7597</v>
      </c>
      <c r="E1589" s="16" t="s">
        <v>7189</v>
      </c>
      <c r="F1589" s="16" t="s">
        <v>7190</v>
      </c>
      <c r="G1589" s="16" t="s">
        <v>22</v>
      </c>
      <c r="H1589" s="16" t="s">
        <v>214</v>
      </c>
      <c r="I1589" s="16"/>
      <c r="J1589" s="16"/>
      <c r="K1589" s="16"/>
      <c r="L1589" s="16" t="s">
        <v>8168</v>
      </c>
      <c r="M1589" s="19" t="s">
        <v>7191</v>
      </c>
      <c r="N1589" s="16"/>
      <c r="O1589" s="16" t="s">
        <v>7192</v>
      </c>
      <c r="P1589" s="16" t="str">
        <f>HYPERLINK("https://ceds.ed.gov/cedselementdetails.aspx?termid=26561")</f>
        <v>https://ceds.ed.gov/cedselementdetails.aspx?termid=26561</v>
      </c>
      <c r="Q1589" s="16">
        <v>71879</v>
      </c>
    </row>
    <row r="1590" spans="1:17" ht="72" x14ac:dyDescent="0.3">
      <c r="A1590" s="16" t="s">
        <v>7665</v>
      </c>
      <c r="B1590" s="16" t="s">
        <v>7680</v>
      </c>
      <c r="C1590" s="16" t="s">
        <v>7641</v>
      </c>
      <c r="D1590" s="16" t="s">
        <v>7597</v>
      </c>
      <c r="E1590" s="16" t="s">
        <v>3097</v>
      </c>
      <c r="F1590" s="16" t="s">
        <v>3098</v>
      </c>
      <c r="G1590" s="16" t="s">
        <v>8502</v>
      </c>
      <c r="H1590" s="16" t="s">
        <v>3102</v>
      </c>
      <c r="I1590" s="16"/>
      <c r="J1590" s="16"/>
      <c r="K1590" s="16"/>
      <c r="L1590" s="16"/>
      <c r="M1590" s="19" t="s">
        <v>3100</v>
      </c>
      <c r="N1590" s="16"/>
      <c r="O1590" s="16" t="s">
        <v>3101</v>
      </c>
      <c r="P1590" s="16" t="str">
        <f>HYPERLINK("https://ceds.ed.gov/cedselementdetails.aspx?termid=27569")</f>
        <v>https://ceds.ed.gov/cedselementdetails.aspx?termid=27569</v>
      </c>
      <c r="Q1590" s="16">
        <v>74143</v>
      </c>
    </row>
    <row r="1591" spans="1:17" ht="302.39999999999998" x14ac:dyDescent="0.3">
      <c r="A1591" s="16" t="s">
        <v>7665</v>
      </c>
      <c r="B1591" s="16" t="s">
        <v>7680</v>
      </c>
      <c r="C1591" s="16" t="s">
        <v>7641</v>
      </c>
      <c r="D1591" s="16" t="s">
        <v>7597</v>
      </c>
      <c r="E1591" s="16" t="s">
        <v>6065</v>
      </c>
      <c r="F1591" s="16" t="s">
        <v>6066</v>
      </c>
      <c r="G1591" s="16" t="s">
        <v>8797</v>
      </c>
      <c r="H1591" s="16"/>
      <c r="I1591" s="16"/>
      <c r="J1591" s="16"/>
      <c r="K1591" s="16"/>
      <c r="L1591" s="16"/>
      <c r="M1591" s="19" t="s">
        <v>6068</v>
      </c>
      <c r="N1591" s="16"/>
      <c r="O1591" s="16" t="s">
        <v>6069</v>
      </c>
      <c r="P1591" s="16" t="str">
        <f>HYPERLINK("https://ceds.ed.gov/cedselementdetails.aspx?termid=27210")</f>
        <v>https://ceds.ed.gov/cedselementdetails.aspx?termid=27210</v>
      </c>
      <c r="Q1591" s="16">
        <v>73695</v>
      </c>
    </row>
    <row r="1592" spans="1:17" ht="86.4" x14ac:dyDescent="0.3">
      <c r="A1592" s="16" t="s">
        <v>7665</v>
      </c>
      <c r="B1592" s="16" t="s">
        <v>7680</v>
      </c>
      <c r="C1592" s="16" t="s">
        <v>7641</v>
      </c>
      <c r="D1592" s="16" t="s">
        <v>7597</v>
      </c>
      <c r="E1592" s="16" t="s">
        <v>6928</v>
      </c>
      <c r="F1592" s="16" t="s">
        <v>6929</v>
      </c>
      <c r="G1592" s="16" t="s">
        <v>8840</v>
      </c>
      <c r="H1592" s="16"/>
      <c r="I1592" s="16"/>
      <c r="J1592" s="16"/>
      <c r="K1592" s="16"/>
      <c r="L1592" s="16"/>
      <c r="M1592" s="19" t="s">
        <v>6930</v>
      </c>
      <c r="N1592" s="16"/>
      <c r="O1592" s="16" t="s">
        <v>6931</v>
      </c>
      <c r="P1592" s="16" t="str">
        <f>HYPERLINK("https://ceds.ed.gov/cedselementdetails.aspx?termid=27843")</f>
        <v>https://ceds.ed.gov/cedselementdetails.aspx?termid=27843</v>
      </c>
      <c r="Q1592" s="16">
        <v>75148</v>
      </c>
    </row>
    <row r="1593" spans="1:17" ht="72" x14ac:dyDescent="0.3">
      <c r="A1593" s="16" t="s">
        <v>7665</v>
      </c>
      <c r="B1593" s="16" t="s">
        <v>7680</v>
      </c>
      <c r="C1593" s="16" t="s">
        <v>7641</v>
      </c>
      <c r="D1593" s="16" t="s">
        <v>7597</v>
      </c>
      <c r="E1593" s="16" t="s">
        <v>4028</v>
      </c>
      <c r="F1593" s="16" t="s">
        <v>4029</v>
      </c>
      <c r="G1593" s="16" t="s">
        <v>32</v>
      </c>
      <c r="H1593" s="16"/>
      <c r="I1593" s="16"/>
      <c r="J1593" s="16" t="s">
        <v>4030</v>
      </c>
      <c r="K1593" s="16"/>
      <c r="L1593" s="16"/>
      <c r="M1593" s="19" t="s">
        <v>4031</v>
      </c>
      <c r="N1593" s="16"/>
      <c r="O1593" s="16" t="s">
        <v>4032</v>
      </c>
      <c r="P1593" s="16" t="str">
        <f>HYPERLINK("https://ceds.ed.gov/cedselementdetails.aspx?termid=27906")</f>
        <v>https://ceds.ed.gov/cedselementdetails.aspx?termid=27906</v>
      </c>
      <c r="Q1593" s="16">
        <v>75346</v>
      </c>
    </row>
    <row r="1594" spans="1:17" ht="43.2" x14ac:dyDescent="0.3">
      <c r="A1594" s="16" t="s">
        <v>7665</v>
      </c>
      <c r="B1594" s="16" t="s">
        <v>7680</v>
      </c>
      <c r="C1594" s="16" t="s">
        <v>7641</v>
      </c>
      <c r="D1594" s="16" t="s">
        <v>7597</v>
      </c>
      <c r="E1594" s="16" t="s">
        <v>369</v>
      </c>
      <c r="F1594" s="16" t="s">
        <v>7829</v>
      </c>
      <c r="G1594" s="16" t="s">
        <v>32</v>
      </c>
      <c r="H1594" s="16" t="s">
        <v>372</v>
      </c>
      <c r="I1594" s="16"/>
      <c r="J1594" s="16" t="s">
        <v>106</v>
      </c>
      <c r="K1594" s="16"/>
      <c r="L1594" s="16"/>
      <c r="M1594" s="19" t="s">
        <v>370</v>
      </c>
      <c r="N1594" s="16"/>
      <c r="O1594" s="16" t="s">
        <v>371</v>
      </c>
      <c r="P1594" s="16" t="str">
        <f>HYPERLINK("https://ceds.ed.gov/cedselementdetails.aspx?termid=26323")</f>
        <v>https://ceds.ed.gov/cedselementdetails.aspx?termid=26323</v>
      </c>
      <c r="Q1594" s="16">
        <v>75567</v>
      </c>
    </row>
    <row r="1595" spans="1:17" ht="230.4" x14ac:dyDescent="0.3">
      <c r="A1595" s="16" t="s">
        <v>7665</v>
      </c>
      <c r="B1595" s="16" t="s">
        <v>7680</v>
      </c>
      <c r="C1595" s="16" t="s">
        <v>7641</v>
      </c>
      <c r="D1595" s="16" t="s">
        <v>7597</v>
      </c>
      <c r="E1595" s="16" t="s">
        <v>7543</v>
      </c>
      <c r="F1595" s="16" t="s">
        <v>7544</v>
      </c>
      <c r="G1595" s="16" t="s">
        <v>13093</v>
      </c>
      <c r="H1595" s="16"/>
      <c r="I1595" s="16" t="s">
        <v>160</v>
      </c>
      <c r="J1595" s="16"/>
      <c r="K1595" s="16" t="s">
        <v>12951</v>
      </c>
      <c r="L1595" s="16"/>
      <c r="M1595" s="19" t="s">
        <v>7545</v>
      </c>
      <c r="N1595" s="16"/>
      <c r="O1595" s="16" t="s">
        <v>7543</v>
      </c>
      <c r="P1595" s="16" t="str">
        <f>HYPERLINK("https://ceds.ed.gov/cedselementdetails.aspx?termid=27959")</f>
        <v>https://ceds.ed.gov/cedselementdetails.aspx?termid=27959</v>
      </c>
      <c r="Q1595" s="16">
        <v>75568</v>
      </c>
    </row>
    <row r="1596" spans="1:17" ht="86.4" x14ac:dyDescent="0.3">
      <c r="A1596" s="16" t="s">
        <v>7665</v>
      </c>
      <c r="B1596" s="16" t="s">
        <v>7680</v>
      </c>
      <c r="C1596" s="16" t="s">
        <v>7641</v>
      </c>
      <c r="D1596" s="16" t="s">
        <v>7597</v>
      </c>
      <c r="E1596" s="16" t="s">
        <v>7579</v>
      </c>
      <c r="F1596" s="16" t="s">
        <v>7580</v>
      </c>
      <c r="G1596" s="16" t="s">
        <v>8200</v>
      </c>
      <c r="H1596" s="16"/>
      <c r="I1596" s="16"/>
      <c r="J1596" s="16"/>
      <c r="K1596" s="16"/>
      <c r="L1596" s="16" t="s">
        <v>7581</v>
      </c>
      <c r="M1596" s="19" t="s">
        <v>7582</v>
      </c>
      <c r="N1596" s="16"/>
      <c r="O1596" s="16" t="s">
        <v>7583</v>
      </c>
      <c r="P1596" s="16" t="str">
        <f>HYPERLINK("https://ceds.ed.gov/cedselementdetails.aspx?termid=27968")</f>
        <v>https://ceds.ed.gov/cedselementdetails.aspx?termid=27968</v>
      </c>
      <c r="Q1596" s="16">
        <v>75569</v>
      </c>
    </row>
    <row r="1597" spans="1:17" ht="409.6" x14ac:dyDescent="0.3">
      <c r="A1597" s="16" t="s">
        <v>7665</v>
      </c>
      <c r="B1597" s="16" t="s">
        <v>7680</v>
      </c>
      <c r="C1597" s="16" t="s">
        <v>7641</v>
      </c>
      <c r="D1597" s="16" t="s">
        <v>7597</v>
      </c>
      <c r="E1597" s="16" t="s">
        <v>8891</v>
      </c>
      <c r="F1597" s="16" t="s">
        <v>8892</v>
      </c>
      <c r="G1597" s="16" t="s">
        <v>9427</v>
      </c>
      <c r="H1597" s="16"/>
      <c r="I1597" s="16"/>
      <c r="J1597" s="16" t="s">
        <v>2</v>
      </c>
      <c r="K1597" s="16"/>
      <c r="L1597" s="16" t="s">
        <v>8893</v>
      </c>
      <c r="M1597" s="19" t="s">
        <v>8894</v>
      </c>
      <c r="N1597" s="16"/>
      <c r="O1597" s="16" t="s">
        <v>8895</v>
      </c>
      <c r="P1597" s="16" t="str">
        <f>HYPERLINK("https://ceds.ed.gov/cedselementdetails.aspx?termid=28000")</f>
        <v>https://ceds.ed.gov/cedselementdetails.aspx?termid=28000</v>
      </c>
      <c r="Q1597" s="16">
        <v>76204</v>
      </c>
    </row>
    <row r="1598" spans="1:17" ht="403.2" x14ac:dyDescent="0.3">
      <c r="A1598" s="16" t="s">
        <v>7665</v>
      </c>
      <c r="B1598" s="16" t="s">
        <v>7680</v>
      </c>
      <c r="C1598" s="16" t="s">
        <v>7641</v>
      </c>
      <c r="D1598" s="16" t="s">
        <v>7597</v>
      </c>
      <c r="E1598" s="16" t="s">
        <v>8950</v>
      </c>
      <c r="F1598" s="16" t="s">
        <v>8951</v>
      </c>
      <c r="G1598" s="16" t="s">
        <v>9424</v>
      </c>
      <c r="H1598" s="16"/>
      <c r="I1598" s="16"/>
      <c r="J1598" s="16" t="s">
        <v>2</v>
      </c>
      <c r="K1598" s="16"/>
      <c r="L1598" s="16"/>
      <c r="M1598" s="19" t="s">
        <v>8952</v>
      </c>
      <c r="N1598" s="16"/>
      <c r="O1598" s="16" t="s">
        <v>8953</v>
      </c>
      <c r="P1598" s="16" t="str">
        <f>HYPERLINK("https://ceds.ed.gov/cedselementdetails.aspx?termid=28014")</f>
        <v>https://ceds.ed.gov/cedselementdetails.aspx?termid=28014</v>
      </c>
      <c r="Q1598" s="16">
        <v>76205</v>
      </c>
    </row>
    <row r="1599" spans="1:17" ht="57.6" x14ac:dyDescent="0.3">
      <c r="A1599" s="16" t="s">
        <v>7665</v>
      </c>
      <c r="B1599" s="16" t="s">
        <v>7680</v>
      </c>
      <c r="C1599" s="16" t="s">
        <v>7641</v>
      </c>
      <c r="D1599" s="16" t="s">
        <v>7597</v>
      </c>
      <c r="E1599" s="16" t="s">
        <v>9259</v>
      </c>
      <c r="F1599" s="16" t="s">
        <v>9260</v>
      </c>
      <c r="G1599" s="16" t="s">
        <v>9308</v>
      </c>
      <c r="H1599" s="16"/>
      <c r="I1599" s="16"/>
      <c r="J1599" s="16" t="s">
        <v>2</v>
      </c>
      <c r="K1599" s="16"/>
      <c r="L1599" s="16"/>
      <c r="M1599" s="19" t="s">
        <v>9261</v>
      </c>
      <c r="N1599" s="16"/>
      <c r="O1599" s="16" t="s">
        <v>9262</v>
      </c>
      <c r="P1599" s="16" t="str">
        <f>HYPERLINK("https://ceds.ed.gov/cedselementdetails.aspx?termid=28088")</f>
        <v>https://ceds.ed.gov/cedselementdetails.aspx?termid=28088</v>
      </c>
      <c r="Q1599" s="16">
        <v>76206</v>
      </c>
    </row>
    <row r="1600" spans="1:17" ht="28.8" x14ac:dyDescent="0.3">
      <c r="A1600" s="16" t="s">
        <v>7665</v>
      </c>
      <c r="B1600" s="16" t="s">
        <v>7680</v>
      </c>
      <c r="C1600" s="16" t="s">
        <v>7641</v>
      </c>
      <c r="D1600" s="16" t="s">
        <v>7597</v>
      </c>
      <c r="E1600" s="16" t="s">
        <v>12752</v>
      </c>
      <c r="F1600" s="16" t="s">
        <v>12753</v>
      </c>
      <c r="G1600" s="16" t="s">
        <v>32</v>
      </c>
      <c r="H1600" s="16"/>
      <c r="I1600" s="16" t="s">
        <v>155</v>
      </c>
      <c r="J1600" s="16" t="s">
        <v>106</v>
      </c>
      <c r="K1600" s="16" t="s">
        <v>12636</v>
      </c>
      <c r="L1600" s="16" t="s">
        <v>12754</v>
      </c>
      <c r="M1600" s="19" t="s">
        <v>12755</v>
      </c>
      <c r="N1600" s="16"/>
      <c r="O1600" s="16" t="s">
        <v>12756</v>
      </c>
      <c r="P1600" s="16" t="str">
        <f>HYPERLINK("https://ceds.ed.gov/cedselementdetails.aspx?termid=28110")</f>
        <v>https://ceds.ed.gov/cedselementdetails.aspx?termid=28110</v>
      </c>
      <c r="Q1600" s="16">
        <v>76587</v>
      </c>
    </row>
    <row r="1601" spans="1:17" ht="172.8" x14ac:dyDescent="0.3">
      <c r="A1601" s="16" t="s">
        <v>7665</v>
      </c>
      <c r="B1601" s="16" t="s">
        <v>7680</v>
      </c>
      <c r="C1601" s="16" t="s">
        <v>7681</v>
      </c>
      <c r="D1601" s="16" t="s">
        <v>7597</v>
      </c>
      <c r="E1601" s="16" t="s">
        <v>118</v>
      </c>
      <c r="F1601" s="16" t="s">
        <v>119</v>
      </c>
      <c r="G1601" s="16" t="s">
        <v>32</v>
      </c>
      <c r="H1601" s="16" t="s">
        <v>64</v>
      </c>
      <c r="I1601" s="16"/>
      <c r="J1601" s="16" t="s">
        <v>120</v>
      </c>
      <c r="K1601" s="16"/>
      <c r="L1601" s="16" t="s">
        <v>7817</v>
      </c>
      <c r="M1601" s="19" t="s">
        <v>122</v>
      </c>
      <c r="N1601" s="16"/>
      <c r="O1601" s="16" t="s">
        <v>123</v>
      </c>
      <c r="P1601" s="16" t="str">
        <f>HYPERLINK("https://ceds.ed.gov/cedselementdetails.aspx?termid=26006")</f>
        <v>https://ceds.ed.gov/cedselementdetails.aspx?termid=26006</v>
      </c>
      <c r="Q1601" s="16">
        <v>70989</v>
      </c>
    </row>
    <row r="1602" spans="1:17" ht="72" x14ac:dyDescent="0.3">
      <c r="A1602" s="16" t="s">
        <v>7665</v>
      </c>
      <c r="B1602" s="16" t="s">
        <v>7680</v>
      </c>
      <c r="C1602" s="16" t="s">
        <v>7681</v>
      </c>
      <c r="D1602" s="16" t="s">
        <v>7597</v>
      </c>
      <c r="E1602" s="16" t="s">
        <v>143</v>
      </c>
      <c r="F1602" s="16" t="s">
        <v>144</v>
      </c>
      <c r="G1602" s="16" t="s">
        <v>32</v>
      </c>
      <c r="H1602" s="16" t="s">
        <v>64</v>
      </c>
      <c r="I1602" s="16"/>
      <c r="J1602" s="16" t="s">
        <v>145</v>
      </c>
      <c r="K1602" s="16"/>
      <c r="L1602" s="16"/>
      <c r="M1602" s="19" t="s">
        <v>146</v>
      </c>
      <c r="N1602" s="16"/>
      <c r="O1602" s="16" t="s">
        <v>147</v>
      </c>
      <c r="P1602" s="16" t="str">
        <f>HYPERLINK("https://ceds.ed.gov/cedselementdetails.aspx?termid=26009")</f>
        <v>https://ceds.ed.gov/cedselementdetails.aspx?termid=26009</v>
      </c>
      <c r="Q1602" s="16">
        <v>70992</v>
      </c>
    </row>
    <row r="1603" spans="1:17" ht="72" x14ac:dyDescent="0.3">
      <c r="A1603" s="16" t="s">
        <v>7665</v>
      </c>
      <c r="B1603" s="16" t="s">
        <v>7680</v>
      </c>
      <c r="C1603" s="16" t="s">
        <v>7681</v>
      </c>
      <c r="D1603" s="16" t="s">
        <v>7597</v>
      </c>
      <c r="E1603" s="16" t="s">
        <v>113</v>
      </c>
      <c r="F1603" s="16" t="s">
        <v>114</v>
      </c>
      <c r="G1603" s="16" t="s">
        <v>32</v>
      </c>
      <c r="H1603" s="16"/>
      <c r="I1603" s="16"/>
      <c r="J1603" s="16" t="s">
        <v>101</v>
      </c>
      <c r="K1603" s="16"/>
      <c r="L1603" s="16"/>
      <c r="M1603" s="19" t="s">
        <v>116</v>
      </c>
      <c r="N1603" s="16"/>
      <c r="O1603" s="16" t="s">
        <v>117</v>
      </c>
      <c r="P1603" s="16" t="str">
        <f>HYPERLINK("https://ceds.ed.gov/cedselementdetails.aspx?termid=27505")</f>
        <v>https://ceds.ed.gov/cedselementdetails.aspx?termid=27505</v>
      </c>
      <c r="Q1603" s="16">
        <v>73768</v>
      </c>
    </row>
    <row r="1604" spans="1:17" ht="72" x14ac:dyDescent="0.3">
      <c r="A1604" s="16" t="s">
        <v>7665</v>
      </c>
      <c r="B1604" s="16" t="s">
        <v>7680</v>
      </c>
      <c r="C1604" s="16" t="s">
        <v>7681</v>
      </c>
      <c r="D1604" s="16" t="s">
        <v>7597</v>
      </c>
      <c r="E1604" s="16" t="s">
        <v>125</v>
      </c>
      <c r="F1604" s="16" t="s">
        <v>126</v>
      </c>
      <c r="G1604" s="16" t="s">
        <v>32</v>
      </c>
      <c r="H1604" s="16" t="s">
        <v>64</v>
      </c>
      <c r="I1604" s="16"/>
      <c r="J1604" s="16" t="s">
        <v>106</v>
      </c>
      <c r="K1604" s="16"/>
      <c r="L1604" s="16"/>
      <c r="M1604" s="19" t="s">
        <v>127</v>
      </c>
      <c r="N1604" s="16"/>
      <c r="O1604" s="16" t="s">
        <v>128</v>
      </c>
      <c r="P1604" s="16" t="str">
        <f>HYPERLINK("https://ceds.ed.gov/cedselementdetails.aspx?termid=26007")</f>
        <v>https://ceds.ed.gov/cedselementdetails.aspx?termid=26007</v>
      </c>
      <c r="Q1604" s="16">
        <v>70990</v>
      </c>
    </row>
    <row r="1605" spans="1:17" ht="72" x14ac:dyDescent="0.3">
      <c r="A1605" s="16" t="s">
        <v>7665</v>
      </c>
      <c r="B1605" s="16" t="s">
        <v>7680</v>
      </c>
      <c r="C1605" s="16" t="s">
        <v>7681</v>
      </c>
      <c r="D1605" s="16" t="s">
        <v>7597</v>
      </c>
      <c r="E1605" s="16" t="s">
        <v>129</v>
      </c>
      <c r="F1605" s="16" t="s">
        <v>130</v>
      </c>
      <c r="G1605" s="16" t="s">
        <v>32</v>
      </c>
      <c r="H1605" s="16" t="s">
        <v>64</v>
      </c>
      <c r="I1605" s="16"/>
      <c r="J1605" s="16" t="s">
        <v>106</v>
      </c>
      <c r="K1605" s="16"/>
      <c r="L1605" s="16" t="s">
        <v>131</v>
      </c>
      <c r="M1605" s="19" t="s">
        <v>132</v>
      </c>
      <c r="N1605" s="16"/>
      <c r="O1605" s="16" t="s">
        <v>133</v>
      </c>
      <c r="P1605" s="16" t="str">
        <f>HYPERLINK("https://ceds.ed.gov/cedselementdetails.aspx?termid=26008")</f>
        <v>https://ceds.ed.gov/cedselementdetails.aspx?termid=26008</v>
      </c>
      <c r="Q1605" s="16">
        <v>70991</v>
      </c>
    </row>
    <row r="1606" spans="1:17" ht="72" x14ac:dyDescent="0.3">
      <c r="A1606" s="16" t="s">
        <v>7665</v>
      </c>
      <c r="B1606" s="16" t="s">
        <v>7680</v>
      </c>
      <c r="C1606" s="16" t="s">
        <v>7681</v>
      </c>
      <c r="D1606" s="16" t="s">
        <v>7597</v>
      </c>
      <c r="E1606" s="16" t="s">
        <v>134</v>
      </c>
      <c r="F1606" s="16" t="s">
        <v>135</v>
      </c>
      <c r="G1606" s="16" t="s">
        <v>32</v>
      </c>
      <c r="H1606" s="16"/>
      <c r="I1606" s="16"/>
      <c r="J1606" s="16" t="s">
        <v>136</v>
      </c>
      <c r="K1606" s="16"/>
      <c r="L1606" s="16"/>
      <c r="M1606" s="19" t="s">
        <v>137</v>
      </c>
      <c r="N1606" s="16"/>
      <c r="O1606" s="16" t="s">
        <v>138</v>
      </c>
      <c r="P1606" s="16" t="str">
        <f>HYPERLINK("https://ceds.ed.gov/cedselementdetails.aspx?termid=27502")</f>
        <v>https://ceds.ed.gov/cedselementdetails.aspx?termid=27502</v>
      </c>
      <c r="Q1606" s="16">
        <v>73758</v>
      </c>
    </row>
    <row r="1607" spans="1:17" ht="86.4" x14ac:dyDescent="0.3">
      <c r="A1607" s="16" t="s">
        <v>7665</v>
      </c>
      <c r="B1607" s="16" t="s">
        <v>7680</v>
      </c>
      <c r="C1607" s="16" t="s">
        <v>7681</v>
      </c>
      <c r="D1607" s="16" t="s">
        <v>7597</v>
      </c>
      <c r="E1607" s="16" t="s">
        <v>139</v>
      </c>
      <c r="F1607" s="16" t="s">
        <v>140</v>
      </c>
      <c r="G1607" s="16" t="s">
        <v>8290</v>
      </c>
      <c r="H1607" s="16"/>
      <c r="I1607" s="16"/>
      <c r="J1607" s="16"/>
      <c r="K1607" s="16"/>
      <c r="L1607" s="16"/>
      <c r="M1607" s="19" t="s">
        <v>141</v>
      </c>
      <c r="N1607" s="16"/>
      <c r="O1607" s="16" t="s">
        <v>142</v>
      </c>
      <c r="P1607" s="16" t="str">
        <f>HYPERLINK("https://ceds.ed.gov/cedselementdetails.aspx?termid=27503")</f>
        <v>https://ceds.ed.gov/cedselementdetails.aspx?termid=27503</v>
      </c>
      <c r="Q1607" s="16">
        <v>73760</v>
      </c>
    </row>
    <row r="1608" spans="1:17" ht="230.4" x14ac:dyDescent="0.3">
      <c r="A1608" s="16" t="s">
        <v>7665</v>
      </c>
      <c r="B1608" s="16" t="s">
        <v>7680</v>
      </c>
      <c r="C1608" s="16" t="s">
        <v>7682</v>
      </c>
      <c r="D1608" s="16" t="s">
        <v>7597</v>
      </c>
      <c r="E1608" s="16" t="s">
        <v>5516</v>
      </c>
      <c r="F1608" s="16" t="s">
        <v>5517</v>
      </c>
      <c r="G1608" s="16" t="s">
        <v>32</v>
      </c>
      <c r="H1608" s="16" t="s">
        <v>5520</v>
      </c>
      <c r="I1608" s="16"/>
      <c r="J1608" s="16" t="s">
        <v>1481</v>
      </c>
      <c r="K1608" s="16"/>
      <c r="L1608" s="16" t="s">
        <v>8095</v>
      </c>
      <c r="M1608" s="19" t="s">
        <v>5518</v>
      </c>
      <c r="N1608" s="16"/>
      <c r="O1608" s="16" t="s">
        <v>5519</v>
      </c>
      <c r="P1608" s="16" t="str">
        <f>HYPERLINK("https://ceds.ed.gov/cedselementdetails.aspx?termid=26202")</f>
        <v>https://ceds.ed.gov/cedselementdetails.aspx?termid=26202</v>
      </c>
      <c r="Q1608" s="16">
        <v>71796</v>
      </c>
    </row>
    <row r="1609" spans="1:17" ht="100.8" x14ac:dyDescent="0.3">
      <c r="A1609" s="16" t="s">
        <v>7665</v>
      </c>
      <c r="B1609" s="16" t="s">
        <v>7680</v>
      </c>
      <c r="C1609" s="16" t="s">
        <v>7682</v>
      </c>
      <c r="D1609" s="16" t="s">
        <v>7597</v>
      </c>
      <c r="E1609" s="16" t="s">
        <v>5507</v>
      </c>
      <c r="F1609" s="16" t="s">
        <v>5508</v>
      </c>
      <c r="G1609" s="16" t="s">
        <v>32</v>
      </c>
      <c r="H1609" s="16" t="s">
        <v>5511</v>
      </c>
      <c r="I1609" s="16"/>
      <c r="J1609" s="16" t="s">
        <v>1481</v>
      </c>
      <c r="K1609" s="16"/>
      <c r="L1609" s="16"/>
      <c r="M1609" s="19" t="s">
        <v>5509</v>
      </c>
      <c r="N1609" s="16"/>
      <c r="O1609" s="16" t="s">
        <v>5510</v>
      </c>
      <c r="P1609" s="16" t="str">
        <f>HYPERLINK("https://ceds.ed.gov/cedselementdetails.aspx?termid=26201")</f>
        <v>https://ceds.ed.gov/cedselementdetails.aspx?termid=26201</v>
      </c>
      <c r="Q1609" s="16">
        <v>71795</v>
      </c>
    </row>
    <row r="1610" spans="1:17" ht="115.2" x14ac:dyDescent="0.3">
      <c r="A1610" s="16" t="s">
        <v>7665</v>
      </c>
      <c r="B1610" s="16" t="s">
        <v>7680</v>
      </c>
      <c r="C1610" s="16" t="s">
        <v>7682</v>
      </c>
      <c r="D1610" s="16" t="s">
        <v>7597</v>
      </c>
      <c r="E1610" s="16" t="s">
        <v>6909</v>
      </c>
      <c r="F1610" s="16" t="s">
        <v>6910</v>
      </c>
      <c r="G1610" s="16" t="s">
        <v>32</v>
      </c>
      <c r="H1610" s="16" t="s">
        <v>214</v>
      </c>
      <c r="I1610" s="16"/>
      <c r="J1610" s="16" t="s">
        <v>6911</v>
      </c>
      <c r="K1610" s="16"/>
      <c r="L1610" s="16"/>
      <c r="M1610" s="19" t="s">
        <v>6912</v>
      </c>
      <c r="N1610" s="16"/>
      <c r="O1610" s="16" t="s">
        <v>6913</v>
      </c>
      <c r="P1610" s="16" t="str">
        <f>HYPERLINK("https://ceds.ed.gov/cedselementdetails.aspx?termid=26271")</f>
        <v>https://ceds.ed.gov/cedselementdetails.aspx?termid=26271</v>
      </c>
      <c r="Q1610" s="16">
        <v>71816</v>
      </c>
    </row>
    <row r="1611" spans="1:17" ht="129.6" x14ac:dyDescent="0.3">
      <c r="A1611" s="16" t="s">
        <v>7665</v>
      </c>
      <c r="B1611" s="16" t="s">
        <v>7680</v>
      </c>
      <c r="C1611" s="16" t="s">
        <v>7682</v>
      </c>
      <c r="D1611" s="16" t="s">
        <v>7597</v>
      </c>
      <c r="E1611" s="16" t="s">
        <v>5844</v>
      </c>
      <c r="F1611" s="16" t="s">
        <v>5845</v>
      </c>
      <c r="G1611" s="16" t="s">
        <v>8765</v>
      </c>
      <c r="H1611" s="16"/>
      <c r="I1611" s="16"/>
      <c r="J1611" s="16"/>
      <c r="K1611" s="16"/>
      <c r="L1611" s="16"/>
      <c r="M1611" s="19" t="s">
        <v>5846</v>
      </c>
      <c r="N1611" s="16"/>
      <c r="O1611" s="16" t="s">
        <v>5847</v>
      </c>
      <c r="P1611" s="16" t="str">
        <f>HYPERLINK("https://ceds.ed.gov/cedselementdetails.aspx?termid=26593")</f>
        <v>https://ceds.ed.gov/cedselementdetails.aspx?termid=26593</v>
      </c>
      <c r="Q1611" s="16">
        <v>71896</v>
      </c>
    </row>
    <row r="1612" spans="1:17" ht="187.2" x14ac:dyDescent="0.3">
      <c r="A1612" s="16" t="s">
        <v>7665</v>
      </c>
      <c r="B1612" s="16" t="s">
        <v>7680</v>
      </c>
      <c r="C1612" s="16" t="s">
        <v>7682</v>
      </c>
      <c r="D1612" s="16" t="s">
        <v>7597</v>
      </c>
      <c r="E1612" s="16" t="s">
        <v>26</v>
      </c>
      <c r="F1612" s="16" t="s">
        <v>7812</v>
      </c>
      <c r="G1612" s="16" t="s">
        <v>8280</v>
      </c>
      <c r="H1612" s="16"/>
      <c r="I1612" s="16"/>
      <c r="J1612" s="16"/>
      <c r="K1612" s="16"/>
      <c r="L1612" s="16"/>
      <c r="M1612" s="19" t="s">
        <v>28</v>
      </c>
      <c r="N1612" s="16"/>
      <c r="O1612" s="16" t="s">
        <v>29</v>
      </c>
      <c r="P1612" s="16" t="str">
        <f>HYPERLINK("https://ceds.ed.gov/cedselementdetails.aspx?termid=26592")</f>
        <v>https://ceds.ed.gov/cedselementdetails.aspx?termid=26592</v>
      </c>
      <c r="Q1612" s="16">
        <v>71895</v>
      </c>
    </row>
    <row r="1613" spans="1:17" ht="72" x14ac:dyDescent="0.3">
      <c r="A1613" s="16" t="s">
        <v>7665</v>
      </c>
      <c r="B1613" s="16" t="s">
        <v>7680</v>
      </c>
      <c r="C1613" s="16" t="s">
        <v>7682</v>
      </c>
      <c r="D1613" s="16" t="s">
        <v>7597</v>
      </c>
      <c r="E1613" s="16" t="s">
        <v>1414</v>
      </c>
      <c r="F1613" s="16" t="s">
        <v>1415</v>
      </c>
      <c r="G1613" s="16" t="s">
        <v>8365</v>
      </c>
      <c r="H1613" s="16"/>
      <c r="I1613" s="16"/>
      <c r="J1613" s="16"/>
      <c r="K1613" s="16"/>
      <c r="L1613" s="16"/>
      <c r="M1613" s="19" t="s">
        <v>1417</v>
      </c>
      <c r="N1613" s="16"/>
      <c r="O1613" s="16" t="s">
        <v>1418</v>
      </c>
      <c r="P1613" s="16" t="str">
        <f>HYPERLINK("https://ceds.ed.gov/cedselementdetails.aspx?termid=26594")</f>
        <v>https://ceds.ed.gov/cedselementdetails.aspx?termid=26594</v>
      </c>
      <c r="Q1613" s="16">
        <v>71897</v>
      </c>
    </row>
    <row r="1614" spans="1:17" ht="28.8" x14ac:dyDescent="0.3">
      <c r="A1614" s="16" t="s">
        <v>7665</v>
      </c>
      <c r="B1614" s="16" t="s">
        <v>7680</v>
      </c>
      <c r="C1614" s="16" t="s">
        <v>7682</v>
      </c>
      <c r="D1614" s="16" t="s">
        <v>7597</v>
      </c>
      <c r="E1614" s="16" t="s">
        <v>1410</v>
      </c>
      <c r="F1614" s="16" t="s">
        <v>1411</v>
      </c>
      <c r="G1614" s="16" t="s">
        <v>32</v>
      </c>
      <c r="H1614" s="16"/>
      <c r="I1614" s="16"/>
      <c r="J1614" s="16" t="s">
        <v>106</v>
      </c>
      <c r="K1614" s="16"/>
      <c r="L1614" s="16"/>
      <c r="M1614" s="19" t="s">
        <v>1412</v>
      </c>
      <c r="N1614" s="16"/>
      <c r="O1614" s="16" t="s">
        <v>1413</v>
      </c>
      <c r="P1614" s="16" t="str">
        <f>HYPERLINK("https://ceds.ed.gov/cedselementdetails.aspx?termid=27630")</f>
        <v>https://ceds.ed.gov/cedselementdetails.aspx?termid=27630</v>
      </c>
      <c r="Q1614" s="16">
        <v>74343</v>
      </c>
    </row>
    <row r="1615" spans="1:17" ht="86.4" x14ac:dyDescent="0.3">
      <c r="A1615" s="16" t="s">
        <v>7665</v>
      </c>
      <c r="B1615" s="16" t="s">
        <v>7680</v>
      </c>
      <c r="C1615" s="16" t="s">
        <v>7682</v>
      </c>
      <c r="D1615" s="16" t="s">
        <v>7597</v>
      </c>
      <c r="E1615" s="16" t="s">
        <v>1419</v>
      </c>
      <c r="F1615" s="16" t="s">
        <v>1420</v>
      </c>
      <c r="G1615" s="16" t="s">
        <v>8211</v>
      </c>
      <c r="H1615" s="16"/>
      <c r="I1615" s="16"/>
      <c r="J1615" s="16"/>
      <c r="K1615" s="16"/>
      <c r="L1615" s="16"/>
      <c r="M1615" s="19" t="s">
        <v>1421</v>
      </c>
      <c r="N1615" s="16"/>
      <c r="O1615" s="16" t="s">
        <v>1422</v>
      </c>
      <c r="P1615" s="16" t="str">
        <f>HYPERLINK("https://ceds.ed.gov/cedselementdetails.aspx?termid=26076")</f>
        <v>https://ceds.ed.gov/cedselementdetails.aspx?termid=26076</v>
      </c>
      <c r="Q1615" s="16">
        <v>71736</v>
      </c>
    </row>
    <row r="1616" spans="1:17" x14ac:dyDescent="0.3">
      <c r="A1616" s="16" t="s">
        <v>7665</v>
      </c>
      <c r="B1616" s="16" t="s">
        <v>7680</v>
      </c>
      <c r="C1616" s="16" t="s">
        <v>7682</v>
      </c>
      <c r="D1616" s="16" t="s">
        <v>7597</v>
      </c>
      <c r="E1616" s="16" t="s">
        <v>3514</v>
      </c>
      <c r="F1616" s="16" t="s">
        <v>3515</v>
      </c>
      <c r="G1616" s="16" t="s">
        <v>32</v>
      </c>
      <c r="H1616" s="16"/>
      <c r="I1616" s="16"/>
      <c r="J1616" s="16"/>
      <c r="K1616" s="16"/>
      <c r="L1616" s="16"/>
      <c r="M1616" s="19" t="s">
        <v>3517</v>
      </c>
      <c r="N1616" s="16"/>
      <c r="O1616" s="16" t="s">
        <v>3518</v>
      </c>
      <c r="P1616" s="16" t="str">
        <f>HYPERLINK("https://ceds.ed.gov/cedselementdetails.aspx?termid=27901")</f>
        <v>https://ceds.ed.gov/cedselementdetails.aspx?termid=27901</v>
      </c>
      <c r="Q1616" s="16">
        <v>75197</v>
      </c>
    </row>
    <row r="1617" spans="1:17" x14ac:dyDescent="0.3">
      <c r="A1617" s="16" t="s">
        <v>7665</v>
      </c>
      <c r="B1617" s="16" t="s">
        <v>7680</v>
      </c>
      <c r="C1617" s="16" t="s">
        <v>7682</v>
      </c>
      <c r="D1617" s="16" t="s">
        <v>7597</v>
      </c>
      <c r="E1617" s="16" t="s">
        <v>6836</v>
      </c>
      <c r="F1617" s="16" t="s">
        <v>6837</v>
      </c>
      <c r="G1617" s="16" t="s">
        <v>32</v>
      </c>
      <c r="H1617" s="16"/>
      <c r="I1617" s="16"/>
      <c r="J1617" s="16"/>
      <c r="K1617" s="16"/>
      <c r="L1617" s="16"/>
      <c r="M1617" s="19" t="s">
        <v>6838</v>
      </c>
      <c r="N1617" s="16"/>
      <c r="O1617" s="16" t="s">
        <v>6839</v>
      </c>
      <c r="P1617" s="16" t="str">
        <f>HYPERLINK("https://ceds.ed.gov/cedselementdetails.aspx?termid=27900")</f>
        <v>https://ceds.ed.gov/cedselementdetails.aspx?termid=27900</v>
      </c>
      <c r="Q1617" s="16">
        <v>75198</v>
      </c>
    </row>
    <row r="1618" spans="1:17" ht="43.2" x14ac:dyDescent="0.3">
      <c r="A1618" s="16" t="s">
        <v>7665</v>
      </c>
      <c r="B1618" s="16" t="s">
        <v>7680</v>
      </c>
      <c r="C1618" s="16" t="s">
        <v>7682</v>
      </c>
      <c r="D1618" s="16" t="s">
        <v>7597</v>
      </c>
      <c r="E1618" s="16" t="s">
        <v>7493</v>
      </c>
      <c r="F1618" s="16" t="s">
        <v>7494</v>
      </c>
      <c r="G1618" s="16" t="s">
        <v>32</v>
      </c>
      <c r="H1618" s="16"/>
      <c r="I1618" s="16"/>
      <c r="J1618" s="16" t="s">
        <v>1481</v>
      </c>
      <c r="K1618" s="16"/>
      <c r="L1618" s="16"/>
      <c r="M1618" s="19" t="s">
        <v>7495</v>
      </c>
      <c r="N1618" s="16"/>
      <c r="O1618" s="16" t="s">
        <v>7496</v>
      </c>
      <c r="P1618" s="16" t="str">
        <f>HYPERLINK("https://ceds.ed.gov/cedselementdetails.aspx?termid=27948")</f>
        <v>https://ceds.ed.gov/cedselementdetails.aspx?termid=27948</v>
      </c>
      <c r="Q1618" s="16">
        <v>75545</v>
      </c>
    </row>
    <row r="1619" spans="1:17" ht="115.2" x14ac:dyDescent="0.3">
      <c r="A1619" s="16" t="s">
        <v>7665</v>
      </c>
      <c r="B1619" s="16" t="s">
        <v>7680</v>
      </c>
      <c r="C1619" s="16" t="s">
        <v>7682</v>
      </c>
      <c r="D1619" s="16" t="s">
        <v>7597</v>
      </c>
      <c r="E1619" s="16" t="s">
        <v>8896</v>
      </c>
      <c r="F1619" s="16" t="s">
        <v>8897</v>
      </c>
      <c r="G1619" s="16" t="s">
        <v>32</v>
      </c>
      <c r="H1619" s="16"/>
      <c r="I1619" s="16"/>
      <c r="J1619" s="16" t="s">
        <v>4030</v>
      </c>
      <c r="K1619" s="16"/>
      <c r="L1619" s="16" t="s">
        <v>8898</v>
      </c>
      <c r="M1619" s="19" t="s">
        <v>8899</v>
      </c>
      <c r="N1619" s="16"/>
      <c r="O1619" s="16" t="s">
        <v>8900</v>
      </c>
      <c r="P1619" s="16" t="str">
        <f>HYPERLINK("https://ceds.ed.gov/cedselementdetails.aspx?termid=28001")</f>
        <v>https://ceds.ed.gov/cedselementdetails.aspx?termid=28001</v>
      </c>
      <c r="Q1619" s="16">
        <v>76197</v>
      </c>
    </row>
    <row r="1620" spans="1:17" ht="28.8" x14ac:dyDescent="0.3">
      <c r="A1620" s="16" t="s">
        <v>7665</v>
      </c>
      <c r="B1620" s="16" t="s">
        <v>7680</v>
      </c>
      <c r="C1620" s="16" t="s">
        <v>7682</v>
      </c>
      <c r="D1620" s="16" t="s">
        <v>7597</v>
      </c>
      <c r="E1620" s="16" t="s">
        <v>8901</v>
      </c>
      <c r="F1620" s="16" t="s">
        <v>8902</v>
      </c>
      <c r="G1620" s="16" t="s">
        <v>32</v>
      </c>
      <c r="H1620" s="16"/>
      <c r="I1620" s="16"/>
      <c r="J1620" s="16" t="s">
        <v>4030</v>
      </c>
      <c r="K1620" s="16"/>
      <c r="L1620" s="16"/>
      <c r="M1620" s="19" t="s">
        <v>8903</v>
      </c>
      <c r="N1620" s="16"/>
      <c r="O1620" s="16" t="s">
        <v>8904</v>
      </c>
      <c r="P1620" s="16" t="str">
        <f>HYPERLINK("https://ceds.ed.gov/cedselementdetails.aspx?termid=28002")</f>
        <v>https://ceds.ed.gov/cedselementdetails.aspx?termid=28002</v>
      </c>
      <c r="Q1620" s="16">
        <v>76198</v>
      </c>
    </row>
    <row r="1621" spans="1:17" ht="28.8" x14ac:dyDescent="0.3">
      <c r="A1621" s="16" t="s">
        <v>7665</v>
      </c>
      <c r="B1621" s="16" t="s">
        <v>7680</v>
      </c>
      <c r="C1621" s="16" t="s">
        <v>7682</v>
      </c>
      <c r="D1621" s="16" t="s">
        <v>7597</v>
      </c>
      <c r="E1621" s="16" t="s">
        <v>8905</v>
      </c>
      <c r="F1621" s="16" t="s">
        <v>8906</v>
      </c>
      <c r="G1621" s="16" t="s">
        <v>32</v>
      </c>
      <c r="H1621" s="16"/>
      <c r="I1621" s="16"/>
      <c r="J1621" s="16" t="s">
        <v>4030</v>
      </c>
      <c r="K1621" s="16"/>
      <c r="L1621" s="16"/>
      <c r="M1621" s="19" t="s">
        <v>8907</v>
      </c>
      <c r="N1621" s="16"/>
      <c r="O1621" s="16" t="s">
        <v>8908</v>
      </c>
      <c r="P1621" s="16" t="str">
        <f>HYPERLINK("https://ceds.ed.gov/cedselementdetails.aspx?termid=28003")</f>
        <v>https://ceds.ed.gov/cedselementdetails.aspx?termid=28003</v>
      </c>
      <c r="Q1621" s="16">
        <v>76199</v>
      </c>
    </row>
    <row r="1622" spans="1:17" ht="115.2" x14ac:dyDescent="0.3">
      <c r="A1622" s="16" t="s">
        <v>7665</v>
      </c>
      <c r="B1622" s="16" t="s">
        <v>7680</v>
      </c>
      <c r="C1622" s="16" t="s">
        <v>7682</v>
      </c>
      <c r="D1622" s="16" t="s">
        <v>7597</v>
      </c>
      <c r="E1622" s="16" t="s">
        <v>8925</v>
      </c>
      <c r="F1622" s="16" t="s">
        <v>8926</v>
      </c>
      <c r="G1622" s="16" t="s">
        <v>22</v>
      </c>
      <c r="H1622" s="16"/>
      <c r="I1622" s="16"/>
      <c r="J1622" s="16" t="s">
        <v>2</v>
      </c>
      <c r="K1622" s="16"/>
      <c r="L1622" s="16"/>
      <c r="M1622" s="19" t="s">
        <v>8927</v>
      </c>
      <c r="N1622" s="16"/>
      <c r="O1622" s="16" t="s">
        <v>8928</v>
      </c>
      <c r="P1622" s="16" t="str">
        <f>HYPERLINK("https://ceds.ed.gov/cedselementdetails.aspx?termid=28008")</f>
        <v>https://ceds.ed.gov/cedselementdetails.aspx?termid=28008</v>
      </c>
      <c r="Q1622" s="16">
        <v>76200</v>
      </c>
    </row>
    <row r="1623" spans="1:17" ht="172.8" x14ac:dyDescent="0.3">
      <c r="A1623" s="16" t="s">
        <v>7665</v>
      </c>
      <c r="B1623" s="16" t="s">
        <v>7680</v>
      </c>
      <c r="C1623" s="16" t="s">
        <v>7683</v>
      </c>
      <c r="D1623" s="16" t="s">
        <v>7597</v>
      </c>
      <c r="E1623" s="16" t="s">
        <v>2584</v>
      </c>
      <c r="F1623" s="16" t="s">
        <v>2585</v>
      </c>
      <c r="G1623" s="16" t="s">
        <v>32</v>
      </c>
      <c r="H1623" s="16" t="s">
        <v>2588</v>
      </c>
      <c r="I1623" s="16"/>
      <c r="J1623" s="16" t="s">
        <v>120</v>
      </c>
      <c r="K1623" s="16"/>
      <c r="L1623" s="16" t="s">
        <v>7817</v>
      </c>
      <c r="M1623" s="19" t="s">
        <v>2586</v>
      </c>
      <c r="N1623" s="16"/>
      <c r="O1623" s="16" t="s">
        <v>2587</v>
      </c>
      <c r="P1623" s="16" t="str">
        <f>HYPERLINK("https://ceds.ed.gov/cedselementdetails.aspx?termid=26055")</f>
        <v>https://ceds.ed.gov/cedselementdetails.aspx?termid=26055</v>
      </c>
      <c r="Q1623" s="16">
        <v>71003</v>
      </c>
    </row>
    <row r="1624" spans="1:17" ht="144" x14ac:dyDescent="0.3">
      <c r="A1624" s="16" t="s">
        <v>7665</v>
      </c>
      <c r="B1624" s="16" t="s">
        <v>7680</v>
      </c>
      <c r="C1624" s="16" t="s">
        <v>7683</v>
      </c>
      <c r="D1624" s="16" t="s">
        <v>7597</v>
      </c>
      <c r="E1624" s="16" t="s">
        <v>2536</v>
      </c>
      <c r="F1624" s="16" t="s">
        <v>2537</v>
      </c>
      <c r="G1624" s="16" t="s">
        <v>8217</v>
      </c>
      <c r="H1624" s="16" t="s">
        <v>1484</v>
      </c>
      <c r="I1624" s="16"/>
      <c r="J1624" s="16"/>
      <c r="K1624" s="16"/>
      <c r="L1624" s="16"/>
      <c r="M1624" s="19" t="s">
        <v>2538</v>
      </c>
      <c r="N1624" s="16"/>
      <c r="O1624" s="16" t="s">
        <v>2539</v>
      </c>
      <c r="P1624" s="16" t="str">
        <f>HYPERLINK("https://ceds.ed.gov/cedselementdetails.aspx?termid=26056")</f>
        <v>https://ceds.ed.gov/cedselementdetails.aspx?termid=26056</v>
      </c>
      <c r="Q1624" s="16">
        <v>71730</v>
      </c>
    </row>
    <row r="1625" spans="1:17" ht="100.8" x14ac:dyDescent="0.3">
      <c r="A1625" s="16" t="s">
        <v>7665</v>
      </c>
      <c r="B1625" s="16" t="s">
        <v>7680</v>
      </c>
      <c r="C1625" s="16" t="s">
        <v>7683</v>
      </c>
      <c r="D1625" s="16" t="s">
        <v>7597</v>
      </c>
      <c r="E1625" s="16" t="s">
        <v>2700</v>
      </c>
      <c r="F1625" s="16"/>
      <c r="G1625" s="16" t="s">
        <v>32</v>
      </c>
      <c r="H1625" s="16" t="s">
        <v>1484</v>
      </c>
      <c r="I1625" s="16" t="s">
        <v>160</v>
      </c>
      <c r="J1625" s="16" t="s">
        <v>13077</v>
      </c>
      <c r="K1625" s="16" t="s">
        <v>12939</v>
      </c>
      <c r="L1625" s="16"/>
      <c r="M1625" s="19" t="s">
        <v>2701</v>
      </c>
      <c r="N1625" s="16"/>
      <c r="O1625" s="16"/>
      <c r="P1625" s="16" t="str">
        <f>HYPERLINK("https://ceds.ed.gov/cedselementdetails.aspx?termid=26067")</f>
        <v>https://ceds.ed.gov/cedselementdetails.aspx?termid=26067</v>
      </c>
      <c r="Q1625" s="16">
        <v>71732</v>
      </c>
    </row>
    <row r="1626" spans="1:17" ht="331.2" x14ac:dyDescent="0.3">
      <c r="A1626" s="16" t="s">
        <v>7665</v>
      </c>
      <c r="B1626" s="16" t="s">
        <v>7680</v>
      </c>
      <c r="C1626" s="16" t="s">
        <v>7683</v>
      </c>
      <c r="D1626" s="16" t="s">
        <v>7597</v>
      </c>
      <c r="E1626" s="16" t="s">
        <v>4134</v>
      </c>
      <c r="F1626" s="16" t="s">
        <v>4135</v>
      </c>
      <c r="G1626" s="16" t="s">
        <v>8235</v>
      </c>
      <c r="H1626" s="16" t="s">
        <v>64</v>
      </c>
      <c r="I1626" s="16"/>
      <c r="J1626" s="16"/>
      <c r="K1626" s="16"/>
      <c r="L1626" s="16"/>
      <c r="M1626" s="19" t="s">
        <v>4136</v>
      </c>
      <c r="N1626" s="16"/>
      <c r="O1626" s="16" t="s">
        <v>4137</v>
      </c>
      <c r="P1626" s="16" t="str">
        <f>HYPERLINK("https://ceds.ed.gov/cedselementdetails.aspx?termid=26125")</f>
        <v>https://ceds.ed.gov/cedselementdetails.aspx?termid=26125</v>
      </c>
      <c r="Q1626" s="16">
        <v>71758</v>
      </c>
    </row>
    <row r="1627" spans="1:17" ht="129.6" x14ac:dyDescent="0.3">
      <c r="A1627" s="16" t="s">
        <v>7665</v>
      </c>
      <c r="B1627" s="16" t="s">
        <v>7680</v>
      </c>
      <c r="C1627" s="16" t="s">
        <v>7683</v>
      </c>
      <c r="D1627" s="16" t="s">
        <v>7597</v>
      </c>
      <c r="E1627" s="16" t="s">
        <v>2628</v>
      </c>
      <c r="F1627" s="16" t="s">
        <v>2629</v>
      </c>
      <c r="G1627" s="16" t="s">
        <v>8469</v>
      </c>
      <c r="H1627" s="16" t="s">
        <v>64</v>
      </c>
      <c r="I1627" s="16"/>
      <c r="J1627" s="16"/>
      <c r="K1627" s="16"/>
      <c r="L1627" s="16"/>
      <c r="M1627" s="19" t="s">
        <v>2630</v>
      </c>
      <c r="N1627" s="16"/>
      <c r="O1627" s="16" t="s">
        <v>2631</v>
      </c>
      <c r="P1627" s="16" t="str">
        <f>HYPERLINK("https://ceds.ed.gov/cedselementdetails.aspx?termid=26065")</f>
        <v>https://ceds.ed.gov/cedselementdetails.aspx?termid=26065</v>
      </c>
      <c r="Q1627" s="16">
        <v>71731</v>
      </c>
    </row>
    <row r="1628" spans="1:17" ht="72" x14ac:dyDescent="0.3">
      <c r="A1628" s="16" t="s">
        <v>7665</v>
      </c>
      <c r="B1628" s="16" t="s">
        <v>7680</v>
      </c>
      <c r="C1628" s="16" t="s">
        <v>7683</v>
      </c>
      <c r="D1628" s="16" t="s">
        <v>7597</v>
      </c>
      <c r="E1628" s="16" t="s">
        <v>5499</v>
      </c>
      <c r="F1628" s="16" t="s">
        <v>5500</v>
      </c>
      <c r="G1628" s="16" t="s">
        <v>32</v>
      </c>
      <c r="H1628" s="16" t="s">
        <v>64</v>
      </c>
      <c r="I1628" s="16"/>
      <c r="J1628" s="16" t="s">
        <v>1481</v>
      </c>
      <c r="K1628" s="16"/>
      <c r="L1628" s="16"/>
      <c r="M1628" s="19" t="s">
        <v>5501</v>
      </c>
      <c r="N1628" s="16"/>
      <c r="O1628" s="16" t="s">
        <v>5502</v>
      </c>
      <c r="P1628" s="16" t="str">
        <f>HYPERLINK("https://ceds.ed.gov/cedselementdetails.aspx?termid=26199")</f>
        <v>https://ceds.ed.gov/cedselementdetails.aspx?termid=26199</v>
      </c>
      <c r="Q1628" s="16">
        <v>71793</v>
      </c>
    </row>
    <row r="1629" spans="1:17" ht="100.8" x14ac:dyDescent="0.3">
      <c r="A1629" s="16" t="s">
        <v>7665</v>
      </c>
      <c r="B1629" s="16" t="s">
        <v>7680</v>
      </c>
      <c r="C1629" s="16" t="s">
        <v>7683</v>
      </c>
      <c r="D1629" s="16" t="s">
        <v>7597</v>
      </c>
      <c r="E1629" s="16" t="s">
        <v>5503</v>
      </c>
      <c r="F1629" s="16" t="s">
        <v>5504</v>
      </c>
      <c r="G1629" s="16" t="s">
        <v>32</v>
      </c>
      <c r="H1629" s="16" t="s">
        <v>5256</v>
      </c>
      <c r="I1629" s="16"/>
      <c r="J1629" s="16" t="s">
        <v>1481</v>
      </c>
      <c r="K1629" s="16"/>
      <c r="L1629" s="16"/>
      <c r="M1629" s="19" t="s">
        <v>5505</v>
      </c>
      <c r="N1629" s="16"/>
      <c r="O1629" s="16" t="s">
        <v>5506</v>
      </c>
      <c r="P1629" s="16" t="str">
        <f>HYPERLINK("https://ceds.ed.gov/cedselementdetails.aspx?termid=26200")</f>
        <v>https://ceds.ed.gov/cedselementdetails.aspx?termid=26200</v>
      </c>
      <c r="Q1629" s="16">
        <v>71794</v>
      </c>
    </row>
    <row r="1630" spans="1:17" ht="100.8" x14ac:dyDescent="0.3">
      <c r="A1630" s="16" t="s">
        <v>7665</v>
      </c>
      <c r="B1630" s="16" t="s">
        <v>7680</v>
      </c>
      <c r="C1630" s="16" t="s">
        <v>7683</v>
      </c>
      <c r="D1630" s="16" t="s">
        <v>7597</v>
      </c>
      <c r="E1630" s="16" t="s">
        <v>2928</v>
      </c>
      <c r="F1630" s="16" t="s">
        <v>7366</v>
      </c>
      <c r="G1630" s="16" t="s">
        <v>32</v>
      </c>
      <c r="H1630" s="16" t="s">
        <v>64</v>
      </c>
      <c r="I1630" s="16"/>
      <c r="J1630" s="16" t="s">
        <v>1481</v>
      </c>
      <c r="K1630" s="16"/>
      <c r="L1630" s="16"/>
      <c r="M1630" s="19" t="s">
        <v>2929</v>
      </c>
      <c r="N1630" s="16"/>
      <c r="O1630" s="16" t="s">
        <v>2930</v>
      </c>
      <c r="P1630" s="16" t="str">
        <f>HYPERLINK("https://ceds.ed.gov/cedselementdetails.aspx?termid=26073")</f>
        <v>https://ceds.ed.gov/cedselementdetails.aspx?termid=26073</v>
      </c>
      <c r="Q1630" s="16">
        <v>71734</v>
      </c>
    </row>
    <row r="1631" spans="1:17" ht="100.8" x14ac:dyDescent="0.3">
      <c r="A1631" s="16" t="s">
        <v>7665</v>
      </c>
      <c r="B1631" s="16" t="s">
        <v>7680</v>
      </c>
      <c r="C1631" s="16" t="s">
        <v>7683</v>
      </c>
      <c r="D1631" s="16" t="s">
        <v>7597</v>
      </c>
      <c r="E1631" s="16" t="s">
        <v>2931</v>
      </c>
      <c r="F1631" s="16" t="s">
        <v>7367</v>
      </c>
      <c r="G1631" s="16" t="s">
        <v>32</v>
      </c>
      <c r="H1631" s="16" t="s">
        <v>64</v>
      </c>
      <c r="I1631" s="16"/>
      <c r="J1631" s="16" t="s">
        <v>1481</v>
      </c>
      <c r="K1631" s="16"/>
      <c r="L1631" s="16"/>
      <c r="M1631" s="19" t="s">
        <v>2932</v>
      </c>
      <c r="N1631" s="16"/>
      <c r="O1631" s="16" t="s">
        <v>2933</v>
      </c>
      <c r="P1631" s="16" t="str">
        <f>HYPERLINK("https://ceds.ed.gov/cedselementdetails.aspx?termid=26074")</f>
        <v>https://ceds.ed.gov/cedselementdetails.aspx?termid=26074</v>
      </c>
      <c r="Q1631" s="16">
        <v>71735</v>
      </c>
    </row>
    <row r="1632" spans="1:17" ht="72" x14ac:dyDescent="0.3">
      <c r="A1632" s="16" t="s">
        <v>7665</v>
      </c>
      <c r="B1632" s="16" t="s">
        <v>7680</v>
      </c>
      <c r="C1632" s="16" t="s">
        <v>7683</v>
      </c>
      <c r="D1632" s="16" t="s">
        <v>7597</v>
      </c>
      <c r="E1632" s="16" t="s">
        <v>6914</v>
      </c>
      <c r="F1632" s="16" t="s">
        <v>6915</v>
      </c>
      <c r="G1632" s="16" t="s">
        <v>32</v>
      </c>
      <c r="H1632" s="16" t="s">
        <v>64</v>
      </c>
      <c r="I1632" s="16"/>
      <c r="J1632" s="16" t="s">
        <v>2500</v>
      </c>
      <c r="K1632" s="16"/>
      <c r="L1632" s="16"/>
      <c r="M1632" s="19" t="s">
        <v>6917</v>
      </c>
      <c r="N1632" s="16"/>
      <c r="O1632" s="16" t="s">
        <v>6918</v>
      </c>
      <c r="P1632" s="16" t="str">
        <f>HYPERLINK("https://ceds.ed.gov/cedselementdetails.aspx?termid=26124")</f>
        <v>https://ceds.ed.gov/cedselementdetails.aspx?termid=26124</v>
      </c>
      <c r="Q1632" s="16">
        <v>71757</v>
      </c>
    </row>
    <row r="1633" spans="1:17" ht="302.39999999999998" x14ac:dyDescent="0.3">
      <c r="A1633" s="16" t="s">
        <v>7665</v>
      </c>
      <c r="B1633" s="16" t="s">
        <v>7680</v>
      </c>
      <c r="C1633" s="16" t="s">
        <v>7683</v>
      </c>
      <c r="D1633" s="16" t="s">
        <v>7597</v>
      </c>
      <c r="E1633" s="16" t="s">
        <v>2919</v>
      </c>
      <c r="F1633" s="16" t="s">
        <v>2920</v>
      </c>
      <c r="G1633" s="16" t="s">
        <v>8486</v>
      </c>
      <c r="H1633" s="16" t="s">
        <v>64</v>
      </c>
      <c r="I1633" s="16"/>
      <c r="J1633" s="16"/>
      <c r="K1633" s="16"/>
      <c r="L1633" s="16"/>
      <c r="M1633" s="19" t="s">
        <v>2921</v>
      </c>
      <c r="N1633" s="16"/>
      <c r="O1633" s="16" t="s">
        <v>2922</v>
      </c>
      <c r="P1633" s="16" t="str">
        <f>HYPERLINK("https://ceds.ed.gov/cedselementdetails.aspx?termid=26072")</f>
        <v>https://ceds.ed.gov/cedselementdetails.aspx?termid=26072</v>
      </c>
      <c r="Q1633" s="16">
        <v>71733</v>
      </c>
    </row>
    <row r="1634" spans="1:17" ht="28.8" x14ac:dyDescent="0.3">
      <c r="A1634" s="16" t="s">
        <v>7665</v>
      </c>
      <c r="B1634" s="16" t="s">
        <v>7680</v>
      </c>
      <c r="C1634" s="16" t="s">
        <v>7683</v>
      </c>
      <c r="D1634" s="16" t="s">
        <v>7597</v>
      </c>
      <c r="E1634" s="16" t="s">
        <v>4174</v>
      </c>
      <c r="F1634" s="16"/>
      <c r="G1634" s="16" t="s">
        <v>32</v>
      </c>
      <c r="H1634" s="16"/>
      <c r="I1634" s="16" t="s">
        <v>160</v>
      </c>
      <c r="J1634" s="16" t="s">
        <v>13079</v>
      </c>
      <c r="K1634" s="16" t="s">
        <v>12939</v>
      </c>
      <c r="L1634" s="16"/>
      <c r="M1634" s="19" t="s">
        <v>4176</v>
      </c>
      <c r="N1634" s="16"/>
      <c r="O1634" s="16"/>
      <c r="P1634" s="16" t="str">
        <f>HYPERLINK("https://ceds.ed.gov/cedselementdetails.aspx?termid=26609")</f>
        <v>https://ceds.ed.gov/cedselementdetails.aspx?termid=26609</v>
      </c>
      <c r="Q1634" s="16">
        <v>71900</v>
      </c>
    </row>
    <row r="1635" spans="1:17" ht="43.2" x14ac:dyDescent="0.3">
      <c r="A1635" s="16" t="s">
        <v>7665</v>
      </c>
      <c r="B1635" s="16" t="s">
        <v>7680</v>
      </c>
      <c r="C1635" s="16" t="s">
        <v>7683</v>
      </c>
      <c r="D1635" s="16" t="s">
        <v>7597</v>
      </c>
      <c r="E1635" s="16" t="s">
        <v>7045</v>
      </c>
      <c r="F1635" s="16" t="s">
        <v>7046</v>
      </c>
      <c r="G1635" s="16" t="s">
        <v>8847</v>
      </c>
      <c r="H1635" s="16" t="s">
        <v>214</v>
      </c>
      <c r="I1635" s="16"/>
      <c r="J1635" s="16"/>
      <c r="K1635" s="16"/>
      <c r="L1635" s="16"/>
      <c r="M1635" s="19" t="s">
        <v>7047</v>
      </c>
      <c r="N1635" s="16"/>
      <c r="O1635" s="16" t="s">
        <v>7048</v>
      </c>
      <c r="P1635" s="16" t="str">
        <f>HYPERLINK("https://ceds.ed.gov/cedselementdetails.aspx?termid=26558")</f>
        <v>https://ceds.ed.gov/cedselementdetails.aspx?termid=26558</v>
      </c>
      <c r="Q1635" s="16">
        <v>71878</v>
      </c>
    </row>
    <row r="1636" spans="1:17" ht="86.4" x14ac:dyDescent="0.3">
      <c r="A1636" s="16" t="s">
        <v>7665</v>
      </c>
      <c r="B1636" s="16" t="s">
        <v>7680</v>
      </c>
      <c r="C1636" s="16" t="s">
        <v>7683</v>
      </c>
      <c r="D1636" s="16" t="s">
        <v>7597</v>
      </c>
      <c r="E1636" s="16" t="s">
        <v>4170</v>
      </c>
      <c r="F1636" s="16" t="s">
        <v>4171</v>
      </c>
      <c r="G1636" s="16" t="s">
        <v>32</v>
      </c>
      <c r="H1636" s="16" t="s">
        <v>64</v>
      </c>
      <c r="I1636" s="16"/>
      <c r="J1636" s="16" t="s">
        <v>1481</v>
      </c>
      <c r="K1636" s="16"/>
      <c r="L1636" s="16"/>
      <c r="M1636" s="19" t="s">
        <v>4172</v>
      </c>
      <c r="N1636" s="16"/>
      <c r="O1636" s="16" t="s">
        <v>4173</v>
      </c>
      <c r="P1636" s="16" t="str">
        <f>HYPERLINK("https://ceds.ed.gov/cedselementdetails.aspx?termid=26130")</f>
        <v>https://ceds.ed.gov/cedselementdetails.aspx?termid=26130</v>
      </c>
      <c r="Q1636" s="16">
        <v>71761</v>
      </c>
    </row>
    <row r="1637" spans="1:17" ht="158.4" x14ac:dyDescent="0.3">
      <c r="A1637" s="16" t="s">
        <v>7665</v>
      </c>
      <c r="B1637" s="16" t="s">
        <v>7680</v>
      </c>
      <c r="C1637" s="16" t="s">
        <v>7683</v>
      </c>
      <c r="D1637" s="16" t="s">
        <v>7597</v>
      </c>
      <c r="E1637" s="16" t="s">
        <v>4145</v>
      </c>
      <c r="F1637" s="16" t="s">
        <v>4146</v>
      </c>
      <c r="G1637" s="16" t="s">
        <v>32</v>
      </c>
      <c r="H1637" s="16" t="s">
        <v>4152</v>
      </c>
      <c r="I1637" s="16"/>
      <c r="J1637" s="16" t="s">
        <v>955</v>
      </c>
      <c r="K1637" s="16"/>
      <c r="L1637" s="16" t="s">
        <v>4148</v>
      </c>
      <c r="M1637" s="19" t="s">
        <v>4149</v>
      </c>
      <c r="N1637" s="16" t="s">
        <v>4150</v>
      </c>
      <c r="O1637" s="16" t="s">
        <v>4151</v>
      </c>
      <c r="P1637" s="16" t="str">
        <f>HYPERLINK("https://ceds.ed.gov/cedselementdetails.aspx?termid=26128")</f>
        <v>https://ceds.ed.gov/cedselementdetails.aspx?termid=26128</v>
      </c>
      <c r="Q1637" s="16">
        <v>71759</v>
      </c>
    </row>
    <row r="1638" spans="1:17" ht="72" x14ac:dyDescent="0.3">
      <c r="A1638" s="16" t="s">
        <v>7665</v>
      </c>
      <c r="B1638" s="16" t="s">
        <v>7680</v>
      </c>
      <c r="C1638" s="16" t="s">
        <v>7683</v>
      </c>
      <c r="D1638" s="16" t="s">
        <v>7597</v>
      </c>
      <c r="E1638" s="16" t="s">
        <v>4159</v>
      </c>
      <c r="F1638" s="16" t="s">
        <v>4160</v>
      </c>
      <c r="G1638" s="16" t="s">
        <v>32</v>
      </c>
      <c r="H1638" s="16" t="s">
        <v>64</v>
      </c>
      <c r="I1638" s="16"/>
      <c r="J1638" s="16" t="s">
        <v>955</v>
      </c>
      <c r="K1638" s="16"/>
      <c r="L1638" s="16"/>
      <c r="M1638" s="19" t="s">
        <v>4161</v>
      </c>
      <c r="N1638" s="16" t="s">
        <v>4162</v>
      </c>
      <c r="O1638" s="16" t="s">
        <v>4163</v>
      </c>
      <c r="P1638" s="16" t="str">
        <f>HYPERLINK("https://ceds.ed.gov/cedselementdetails.aspx?termid=26129")</f>
        <v>https://ceds.ed.gov/cedselementdetails.aspx?termid=26129</v>
      </c>
      <c r="Q1638" s="16">
        <v>71760</v>
      </c>
    </row>
    <row r="1639" spans="1:17" ht="100.8" x14ac:dyDescent="0.3">
      <c r="A1639" s="16" t="s">
        <v>7665</v>
      </c>
      <c r="B1639" s="16" t="s">
        <v>7680</v>
      </c>
      <c r="C1639" s="16" t="s">
        <v>7683</v>
      </c>
      <c r="D1639" s="16" t="s">
        <v>7597</v>
      </c>
      <c r="E1639" s="16" t="s">
        <v>4258</v>
      </c>
      <c r="F1639" s="16" t="s">
        <v>4259</v>
      </c>
      <c r="G1639" s="16" t="s">
        <v>32</v>
      </c>
      <c r="H1639" s="16" t="s">
        <v>4263</v>
      </c>
      <c r="I1639" s="16"/>
      <c r="J1639" s="16" t="s">
        <v>305</v>
      </c>
      <c r="K1639" s="16"/>
      <c r="L1639" s="16"/>
      <c r="M1639" s="19" t="s">
        <v>4261</v>
      </c>
      <c r="N1639" s="16"/>
      <c r="O1639" s="16" t="s">
        <v>4262</v>
      </c>
      <c r="P1639" s="16" t="str">
        <f>HYPERLINK("https://ceds.ed.gov/cedselementdetails.aspx?termid=26041")</f>
        <v>https://ceds.ed.gov/cedselementdetails.aspx?termid=26041</v>
      </c>
      <c r="Q1639" s="16">
        <v>70998</v>
      </c>
    </row>
    <row r="1640" spans="1:17" ht="72" x14ac:dyDescent="0.3">
      <c r="A1640" s="16" t="s">
        <v>7665</v>
      </c>
      <c r="B1640" s="16" t="s">
        <v>7680</v>
      </c>
      <c r="C1640" s="16" t="s">
        <v>7683</v>
      </c>
      <c r="D1640" s="16" t="s">
        <v>7597</v>
      </c>
      <c r="E1640" s="16" t="s">
        <v>2039</v>
      </c>
      <c r="F1640" s="16" t="s">
        <v>2040</v>
      </c>
      <c r="G1640" s="16" t="s">
        <v>32</v>
      </c>
      <c r="H1640" s="16" t="s">
        <v>64</v>
      </c>
      <c r="I1640" s="16"/>
      <c r="J1640" s="16" t="s">
        <v>2041</v>
      </c>
      <c r="K1640" s="16"/>
      <c r="L1640" s="16"/>
      <c r="M1640" s="19" t="s">
        <v>2042</v>
      </c>
      <c r="N1640" s="16"/>
      <c r="O1640" s="16" t="s">
        <v>2043</v>
      </c>
      <c r="P1640" s="16" t="str">
        <f>HYPERLINK("https://ceds.ed.gov/cedselementdetails.aspx?termid=26042")</f>
        <v>https://ceds.ed.gov/cedselementdetails.aspx?termid=26042</v>
      </c>
      <c r="Q1640" s="16">
        <v>70999</v>
      </c>
    </row>
    <row r="1641" spans="1:17" ht="100.8" x14ac:dyDescent="0.3">
      <c r="A1641" s="16" t="s">
        <v>7665</v>
      </c>
      <c r="B1641" s="16" t="s">
        <v>7680</v>
      </c>
      <c r="C1641" s="16" t="s">
        <v>7683</v>
      </c>
      <c r="D1641" s="16" t="s">
        <v>7597</v>
      </c>
      <c r="E1641" s="16" t="s">
        <v>6693</v>
      </c>
      <c r="F1641" s="16" t="s">
        <v>6694</v>
      </c>
      <c r="G1641" s="16" t="s">
        <v>32</v>
      </c>
      <c r="H1641" s="16" t="s">
        <v>4263</v>
      </c>
      <c r="I1641" s="16"/>
      <c r="J1641" s="16" t="s">
        <v>305</v>
      </c>
      <c r="K1641" s="16"/>
      <c r="L1641" s="16"/>
      <c r="M1641" s="19" t="s">
        <v>6695</v>
      </c>
      <c r="N1641" s="16"/>
      <c r="O1641" s="16" t="s">
        <v>6696</v>
      </c>
      <c r="P1641" s="16" t="str">
        <f>HYPERLINK("https://ceds.ed.gov/cedselementdetails.aspx?termid=26294")</f>
        <v>https://ceds.ed.gov/cedselementdetails.aspx?termid=26294</v>
      </c>
      <c r="Q1641" s="16">
        <v>71827</v>
      </c>
    </row>
    <row r="1642" spans="1:17" ht="72" x14ac:dyDescent="0.3">
      <c r="A1642" s="16" t="s">
        <v>7665</v>
      </c>
      <c r="B1642" s="16" t="s">
        <v>7680</v>
      </c>
      <c r="C1642" s="16" t="s">
        <v>7683</v>
      </c>
      <c r="D1642" s="16" t="s">
        <v>7597</v>
      </c>
      <c r="E1642" s="16" t="s">
        <v>6146</v>
      </c>
      <c r="F1642" s="16" t="s">
        <v>6147</v>
      </c>
      <c r="G1642" s="16" t="s">
        <v>32</v>
      </c>
      <c r="H1642" s="16" t="s">
        <v>64</v>
      </c>
      <c r="I1642" s="16"/>
      <c r="J1642" s="16" t="s">
        <v>3093</v>
      </c>
      <c r="K1642" s="16"/>
      <c r="L1642" s="16"/>
      <c r="M1642" s="19" t="s">
        <v>6148</v>
      </c>
      <c r="N1642" s="16"/>
      <c r="O1642" s="16" t="s">
        <v>6149</v>
      </c>
      <c r="P1642" s="16" t="str">
        <f>HYPERLINK("https://ceds.ed.gov/cedselementdetails.aspx?termid=26226")</f>
        <v>https://ceds.ed.gov/cedselementdetails.aspx?termid=26226</v>
      </c>
      <c r="Q1642" s="16">
        <v>71803</v>
      </c>
    </row>
    <row r="1643" spans="1:17" ht="302.39999999999998" x14ac:dyDescent="0.3">
      <c r="A1643" s="16" t="s">
        <v>7665</v>
      </c>
      <c r="B1643" s="16" t="s">
        <v>7680</v>
      </c>
      <c r="C1643" s="16" t="s">
        <v>7683</v>
      </c>
      <c r="D1643" s="16" t="s">
        <v>7597</v>
      </c>
      <c r="E1643" s="16" t="s">
        <v>59</v>
      </c>
      <c r="F1643" s="16" t="s">
        <v>60</v>
      </c>
      <c r="G1643" s="16" t="s">
        <v>8283</v>
      </c>
      <c r="H1643" s="16" t="s">
        <v>64</v>
      </c>
      <c r="I1643" s="16"/>
      <c r="J1643" s="16"/>
      <c r="K1643" s="16"/>
      <c r="L1643" s="16"/>
      <c r="M1643" s="19" t="s">
        <v>62</v>
      </c>
      <c r="N1643" s="16"/>
      <c r="O1643" s="16" t="s">
        <v>63</v>
      </c>
      <c r="P1643" s="16" t="str">
        <f>HYPERLINK("https://ceds.ed.gov/cedselementdetails.aspx?termid=26004")</f>
        <v>https://ceds.ed.gov/cedselementdetails.aspx?termid=26004</v>
      </c>
      <c r="Q1643" s="16">
        <v>70988</v>
      </c>
    </row>
    <row r="1644" spans="1:17" ht="72" x14ac:dyDescent="0.3">
      <c r="A1644" s="16" t="s">
        <v>7665</v>
      </c>
      <c r="B1644" s="16" t="s">
        <v>7680</v>
      </c>
      <c r="C1644" s="16" t="s">
        <v>7683</v>
      </c>
      <c r="D1644" s="16" t="s">
        <v>7597</v>
      </c>
      <c r="E1644" s="16" t="s">
        <v>4303</v>
      </c>
      <c r="F1644" s="16" t="s">
        <v>4304</v>
      </c>
      <c r="G1644" s="16" t="s">
        <v>32</v>
      </c>
      <c r="H1644" s="16" t="s">
        <v>64</v>
      </c>
      <c r="I1644" s="16"/>
      <c r="J1644" s="16" t="s">
        <v>55</v>
      </c>
      <c r="K1644" s="16"/>
      <c r="L1644" s="16"/>
      <c r="M1644" s="19" t="s">
        <v>4305</v>
      </c>
      <c r="N1644" s="16"/>
      <c r="O1644" s="16" t="s">
        <v>4306</v>
      </c>
      <c r="P1644" s="16" t="str">
        <f>HYPERLINK("https://ceds.ed.gov/cedselementdetails.aspx?termid=26150")</f>
        <v>https://ceds.ed.gov/cedselementdetails.aspx?termid=26150</v>
      </c>
      <c r="Q1644" s="16">
        <v>71770</v>
      </c>
    </row>
    <row r="1645" spans="1:17" ht="72" x14ac:dyDescent="0.3">
      <c r="A1645" s="16" t="s">
        <v>7665</v>
      </c>
      <c r="B1645" s="16" t="s">
        <v>7680</v>
      </c>
      <c r="C1645" s="16" t="s">
        <v>7683</v>
      </c>
      <c r="D1645" s="16" t="s">
        <v>7597</v>
      </c>
      <c r="E1645" s="16" t="s">
        <v>1852</v>
      </c>
      <c r="F1645" s="16" t="s">
        <v>1853</v>
      </c>
      <c r="G1645" s="16" t="s">
        <v>22</v>
      </c>
      <c r="H1645" s="16" t="s">
        <v>64</v>
      </c>
      <c r="I1645" s="16"/>
      <c r="J1645" s="16"/>
      <c r="K1645" s="16"/>
      <c r="L1645" s="16"/>
      <c r="M1645" s="19" t="s">
        <v>1854</v>
      </c>
      <c r="N1645" s="16" t="s">
        <v>1855</v>
      </c>
      <c r="O1645" s="16" t="s">
        <v>1856</v>
      </c>
      <c r="P1645" s="16" t="str">
        <f>HYPERLINK("https://ceds.ed.gov/cedselementdetails.aspx?termid=26036")</f>
        <v>https://ceds.ed.gov/cedselementdetails.aspx?termid=26036</v>
      </c>
      <c r="Q1645" s="16">
        <v>72835</v>
      </c>
    </row>
    <row r="1646" spans="1:17" ht="201.6" x14ac:dyDescent="0.3">
      <c r="A1646" s="16" t="s">
        <v>7665</v>
      </c>
      <c r="B1646" s="16" t="s">
        <v>7680</v>
      </c>
      <c r="C1646" s="16" t="s">
        <v>7683</v>
      </c>
      <c r="D1646" s="16" t="s">
        <v>7597</v>
      </c>
      <c r="E1646" s="16" t="s">
        <v>6265</v>
      </c>
      <c r="F1646" s="16" t="s">
        <v>6266</v>
      </c>
      <c r="G1646" s="16" t="s">
        <v>8815</v>
      </c>
      <c r="H1646" s="16" t="s">
        <v>64</v>
      </c>
      <c r="I1646" s="16"/>
      <c r="J1646" s="16"/>
      <c r="K1646" s="16"/>
      <c r="L1646" s="16"/>
      <c r="M1646" s="19" t="s">
        <v>6267</v>
      </c>
      <c r="N1646" s="16"/>
      <c r="O1646" s="16" t="s">
        <v>6268</v>
      </c>
      <c r="P1646" s="16" t="str">
        <f>HYPERLINK("https://ceds.ed.gov/cedselementdetails.aspx?termid=26229")</f>
        <v>https://ceds.ed.gov/cedselementdetails.aspx?termid=26229</v>
      </c>
      <c r="Q1646" s="16">
        <v>71805</v>
      </c>
    </row>
    <row r="1647" spans="1:17" ht="43.2" x14ac:dyDescent="0.3">
      <c r="A1647" s="16" t="s">
        <v>7665</v>
      </c>
      <c r="B1647" s="16" t="s">
        <v>7680</v>
      </c>
      <c r="C1647" s="16" t="s">
        <v>7683</v>
      </c>
      <c r="D1647" s="16" t="s">
        <v>7597</v>
      </c>
      <c r="E1647" s="16" t="s">
        <v>3510</v>
      </c>
      <c r="F1647" s="16" t="s">
        <v>3511</v>
      </c>
      <c r="G1647" s="16" t="s">
        <v>8557</v>
      </c>
      <c r="H1647" s="16" t="s">
        <v>25</v>
      </c>
      <c r="I1647" s="16"/>
      <c r="J1647" s="16"/>
      <c r="K1647" s="16"/>
      <c r="L1647" s="16"/>
      <c r="M1647" s="19" t="s">
        <v>3512</v>
      </c>
      <c r="N1647" s="16"/>
      <c r="O1647" s="16" t="s">
        <v>3513</v>
      </c>
      <c r="P1647" s="16" t="str">
        <f>HYPERLINK("https://ceds.ed.gov/cedselementdetails.aspx?termid=26093")</f>
        <v>https://ceds.ed.gov/cedselementdetails.aspx?termid=26093</v>
      </c>
      <c r="Q1647" s="16">
        <v>71745</v>
      </c>
    </row>
    <row r="1648" spans="1:17" ht="100.8" x14ac:dyDescent="0.3">
      <c r="A1648" s="16" t="s">
        <v>7665</v>
      </c>
      <c r="B1648" s="16" t="s">
        <v>7680</v>
      </c>
      <c r="C1648" s="16" t="s">
        <v>7683</v>
      </c>
      <c r="D1648" s="16" t="s">
        <v>7597</v>
      </c>
      <c r="E1648" s="16" t="s">
        <v>6150</v>
      </c>
      <c r="F1648" s="16" t="s">
        <v>6151</v>
      </c>
      <c r="G1648" s="16" t="s">
        <v>8804</v>
      </c>
      <c r="H1648" s="16"/>
      <c r="I1648" s="16"/>
      <c r="J1648" s="16"/>
      <c r="K1648" s="16"/>
      <c r="L1648" s="16"/>
      <c r="M1648" s="19" t="s">
        <v>6152</v>
      </c>
      <c r="N1648" s="16"/>
      <c r="O1648" s="16" t="s">
        <v>6153</v>
      </c>
      <c r="P1648" s="16" t="str">
        <f>HYPERLINK("https://ceds.ed.gov/cedselementdetails.aspx?termid=26521")</f>
        <v>https://ceds.ed.gov/cedselementdetails.aspx?termid=26521</v>
      </c>
      <c r="Q1648" s="16">
        <v>71861</v>
      </c>
    </row>
    <row r="1649" spans="1:17" ht="115.2" x14ac:dyDescent="0.3">
      <c r="A1649" s="16" t="s">
        <v>7665</v>
      </c>
      <c r="B1649" s="16" t="s">
        <v>7680</v>
      </c>
      <c r="C1649" s="16" t="s">
        <v>7683</v>
      </c>
      <c r="D1649" s="16" t="s">
        <v>7597</v>
      </c>
      <c r="E1649" s="16" t="s">
        <v>5483</v>
      </c>
      <c r="F1649" s="16" t="s">
        <v>5484</v>
      </c>
      <c r="G1649" s="16" t="s">
        <v>8733</v>
      </c>
      <c r="H1649" s="16"/>
      <c r="I1649" s="16"/>
      <c r="J1649" s="16"/>
      <c r="K1649" s="16"/>
      <c r="L1649" s="16"/>
      <c r="M1649" s="19" t="s">
        <v>5485</v>
      </c>
      <c r="N1649" s="16"/>
      <c r="O1649" s="16" t="s">
        <v>5486</v>
      </c>
      <c r="P1649" s="16" t="str">
        <f>HYPERLINK("https://ceds.ed.gov/cedselementdetails.aspx?termid=26522")</f>
        <v>https://ceds.ed.gov/cedselementdetails.aspx?termid=26522</v>
      </c>
      <c r="Q1649" s="16">
        <v>71862</v>
      </c>
    </row>
    <row r="1650" spans="1:17" ht="216" x14ac:dyDescent="0.3">
      <c r="A1650" s="16" t="s">
        <v>7665</v>
      </c>
      <c r="B1650" s="16" t="s">
        <v>7680</v>
      </c>
      <c r="C1650" s="16" t="s">
        <v>7683</v>
      </c>
      <c r="D1650" s="16" t="s">
        <v>7597</v>
      </c>
      <c r="E1650" s="16" t="s">
        <v>5229</v>
      </c>
      <c r="F1650" s="16" t="s">
        <v>5230</v>
      </c>
      <c r="G1650" s="16" t="s">
        <v>8711</v>
      </c>
      <c r="H1650" s="16" t="s">
        <v>202</v>
      </c>
      <c r="I1650" s="16"/>
      <c r="J1650" s="16"/>
      <c r="K1650" s="16"/>
      <c r="L1650" s="16"/>
      <c r="M1650" s="19" t="s">
        <v>5231</v>
      </c>
      <c r="N1650" s="16"/>
      <c r="O1650" s="16" t="s">
        <v>5232</v>
      </c>
      <c r="P1650" s="16" t="str">
        <f>HYPERLINK("https://ceds.ed.gov/cedselementdetails.aspx?termid=26456")</f>
        <v>https://ceds.ed.gov/cedselementdetails.aspx?termid=26456</v>
      </c>
      <c r="Q1650" s="16">
        <v>72856</v>
      </c>
    </row>
    <row r="1651" spans="1:17" ht="43.2" x14ac:dyDescent="0.3">
      <c r="A1651" s="16" t="s">
        <v>7665</v>
      </c>
      <c r="B1651" s="16" t="s">
        <v>7680</v>
      </c>
      <c r="C1651" s="16" t="s">
        <v>7683</v>
      </c>
      <c r="D1651" s="16" t="s">
        <v>7597</v>
      </c>
      <c r="E1651" s="16" t="s">
        <v>5241</v>
      </c>
      <c r="F1651" s="16" t="s">
        <v>5242</v>
      </c>
      <c r="G1651" s="16" t="s">
        <v>22</v>
      </c>
      <c r="H1651" s="16" t="s">
        <v>202</v>
      </c>
      <c r="I1651" s="16"/>
      <c r="J1651" s="16"/>
      <c r="K1651" s="16"/>
      <c r="L1651" s="16"/>
      <c r="M1651" s="19" t="s">
        <v>5243</v>
      </c>
      <c r="N1651" s="16"/>
      <c r="O1651" s="16" t="s">
        <v>5244</v>
      </c>
      <c r="P1651" s="16" t="str">
        <f>HYPERLINK("https://ceds.ed.gov/cedselementdetails.aspx?termid=26459")</f>
        <v>https://ceds.ed.gov/cedselementdetails.aspx?termid=26459</v>
      </c>
      <c r="Q1651" s="16">
        <v>71853</v>
      </c>
    </row>
    <row r="1652" spans="1:17" ht="43.2" x14ac:dyDescent="0.3">
      <c r="A1652" s="16" t="s">
        <v>7665</v>
      </c>
      <c r="B1652" s="16" t="s">
        <v>7680</v>
      </c>
      <c r="C1652" s="16" t="s">
        <v>7683</v>
      </c>
      <c r="D1652" s="16" t="s">
        <v>7597</v>
      </c>
      <c r="E1652" s="16" t="s">
        <v>5237</v>
      </c>
      <c r="F1652" s="16" t="s">
        <v>5238</v>
      </c>
      <c r="G1652" s="16" t="s">
        <v>22</v>
      </c>
      <c r="H1652" s="16" t="s">
        <v>202</v>
      </c>
      <c r="I1652" s="16"/>
      <c r="J1652" s="16"/>
      <c r="K1652" s="16"/>
      <c r="L1652" s="16"/>
      <c r="M1652" s="19" t="s">
        <v>5239</v>
      </c>
      <c r="N1652" s="16"/>
      <c r="O1652" s="16" t="s">
        <v>5240</v>
      </c>
      <c r="P1652" s="16" t="str">
        <f>HYPERLINK("https://ceds.ed.gov/cedselementdetails.aspx?termid=26458")</f>
        <v>https://ceds.ed.gov/cedselementdetails.aspx?termid=26458</v>
      </c>
      <c r="Q1652" s="16">
        <v>71852</v>
      </c>
    </row>
    <row r="1653" spans="1:17" ht="57.6" x14ac:dyDescent="0.3">
      <c r="A1653" s="16" t="s">
        <v>7665</v>
      </c>
      <c r="B1653" s="16" t="s">
        <v>7680</v>
      </c>
      <c r="C1653" s="16" t="s">
        <v>7683</v>
      </c>
      <c r="D1653" s="16" t="s">
        <v>7597</v>
      </c>
      <c r="E1653" s="16" t="s">
        <v>5233</v>
      </c>
      <c r="F1653" s="16" t="s">
        <v>5234</v>
      </c>
      <c r="G1653" s="16" t="s">
        <v>22</v>
      </c>
      <c r="H1653" s="16" t="s">
        <v>202</v>
      </c>
      <c r="I1653" s="16"/>
      <c r="J1653" s="16"/>
      <c r="K1653" s="16"/>
      <c r="L1653" s="16"/>
      <c r="M1653" s="19" t="s">
        <v>5235</v>
      </c>
      <c r="N1653" s="16"/>
      <c r="O1653" s="16" t="s">
        <v>5236</v>
      </c>
      <c r="P1653" s="16" t="str">
        <f>HYPERLINK("https://ceds.ed.gov/cedselementdetails.aspx?termid=26457")</f>
        <v>https://ceds.ed.gov/cedselementdetails.aspx?termid=26457</v>
      </c>
      <c r="Q1653" s="16">
        <v>71851</v>
      </c>
    </row>
    <row r="1654" spans="1:17" ht="57.6" x14ac:dyDescent="0.3">
      <c r="A1654" s="16" t="s">
        <v>7665</v>
      </c>
      <c r="B1654" s="16" t="s">
        <v>7680</v>
      </c>
      <c r="C1654" s="16" t="s">
        <v>7683</v>
      </c>
      <c r="D1654" s="16" t="s">
        <v>7597</v>
      </c>
      <c r="E1654" s="16" t="s">
        <v>5786</v>
      </c>
      <c r="F1654" s="16" t="s">
        <v>5787</v>
      </c>
      <c r="G1654" s="16" t="s">
        <v>8305</v>
      </c>
      <c r="H1654" s="16" t="s">
        <v>214</v>
      </c>
      <c r="I1654" s="16"/>
      <c r="J1654" s="16"/>
      <c r="K1654" s="16"/>
      <c r="L1654" s="16"/>
      <c r="M1654" s="19" t="s">
        <v>5788</v>
      </c>
      <c r="N1654" s="16"/>
      <c r="O1654" s="16" t="s">
        <v>5789</v>
      </c>
      <c r="P1654" s="16" t="str">
        <f>HYPERLINK("https://ceds.ed.gov/cedselementdetails.aspx?termid=26579")</f>
        <v>https://ceds.ed.gov/cedselementdetails.aspx?termid=26579</v>
      </c>
      <c r="Q1654" s="16">
        <v>71889</v>
      </c>
    </row>
    <row r="1655" spans="1:17" x14ac:dyDescent="0.3">
      <c r="A1655" s="16" t="s">
        <v>7665</v>
      </c>
      <c r="B1655" s="16" t="s">
        <v>7680</v>
      </c>
      <c r="C1655" s="16" t="s">
        <v>7683</v>
      </c>
      <c r="D1655" s="16" t="s">
        <v>7597</v>
      </c>
      <c r="E1655" s="16" t="s">
        <v>2068</v>
      </c>
      <c r="F1655" s="16" t="s">
        <v>2069</v>
      </c>
      <c r="G1655" s="16" t="s">
        <v>32</v>
      </c>
      <c r="H1655" s="16"/>
      <c r="I1655" s="16"/>
      <c r="J1655" s="16" t="s">
        <v>81</v>
      </c>
      <c r="K1655" s="16"/>
      <c r="L1655" s="16"/>
      <c r="M1655" s="19" t="s">
        <v>2070</v>
      </c>
      <c r="N1655" s="16"/>
      <c r="O1655" s="16" t="s">
        <v>2071</v>
      </c>
      <c r="P1655" s="16" t="str">
        <f>HYPERLINK("https://ceds.ed.gov/cedselementdetails.aspx?termid=26687")</f>
        <v>https://ceds.ed.gov/cedselementdetails.aspx?termid=26687</v>
      </c>
      <c r="Q1655" s="16">
        <v>71912</v>
      </c>
    </row>
    <row r="1656" spans="1:17" ht="28.8" x14ac:dyDescent="0.3">
      <c r="A1656" s="16" t="s">
        <v>7665</v>
      </c>
      <c r="B1656" s="16" t="s">
        <v>7680</v>
      </c>
      <c r="C1656" s="16" t="s">
        <v>7683</v>
      </c>
      <c r="D1656" s="16" t="s">
        <v>7597</v>
      </c>
      <c r="E1656" s="16" t="s">
        <v>4192</v>
      </c>
      <c r="F1656" s="16" t="s">
        <v>4193</v>
      </c>
      <c r="G1656" s="16" t="s">
        <v>32</v>
      </c>
      <c r="H1656" s="16"/>
      <c r="I1656" s="16"/>
      <c r="J1656" s="16" t="s">
        <v>1807</v>
      </c>
      <c r="K1656" s="16"/>
      <c r="L1656" s="16"/>
      <c r="M1656" s="19" t="s">
        <v>4194</v>
      </c>
      <c r="N1656" s="16"/>
      <c r="O1656" s="16" t="s">
        <v>4195</v>
      </c>
      <c r="P1656" s="16" t="str">
        <f>HYPERLINK("https://ceds.ed.gov/cedselementdetails.aspx?termid=26132")</f>
        <v>https://ceds.ed.gov/cedselementdetails.aspx?termid=26132</v>
      </c>
      <c r="Q1656" s="16">
        <v>71762</v>
      </c>
    </row>
    <row r="1657" spans="1:17" ht="72" x14ac:dyDescent="0.3">
      <c r="A1657" s="16" t="s">
        <v>7665</v>
      </c>
      <c r="B1657" s="16" t="s">
        <v>7680</v>
      </c>
      <c r="C1657" s="16" t="s">
        <v>7683</v>
      </c>
      <c r="D1657" s="16" t="s">
        <v>7597</v>
      </c>
      <c r="E1657" s="16" t="s">
        <v>4196</v>
      </c>
      <c r="F1657" s="16" t="s">
        <v>4197</v>
      </c>
      <c r="G1657" s="16" t="s">
        <v>22</v>
      </c>
      <c r="H1657" s="16" t="s">
        <v>4200</v>
      </c>
      <c r="I1657" s="16"/>
      <c r="J1657" s="16"/>
      <c r="K1657" s="16"/>
      <c r="L1657" s="16"/>
      <c r="M1657" s="19" t="s">
        <v>4198</v>
      </c>
      <c r="N1657" s="16"/>
      <c r="O1657" s="16" t="s">
        <v>4199</v>
      </c>
      <c r="P1657" s="16" t="str">
        <f>HYPERLINK("https://ceds.ed.gov/cedselementdetails.aspx?termid=26133")</f>
        <v>https://ceds.ed.gov/cedselementdetails.aspx?termid=26133</v>
      </c>
      <c r="Q1657" s="16">
        <v>71763</v>
      </c>
    </row>
    <row r="1658" spans="1:17" ht="57.6" x14ac:dyDescent="0.3">
      <c r="A1658" s="16" t="s">
        <v>7665</v>
      </c>
      <c r="B1658" s="16" t="s">
        <v>7680</v>
      </c>
      <c r="C1658" s="16" t="s">
        <v>7683</v>
      </c>
      <c r="D1658" s="16" t="s">
        <v>7597</v>
      </c>
      <c r="E1658" s="16" t="s">
        <v>5823</v>
      </c>
      <c r="F1658" s="16" t="s">
        <v>5824</v>
      </c>
      <c r="G1658" s="16" t="s">
        <v>8762</v>
      </c>
      <c r="H1658" s="16" t="s">
        <v>1254</v>
      </c>
      <c r="I1658" s="16"/>
      <c r="J1658" s="16"/>
      <c r="K1658" s="16"/>
      <c r="L1658" s="16"/>
      <c r="M1658" s="19" t="s">
        <v>5825</v>
      </c>
      <c r="N1658" s="16"/>
      <c r="O1658" s="16" t="s">
        <v>5826</v>
      </c>
      <c r="P1658" s="16" t="str">
        <f>HYPERLINK("https://ceds.ed.gov/cedselementdetails.aspx?termid=26563")</f>
        <v>https://ceds.ed.gov/cedselementdetails.aspx?termid=26563</v>
      </c>
      <c r="Q1658" s="16">
        <v>71881</v>
      </c>
    </row>
    <row r="1659" spans="1:17" ht="43.2" x14ac:dyDescent="0.3">
      <c r="A1659" s="16" t="s">
        <v>7665</v>
      </c>
      <c r="B1659" s="16" t="s">
        <v>7680</v>
      </c>
      <c r="C1659" s="16" t="s">
        <v>7683</v>
      </c>
      <c r="D1659" s="16" t="s">
        <v>7597</v>
      </c>
      <c r="E1659" s="16" t="s">
        <v>6039</v>
      </c>
      <c r="F1659" s="16" t="s">
        <v>6040</v>
      </c>
      <c r="G1659" s="16" t="s">
        <v>8795</v>
      </c>
      <c r="H1659" s="16" t="s">
        <v>214</v>
      </c>
      <c r="I1659" s="16"/>
      <c r="J1659" s="16"/>
      <c r="K1659" s="16"/>
      <c r="L1659" s="16"/>
      <c r="M1659" s="19" t="s">
        <v>6042</v>
      </c>
      <c r="N1659" s="16"/>
      <c r="O1659" s="16" t="s">
        <v>6043</v>
      </c>
      <c r="P1659" s="16" t="str">
        <f>HYPERLINK("https://ceds.ed.gov/cedselementdetails.aspx?termid=26565")</f>
        <v>https://ceds.ed.gov/cedselementdetails.aspx?termid=26565</v>
      </c>
      <c r="Q1659" s="16">
        <v>71882</v>
      </c>
    </row>
    <row r="1660" spans="1:17" ht="100.8" x14ac:dyDescent="0.3">
      <c r="A1660" s="16" t="s">
        <v>7665</v>
      </c>
      <c r="B1660" s="16" t="s">
        <v>7680</v>
      </c>
      <c r="C1660" s="16" t="s">
        <v>7683</v>
      </c>
      <c r="D1660" s="16" t="s">
        <v>7597</v>
      </c>
      <c r="E1660" s="16" t="s">
        <v>6142</v>
      </c>
      <c r="F1660" s="16" t="s">
        <v>6143</v>
      </c>
      <c r="G1660" s="16" t="s">
        <v>8803</v>
      </c>
      <c r="H1660" s="16" t="s">
        <v>214</v>
      </c>
      <c r="I1660" s="16"/>
      <c r="J1660" s="16"/>
      <c r="K1660" s="16"/>
      <c r="L1660" s="16"/>
      <c r="M1660" s="19" t="s">
        <v>6144</v>
      </c>
      <c r="N1660" s="16"/>
      <c r="O1660" s="16" t="s">
        <v>6145</v>
      </c>
      <c r="P1660" s="16" t="str">
        <f>HYPERLINK("https://ceds.ed.gov/cedselementdetails.aspx?termid=26553")</f>
        <v>https://ceds.ed.gov/cedselementdetails.aspx?termid=26553</v>
      </c>
      <c r="Q1660" s="16">
        <v>71874</v>
      </c>
    </row>
    <row r="1661" spans="1:17" ht="43.2" x14ac:dyDescent="0.3">
      <c r="A1661" s="16" t="s">
        <v>7665</v>
      </c>
      <c r="B1661" s="16" t="s">
        <v>7680</v>
      </c>
      <c r="C1661" s="16" t="s">
        <v>7683</v>
      </c>
      <c r="D1661" s="16" t="s">
        <v>7597</v>
      </c>
      <c r="E1661" s="16" t="s">
        <v>1891</v>
      </c>
      <c r="F1661" s="16" t="s">
        <v>1892</v>
      </c>
      <c r="G1661" s="16" t="s">
        <v>32</v>
      </c>
      <c r="H1661" s="16"/>
      <c r="I1661" s="16"/>
      <c r="J1661" s="16" t="s">
        <v>106</v>
      </c>
      <c r="K1661" s="16"/>
      <c r="L1661" s="16"/>
      <c r="M1661" s="19" t="s">
        <v>1893</v>
      </c>
      <c r="N1661" s="16"/>
      <c r="O1661" s="16" t="s">
        <v>1894</v>
      </c>
      <c r="P1661" s="16" t="str">
        <f>HYPERLINK("https://ceds.ed.gov/cedselementdetails.aspx?termid=27255")</f>
        <v>https://ceds.ed.gov/cedselementdetails.aspx?termid=27255</v>
      </c>
      <c r="Q1661" s="16">
        <v>73078</v>
      </c>
    </row>
    <row r="1662" spans="1:17" ht="72" x14ac:dyDescent="0.3">
      <c r="A1662" s="16" t="s">
        <v>7665</v>
      </c>
      <c r="B1662" s="16" t="s">
        <v>7680</v>
      </c>
      <c r="C1662" s="16" t="s">
        <v>7683</v>
      </c>
      <c r="D1662" s="16" t="s">
        <v>7597</v>
      </c>
      <c r="E1662" s="16" t="s">
        <v>1895</v>
      </c>
      <c r="F1662" s="16" t="s">
        <v>1896</v>
      </c>
      <c r="G1662" s="16" t="s">
        <v>8426</v>
      </c>
      <c r="H1662" s="16"/>
      <c r="I1662" s="16"/>
      <c r="J1662" s="16"/>
      <c r="K1662" s="16"/>
      <c r="L1662" s="16"/>
      <c r="M1662" s="19" t="s">
        <v>1897</v>
      </c>
      <c r="N1662" s="16"/>
      <c r="O1662" s="16" t="s">
        <v>1898</v>
      </c>
      <c r="P1662" s="16" t="str">
        <f>HYPERLINK("https://ceds.ed.gov/cedselementdetails.aspx?termid=27256")</f>
        <v>https://ceds.ed.gov/cedselementdetails.aspx?termid=27256</v>
      </c>
      <c r="Q1662" s="16">
        <v>73081</v>
      </c>
    </row>
    <row r="1663" spans="1:17" ht="28.8" x14ac:dyDescent="0.3">
      <c r="A1663" s="16" t="s">
        <v>7665</v>
      </c>
      <c r="B1663" s="16" t="s">
        <v>7680</v>
      </c>
      <c r="C1663" s="16" t="s">
        <v>7683</v>
      </c>
      <c r="D1663" s="16" t="s">
        <v>7597</v>
      </c>
      <c r="E1663" s="16" t="s">
        <v>2551</v>
      </c>
      <c r="F1663" s="16" t="s">
        <v>2552</v>
      </c>
      <c r="G1663" s="16" t="s">
        <v>32</v>
      </c>
      <c r="H1663" s="16"/>
      <c r="I1663" s="16"/>
      <c r="J1663" s="16" t="s">
        <v>145</v>
      </c>
      <c r="K1663" s="16"/>
      <c r="L1663" s="16"/>
      <c r="M1663" s="19" t="s">
        <v>2554</v>
      </c>
      <c r="N1663" s="16"/>
      <c r="O1663" s="16" t="s">
        <v>2555</v>
      </c>
      <c r="P1663" s="16" t="str">
        <f>HYPERLINK("https://ceds.ed.gov/cedselementdetails.aspx?termid=27525")</f>
        <v>https://ceds.ed.gov/cedselementdetails.aspx?termid=27525</v>
      </c>
      <c r="Q1663" s="16">
        <v>73836</v>
      </c>
    </row>
    <row r="1664" spans="1:17" ht="43.2" x14ac:dyDescent="0.3">
      <c r="A1664" s="16" t="s">
        <v>7665</v>
      </c>
      <c r="B1664" s="16" t="s">
        <v>7680</v>
      </c>
      <c r="C1664" s="16" t="s">
        <v>7683</v>
      </c>
      <c r="D1664" s="16" t="s">
        <v>7597</v>
      </c>
      <c r="E1664" s="16" t="s">
        <v>6919</v>
      </c>
      <c r="F1664" s="16" t="s">
        <v>6920</v>
      </c>
      <c r="G1664" s="16" t="s">
        <v>32</v>
      </c>
      <c r="H1664" s="16"/>
      <c r="I1664" s="16"/>
      <c r="J1664" s="16" t="s">
        <v>101</v>
      </c>
      <c r="K1664" s="16"/>
      <c r="L1664" s="16"/>
      <c r="M1664" s="19" t="s">
        <v>6922</v>
      </c>
      <c r="N1664" s="16"/>
      <c r="O1664" s="16" t="s">
        <v>6923</v>
      </c>
      <c r="P1664" s="16" t="str">
        <f>HYPERLINK("https://ceds.ed.gov/cedselementdetails.aspx?termid=27552")</f>
        <v>https://ceds.ed.gov/cedselementdetails.aspx?termid=27552</v>
      </c>
      <c r="Q1664" s="16">
        <v>73927</v>
      </c>
    </row>
    <row r="1665" spans="1:17" ht="43.2" x14ac:dyDescent="0.3">
      <c r="A1665" s="16" t="s">
        <v>7665</v>
      </c>
      <c r="B1665" s="16" t="s">
        <v>7680</v>
      </c>
      <c r="C1665" s="16" t="s">
        <v>7683</v>
      </c>
      <c r="D1665" s="16" t="s">
        <v>7597</v>
      </c>
      <c r="E1665" s="16" t="s">
        <v>4164</v>
      </c>
      <c r="F1665" s="16" t="s">
        <v>4165</v>
      </c>
      <c r="G1665" s="16" t="s">
        <v>8614</v>
      </c>
      <c r="H1665" s="16" t="s">
        <v>4169</v>
      </c>
      <c r="I1665" s="16"/>
      <c r="J1665" s="16"/>
      <c r="K1665" s="16"/>
      <c r="L1665" s="16"/>
      <c r="M1665" s="19" t="s">
        <v>4166</v>
      </c>
      <c r="N1665" s="16" t="s">
        <v>4167</v>
      </c>
      <c r="O1665" s="16" t="s">
        <v>4168</v>
      </c>
      <c r="P1665" s="16" t="str">
        <f>HYPERLINK("https://ceds.ed.gov/cedselementdetails.aspx?termid=26123")</f>
        <v>https://ceds.ed.gov/cedselementdetails.aspx?termid=26123</v>
      </c>
      <c r="Q1665" s="16">
        <v>75339</v>
      </c>
    </row>
    <row r="1666" spans="1:17" ht="144" x14ac:dyDescent="0.3">
      <c r="A1666" s="16" t="s">
        <v>7665</v>
      </c>
      <c r="B1666" s="16" t="s">
        <v>7680</v>
      </c>
      <c r="C1666" s="16" t="s">
        <v>7683</v>
      </c>
      <c r="D1666" s="16" t="s">
        <v>7597</v>
      </c>
      <c r="E1666" s="16" t="s">
        <v>12844</v>
      </c>
      <c r="F1666" s="16" t="s">
        <v>12845</v>
      </c>
      <c r="G1666" s="16" t="s">
        <v>12921</v>
      </c>
      <c r="H1666" s="16"/>
      <c r="I1666" s="16" t="s">
        <v>155</v>
      </c>
      <c r="J1666" s="16" t="s">
        <v>2</v>
      </c>
      <c r="K1666" s="16" t="s">
        <v>12636</v>
      </c>
      <c r="L1666" s="16" t="s">
        <v>12846</v>
      </c>
      <c r="M1666" s="19" t="s">
        <v>12847</v>
      </c>
      <c r="N1666" s="16"/>
      <c r="O1666" s="16" t="s">
        <v>12848</v>
      </c>
      <c r="P1666" s="16" t="str">
        <f>HYPERLINK("https://ceds.ed.gov/cedselementdetails.aspx?termid=28100")</f>
        <v>https://ceds.ed.gov/cedselementdetails.aspx?termid=28100</v>
      </c>
      <c r="Q1666" s="16">
        <v>76577</v>
      </c>
    </row>
    <row r="1667" spans="1:17" ht="72" x14ac:dyDescent="0.3">
      <c r="A1667" s="16" t="s">
        <v>7665</v>
      </c>
      <c r="B1667" s="16" t="s">
        <v>7680</v>
      </c>
      <c r="C1667" s="16" t="s">
        <v>7684</v>
      </c>
      <c r="D1667" s="16" t="s">
        <v>7597</v>
      </c>
      <c r="E1667" s="16" t="s">
        <v>143</v>
      </c>
      <c r="F1667" s="16" t="s">
        <v>144</v>
      </c>
      <c r="G1667" s="16" t="s">
        <v>32</v>
      </c>
      <c r="H1667" s="16" t="s">
        <v>64</v>
      </c>
      <c r="I1667" s="16"/>
      <c r="J1667" s="16" t="s">
        <v>145</v>
      </c>
      <c r="K1667" s="16"/>
      <c r="L1667" s="16"/>
      <c r="M1667" s="19" t="s">
        <v>146</v>
      </c>
      <c r="N1667" s="16"/>
      <c r="O1667" s="16" t="s">
        <v>147</v>
      </c>
      <c r="P1667" s="16" t="str">
        <f>HYPERLINK("https://ceds.ed.gov/cedselementdetails.aspx?termid=26009")</f>
        <v>https://ceds.ed.gov/cedselementdetails.aspx?termid=26009</v>
      </c>
      <c r="Q1667" s="16">
        <v>71916</v>
      </c>
    </row>
    <row r="1668" spans="1:17" ht="172.8" x14ac:dyDescent="0.3">
      <c r="A1668" s="16" t="s">
        <v>7665</v>
      </c>
      <c r="B1668" s="16" t="s">
        <v>7680</v>
      </c>
      <c r="C1668" s="16" t="s">
        <v>7684</v>
      </c>
      <c r="D1668" s="16" t="s">
        <v>7597</v>
      </c>
      <c r="E1668" s="16" t="s">
        <v>118</v>
      </c>
      <c r="F1668" s="16" t="s">
        <v>119</v>
      </c>
      <c r="G1668" s="16" t="s">
        <v>32</v>
      </c>
      <c r="H1668" s="16" t="s">
        <v>64</v>
      </c>
      <c r="I1668" s="16"/>
      <c r="J1668" s="16" t="s">
        <v>120</v>
      </c>
      <c r="K1668" s="16"/>
      <c r="L1668" s="16" t="s">
        <v>7817</v>
      </c>
      <c r="M1668" s="19" t="s">
        <v>122</v>
      </c>
      <c r="N1668" s="16"/>
      <c r="O1668" s="16" t="s">
        <v>123</v>
      </c>
      <c r="P1668" s="16" t="str">
        <f>HYPERLINK("https://ceds.ed.gov/cedselementdetails.aspx?termid=26006")</f>
        <v>https://ceds.ed.gov/cedselementdetails.aspx?termid=26006</v>
      </c>
      <c r="Q1668" s="16">
        <v>71915</v>
      </c>
    </row>
    <row r="1669" spans="1:17" ht="72" x14ac:dyDescent="0.3">
      <c r="A1669" s="16" t="s">
        <v>7665</v>
      </c>
      <c r="B1669" s="16" t="s">
        <v>7680</v>
      </c>
      <c r="C1669" s="16" t="s">
        <v>7684</v>
      </c>
      <c r="D1669" s="16" t="s">
        <v>7597</v>
      </c>
      <c r="E1669" s="16" t="s">
        <v>113</v>
      </c>
      <c r="F1669" s="16" t="s">
        <v>114</v>
      </c>
      <c r="G1669" s="16" t="s">
        <v>32</v>
      </c>
      <c r="H1669" s="16"/>
      <c r="I1669" s="16"/>
      <c r="J1669" s="16" t="s">
        <v>101</v>
      </c>
      <c r="K1669" s="16"/>
      <c r="L1669" s="16"/>
      <c r="M1669" s="19" t="s">
        <v>116</v>
      </c>
      <c r="N1669" s="16"/>
      <c r="O1669" s="16" t="s">
        <v>117</v>
      </c>
      <c r="P1669" s="16" t="str">
        <f>HYPERLINK("https://ceds.ed.gov/cedselementdetails.aspx?termid=27505")</f>
        <v>https://ceds.ed.gov/cedselementdetails.aspx?termid=27505</v>
      </c>
      <c r="Q1669" s="16">
        <v>73769</v>
      </c>
    </row>
    <row r="1670" spans="1:17" ht="72" x14ac:dyDescent="0.3">
      <c r="A1670" s="16" t="s">
        <v>7665</v>
      </c>
      <c r="B1670" s="16" t="s">
        <v>7680</v>
      </c>
      <c r="C1670" s="16" t="s">
        <v>7684</v>
      </c>
      <c r="D1670" s="16" t="s">
        <v>7597</v>
      </c>
      <c r="E1670" s="16" t="s">
        <v>125</v>
      </c>
      <c r="F1670" s="16" t="s">
        <v>126</v>
      </c>
      <c r="G1670" s="16" t="s">
        <v>32</v>
      </c>
      <c r="H1670" s="16" t="s">
        <v>64</v>
      </c>
      <c r="I1670" s="16"/>
      <c r="J1670" s="16" t="s">
        <v>106</v>
      </c>
      <c r="K1670" s="16"/>
      <c r="L1670" s="16"/>
      <c r="M1670" s="19" t="s">
        <v>127</v>
      </c>
      <c r="N1670" s="16"/>
      <c r="O1670" s="16" t="s">
        <v>128</v>
      </c>
      <c r="P1670" s="16" t="str">
        <f>HYPERLINK("https://ceds.ed.gov/cedselementdetails.aspx?termid=26007")</f>
        <v>https://ceds.ed.gov/cedselementdetails.aspx?termid=26007</v>
      </c>
      <c r="Q1670" s="16">
        <v>73762</v>
      </c>
    </row>
    <row r="1671" spans="1:17" ht="72" x14ac:dyDescent="0.3">
      <c r="A1671" s="16" t="s">
        <v>7665</v>
      </c>
      <c r="B1671" s="16" t="s">
        <v>7680</v>
      </c>
      <c r="C1671" s="16" t="s">
        <v>7684</v>
      </c>
      <c r="D1671" s="16" t="s">
        <v>7597</v>
      </c>
      <c r="E1671" s="16" t="s">
        <v>129</v>
      </c>
      <c r="F1671" s="16" t="s">
        <v>130</v>
      </c>
      <c r="G1671" s="16" t="s">
        <v>32</v>
      </c>
      <c r="H1671" s="16" t="s">
        <v>64</v>
      </c>
      <c r="I1671" s="16"/>
      <c r="J1671" s="16" t="s">
        <v>106</v>
      </c>
      <c r="K1671" s="16"/>
      <c r="L1671" s="16" t="s">
        <v>131</v>
      </c>
      <c r="M1671" s="19" t="s">
        <v>132</v>
      </c>
      <c r="N1671" s="16"/>
      <c r="O1671" s="16" t="s">
        <v>133</v>
      </c>
      <c r="P1671" s="16" t="str">
        <f>HYPERLINK("https://ceds.ed.gov/cedselementdetails.aspx?termid=26008")</f>
        <v>https://ceds.ed.gov/cedselementdetails.aspx?termid=26008</v>
      </c>
      <c r="Q1671" s="16">
        <v>73763</v>
      </c>
    </row>
    <row r="1672" spans="1:17" ht="72" x14ac:dyDescent="0.3">
      <c r="A1672" s="16" t="s">
        <v>7665</v>
      </c>
      <c r="B1672" s="16" t="s">
        <v>7680</v>
      </c>
      <c r="C1672" s="16" t="s">
        <v>7684</v>
      </c>
      <c r="D1672" s="16" t="s">
        <v>7597</v>
      </c>
      <c r="E1672" s="16" t="s">
        <v>134</v>
      </c>
      <c r="F1672" s="16" t="s">
        <v>135</v>
      </c>
      <c r="G1672" s="16" t="s">
        <v>32</v>
      </c>
      <c r="H1672" s="16"/>
      <c r="I1672" s="16"/>
      <c r="J1672" s="16" t="s">
        <v>136</v>
      </c>
      <c r="K1672" s="16"/>
      <c r="L1672" s="16"/>
      <c r="M1672" s="19" t="s">
        <v>137</v>
      </c>
      <c r="N1672" s="16"/>
      <c r="O1672" s="16" t="s">
        <v>138</v>
      </c>
      <c r="P1672" s="16" t="str">
        <f>HYPERLINK("https://ceds.ed.gov/cedselementdetails.aspx?termid=27502")</f>
        <v>https://ceds.ed.gov/cedselementdetails.aspx?termid=27502</v>
      </c>
      <c r="Q1672" s="16">
        <v>73759</v>
      </c>
    </row>
    <row r="1673" spans="1:17" ht="86.4" x14ac:dyDescent="0.3">
      <c r="A1673" s="16" t="s">
        <v>7665</v>
      </c>
      <c r="B1673" s="16" t="s">
        <v>7680</v>
      </c>
      <c r="C1673" s="16" t="s">
        <v>7684</v>
      </c>
      <c r="D1673" s="16" t="s">
        <v>7597</v>
      </c>
      <c r="E1673" s="16" t="s">
        <v>139</v>
      </c>
      <c r="F1673" s="16" t="s">
        <v>140</v>
      </c>
      <c r="G1673" s="16" t="s">
        <v>8290</v>
      </c>
      <c r="H1673" s="16"/>
      <c r="I1673" s="16"/>
      <c r="J1673" s="16"/>
      <c r="K1673" s="16"/>
      <c r="L1673" s="16"/>
      <c r="M1673" s="19" t="s">
        <v>141</v>
      </c>
      <c r="N1673" s="16"/>
      <c r="O1673" s="16" t="s">
        <v>142</v>
      </c>
      <c r="P1673" s="16" t="str">
        <f>HYPERLINK("https://ceds.ed.gov/cedselementdetails.aspx?termid=27503")</f>
        <v>https://ceds.ed.gov/cedselementdetails.aspx?termid=27503</v>
      </c>
      <c r="Q1673" s="16">
        <v>73761</v>
      </c>
    </row>
    <row r="1674" spans="1:17" ht="115.2" x14ac:dyDescent="0.3">
      <c r="A1674" s="16" t="s">
        <v>7665</v>
      </c>
      <c r="B1674" s="16" t="s">
        <v>7680</v>
      </c>
      <c r="C1674" s="16" t="s">
        <v>7685</v>
      </c>
      <c r="D1674" s="16" t="s">
        <v>7597</v>
      </c>
      <c r="E1674" s="16" t="s">
        <v>3090</v>
      </c>
      <c r="F1674" s="16" t="s">
        <v>3091</v>
      </c>
      <c r="G1674" s="16" t="s">
        <v>32</v>
      </c>
      <c r="H1674" s="16" t="s">
        <v>3096</v>
      </c>
      <c r="I1674" s="16"/>
      <c r="J1674" s="16" t="s">
        <v>3093</v>
      </c>
      <c r="K1674" s="16"/>
      <c r="L1674" s="16"/>
      <c r="M1674" s="19" t="s">
        <v>3094</v>
      </c>
      <c r="N1674" s="16"/>
      <c r="O1674" s="16" t="s">
        <v>3095</v>
      </c>
      <c r="P1674" s="16" t="str">
        <f>HYPERLINK("https://ceds.ed.gov/cedselementdetails.aspx?termid=26081")</f>
        <v>https://ceds.ed.gov/cedselementdetails.aspx?termid=26081</v>
      </c>
      <c r="Q1674" s="16">
        <v>71737</v>
      </c>
    </row>
    <row r="1675" spans="1:17" ht="216" x14ac:dyDescent="0.3">
      <c r="A1675" s="16" t="s">
        <v>7665</v>
      </c>
      <c r="B1675" s="16" t="s">
        <v>7680</v>
      </c>
      <c r="C1675" s="16" t="s">
        <v>7685</v>
      </c>
      <c r="D1675" s="16" t="s">
        <v>7597</v>
      </c>
      <c r="E1675" s="16" t="s">
        <v>4243</v>
      </c>
      <c r="F1675" s="16" t="s">
        <v>4244</v>
      </c>
      <c r="G1675" s="16" t="s">
        <v>9333</v>
      </c>
      <c r="H1675" s="16" t="s">
        <v>4249</v>
      </c>
      <c r="I1675" s="16"/>
      <c r="J1675" s="16"/>
      <c r="K1675" s="16"/>
      <c r="L1675" s="16" t="s">
        <v>4246</v>
      </c>
      <c r="M1675" s="19" t="s">
        <v>4247</v>
      </c>
      <c r="N1675" s="16"/>
      <c r="O1675" s="16" t="s">
        <v>4248</v>
      </c>
      <c r="P1675" s="16" t="str">
        <f>HYPERLINK("https://ceds.ed.gov/cedselementdetails.aspx?termid=26138")</f>
        <v>https://ceds.ed.gov/cedselementdetails.aspx?termid=26138</v>
      </c>
      <c r="Q1675" s="16">
        <v>71764</v>
      </c>
    </row>
    <row r="1676" spans="1:17" ht="144" x14ac:dyDescent="0.3">
      <c r="A1676" s="16" t="s">
        <v>7665</v>
      </c>
      <c r="B1676" s="16" t="s">
        <v>7680</v>
      </c>
      <c r="C1676" s="16" t="s">
        <v>7685</v>
      </c>
      <c r="D1676" s="16" t="s">
        <v>7597</v>
      </c>
      <c r="E1676" s="16" t="s">
        <v>4238</v>
      </c>
      <c r="F1676" s="16" t="s">
        <v>4239</v>
      </c>
      <c r="G1676" s="16" t="s">
        <v>9332</v>
      </c>
      <c r="H1676" s="16"/>
      <c r="I1676" s="16"/>
      <c r="J1676" s="16"/>
      <c r="K1676" s="16"/>
      <c r="L1676" s="16"/>
      <c r="M1676" s="19" t="s">
        <v>4241</v>
      </c>
      <c r="N1676" s="16"/>
      <c r="O1676" s="16" t="s">
        <v>4242</v>
      </c>
      <c r="P1676" s="16" t="str">
        <f>HYPERLINK("https://ceds.ed.gov/cedselementdetails.aspx?termid=26689")</f>
        <v>https://ceds.ed.gov/cedselementdetails.aspx?termid=26689</v>
      </c>
      <c r="Q1676" s="16">
        <v>71913</v>
      </c>
    </row>
    <row r="1677" spans="1:17" ht="57.6" x14ac:dyDescent="0.3">
      <c r="A1677" s="16" t="s">
        <v>7665</v>
      </c>
      <c r="B1677" s="16" t="s">
        <v>7680</v>
      </c>
      <c r="C1677" s="16" t="s">
        <v>7685</v>
      </c>
      <c r="D1677" s="16" t="s">
        <v>7597</v>
      </c>
      <c r="E1677" s="16" t="s">
        <v>30</v>
      </c>
      <c r="F1677" s="16" t="s">
        <v>31</v>
      </c>
      <c r="G1677" s="16" t="s">
        <v>32</v>
      </c>
      <c r="H1677" s="16" t="s">
        <v>37</v>
      </c>
      <c r="I1677" s="16"/>
      <c r="J1677" s="16" t="s">
        <v>34</v>
      </c>
      <c r="K1677" s="16"/>
      <c r="L1677" s="16"/>
      <c r="M1677" s="19" t="s">
        <v>35</v>
      </c>
      <c r="N1677" s="16"/>
      <c r="O1677" s="16" t="s">
        <v>36</v>
      </c>
      <c r="P1677" s="16" t="str">
        <f>HYPERLINK("https://ceds.ed.gov/cedselementdetails.aspx?termid=26001")</f>
        <v>https://ceds.ed.gov/cedselementdetails.aspx?termid=26001</v>
      </c>
      <c r="Q1677" s="16">
        <v>74675</v>
      </c>
    </row>
    <row r="1678" spans="1:17" ht="216" x14ac:dyDescent="0.3">
      <c r="A1678" s="16" t="s">
        <v>7665</v>
      </c>
      <c r="B1678" s="16" t="s">
        <v>7680</v>
      </c>
      <c r="C1678" s="16" t="s">
        <v>7685</v>
      </c>
      <c r="D1678" s="16" t="s">
        <v>7597</v>
      </c>
      <c r="E1678" s="16" t="s">
        <v>38</v>
      </c>
      <c r="F1678" s="16" t="s">
        <v>7813</v>
      </c>
      <c r="G1678" s="16" t="s">
        <v>8281</v>
      </c>
      <c r="H1678" s="16" t="s">
        <v>42</v>
      </c>
      <c r="I1678" s="16"/>
      <c r="J1678" s="16"/>
      <c r="K1678" s="16"/>
      <c r="L1678" s="16"/>
      <c r="M1678" s="19" t="s">
        <v>40</v>
      </c>
      <c r="N1678" s="16"/>
      <c r="O1678" s="16" t="s">
        <v>41</v>
      </c>
      <c r="P1678" s="16" t="str">
        <f>HYPERLINK("https://ceds.ed.gov/cedselementdetails.aspx?termid=26002")</f>
        <v>https://ceds.ed.gov/cedselementdetails.aspx?termid=26002</v>
      </c>
      <c r="Q1678" s="16">
        <v>74671</v>
      </c>
    </row>
    <row r="1679" spans="1:17" ht="28.8" x14ac:dyDescent="0.3">
      <c r="A1679" s="16" t="s">
        <v>7665</v>
      </c>
      <c r="B1679" s="16" t="s">
        <v>7680</v>
      </c>
      <c r="C1679" s="16" t="s">
        <v>7685</v>
      </c>
      <c r="D1679" s="16" t="s">
        <v>7597</v>
      </c>
      <c r="E1679" s="16" t="s">
        <v>53</v>
      </c>
      <c r="F1679" s="16" t="s">
        <v>54</v>
      </c>
      <c r="G1679" s="16" t="s">
        <v>32</v>
      </c>
      <c r="H1679" s="16" t="s">
        <v>58</v>
      </c>
      <c r="I1679" s="16"/>
      <c r="J1679" s="16" t="s">
        <v>55</v>
      </c>
      <c r="K1679" s="16"/>
      <c r="L1679" s="16"/>
      <c r="M1679" s="19" t="s">
        <v>56</v>
      </c>
      <c r="N1679" s="16"/>
      <c r="O1679" s="16" t="s">
        <v>57</v>
      </c>
      <c r="P1679" s="16" t="str">
        <f>HYPERLINK("https://ceds.ed.gov/cedselementdetails.aspx?termid=26003")</f>
        <v>https://ceds.ed.gov/cedselementdetails.aspx?termid=26003</v>
      </c>
      <c r="Q1679" s="16">
        <v>74672</v>
      </c>
    </row>
    <row r="1680" spans="1:17" ht="172.8" x14ac:dyDescent="0.3">
      <c r="A1680" s="16" t="s">
        <v>7665</v>
      </c>
      <c r="B1680" s="16" t="s">
        <v>7680</v>
      </c>
      <c r="C1680" s="16" t="s">
        <v>7685</v>
      </c>
      <c r="D1680" s="16" t="s">
        <v>7597</v>
      </c>
      <c r="E1680" s="16" t="s">
        <v>2914</v>
      </c>
      <c r="F1680" s="16" t="s">
        <v>2915</v>
      </c>
      <c r="G1680" s="16" t="s">
        <v>8485</v>
      </c>
      <c r="H1680" s="16"/>
      <c r="I1680" s="16"/>
      <c r="J1680" s="16"/>
      <c r="K1680" s="16"/>
      <c r="L1680" s="16"/>
      <c r="M1680" s="19" t="s">
        <v>2917</v>
      </c>
      <c r="N1680" s="16"/>
      <c r="O1680" s="16" t="s">
        <v>2918</v>
      </c>
      <c r="P1680" s="16" t="str">
        <f>HYPERLINK("https://ceds.ed.gov/cedselementdetails.aspx?termid=27283")</f>
        <v>https://ceds.ed.gov/cedselementdetails.aspx?termid=27283</v>
      </c>
      <c r="Q1680" s="16">
        <v>74670</v>
      </c>
    </row>
    <row r="1681" spans="1:17" ht="115.2" x14ac:dyDescent="0.3">
      <c r="A1681" s="16" t="s">
        <v>7665</v>
      </c>
      <c r="B1681" s="16" t="s">
        <v>7680</v>
      </c>
      <c r="C1681" s="16" t="s">
        <v>7685</v>
      </c>
      <c r="D1681" s="16" t="s">
        <v>7597</v>
      </c>
      <c r="E1681" s="16" t="s">
        <v>6034</v>
      </c>
      <c r="F1681" s="16" t="s">
        <v>6035</v>
      </c>
      <c r="G1681" s="16" t="s">
        <v>8794</v>
      </c>
      <c r="H1681" s="16"/>
      <c r="I1681" s="16"/>
      <c r="J1681" s="16"/>
      <c r="K1681" s="16"/>
      <c r="L1681" s="16"/>
      <c r="M1681" s="19" t="s">
        <v>6037</v>
      </c>
      <c r="N1681" s="16"/>
      <c r="O1681" s="16" t="s">
        <v>6038</v>
      </c>
      <c r="P1681" s="16" t="str">
        <f>HYPERLINK("https://ceds.ed.gov/cedselementdetails.aspx?termid=26780")</f>
        <v>https://ceds.ed.gov/cedselementdetails.aspx?termid=26780</v>
      </c>
      <c r="Q1681" s="16">
        <v>72839</v>
      </c>
    </row>
    <row r="1682" spans="1:17" ht="172.8" x14ac:dyDescent="0.3">
      <c r="A1682" s="16" t="s">
        <v>7665</v>
      </c>
      <c r="B1682" s="16" t="s">
        <v>7680</v>
      </c>
      <c r="C1682" s="16" t="s">
        <v>7685</v>
      </c>
      <c r="D1682" s="16" t="s">
        <v>7597</v>
      </c>
      <c r="E1682" s="16" t="s">
        <v>6074</v>
      </c>
      <c r="F1682" s="16" t="s">
        <v>6075</v>
      </c>
      <c r="G1682" s="16" t="s">
        <v>32</v>
      </c>
      <c r="H1682" s="16" t="s">
        <v>2564</v>
      </c>
      <c r="I1682" s="16"/>
      <c r="J1682" s="16" t="s">
        <v>120</v>
      </c>
      <c r="K1682" s="16"/>
      <c r="L1682" s="16" t="s">
        <v>7817</v>
      </c>
      <c r="M1682" s="19" t="s">
        <v>6076</v>
      </c>
      <c r="N1682" s="16"/>
      <c r="O1682" s="16" t="s">
        <v>6077</v>
      </c>
      <c r="P1682" s="16" t="str">
        <f>HYPERLINK("https://ceds.ed.gov/cedselementdetails.aspx?termid=26618")</f>
        <v>https://ceds.ed.gov/cedselementdetails.aspx?termid=26618</v>
      </c>
      <c r="Q1682" s="16">
        <v>74673</v>
      </c>
    </row>
    <row r="1683" spans="1:17" ht="216" x14ac:dyDescent="0.3">
      <c r="A1683" s="16" t="s">
        <v>7665</v>
      </c>
      <c r="B1683" s="16" t="s">
        <v>7680</v>
      </c>
      <c r="C1683" s="16" t="s">
        <v>7685</v>
      </c>
      <c r="D1683" s="16" t="s">
        <v>7597</v>
      </c>
      <c r="E1683" s="16" t="s">
        <v>9213</v>
      </c>
      <c r="F1683" s="16" t="s">
        <v>9214</v>
      </c>
      <c r="G1683" s="16" t="s">
        <v>9306</v>
      </c>
      <c r="H1683" s="16"/>
      <c r="I1683" s="16"/>
      <c r="J1683" s="16" t="s">
        <v>2</v>
      </c>
      <c r="K1683" s="16"/>
      <c r="L1683" s="16"/>
      <c r="M1683" s="19" t="s">
        <v>9215</v>
      </c>
      <c r="N1683" s="16"/>
      <c r="O1683" s="16" t="s">
        <v>9216</v>
      </c>
      <c r="P1683" s="16" t="str">
        <f>HYPERLINK("https://ceds.ed.gov/cedselementdetails.aspx?termid=28077")</f>
        <v>https://ceds.ed.gov/cedselementdetails.aspx?termid=28077</v>
      </c>
      <c r="Q1683" s="16">
        <v>76196</v>
      </c>
    </row>
    <row r="1684" spans="1:17" ht="57.6" x14ac:dyDescent="0.3">
      <c r="A1684" s="16" t="s">
        <v>7665</v>
      </c>
      <c r="B1684" s="16" t="s">
        <v>7680</v>
      </c>
      <c r="C1684" s="16" t="s">
        <v>7642</v>
      </c>
      <c r="D1684" s="16" t="s">
        <v>7597</v>
      </c>
      <c r="E1684" s="16" t="s">
        <v>1494</v>
      </c>
      <c r="F1684" s="16" t="s">
        <v>7893</v>
      </c>
      <c r="G1684" s="16" t="s">
        <v>22</v>
      </c>
      <c r="H1684" s="16" t="s">
        <v>25</v>
      </c>
      <c r="I1684" s="16"/>
      <c r="J1684" s="16"/>
      <c r="K1684" s="16"/>
      <c r="L1684" s="16"/>
      <c r="M1684" s="19" t="s">
        <v>1495</v>
      </c>
      <c r="N1684" s="16"/>
      <c r="O1684" s="16" t="s">
        <v>1496</v>
      </c>
      <c r="P1684" s="16" t="str">
        <f>HYPERLINK("https://ceds.ed.gov/cedselementdetails.aspx?termid=26031")</f>
        <v>https://ceds.ed.gov/cedselementdetails.aspx?termid=26031</v>
      </c>
      <c r="Q1684" s="16">
        <v>70994</v>
      </c>
    </row>
    <row r="1685" spans="1:17" ht="230.4" x14ac:dyDescent="0.3">
      <c r="A1685" s="16" t="s">
        <v>7665</v>
      </c>
      <c r="B1685" s="16" t="s">
        <v>7680</v>
      </c>
      <c r="C1685" s="16" t="s">
        <v>7642</v>
      </c>
      <c r="D1685" s="16" t="s">
        <v>7597</v>
      </c>
      <c r="E1685" s="16" t="s">
        <v>4346</v>
      </c>
      <c r="F1685" s="16" t="s">
        <v>4347</v>
      </c>
      <c r="G1685" s="16" t="s">
        <v>22</v>
      </c>
      <c r="H1685" s="16" t="s">
        <v>4350</v>
      </c>
      <c r="I1685" s="16"/>
      <c r="J1685" s="16"/>
      <c r="K1685" s="16"/>
      <c r="L1685" s="16"/>
      <c r="M1685" s="19" t="s">
        <v>4348</v>
      </c>
      <c r="N1685" s="16"/>
      <c r="O1685" s="16" t="s">
        <v>4349</v>
      </c>
      <c r="P1685" s="16" t="str">
        <f>HYPERLINK("https://ceds.ed.gov/cedselementdetails.aspx?termid=26151")</f>
        <v>https://ceds.ed.gov/cedselementdetails.aspx?termid=26151</v>
      </c>
      <c r="Q1685" s="16">
        <v>71771</v>
      </c>
    </row>
    <row r="1686" spans="1:17" ht="43.2" x14ac:dyDescent="0.3">
      <c r="A1686" s="16" t="s">
        <v>7665</v>
      </c>
      <c r="B1686" s="16" t="s">
        <v>7680</v>
      </c>
      <c r="C1686" s="16" t="s">
        <v>7642</v>
      </c>
      <c r="D1686" s="16" t="s">
        <v>7597</v>
      </c>
      <c r="E1686" s="16" t="s">
        <v>3117</v>
      </c>
      <c r="F1686" s="16" t="s">
        <v>3118</v>
      </c>
      <c r="G1686" s="16" t="s">
        <v>22</v>
      </c>
      <c r="H1686" s="16" t="s">
        <v>214</v>
      </c>
      <c r="I1686" s="16"/>
      <c r="J1686" s="16"/>
      <c r="K1686" s="16"/>
      <c r="L1686" s="16"/>
      <c r="M1686" s="19" t="s">
        <v>3119</v>
      </c>
      <c r="N1686" s="16"/>
      <c r="O1686" s="16" t="s">
        <v>3120</v>
      </c>
      <c r="P1686" s="16" t="str">
        <f>HYPERLINK("https://ceds.ed.gov/cedselementdetails.aspx?termid=26569")</f>
        <v>https://ceds.ed.gov/cedselementdetails.aspx?termid=26569</v>
      </c>
      <c r="Q1686" s="16">
        <v>71884</v>
      </c>
    </row>
    <row r="1687" spans="1:17" ht="86.4" x14ac:dyDescent="0.3">
      <c r="A1687" s="16" t="s">
        <v>7665</v>
      </c>
      <c r="B1687" s="16" t="s">
        <v>7680</v>
      </c>
      <c r="C1687" s="16" t="s">
        <v>7642</v>
      </c>
      <c r="D1687" s="16" t="s">
        <v>7597</v>
      </c>
      <c r="E1687" s="16" t="s">
        <v>6575</v>
      </c>
      <c r="F1687" s="16" t="s">
        <v>6576</v>
      </c>
      <c r="G1687" s="16" t="s">
        <v>22</v>
      </c>
      <c r="H1687" s="16" t="s">
        <v>4350</v>
      </c>
      <c r="I1687" s="16"/>
      <c r="J1687" s="16"/>
      <c r="K1687" s="16"/>
      <c r="L1687" s="16"/>
      <c r="M1687" s="19" t="s">
        <v>6577</v>
      </c>
      <c r="N1687" s="16"/>
      <c r="O1687" s="16" t="s">
        <v>6578</v>
      </c>
      <c r="P1687" s="16" t="str">
        <f>HYPERLINK("https://ceds.ed.gov/cedselementdetails.aspx?termid=26249")</f>
        <v>https://ceds.ed.gov/cedselementdetails.aspx?termid=26249</v>
      </c>
      <c r="Q1687" s="16">
        <v>71810</v>
      </c>
    </row>
    <row r="1688" spans="1:17" ht="201.6" x14ac:dyDescent="0.3">
      <c r="A1688" s="16" t="s">
        <v>7665</v>
      </c>
      <c r="B1688" s="16" t="s">
        <v>7680</v>
      </c>
      <c r="C1688" s="16" t="s">
        <v>7642</v>
      </c>
      <c r="D1688" s="16" t="s">
        <v>7597</v>
      </c>
      <c r="E1688" s="16" t="s">
        <v>5859</v>
      </c>
      <c r="F1688" s="16" t="s">
        <v>5860</v>
      </c>
      <c r="G1688" s="16" t="s">
        <v>8767</v>
      </c>
      <c r="H1688" s="16" t="s">
        <v>5864</v>
      </c>
      <c r="I1688" s="16"/>
      <c r="J1688" s="16"/>
      <c r="K1688" s="16"/>
      <c r="L1688" s="16" t="s">
        <v>5861</v>
      </c>
      <c r="M1688" s="19" t="s">
        <v>5862</v>
      </c>
      <c r="N1688" s="16"/>
      <c r="O1688" s="16" t="s">
        <v>5863</v>
      </c>
      <c r="P1688" s="16" t="str">
        <f>HYPERLINK("https://ceds.ed.gov/cedselementdetails.aspx?termid=26218")</f>
        <v>https://ceds.ed.gov/cedselementdetails.aspx?termid=26218</v>
      </c>
      <c r="Q1688" s="16">
        <v>71800</v>
      </c>
    </row>
    <row r="1689" spans="1:17" ht="216" x14ac:dyDescent="0.3">
      <c r="A1689" s="16" t="s">
        <v>7665</v>
      </c>
      <c r="B1689" s="16" t="s">
        <v>7680</v>
      </c>
      <c r="C1689" s="16" t="s">
        <v>7642</v>
      </c>
      <c r="D1689" s="16" t="s">
        <v>7597</v>
      </c>
      <c r="E1689" s="16" t="s">
        <v>3108</v>
      </c>
      <c r="F1689" s="16" t="s">
        <v>3109</v>
      </c>
      <c r="G1689" s="16" t="s">
        <v>8504</v>
      </c>
      <c r="H1689" s="16"/>
      <c r="I1689" s="16"/>
      <c r="J1689" s="16"/>
      <c r="K1689" s="16"/>
      <c r="L1689" s="16" t="s">
        <v>3110</v>
      </c>
      <c r="M1689" s="19" t="s">
        <v>3111</v>
      </c>
      <c r="N1689" s="16"/>
      <c r="O1689" s="16" t="s">
        <v>3112</v>
      </c>
      <c r="P1689" s="16" t="str">
        <f>HYPERLINK("https://ceds.ed.gov/cedselementdetails.aspx?termid=27286")</f>
        <v>https://ceds.ed.gov/cedselementdetails.aspx?termid=27286</v>
      </c>
      <c r="Q1689" s="16">
        <v>73662</v>
      </c>
    </row>
    <row r="1690" spans="1:17" ht="144" x14ac:dyDescent="0.3">
      <c r="A1690" s="16" t="s">
        <v>7665</v>
      </c>
      <c r="B1690" s="16" t="s">
        <v>7680</v>
      </c>
      <c r="C1690" s="16" t="s">
        <v>7642</v>
      </c>
      <c r="D1690" s="16" t="s">
        <v>7597</v>
      </c>
      <c r="E1690" s="16" t="s">
        <v>3113</v>
      </c>
      <c r="F1690" s="16" t="s">
        <v>3114</v>
      </c>
      <c r="G1690" s="16" t="s">
        <v>8506</v>
      </c>
      <c r="H1690" s="16"/>
      <c r="I1690" s="16"/>
      <c r="J1690" s="16"/>
      <c r="K1690" s="16"/>
      <c r="L1690" s="16" t="s">
        <v>3110</v>
      </c>
      <c r="M1690" s="19" t="s">
        <v>3115</v>
      </c>
      <c r="N1690" s="16"/>
      <c r="O1690" s="16" t="s">
        <v>3116</v>
      </c>
      <c r="P1690" s="16" t="str">
        <f>HYPERLINK("https://ceds.ed.gov/cedselementdetails.aspx?termid=27287")</f>
        <v>https://ceds.ed.gov/cedselementdetails.aspx?termid=27287</v>
      </c>
      <c r="Q1690" s="16">
        <v>73664</v>
      </c>
    </row>
    <row r="1691" spans="1:17" ht="129.6" x14ac:dyDescent="0.3">
      <c r="A1691" s="16" t="s">
        <v>7665</v>
      </c>
      <c r="B1691" s="16" t="s">
        <v>7680</v>
      </c>
      <c r="C1691" s="16" t="s">
        <v>7642</v>
      </c>
      <c r="D1691" s="16" t="s">
        <v>7597</v>
      </c>
      <c r="E1691" s="16" t="s">
        <v>4333</v>
      </c>
      <c r="F1691" s="16" t="s">
        <v>4334</v>
      </c>
      <c r="G1691" s="16" t="s">
        <v>8631</v>
      </c>
      <c r="H1691" s="16" t="s">
        <v>214</v>
      </c>
      <c r="I1691" s="16"/>
      <c r="J1691" s="16"/>
      <c r="K1691" s="16"/>
      <c r="L1691" s="16"/>
      <c r="M1691" s="19" t="s">
        <v>4336</v>
      </c>
      <c r="N1691" s="16"/>
      <c r="O1691" s="16" t="s">
        <v>4337</v>
      </c>
      <c r="P1691" s="16" t="str">
        <f>HYPERLINK("https://ceds.ed.gov/cedselementdetails.aspx?termid=26526")</f>
        <v>https://ceds.ed.gov/cedselementdetails.aspx?termid=26526</v>
      </c>
      <c r="Q1691" s="16">
        <v>71864</v>
      </c>
    </row>
    <row r="1692" spans="1:17" ht="374.4" x14ac:dyDescent="0.3">
      <c r="A1692" s="16" t="s">
        <v>7665</v>
      </c>
      <c r="B1692" s="16" t="s">
        <v>7680</v>
      </c>
      <c r="C1692" s="16" t="s">
        <v>7642</v>
      </c>
      <c r="D1692" s="16" t="s">
        <v>7597</v>
      </c>
      <c r="E1692" s="16" t="s">
        <v>6903</v>
      </c>
      <c r="F1692" s="16" t="s">
        <v>9323</v>
      </c>
      <c r="G1692" s="16" t="s">
        <v>32</v>
      </c>
      <c r="H1692" s="16"/>
      <c r="I1692" s="16" t="s">
        <v>160</v>
      </c>
      <c r="J1692" s="16" t="s">
        <v>812</v>
      </c>
      <c r="K1692" s="16" t="s">
        <v>12952</v>
      </c>
      <c r="L1692" s="16" t="s">
        <v>8158</v>
      </c>
      <c r="M1692" s="19" t="s">
        <v>6904</v>
      </c>
      <c r="N1692" s="16"/>
      <c r="O1692" s="16" t="s">
        <v>6905</v>
      </c>
      <c r="P1692" s="16" t="str">
        <f>HYPERLINK("https://ceds.ed.gov/cedselementdetails.aspx?termid=27193")</f>
        <v>https://ceds.ed.gov/cedselementdetails.aspx?termid=27193</v>
      </c>
      <c r="Q1692" s="16">
        <v>76202</v>
      </c>
    </row>
    <row r="1693" spans="1:17" ht="28.8" x14ac:dyDescent="0.3">
      <c r="A1693" s="16" t="s">
        <v>7665</v>
      </c>
      <c r="B1693" s="16" t="s">
        <v>7680</v>
      </c>
      <c r="C1693" s="16" t="s">
        <v>7642</v>
      </c>
      <c r="D1693" s="16" t="s">
        <v>7597</v>
      </c>
      <c r="E1693" s="16" t="s">
        <v>6906</v>
      </c>
      <c r="F1693" s="16" t="s">
        <v>9324</v>
      </c>
      <c r="G1693" s="16" t="s">
        <v>32</v>
      </c>
      <c r="H1693" s="16"/>
      <c r="I1693" s="16" t="s">
        <v>160</v>
      </c>
      <c r="J1693" s="16" t="s">
        <v>812</v>
      </c>
      <c r="K1693" s="16" t="s">
        <v>12952</v>
      </c>
      <c r="L1693" s="16"/>
      <c r="M1693" s="19" t="s">
        <v>6907</v>
      </c>
      <c r="N1693" s="16"/>
      <c r="O1693" s="16" t="s">
        <v>6908</v>
      </c>
      <c r="P1693" s="16" t="str">
        <f>HYPERLINK("https://ceds.ed.gov/cedselementdetails.aspx?termid=27192")</f>
        <v>https://ceds.ed.gov/cedselementdetails.aspx?termid=27192</v>
      </c>
      <c r="Q1693" s="16">
        <v>76203</v>
      </c>
    </row>
    <row r="1694" spans="1:17" ht="57.6" x14ac:dyDescent="0.3">
      <c r="A1694" s="16" t="s">
        <v>7665</v>
      </c>
      <c r="B1694" s="16" t="s">
        <v>7680</v>
      </c>
      <c r="C1694" s="16" t="s">
        <v>7642</v>
      </c>
      <c r="D1694" s="16" t="s">
        <v>7597</v>
      </c>
      <c r="E1694" s="16" t="s">
        <v>12736</v>
      </c>
      <c r="F1694" s="16" t="s">
        <v>12737</v>
      </c>
      <c r="G1694" s="16" t="s">
        <v>12904</v>
      </c>
      <c r="H1694" s="16"/>
      <c r="I1694" s="16" t="s">
        <v>155</v>
      </c>
      <c r="J1694" s="16" t="s">
        <v>2</v>
      </c>
      <c r="K1694" s="16" t="s">
        <v>12636</v>
      </c>
      <c r="L1694" s="16"/>
      <c r="M1694" s="19" t="s">
        <v>12738</v>
      </c>
      <c r="N1694" s="16"/>
      <c r="O1694" s="16" t="s">
        <v>12739</v>
      </c>
      <c r="P1694" s="16" t="str">
        <f>HYPERLINK("https://ceds.ed.gov/cedselementdetails.aspx?termid=28112")</f>
        <v>https://ceds.ed.gov/cedselementdetails.aspx?termid=28112</v>
      </c>
      <c r="Q1694" s="16">
        <v>76595</v>
      </c>
    </row>
    <row r="1695" spans="1:17" ht="86.4" x14ac:dyDescent="0.3">
      <c r="A1695" s="16" t="s">
        <v>7665</v>
      </c>
      <c r="B1695" s="16" t="s">
        <v>7680</v>
      </c>
      <c r="C1695" s="16" t="s">
        <v>7642</v>
      </c>
      <c r="D1695" s="16" t="s">
        <v>7597</v>
      </c>
      <c r="E1695" s="16" t="s">
        <v>12877</v>
      </c>
      <c r="F1695" s="16" t="s">
        <v>12878</v>
      </c>
      <c r="G1695" s="16" t="s">
        <v>12927</v>
      </c>
      <c r="H1695" s="16"/>
      <c r="I1695" s="16" t="s">
        <v>155</v>
      </c>
      <c r="J1695" s="16" t="s">
        <v>2</v>
      </c>
      <c r="K1695" s="16" t="s">
        <v>12636</v>
      </c>
      <c r="L1695" s="16"/>
      <c r="M1695" s="19" t="s">
        <v>12879</v>
      </c>
      <c r="N1695" s="16"/>
      <c r="O1695" s="16" t="s">
        <v>12880</v>
      </c>
      <c r="P1695" s="16" t="str">
        <f>HYPERLINK("https://ceds.ed.gov/cedselementdetails.aspx?termid=28113")</f>
        <v>https://ceds.ed.gov/cedselementdetails.aspx?termid=28113</v>
      </c>
      <c r="Q1695" s="16">
        <v>76599</v>
      </c>
    </row>
    <row r="1696" spans="1:17" ht="86.4" x14ac:dyDescent="0.3">
      <c r="A1696" s="16" t="s">
        <v>7665</v>
      </c>
      <c r="B1696" s="16" t="s">
        <v>7680</v>
      </c>
      <c r="C1696" s="16" t="s">
        <v>7686</v>
      </c>
      <c r="D1696" s="16" t="s">
        <v>7597</v>
      </c>
      <c r="E1696" s="16" t="s">
        <v>6717</v>
      </c>
      <c r="F1696" s="16" t="s">
        <v>6718</v>
      </c>
      <c r="G1696" s="16" t="s">
        <v>32</v>
      </c>
      <c r="H1696" s="16"/>
      <c r="I1696" s="16"/>
      <c r="J1696" s="16" t="s">
        <v>4081</v>
      </c>
      <c r="K1696" s="16"/>
      <c r="L1696" s="16"/>
      <c r="M1696" s="19" t="s">
        <v>6719</v>
      </c>
      <c r="N1696" s="16" t="s">
        <v>6720</v>
      </c>
      <c r="O1696" s="16" t="s">
        <v>6721</v>
      </c>
      <c r="P1696" s="16" t="str">
        <f>HYPERLINK("https://ceds.ed.gov/cedselementdetails.aspx?termid=27208")</f>
        <v>https://ceds.ed.gov/cedselementdetails.aspx?termid=27208</v>
      </c>
      <c r="Q1696" s="16">
        <v>71706</v>
      </c>
    </row>
    <row r="1697" spans="1:17" ht="57.6" x14ac:dyDescent="0.3">
      <c r="A1697" s="16" t="s">
        <v>7665</v>
      </c>
      <c r="B1697" s="16" t="s">
        <v>7680</v>
      </c>
      <c r="C1697" s="16" t="s">
        <v>7686</v>
      </c>
      <c r="D1697" s="16" t="s">
        <v>7597</v>
      </c>
      <c r="E1697" s="16" t="s">
        <v>6097</v>
      </c>
      <c r="F1697" s="16" t="s">
        <v>6098</v>
      </c>
      <c r="G1697" s="16" t="s">
        <v>32</v>
      </c>
      <c r="H1697" s="16" t="s">
        <v>6101</v>
      </c>
      <c r="I1697" s="16"/>
      <c r="J1697" s="16" t="s">
        <v>106</v>
      </c>
      <c r="K1697" s="16"/>
      <c r="L1697" s="16"/>
      <c r="M1697" s="19" t="s">
        <v>6099</v>
      </c>
      <c r="N1697" s="16"/>
      <c r="O1697" s="16" t="s">
        <v>6100</v>
      </c>
      <c r="P1697" s="16" t="str">
        <f>HYPERLINK("https://ceds.ed.gov/cedselementdetails.aspx?termid=26583")</f>
        <v>https://ceds.ed.gov/cedselementdetails.aspx?termid=26583</v>
      </c>
      <c r="Q1697" s="16">
        <v>71995</v>
      </c>
    </row>
    <row r="1698" spans="1:17" ht="57.6" x14ac:dyDescent="0.3">
      <c r="A1698" s="16" t="s">
        <v>7665</v>
      </c>
      <c r="B1698" s="16" t="s">
        <v>7680</v>
      </c>
      <c r="C1698" s="16" t="s">
        <v>7686</v>
      </c>
      <c r="D1698" s="16" t="s">
        <v>7597</v>
      </c>
      <c r="E1698" s="16" t="s">
        <v>6093</v>
      </c>
      <c r="F1698" s="16" t="s">
        <v>1900</v>
      </c>
      <c r="G1698" s="16" t="s">
        <v>32</v>
      </c>
      <c r="H1698" s="16" t="s">
        <v>6096</v>
      </c>
      <c r="I1698" s="16"/>
      <c r="J1698" s="16" t="s">
        <v>106</v>
      </c>
      <c r="K1698" s="16"/>
      <c r="L1698" s="16" t="s">
        <v>131</v>
      </c>
      <c r="M1698" s="19" t="s">
        <v>6094</v>
      </c>
      <c r="N1698" s="16"/>
      <c r="O1698" s="16" t="s">
        <v>6095</v>
      </c>
      <c r="P1698" s="16" t="str">
        <f>HYPERLINK("https://ceds.ed.gov/cedselementdetails.aspx?termid=26584")</f>
        <v>https://ceds.ed.gov/cedselementdetails.aspx?termid=26584</v>
      </c>
      <c r="Q1698" s="16">
        <v>71996</v>
      </c>
    </row>
    <row r="1699" spans="1:17" ht="345.6" x14ac:dyDescent="0.3">
      <c r="A1699" s="16" t="s">
        <v>7665</v>
      </c>
      <c r="B1699" s="16" t="s">
        <v>7680</v>
      </c>
      <c r="C1699" s="16" t="s">
        <v>7686</v>
      </c>
      <c r="D1699" s="16" t="s">
        <v>7597</v>
      </c>
      <c r="E1699" s="16" t="s">
        <v>6713</v>
      </c>
      <c r="F1699" s="16" t="s">
        <v>6714</v>
      </c>
      <c r="G1699" s="16" t="s">
        <v>9341</v>
      </c>
      <c r="H1699" s="16" t="s">
        <v>214</v>
      </c>
      <c r="I1699" s="16"/>
      <c r="J1699" s="16"/>
      <c r="K1699" s="16"/>
      <c r="L1699" s="16"/>
      <c r="M1699" s="19" t="s">
        <v>6715</v>
      </c>
      <c r="N1699" s="16"/>
      <c r="O1699" s="16" t="s">
        <v>6716</v>
      </c>
      <c r="P1699" s="16" t="str">
        <f>HYPERLINK("https://ceds.ed.gov/cedselementdetails.aspx?termid=26260")</f>
        <v>https://ceds.ed.gov/cedselementdetails.aspx?termid=26260</v>
      </c>
      <c r="Q1699" s="16">
        <v>71812</v>
      </c>
    </row>
    <row r="1700" spans="1:17" ht="57.6" x14ac:dyDescent="0.3">
      <c r="A1700" s="16" t="s">
        <v>7665</v>
      </c>
      <c r="B1700" s="16" t="s">
        <v>7680</v>
      </c>
      <c r="C1700" s="16" t="s">
        <v>7686</v>
      </c>
      <c r="D1700" s="16" t="s">
        <v>7597</v>
      </c>
      <c r="E1700" s="16" t="s">
        <v>6730</v>
      </c>
      <c r="F1700" s="16" t="s">
        <v>6731</v>
      </c>
      <c r="G1700" s="16" t="s">
        <v>32</v>
      </c>
      <c r="H1700" s="16" t="s">
        <v>214</v>
      </c>
      <c r="I1700" s="16"/>
      <c r="J1700" s="16" t="s">
        <v>106</v>
      </c>
      <c r="K1700" s="16"/>
      <c r="L1700" s="16" t="s">
        <v>131</v>
      </c>
      <c r="M1700" s="19" t="s">
        <v>6733</v>
      </c>
      <c r="N1700" s="16"/>
      <c r="O1700" s="16" t="s">
        <v>6734</v>
      </c>
      <c r="P1700" s="16" t="str">
        <f>HYPERLINK("https://ceds.ed.gov/cedselementdetails.aspx?termid=26263")</f>
        <v>https://ceds.ed.gov/cedselementdetails.aspx?termid=26263</v>
      </c>
      <c r="Q1700" s="16">
        <v>71813</v>
      </c>
    </row>
    <row r="1701" spans="1:17" ht="115.2" x14ac:dyDescent="0.3">
      <c r="A1701" s="16" t="s">
        <v>7665</v>
      </c>
      <c r="B1701" s="16" t="s">
        <v>7680</v>
      </c>
      <c r="C1701" s="16" t="s">
        <v>7686</v>
      </c>
      <c r="D1701" s="16" t="s">
        <v>7597</v>
      </c>
      <c r="E1701" s="16" t="s">
        <v>9205</v>
      </c>
      <c r="F1701" s="16" t="s">
        <v>9206</v>
      </c>
      <c r="G1701" s="16" t="s">
        <v>9428</v>
      </c>
      <c r="H1701" s="16"/>
      <c r="I1701" s="16"/>
      <c r="J1701" s="16" t="s">
        <v>2</v>
      </c>
      <c r="K1701" s="16"/>
      <c r="L1701" s="16"/>
      <c r="M1701" s="19" t="s">
        <v>9207</v>
      </c>
      <c r="N1701" s="16"/>
      <c r="O1701" s="16" t="s">
        <v>9208</v>
      </c>
      <c r="P1701" s="16" t="str">
        <f>HYPERLINK("https://ceds.ed.gov/cedselementdetails.aspx?termid=28075")</f>
        <v>https://ceds.ed.gov/cedselementdetails.aspx?termid=28075</v>
      </c>
      <c r="Q1701" s="16">
        <v>76207</v>
      </c>
    </row>
    <row r="1702" spans="1:17" ht="86.4" x14ac:dyDescent="0.3">
      <c r="A1702" s="16" t="s">
        <v>7665</v>
      </c>
      <c r="B1702" s="16" t="s">
        <v>7680</v>
      </c>
      <c r="C1702" s="16" t="s">
        <v>7687</v>
      </c>
      <c r="D1702" s="16" t="s">
        <v>7597</v>
      </c>
      <c r="E1702" s="16" t="s">
        <v>7082</v>
      </c>
      <c r="F1702" s="16" t="s">
        <v>7083</v>
      </c>
      <c r="G1702" s="16" t="s">
        <v>8850</v>
      </c>
      <c r="H1702" s="16" t="s">
        <v>64</v>
      </c>
      <c r="I1702" s="16"/>
      <c r="J1702" s="16"/>
      <c r="K1702" s="16"/>
      <c r="L1702" s="16"/>
      <c r="M1702" s="19" t="s">
        <v>7084</v>
      </c>
      <c r="N1702" s="16"/>
      <c r="O1702" s="16" t="s">
        <v>7085</v>
      </c>
      <c r="P1702" s="16" t="str">
        <f>HYPERLINK("https://ceds.ed.gov/cedselementdetails.aspx?termid=26281")</f>
        <v>https://ceds.ed.gov/cedselementdetails.aspx?termid=26281</v>
      </c>
      <c r="Q1702" s="16">
        <v>71821</v>
      </c>
    </row>
    <row r="1703" spans="1:17" ht="57.6" x14ac:dyDescent="0.3">
      <c r="A1703" s="16" t="s">
        <v>7665</v>
      </c>
      <c r="B1703" s="16" t="s">
        <v>7680</v>
      </c>
      <c r="C1703" s="16" t="s">
        <v>7687</v>
      </c>
      <c r="D1703" s="16" t="s">
        <v>7597</v>
      </c>
      <c r="E1703" s="16" t="s">
        <v>6097</v>
      </c>
      <c r="F1703" s="16" t="s">
        <v>6098</v>
      </c>
      <c r="G1703" s="16" t="s">
        <v>32</v>
      </c>
      <c r="H1703" s="16" t="s">
        <v>6101</v>
      </c>
      <c r="I1703" s="16"/>
      <c r="J1703" s="16" t="s">
        <v>106</v>
      </c>
      <c r="K1703" s="16"/>
      <c r="L1703" s="16"/>
      <c r="M1703" s="19" t="s">
        <v>6099</v>
      </c>
      <c r="N1703" s="16"/>
      <c r="O1703" s="16" t="s">
        <v>6100</v>
      </c>
      <c r="P1703" s="16" t="str">
        <f>HYPERLINK("https://ceds.ed.gov/cedselementdetails.aspx?termid=26583")</f>
        <v>https://ceds.ed.gov/cedselementdetails.aspx?termid=26583</v>
      </c>
      <c r="Q1703" s="16">
        <v>71997</v>
      </c>
    </row>
    <row r="1704" spans="1:17" ht="57.6" x14ac:dyDescent="0.3">
      <c r="A1704" s="16" t="s">
        <v>7665</v>
      </c>
      <c r="B1704" s="16" t="s">
        <v>7680</v>
      </c>
      <c r="C1704" s="16" t="s">
        <v>7687</v>
      </c>
      <c r="D1704" s="16" t="s">
        <v>7597</v>
      </c>
      <c r="E1704" s="16" t="s">
        <v>6093</v>
      </c>
      <c r="F1704" s="16" t="s">
        <v>1900</v>
      </c>
      <c r="G1704" s="16" t="s">
        <v>32</v>
      </c>
      <c r="H1704" s="16" t="s">
        <v>6096</v>
      </c>
      <c r="I1704" s="16"/>
      <c r="J1704" s="16" t="s">
        <v>106</v>
      </c>
      <c r="K1704" s="16"/>
      <c r="L1704" s="16" t="s">
        <v>131</v>
      </c>
      <c r="M1704" s="19" t="s">
        <v>6094</v>
      </c>
      <c r="N1704" s="16"/>
      <c r="O1704" s="16" t="s">
        <v>6095</v>
      </c>
      <c r="P1704" s="16" t="str">
        <f>HYPERLINK("https://ceds.ed.gov/cedselementdetails.aspx?termid=26584")</f>
        <v>https://ceds.ed.gov/cedselementdetails.aspx?termid=26584</v>
      </c>
      <c r="Q1704" s="16">
        <v>71998</v>
      </c>
    </row>
    <row r="1705" spans="1:17" ht="100.8" x14ac:dyDescent="0.3">
      <c r="A1705" s="16" t="s">
        <v>7665</v>
      </c>
      <c r="B1705" s="16" t="s">
        <v>7680</v>
      </c>
      <c r="C1705" s="16" t="s">
        <v>7687</v>
      </c>
      <c r="D1705" s="16" t="s">
        <v>7597</v>
      </c>
      <c r="E1705" s="16" t="s">
        <v>6476</v>
      </c>
      <c r="F1705" s="16" t="s">
        <v>6477</v>
      </c>
      <c r="G1705" s="16" t="s">
        <v>22</v>
      </c>
      <c r="H1705" s="16" t="s">
        <v>214</v>
      </c>
      <c r="I1705" s="16"/>
      <c r="J1705" s="16"/>
      <c r="K1705" s="16"/>
      <c r="L1705" s="16"/>
      <c r="M1705" s="19" t="s">
        <v>6479</v>
      </c>
      <c r="N1705" s="16"/>
      <c r="O1705" s="16" t="s">
        <v>6480</v>
      </c>
      <c r="P1705" s="16" t="str">
        <f>HYPERLINK("https://ceds.ed.gov/cedselementdetails.aspx?termid=26235")</f>
        <v>https://ceds.ed.gov/cedselementdetails.aspx?termid=26235</v>
      </c>
      <c r="Q1705" s="16">
        <v>71806</v>
      </c>
    </row>
    <row r="1706" spans="1:17" ht="129.6" x14ac:dyDescent="0.3">
      <c r="A1706" s="16" t="s">
        <v>7665</v>
      </c>
      <c r="B1706" s="16" t="s">
        <v>7680</v>
      </c>
      <c r="C1706" s="16" t="s">
        <v>7687</v>
      </c>
      <c r="D1706" s="16" t="s">
        <v>7597</v>
      </c>
      <c r="E1706" s="16" t="s">
        <v>6481</v>
      </c>
      <c r="F1706" s="16" t="s">
        <v>6482</v>
      </c>
      <c r="G1706" s="16" t="s">
        <v>22</v>
      </c>
      <c r="H1706" s="16" t="s">
        <v>214</v>
      </c>
      <c r="I1706" s="16"/>
      <c r="J1706" s="16"/>
      <c r="K1706" s="16"/>
      <c r="L1706" s="16" t="s">
        <v>6483</v>
      </c>
      <c r="M1706" s="19" t="s">
        <v>6484</v>
      </c>
      <c r="N1706" s="16"/>
      <c r="O1706" s="16" t="s">
        <v>6485</v>
      </c>
      <c r="P1706" s="16" t="str">
        <f>HYPERLINK("https://ceds.ed.gov/cedselementdetails.aspx?termid=26236")</f>
        <v>https://ceds.ed.gov/cedselementdetails.aspx?termid=26236</v>
      </c>
      <c r="Q1706" s="16">
        <v>71807</v>
      </c>
    </row>
    <row r="1707" spans="1:17" ht="72" x14ac:dyDescent="0.3">
      <c r="A1707" s="16" t="s">
        <v>7665</v>
      </c>
      <c r="B1707" s="16" t="s">
        <v>7680</v>
      </c>
      <c r="C1707" s="16" t="s">
        <v>7687</v>
      </c>
      <c r="D1707" s="16" t="s">
        <v>7597</v>
      </c>
      <c r="E1707" s="16" t="s">
        <v>6486</v>
      </c>
      <c r="F1707" s="16" t="s">
        <v>8135</v>
      </c>
      <c r="G1707" s="16" t="s">
        <v>22</v>
      </c>
      <c r="H1707" s="16" t="s">
        <v>64</v>
      </c>
      <c r="I1707" s="16"/>
      <c r="J1707" s="16"/>
      <c r="K1707" s="16"/>
      <c r="L1707" s="16"/>
      <c r="M1707" s="19" t="s">
        <v>6487</v>
      </c>
      <c r="N1707" s="16"/>
      <c r="O1707" s="16" t="s">
        <v>6488</v>
      </c>
      <c r="P1707" s="16" t="str">
        <f>HYPERLINK("https://ceds.ed.gov/cedselementdetails.aspx?termid=26237")</f>
        <v>https://ceds.ed.gov/cedselementdetails.aspx?termid=26237</v>
      </c>
      <c r="Q1707" s="16">
        <v>71808</v>
      </c>
    </row>
    <row r="1708" spans="1:17" ht="72" x14ac:dyDescent="0.3">
      <c r="A1708" s="16" t="s">
        <v>7665</v>
      </c>
      <c r="B1708" s="16" t="s">
        <v>7680</v>
      </c>
      <c r="C1708" s="16" t="s">
        <v>7687</v>
      </c>
      <c r="D1708" s="16" t="s">
        <v>7597</v>
      </c>
      <c r="E1708" s="16" t="s">
        <v>7102</v>
      </c>
      <c r="F1708" s="16" t="s">
        <v>7103</v>
      </c>
      <c r="G1708" s="16" t="s">
        <v>22</v>
      </c>
      <c r="H1708" s="16" t="s">
        <v>214</v>
      </c>
      <c r="I1708" s="16"/>
      <c r="J1708" s="16"/>
      <c r="K1708" s="16"/>
      <c r="L1708" s="16"/>
      <c r="M1708" s="19" t="s">
        <v>7104</v>
      </c>
      <c r="N1708" s="16"/>
      <c r="O1708" s="16" t="s">
        <v>7105</v>
      </c>
      <c r="P1708" s="16" t="str">
        <f>HYPERLINK("https://ceds.ed.gov/cedselementdetails.aspx?termid=26286")</f>
        <v>https://ceds.ed.gov/cedselementdetails.aspx?termid=26286</v>
      </c>
      <c r="Q1708" s="16">
        <v>71822</v>
      </c>
    </row>
    <row r="1709" spans="1:17" ht="72" x14ac:dyDescent="0.3">
      <c r="A1709" s="16" t="s">
        <v>7665</v>
      </c>
      <c r="B1709" s="16" t="s">
        <v>7680</v>
      </c>
      <c r="C1709" s="16" t="s">
        <v>7687</v>
      </c>
      <c r="D1709" s="16" t="s">
        <v>7597</v>
      </c>
      <c r="E1709" s="16" t="s">
        <v>7106</v>
      </c>
      <c r="F1709" s="16" t="s">
        <v>7107</v>
      </c>
      <c r="G1709" s="16" t="s">
        <v>22</v>
      </c>
      <c r="H1709" s="16" t="s">
        <v>214</v>
      </c>
      <c r="I1709" s="16"/>
      <c r="J1709" s="16"/>
      <c r="K1709" s="16"/>
      <c r="L1709" s="16"/>
      <c r="M1709" s="19" t="s">
        <v>7108</v>
      </c>
      <c r="N1709" s="16"/>
      <c r="O1709" s="16" t="s">
        <v>7109</v>
      </c>
      <c r="P1709" s="16" t="str">
        <f>HYPERLINK("https://ceds.ed.gov/cedselementdetails.aspx?termid=26287")</f>
        <v>https://ceds.ed.gov/cedselementdetails.aspx?termid=26287</v>
      </c>
      <c r="Q1709" s="16">
        <v>71823</v>
      </c>
    </row>
    <row r="1710" spans="1:17" ht="72" x14ac:dyDescent="0.3">
      <c r="A1710" s="16" t="s">
        <v>7665</v>
      </c>
      <c r="B1710" s="16" t="s">
        <v>7680</v>
      </c>
      <c r="C1710" s="16" t="s">
        <v>7687</v>
      </c>
      <c r="D1710" s="16" t="s">
        <v>7597</v>
      </c>
      <c r="E1710" s="16" t="s">
        <v>7110</v>
      </c>
      <c r="F1710" s="16" t="s">
        <v>7111</v>
      </c>
      <c r="G1710" s="16" t="s">
        <v>22</v>
      </c>
      <c r="H1710" s="16" t="s">
        <v>214</v>
      </c>
      <c r="I1710" s="16"/>
      <c r="J1710" s="16"/>
      <c r="K1710" s="16"/>
      <c r="L1710" s="16"/>
      <c r="M1710" s="19" t="s">
        <v>7112</v>
      </c>
      <c r="N1710" s="16"/>
      <c r="O1710" s="16" t="s">
        <v>7113</v>
      </c>
      <c r="P1710" s="16" t="str">
        <f>HYPERLINK("https://ceds.ed.gov/cedselementdetails.aspx?termid=26288")</f>
        <v>https://ceds.ed.gov/cedselementdetails.aspx?termid=26288</v>
      </c>
      <c r="Q1710" s="16">
        <v>71824</v>
      </c>
    </row>
    <row r="1711" spans="1:17" ht="57.6" x14ac:dyDescent="0.3">
      <c r="A1711" s="16" t="s">
        <v>7665</v>
      </c>
      <c r="B1711" s="16" t="s">
        <v>7680</v>
      </c>
      <c r="C1711" s="16" t="s">
        <v>7687</v>
      </c>
      <c r="D1711" s="16" t="s">
        <v>7597</v>
      </c>
      <c r="E1711" s="16" t="s">
        <v>7114</v>
      </c>
      <c r="F1711" s="16" t="s">
        <v>7115</v>
      </c>
      <c r="G1711" s="16" t="s">
        <v>22</v>
      </c>
      <c r="H1711" s="16" t="s">
        <v>214</v>
      </c>
      <c r="I1711" s="16"/>
      <c r="J1711" s="16"/>
      <c r="K1711" s="16"/>
      <c r="L1711" s="16"/>
      <c r="M1711" s="19" t="s">
        <v>7116</v>
      </c>
      <c r="N1711" s="16"/>
      <c r="O1711" s="16" t="s">
        <v>7117</v>
      </c>
      <c r="P1711" s="16" t="str">
        <f>HYPERLINK("https://ceds.ed.gov/cedselementdetails.aspx?termid=26541")</f>
        <v>https://ceds.ed.gov/cedselementdetails.aspx?termid=26541</v>
      </c>
      <c r="Q1711" s="16">
        <v>71870</v>
      </c>
    </row>
    <row r="1712" spans="1:17" ht="57.6" x14ac:dyDescent="0.3">
      <c r="A1712" s="16" t="s">
        <v>7665</v>
      </c>
      <c r="B1712" s="16" t="s">
        <v>7680</v>
      </c>
      <c r="C1712" s="16" t="s">
        <v>7687</v>
      </c>
      <c r="D1712" s="16" t="s">
        <v>7597</v>
      </c>
      <c r="E1712" s="16" t="s">
        <v>7122</v>
      </c>
      <c r="F1712" s="16" t="s">
        <v>7123</v>
      </c>
      <c r="G1712" s="16" t="s">
        <v>22</v>
      </c>
      <c r="H1712" s="16" t="s">
        <v>214</v>
      </c>
      <c r="I1712" s="16"/>
      <c r="J1712" s="16"/>
      <c r="K1712" s="16"/>
      <c r="L1712" s="16"/>
      <c r="M1712" s="19" t="s">
        <v>7124</v>
      </c>
      <c r="N1712" s="16"/>
      <c r="O1712" s="16" t="s">
        <v>7125</v>
      </c>
      <c r="P1712" s="16" t="str">
        <f>HYPERLINK("https://ceds.ed.gov/cedselementdetails.aspx?termid=26542")</f>
        <v>https://ceds.ed.gov/cedselementdetails.aspx?termid=26542</v>
      </c>
      <c r="Q1712" s="16">
        <v>71871</v>
      </c>
    </row>
    <row r="1713" spans="1:17" ht="187.2" x14ac:dyDescent="0.3">
      <c r="A1713" s="16" t="s">
        <v>7665</v>
      </c>
      <c r="B1713" s="16" t="s">
        <v>7680</v>
      </c>
      <c r="C1713" s="16" t="s">
        <v>7646</v>
      </c>
      <c r="D1713" s="16" t="s">
        <v>7597</v>
      </c>
      <c r="E1713" s="16" t="s">
        <v>4671</v>
      </c>
      <c r="F1713" s="16" t="s">
        <v>4672</v>
      </c>
      <c r="G1713" s="16" t="s">
        <v>13091</v>
      </c>
      <c r="H1713" s="16" t="s">
        <v>372</v>
      </c>
      <c r="I1713" s="16" t="s">
        <v>160</v>
      </c>
      <c r="J1713" s="16"/>
      <c r="K1713" s="16" t="s">
        <v>12944</v>
      </c>
      <c r="L1713" s="16"/>
      <c r="M1713" s="19" t="s">
        <v>4673</v>
      </c>
      <c r="N1713" s="16"/>
      <c r="O1713" s="16" t="s">
        <v>4674</v>
      </c>
      <c r="P1713" s="16" t="str">
        <f>HYPERLINK("https://ceds.ed.gov/cedselementdetails.aspx?termid=26320")</f>
        <v>https://ceds.ed.gov/cedselementdetails.aspx?termid=26320</v>
      </c>
      <c r="Q1713" s="16">
        <v>71830</v>
      </c>
    </row>
    <row r="1714" spans="1:17" ht="86.4" x14ac:dyDescent="0.3">
      <c r="A1714" s="16" t="s">
        <v>7665</v>
      </c>
      <c r="B1714" s="16" t="s">
        <v>7680</v>
      </c>
      <c r="C1714" s="16" t="s">
        <v>7646</v>
      </c>
      <c r="D1714" s="16" t="s">
        <v>7597</v>
      </c>
      <c r="E1714" s="16" t="s">
        <v>4617</v>
      </c>
      <c r="F1714" s="16" t="s">
        <v>4618</v>
      </c>
      <c r="G1714" s="16" t="s">
        <v>8657</v>
      </c>
      <c r="H1714" s="16"/>
      <c r="I1714" s="16"/>
      <c r="J1714" s="16"/>
      <c r="K1714" s="16"/>
      <c r="L1714" s="16"/>
      <c r="M1714" s="19" t="s">
        <v>4619</v>
      </c>
      <c r="N1714" s="16"/>
      <c r="O1714" s="16" t="s">
        <v>4620</v>
      </c>
      <c r="P1714" s="16" t="str">
        <f>HYPERLINK("https://ceds.ed.gov/cedselementdetails.aspx?termid=27196")</f>
        <v>https://ceds.ed.gov/cedselementdetails.aspx?termid=27196</v>
      </c>
      <c r="Q1714" s="16">
        <v>71685</v>
      </c>
    </row>
    <row r="1715" spans="1:17" ht="201.6" x14ac:dyDescent="0.3">
      <c r="A1715" s="16" t="s">
        <v>7665</v>
      </c>
      <c r="B1715" s="16" t="s">
        <v>7680</v>
      </c>
      <c r="C1715" s="16" t="s">
        <v>7646</v>
      </c>
      <c r="D1715" s="16" t="s">
        <v>7597</v>
      </c>
      <c r="E1715" s="16" t="s">
        <v>4329</v>
      </c>
      <c r="F1715" s="16" t="s">
        <v>4330</v>
      </c>
      <c r="G1715" s="16" t="s">
        <v>8629</v>
      </c>
      <c r="H1715" s="16" t="s">
        <v>214</v>
      </c>
      <c r="I1715" s="16"/>
      <c r="J1715" s="16"/>
      <c r="K1715" s="16"/>
      <c r="L1715" s="16"/>
      <c r="M1715" s="19" t="s">
        <v>4331</v>
      </c>
      <c r="N1715" s="16"/>
      <c r="O1715" s="16" t="s">
        <v>4332</v>
      </c>
      <c r="P1715" s="16" t="str">
        <f>HYPERLINK("https://ceds.ed.gov/cedselementdetails.aspx?termid=26550")</f>
        <v>https://ceds.ed.gov/cedselementdetails.aspx?termid=26550</v>
      </c>
      <c r="Q1715" s="16">
        <v>74789</v>
      </c>
    </row>
    <row r="1716" spans="1:17" ht="129.6" x14ac:dyDescent="0.3">
      <c r="A1716" s="16" t="s">
        <v>7665</v>
      </c>
      <c r="B1716" s="16" t="s">
        <v>7680</v>
      </c>
      <c r="C1716" s="16" t="s">
        <v>7646</v>
      </c>
      <c r="D1716" s="16" t="s">
        <v>7597</v>
      </c>
      <c r="E1716" s="16" t="s">
        <v>4333</v>
      </c>
      <c r="F1716" s="16" t="s">
        <v>4334</v>
      </c>
      <c r="G1716" s="16" t="s">
        <v>8631</v>
      </c>
      <c r="H1716" s="16" t="s">
        <v>214</v>
      </c>
      <c r="I1716" s="16"/>
      <c r="J1716" s="16"/>
      <c r="K1716" s="16"/>
      <c r="L1716" s="16"/>
      <c r="M1716" s="19" t="s">
        <v>4336</v>
      </c>
      <c r="N1716" s="16"/>
      <c r="O1716" s="16" t="s">
        <v>4337</v>
      </c>
      <c r="P1716" s="16" t="str">
        <f>HYPERLINK("https://ceds.ed.gov/cedselementdetails.aspx?termid=26526")</f>
        <v>https://ceds.ed.gov/cedselementdetails.aspx?termid=26526</v>
      </c>
      <c r="Q1716" s="16">
        <v>74786</v>
      </c>
    </row>
    <row r="1717" spans="1:17" ht="129.6" x14ac:dyDescent="0.3">
      <c r="A1717" s="16" t="s">
        <v>7665</v>
      </c>
      <c r="B1717" s="16" t="s">
        <v>7680</v>
      </c>
      <c r="C1717" s="16" t="s">
        <v>7646</v>
      </c>
      <c r="D1717" s="16" t="s">
        <v>7597</v>
      </c>
      <c r="E1717" s="16" t="s">
        <v>4440</v>
      </c>
      <c r="F1717" s="16" t="s">
        <v>4441</v>
      </c>
      <c r="G1717" s="16" t="s">
        <v>32</v>
      </c>
      <c r="H1717" s="16"/>
      <c r="I1717" s="16"/>
      <c r="J1717" s="16" t="s">
        <v>316</v>
      </c>
      <c r="K1717" s="16"/>
      <c r="L1717" s="16"/>
      <c r="M1717" s="19" t="s">
        <v>4443</v>
      </c>
      <c r="N1717" s="16"/>
      <c r="O1717" s="16" t="s">
        <v>4444</v>
      </c>
      <c r="P1717" s="16" t="str">
        <f>HYPERLINK("https://ceds.ed.gov/cedselementdetails.aspx?termid=27663")</f>
        <v>https://ceds.ed.gov/cedselementdetails.aspx?termid=27663</v>
      </c>
      <c r="Q1717" s="16">
        <v>74948</v>
      </c>
    </row>
    <row r="1718" spans="1:17" ht="43.2" x14ac:dyDescent="0.3">
      <c r="A1718" s="16" t="s">
        <v>7665</v>
      </c>
      <c r="B1718" s="16" t="s">
        <v>7680</v>
      </c>
      <c r="C1718" s="16" t="s">
        <v>7646</v>
      </c>
      <c r="D1718" s="16" t="s">
        <v>7597</v>
      </c>
      <c r="E1718" s="16" t="s">
        <v>4550</v>
      </c>
      <c r="F1718" s="16" t="s">
        <v>4551</v>
      </c>
      <c r="G1718" s="16" t="s">
        <v>22</v>
      </c>
      <c r="H1718" s="16"/>
      <c r="I1718" s="16"/>
      <c r="J1718" s="16"/>
      <c r="K1718" s="16"/>
      <c r="L1718" s="16"/>
      <c r="M1718" s="19" t="s">
        <v>4552</v>
      </c>
      <c r="N1718" s="16"/>
      <c r="O1718" s="16" t="s">
        <v>4553</v>
      </c>
      <c r="P1718" s="16" t="str">
        <f>HYPERLINK("https://ceds.ed.gov/cedselementdetails.aspx?termid=27615")</f>
        <v>https://ceds.ed.gov/cedselementdetails.aspx?termid=27615</v>
      </c>
      <c r="Q1718" s="16">
        <v>74855</v>
      </c>
    </row>
    <row r="1719" spans="1:17" ht="43.2" x14ac:dyDescent="0.3">
      <c r="A1719" s="16" t="s">
        <v>7665</v>
      </c>
      <c r="B1719" s="16" t="s">
        <v>7680</v>
      </c>
      <c r="C1719" s="16" t="s">
        <v>7646</v>
      </c>
      <c r="D1719" s="16" t="s">
        <v>7597</v>
      </c>
      <c r="E1719" s="16" t="s">
        <v>4575</v>
      </c>
      <c r="F1719" s="16" t="s">
        <v>4576</v>
      </c>
      <c r="G1719" s="16" t="s">
        <v>32</v>
      </c>
      <c r="H1719" s="16"/>
      <c r="I1719" s="16"/>
      <c r="J1719" s="16" t="s">
        <v>106</v>
      </c>
      <c r="K1719" s="16"/>
      <c r="L1719" s="16"/>
      <c r="M1719" s="19" t="s">
        <v>4577</v>
      </c>
      <c r="N1719" s="16"/>
      <c r="O1719" s="16" t="s">
        <v>4578</v>
      </c>
      <c r="P1719" s="16" t="str">
        <f>HYPERLINK("https://ceds.ed.gov/cedselementdetails.aspx?termid=27197")</f>
        <v>https://ceds.ed.gov/cedselementdetails.aspx?termid=27197</v>
      </c>
      <c r="Q1719" s="16">
        <v>71687</v>
      </c>
    </row>
    <row r="1720" spans="1:17" ht="43.2" x14ac:dyDescent="0.3">
      <c r="A1720" s="16" t="s">
        <v>7665</v>
      </c>
      <c r="B1720" s="16" t="s">
        <v>7680</v>
      </c>
      <c r="C1720" s="16" t="s">
        <v>7646</v>
      </c>
      <c r="D1720" s="16" t="s">
        <v>7597</v>
      </c>
      <c r="E1720" s="16" t="s">
        <v>4613</v>
      </c>
      <c r="F1720" s="16" t="s">
        <v>4614</v>
      </c>
      <c r="G1720" s="16" t="s">
        <v>32</v>
      </c>
      <c r="H1720" s="16"/>
      <c r="I1720" s="16"/>
      <c r="J1720" s="16" t="s">
        <v>106</v>
      </c>
      <c r="K1720" s="16"/>
      <c r="L1720" s="16"/>
      <c r="M1720" s="19" t="s">
        <v>4615</v>
      </c>
      <c r="N1720" s="16"/>
      <c r="O1720" s="16" t="s">
        <v>4616</v>
      </c>
      <c r="P1720" s="16" t="str">
        <f>HYPERLINK("https://ceds.ed.gov/cedselementdetails.aspx?termid=27201")</f>
        <v>https://ceds.ed.gov/cedselementdetails.aspx?termid=27201</v>
      </c>
      <c r="Q1720" s="16">
        <v>71695</v>
      </c>
    </row>
    <row r="1721" spans="1:17" ht="57.6" x14ac:dyDescent="0.3">
      <c r="A1721" s="16" t="s">
        <v>7665</v>
      </c>
      <c r="B1721" s="16" t="s">
        <v>7680</v>
      </c>
      <c r="C1721" s="16" t="s">
        <v>7646</v>
      </c>
      <c r="D1721" s="16" t="s">
        <v>7597</v>
      </c>
      <c r="E1721" s="16" t="s">
        <v>4621</v>
      </c>
      <c r="F1721" s="16" t="s">
        <v>4622</v>
      </c>
      <c r="G1721" s="16" t="s">
        <v>32</v>
      </c>
      <c r="H1721" s="16"/>
      <c r="I1721" s="16"/>
      <c r="J1721" s="16" t="s">
        <v>106</v>
      </c>
      <c r="K1721" s="16"/>
      <c r="L1721" s="16" t="s">
        <v>131</v>
      </c>
      <c r="M1721" s="19" t="s">
        <v>4623</v>
      </c>
      <c r="N1721" s="16"/>
      <c r="O1721" s="16" t="s">
        <v>4624</v>
      </c>
      <c r="P1721" s="16" t="str">
        <f>HYPERLINK("https://ceds.ed.gov/cedselementdetails.aspx?termid=27664")</f>
        <v>https://ceds.ed.gov/cedselementdetails.aspx?termid=27664</v>
      </c>
      <c r="Q1721" s="16">
        <v>74953</v>
      </c>
    </row>
    <row r="1722" spans="1:17" ht="28.8" x14ac:dyDescent="0.3">
      <c r="A1722" s="16" t="s">
        <v>7665</v>
      </c>
      <c r="B1722" s="16" t="s">
        <v>7680</v>
      </c>
      <c r="C1722" s="16" t="s">
        <v>7646</v>
      </c>
      <c r="D1722" s="16" t="s">
        <v>7597</v>
      </c>
      <c r="E1722" s="16" t="s">
        <v>4625</v>
      </c>
      <c r="F1722" s="16" t="s">
        <v>4626</v>
      </c>
      <c r="G1722" s="16" t="s">
        <v>32</v>
      </c>
      <c r="H1722" s="16"/>
      <c r="I1722" s="16"/>
      <c r="J1722" s="16" t="s">
        <v>106</v>
      </c>
      <c r="K1722" s="16"/>
      <c r="L1722" s="16"/>
      <c r="M1722" s="19" t="s">
        <v>4627</v>
      </c>
      <c r="N1722" s="16"/>
      <c r="O1722" s="16" t="s">
        <v>4628</v>
      </c>
      <c r="P1722" s="16" t="str">
        <f>HYPERLINK("https://ceds.ed.gov/cedselementdetails.aspx?termid=27665")</f>
        <v>https://ceds.ed.gov/cedselementdetails.aspx?termid=27665</v>
      </c>
      <c r="Q1722" s="16">
        <v>74954</v>
      </c>
    </row>
    <row r="1723" spans="1:17" ht="43.2" x14ac:dyDescent="0.3">
      <c r="A1723" s="16" t="s">
        <v>7665</v>
      </c>
      <c r="B1723" s="16" t="s">
        <v>7680</v>
      </c>
      <c r="C1723" s="16" t="s">
        <v>7646</v>
      </c>
      <c r="D1723" s="16" t="s">
        <v>7597</v>
      </c>
      <c r="E1723" s="16" t="s">
        <v>4655</v>
      </c>
      <c r="F1723" s="16" t="s">
        <v>4656</v>
      </c>
      <c r="G1723" s="16" t="s">
        <v>32</v>
      </c>
      <c r="H1723" s="16"/>
      <c r="I1723" s="16"/>
      <c r="J1723" s="16" t="s">
        <v>106</v>
      </c>
      <c r="K1723" s="16"/>
      <c r="L1723" s="16"/>
      <c r="M1723" s="19" t="s">
        <v>4657</v>
      </c>
      <c r="N1723" s="16"/>
      <c r="O1723" s="16" t="s">
        <v>4658</v>
      </c>
      <c r="P1723" s="16" t="str">
        <f>HYPERLINK("https://ceds.ed.gov/cedselementdetails.aspx?termid=27207")</f>
        <v>https://ceds.ed.gov/cedselementdetails.aspx?termid=27207</v>
      </c>
      <c r="Q1723" s="16">
        <v>71705</v>
      </c>
    </row>
    <row r="1724" spans="1:17" ht="216" x14ac:dyDescent="0.3">
      <c r="A1724" s="16" t="s">
        <v>7665</v>
      </c>
      <c r="B1724" s="16" t="s">
        <v>7680</v>
      </c>
      <c r="C1724" s="16" t="s">
        <v>7646</v>
      </c>
      <c r="D1724" s="16" t="s">
        <v>7597</v>
      </c>
      <c r="E1724" s="16" t="s">
        <v>4629</v>
      </c>
      <c r="F1724" s="16" t="s">
        <v>4630</v>
      </c>
      <c r="G1724" s="16" t="s">
        <v>13090</v>
      </c>
      <c r="H1724" s="16"/>
      <c r="I1724" s="16" t="s">
        <v>160</v>
      </c>
      <c r="J1724" s="16"/>
      <c r="K1724" s="16" t="s">
        <v>12943</v>
      </c>
      <c r="L1724" s="16"/>
      <c r="M1724" s="19" t="s">
        <v>4631</v>
      </c>
      <c r="N1724" s="16"/>
      <c r="O1724" s="16" t="s">
        <v>4632</v>
      </c>
      <c r="P1724" s="16" t="str">
        <f>HYPERLINK("https://ceds.ed.gov/cedselementdetails.aspx?termid=27202")</f>
        <v>https://ceds.ed.gov/cedselementdetails.aspx?termid=27202</v>
      </c>
      <c r="Q1724" s="16">
        <v>71697</v>
      </c>
    </row>
    <row r="1725" spans="1:17" ht="28.8" x14ac:dyDescent="0.3">
      <c r="A1725" s="16" t="s">
        <v>7665</v>
      </c>
      <c r="B1725" s="16" t="s">
        <v>7680</v>
      </c>
      <c r="C1725" s="16" t="s">
        <v>7646</v>
      </c>
      <c r="D1725" s="16" t="s">
        <v>7597</v>
      </c>
      <c r="E1725" s="16" t="s">
        <v>4633</v>
      </c>
      <c r="F1725" s="16" t="s">
        <v>4634</v>
      </c>
      <c r="G1725" s="16" t="s">
        <v>32</v>
      </c>
      <c r="H1725" s="16"/>
      <c r="I1725" s="16"/>
      <c r="J1725" s="16" t="s">
        <v>316</v>
      </c>
      <c r="K1725" s="16"/>
      <c r="L1725" s="16"/>
      <c r="M1725" s="19" t="s">
        <v>4635</v>
      </c>
      <c r="N1725" s="16"/>
      <c r="O1725" s="16" t="s">
        <v>4636</v>
      </c>
      <c r="P1725" s="16" t="str">
        <f>HYPERLINK("https://ceds.ed.gov/cedselementdetails.aspx?termid=27203")</f>
        <v>https://ceds.ed.gov/cedselementdetails.aspx?termid=27203</v>
      </c>
      <c r="Q1725" s="16">
        <v>71699</v>
      </c>
    </row>
    <row r="1726" spans="1:17" ht="28.8" x14ac:dyDescent="0.3">
      <c r="A1726" s="16" t="s">
        <v>7665</v>
      </c>
      <c r="B1726" s="16" t="s">
        <v>7680</v>
      </c>
      <c r="C1726" s="16" t="s">
        <v>7646</v>
      </c>
      <c r="D1726" s="16" t="s">
        <v>7597</v>
      </c>
      <c r="E1726" s="16" t="s">
        <v>4663</v>
      </c>
      <c r="F1726" s="16" t="s">
        <v>4664</v>
      </c>
      <c r="G1726" s="16" t="s">
        <v>32</v>
      </c>
      <c r="H1726" s="16"/>
      <c r="I1726" s="16"/>
      <c r="J1726" s="16" t="s">
        <v>316</v>
      </c>
      <c r="K1726" s="16"/>
      <c r="L1726" s="16"/>
      <c r="M1726" s="19" t="s">
        <v>4665</v>
      </c>
      <c r="N1726" s="16"/>
      <c r="O1726" s="16" t="s">
        <v>4666</v>
      </c>
      <c r="P1726" s="16" t="str">
        <f>HYPERLINK("https://ceds.ed.gov/cedselementdetails.aspx?termid=27204")</f>
        <v>https://ceds.ed.gov/cedselementdetails.aspx?termid=27204</v>
      </c>
      <c r="Q1726" s="16">
        <v>71701</v>
      </c>
    </row>
    <row r="1727" spans="1:17" ht="28.8" x14ac:dyDescent="0.3">
      <c r="A1727" s="16" t="s">
        <v>7665</v>
      </c>
      <c r="B1727" s="16" t="s">
        <v>7680</v>
      </c>
      <c r="C1727" s="16" t="s">
        <v>7646</v>
      </c>
      <c r="D1727" s="16" t="s">
        <v>7597</v>
      </c>
      <c r="E1727" s="16" t="s">
        <v>4659</v>
      </c>
      <c r="F1727" s="16" t="s">
        <v>4660</v>
      </c>
      <c r="G1727" s="16" t="s">
        <v>32</v>
      </c>
      <c r="H1727" s="16"/>
      <c r="I1727" s="16"/>
      <c r="J1727" s="16" t="s">
        <v>106</v>
      </c>
      <c r="K1727" s="16"/>
      <c r="L1727" s="16"/>
      <c r="M1727" s="19" t="s">
        <v>4661</v>
      </c>
      <c r="N1727" s="16"/>
      <c r="O1727" s="16" t="s">
        <v>4662</v>
      </c>
      <c r="P1727" s="16" t="str">
        <f>HYPERLINK("https://ceds.ed.gov/cedselementdetails.aspx?termid=27205")</f>
        <v>https://ceds.ed.gov/cedselementdetails.aspx?termid=27205</v>
      </c>
      <c r="Q1727" s="16">
        <v>71703</v>
      </c>
    </row>
    <row r="1728" spans="1:17" ht="100.8" x14ac:dyDescent="0.3">
      <c r="A1728" s="16" t="s">
        <v>7665</v>
      </c>
      <c r="B1728" s="16" t="s">
        <v>7680</v>
      </c>
      <c r="C1728" s="16" t="s">
        <v>7646</v>
      </c>
      <c r="D1728" s="16" t="s">
        <v>7597</v>
      </c>
      <c r="E1728" s="16" t="s">
        <v>4646</v>
      </c>
      <c r="F1728" s="16" t="s">
        <v>4647</v>
      </c>
      <c r="G1728" s="16" t="s">
        <v>8658</v>
      </c>
      <c r="H1728" s="16"/>
      <c r="I1728" s="16"/>
      <c r="J1728" s="16"/>
      <c r="K1728" s="16"/>
      <c r="L1728" s="16"/>
      <c r="M1728" s="19" t="s">
        <v>4648</v>
      </c>
      <c r="N1728" s="16"/>
      <c r="O1728" s="16" t="s">
        <v>4649</v>
      </c>
      <c r="P1728" s="16" t="str">
        <f>HYPERLINK("https://ceds.ed.gov/cedselementdetails.aspx?termid=27662")</f>
        <v>https://ceds.ed.gov/cedselementdetails.aspx?termid=27662</v>
      </c>
      <c r="Q1728" s="16">
        <v>74957</v>
      </c>
    </row>
    <row r="1729" spans="1:17" ht="72" x14ac:dyDescent="0.3">
      <c r="A1729" s="16" t="s">
        <v>7665</v>
      </c>
      <c r="B1729" s="16" t="s">
        <v>7680</v>
      </c>
      <c r="C1729" s="16" t="s">
        <v>7646</v>
      </c>
      <c r="D1729" s="16" t="s">
        <v>7597</v>
      </c>
      <c r="E1729" s="16" t="s">
        <v>4650</v>
      </c>
      <c r="F1729" s="16" t="s">
        <v>4651</v>
      </c>
      <c r="G1729" s="16" t="s">
        <v>8659</v>
      </c>
      <c r="H1729" s="16"/>
      <c r="I1729" s="16"/>
      <c r="J1729" s="16"/>
      <c r="K1729" s="16"/>
      <c r="L1729" s="16"/>
      <c r="M1729" s="19" t="s">
        <v>4653</v>
      </c>
      <c r="N1729" s="16"/>
      <c r="O1729" s="16" t="s">
        <v>4654</v>
      </c>
      <c r="P1729" s="16" t="str">
        <f>HYPERLINK("https://ceds.ed.gov/cedselementdetails.aspx?termid=27682")</f>
        <v>https://ceds.ed.gov/cedselementdetails.aspx?termid=27682</v>
      </c>
      <c r="Q1729" s="16">
        <v>74958</v>
      </c>
    </row>
    <row r="1730" spans="1:17" ht="57.6" x14ac:dyDescent="0.3">
      <c r="A1730" s="16" t="s">
        <v>7665</v>
      </c>
      <c r="B1730" s="16" t="s">
        <v>7680</v>
      </c>
      <c r="C1730" s="16" t="s">
        <v>7646</v>
      </c>
      <c r="D1730" s="16" t="s">
        <v>7597</v>
      </c>
      <c r="E1730" s="16" t="s">
        <v>4583</v>
      </c>
      <c r="F1730" s="16" t="s">
        <v>4580</v>
      </c>
      <c r="G1730" s="16" t="s">
        <v>32</v>
      </c>
      <c r="H1730" s="16"/>
      <c r="I1730" s="16"/>
      <c r="J1730" s="16" t="s">
        <v>305</v>
      </c>
      <c r="K1730" s="16"/>
      <c r="L1730" s="16"/>
      <c r="M1730" s="19" t="s">
        <v>4585</v>
      </c>
      <c r="N1730" s="16"/>
      <c r="O1730" s="16" t="s">
        <v>4586</v>
      </c>
      <c r="P1730" s="16" t="str">
        <f>HYPERLINK("https://ceds.ed.gov/cedselementdetails.aspx?termid=27198")</f>
        <v>https://ceds.ed.gov/cedselementdetails.aspx?termid=27198</v>
      </c>
      <c r="Q1730" s="16">
        <v>71689</v>
      </c>
    </row>
    <row r="1731" spans="1:17" ht="57.6" x14ac:dyDescent="0.3">
      <c r="A1731" s="16" t="s">
        <v>7665</v>
      </c>
      <c r="B1731" s="16" t="s">
        <v>7680</v>
      </c>
      <c r="C1731" s="16" t="s">
        <v>7646</v>
      </c>
      <c r="D1731" s="16" t="s">
        <v>7597</v>
      </c>
      <c r="E1731" s="16" t="s">
        <v>4579</v>
      </c>
      <c r="F1731" s="16" t="s">
        <v>4584</v>
      </c>
      <c r="G1731" s="16" t="s">
        <v>32</v>
      </c>
      <c r="H1731" s="16"/>
      <c r="I1731" s="16"/>
      <c r="J1731" s="16" t="s">
        <v>305</v>
      </c>
      <c r="K1731" s="16"/>
      <c r="L1731" s="16"/>
      <c r="M1731" s="19" t="s">
        <v>4581</v>
      </c>
      <c r="N1731" s="16"/>
      <c r="O1731" s="16" t="s">
        <v>4582</v>
      </c>
      <c r="P1731" s="16" t="str">
        <f>HYPERLINK("https://ceds.ed.gov/cedselementdetails.aspx?termid=27199")</f>
        <v>https://ceds.ed.gov/cedselementdetails.aspx?termid=27199</v>
      </c>
      <c r="Q1731" s="16">
        <v>71691</v>
      </c>
    </row>
    <row r="1732" spans="1:17" ht="57.6" x14ac:dyDescent="0.3">
      <c r="A1732" s="16" t="s">
        <v>7665</v>
      </c>
      <c r="B1732" s="16" t="s">
        <v>7680</v>
      </c>
      <c r="C1732" s="16" t="s">
        <v>7646</v>
      </c>
      <c r="D1732" s="16" t="s">
        <v>7597</v>
      </c>
      <c r="E1732" s="16" t="s">
        <v>4667</v>
      </c>
      <c r="F1732" s="16" t="s">
        <v>4668</v>
      </c>
      <c r="G1732" s="16" t="s">
        <v>8660</v>
      </c>
      <c r="H1732" s="16"/>
      <c r="I1732" s="16"/>
      <c r="J1732" s="16"/>
      <c r="K1732" s="16"/>
      <c r="L1732" s="16"/>
      <c r="M1732" s="19" t="s">
        <v>4669</v>
      </c>
      <c r="N1732" s="16"/>
      <c r="O1732" s="16" t="s">
        <v>4670</v>
      </c>
      <c r="P1732" s="16" t="str">
        <f>HYPERLINK("https://ceds.ed.gov/cedselementdetails.aspx?termid=27200")</f>
        <v>https://ceds.ed.gov/cedselementdetails.aspx?termid=27200</v>
      </c>
      <c r="Q1732" s="16">
        <v>71693</v>
      </c>
    </row>
    <row r="1733" spans="1:17" ht="409.6" x14ac:dyDescent="0.3">
      <c r="A1733" s="16" t="s">
        <v>7665</v>
      </c>
      <c r="B1733" s="16" t="s">
        <v>7680</v>
      </c>
      <c r="C1733" s="16" t="s">
        <v>7646</v>
      </c>
      <c r="D1733" s="16" t="s">
        <v>7597</v>
      </c>
      <c r="E1733" s="16" t="s">
        <v>6945</v>
      </c>
      <c r="F1733" s="16" t="s">
        <v>6946</v>
      </c>
      <c r="G1733" s="16" t="s">
        <v>9421</v>
      </c>
      <c r="H1733" s="16"/>
      <c r="I1733" s="16"/>
      <c r="J1733" s="16"/>
      <c r="K1733" s="16"/>
      <c r="L1733" s="16" t="s">
        <v>6947</v>
      </c>
      <c r="M1733" s="19" t="s">
        <v>6948</v>
      </c>
      <c r="N1733" s="16"/>
      <c r="O1733" s="16" t="s">
        <v>6949</v>
      </c>
      <c r="P1733" s="16" t="str">
        <f>HYPERLINK("https://ceds.ed.gov/cedselementdetails.aspx?termid=26273")</f>
        <v>https://ceds.ed.gov/cedselementdetails.aspx?termid=26273</v>
      </c>
      <c r="Q1733" s="16">
        <v>71710</v>
      </c>
    </row>
    <row r="1734" spans="1:17" ht="43.2" x14ac:dyDescent="0.3">
      <c r="A1734" s="16" t="s">
        <v>7665</v>
      </c>
      <c r="B1734" s="16" t="s">
        <v>7680</v>
      </c>
      <c r="C1734" s="16" t="s">
        <v>7646</v>
      </c>
      <c r="D1734" s="16" t="s">
        <v>7597</v>
      </c>
      <c r="E1734" s="16" t="s">
        <v>1891</v>
      </c>
      <c r="F1734" s="16" t="s">
        <v>1892</v>
      </c>
      <c r="G1734" s="16" t="s">
        <v>32</v>
      </c>
      <c r="H1734" s="16"/>
      <c r="I1734" s="16"/>
      <c r="J1734" s="16" t="s">
        <v>106</v>
      </c>
      <c r="K1734" s="16"/>
      <c r="L1734" s="16"/>
      <c r="M1734" s="19" t="s">
        <v>1893</v>
      </c>
      <c r="N1734" s="16"/>
      <c r="O1734" s="16" t="s">
        <v>1894</v>
      </c>
      <c r="P1734" s="16" t="str">
        <f>HYPERLINK("https://ceds.ed.gov/cedselementdetails.aspx?termid=27255")</f>
        <v>https://ceds.ed.gov/cedselementdetails.aspx?termid=27255</v>
      </c>
      <c r="Q1734" s="16">
        <v>73827</v>
      </c>
    </row>
    <row r="1735" spans="1:17" ht="72" x14ac:dyDescent="0.3">
      <c r="A1735" s="16" t="s">
        <v>7665</v>
      </c>
      <c r="B1735" s="16" t="s">
        <v>7680</v>
      </c>
      <c r="C1735" s="16" t="s">
        <v>7646</v>
      </c>
      <c r="D1735" s="16" t="s">
        <v>7597</v>
      </c>
      <c r="E1735" s="16" t="s">
        <v>1895</v>
      </c>
      <c r="F1735" s="16" t="s">
        <v>1896</v>
      </c>
      <c r="G1735" s="16" t="s">
        <v>8426</v>
      </c>
      <c r="H1735" s="16"/>
      <c r="I1735" s="16"/>
      <c r="J1735" s="16"/>
      <c r="K1735" s="16"/>
      <c r="L1735" s="16"/>
      <c r="M1735" s="19" t="s">
        <v>1897</v>
      </c>
      <c r="N1735" s="16"/>
      <c r="O1735" s="16" t="s">
        <v>1898</v>
      </c>
      <c r="P1735" s="16" t="str">
        <f>HYPERLINK("https://ceds.ed.gov/cedselementdetails.aspx?termid=27256")</f>
        <v>https://ceds.ed.gov/cedselementdetails.aspx?termid=27256</v>
      </c>
      <c r="Q1735" s="16">
        <v>73830</v>
      </c>
    </row>
    <row r="1736" spans="1:17" ht="230.4" x14ac:dyDescent="0.3">
      <c r="A1736" s="16" t="s">
        <v>7665</v>
      </c>
      <c r="B1736" s="16" t="s">
        <v>7680</v>
      </c>
      <c r="C1736" s="16" t="s">
        <v>7646</v>
      </c>
      <c r="D1736" s="16" t="s">
        <v>7597</v>
      </c>
      <c r="E1736" s="16" t="s">
        <v>7543</v>
      </c>
      <c r="F1736" s="16" t="s">
        <v>7544</v>
      </c>
      <c r="G1736" s="16" t="s">
        <v>13093</v>
      </c>
      <c r="H1736" s="16"/>
      <c r="I1736" s="16" t="s">
        <v>160</v>
      </c>
      <c r="J1736" s="16"/>
      <c r="K1736" s="16" t="s">
        <v>12951</v>
      </c>
      <c r="L1736" s="16"/>
      <c r="M1736" s="19" t="s">
        <v>7545</v>
      </c>
      <c r="N1736" s="16"/>
      <c r="O1736" s="16" t="s">
        <v>7543</v>
      </c>
      <c r="P1736" s="16" t="str">
        <f>HYPERLINK("https://ceds.ed.gov/cedselementdetails.aspx?termid=27959")</f>
        <v>https://ceds.ed.gov/cedselementdetails.aspx?termid=27959</v>
      </c>
      <c r="Q1736" s="16">
        <v>75571</v>
      </c>
    </row>
    <row r="1737" spans="1:17" ht="100.8" x14ac:dyDescent="0.3">
      <c r="A1737" s="16" t="s">
        <v>7665</v>
      </c>
      <c r="B1737" s="16" t="s">
        <v>7680</v>
      </c>
      <c r="C1737" s="16" t="s">
        <v>7646</v>
      </c>
      <c r="D1737" s="16" t="s">
        <v>7597</v>
      </c>
      <c r="E1737" s="16" t="s">
        <v>8159</v>
      </c>
      <c r="F1737" s="16" t="s">
        <v>8160</v>
      </c>
      <c r="G1737" s="16" t="s">
        <v>8204</v>
      </c>
      <c r="H1737" s="16"/>
      <c r="I1737" s="16"/>
      <c r="J1737" s="16" t="s">
        <v>2</v>
      </c>
      <c r="K1737" s="16"/>
      <c r="L1737" s="16"/>
      <c r="M1737" s="19" t="s">
        <v>8196</v>
      </c>
      <c r="N1737" s="16"/>
      <c r="O1737" s="16" t="s">
        <v>8161</v>
      </c>
      <c r="P1737" s="16" t="str">
        <f>HYPERLINK("https://ceds.ed.gov/cedselementdetails.aspx?termid=27994")</f>
        <v>https://ceds.ed.gov/cedselementdetails.aspx?termid=27994</v>
      </c>
      <c r="Q1737" s="16">
        <v>75913</v>
      </c>
    </row>
    <row r="1738" spans="1:17" ht="129.6" x14ac:dyDescent="0.3">
      <c r="A1738" s="16" t="s">
        <v>7665</v>
      </c>
      <c r="B1738" s="16" t="s">
        <v>7680</v>
      </c>
      <c r="C1738" s="16" t="s">
        <v>7646</v>
      </c>
      <c r="D1738" s="16" t="s">
        <v>7597</v>
      </c>
      <c r="E1738" s="16" t="s">
        <v>12675</v>
      </c>
      <c r="F1738" s="16" t="s">
        <v>12676</v>
      </c>
      <c r="G1738" s="16" t="s">
        <v>12891</v>
      </c>
      <c r="H1738" s="16"/>
      <c r="I1738" s="16" t="s">
        <v>155</v>
      </c>
      <c r="J1738" s="16" t="s">
        <v>2</v>
      </c>
      <c r="K1738" s="16" t="s">
        <v>12636</v>
      </c>
      <c r="L1738" s="16" t="s">
        <v>12677</v>
      </c>
      <c r="M1738" s="19" t="s">
        <v>12678</v>
      </c>
      <c r="N1738" s="16"/>
      <c r="O1738" s="16" t="s">
        <v>12679</v>
      </c>
      <c r="P1738" s="16" t="str">
        <f>HYPERLINK("https://ceds.ed.gov/cedselementdetails.aspx?termid=28105")</f>
        <v>https://ceds.ed.gov/cedselementdetails.aspx?termid=28105</v>
      </c>
      <c r="Q1738" s="16">
        <v>76582</v>
      </c>
    </row>
    <row r="1739" spans="1:17" ht="43.2" x14ac:dyDescent="0.3">
      <c r="A1739" s="16" t="s">
        <v>7665</v>
      </c>
      <c r="B1739" s="16" t="s">
        <v>7680</v>
      </c>
      <c r="C1739" s="16" t="s">
        <v>7646</v>
      </c>
      <c r="D1739" s="16" t="s">
        <v>7597</v>
      </c>
      <c r="E1739" s="16" t="s">
        <v>12757</v>
      </c>
      <c r="F1739" s="16" t="s">
        <v>12758</v>
      </c>
      <c r="G1739" s="16" t="s">
        <v>32</v>
      </c>
      <c r="H1739" s="16"/>
      <c r="I1739" s="16" t="s">
        <v>155</v>
      </c>
      <c r="J1739" s="16" t="s">
        <v>106</v>
      </c>
      <c r="K1739" s="16" t="s">
        <v>12636</v>
      </c>
      <c r="L1739" s="16"/>
      <c r="M1739" s="19" t="s">
        <v>12759</v>
      </c>
      <c r="N1739" s="16"/>
      <c r="O1739" s="16" t="s">
        <v>12760</v>
      </c>
      <c r="P1739" s="16" t="str">
        <f>HYPERLINK("https://ceds.ed.gov/cedselementdetails.aspx?termid=28108")</f>
        <v>https://ceds.ed.gov/cedselementdetails.aspx?termid=28108</v>
      </c>
      <c r="Q1739" s="16">
        <v>76585</v>
      </c>
    </row>
    <row r="1740" spans="1:17" ht="230.4" x14ac:dyDescent="0.3">
      <c r="A1740" s="16" t="s">
        <v>7665</v>
      </c>
      <c r="B1740" s="16" t="s">
        <v>7680</v>
      </c>
      <c r="C1740" s="16" t="s">
        <v>7646</v>
      </c>
      <c r="D1740" s="16" t="s">
        <v>7597</v>
      </c>
      <c r="E1740" s="16" t="s">
        <v>12773</v>
      </c>
      <c r="F1740" s="16" t="s">
        <v>12774</v>
      </c>
      <c r="G1740" s="16" t="s">
        <v>12907</v>
      </c>
      <c r="H1740" s="16"/>
      <c r="I1740" s="16" t="s">
        <v>155</v>
      </c>
      <c r="J1740" s="16" t="s">
        <v>2</v>
      </c>
      <c r="K1740" s="16" t="s">
        <v>12636</v>
      </c>
      <c r="L1740" s="16" t="s">
        <v>12775</v>
      </c>
      <c r="M1740" s="19" t="s">
        <v>12776</v>
      </c>
      <c r="N1740" s="16"/>
      <c r="O1740" s="16" t="s">
        <v>12777</v>
      </c>
      <c r="P1740" s="16" t="str">
        <f>HYPERLINK("https://ceds.ed.gov/cedselementdetails.aspx?termid=28098")</f>
        <v>https://ceds.ed.gov/cedselementdetails.aspx?termid=28098</v>
      </c>
      <c r="Q1740" s="16">
        <v>76574</v>
      </c>
    </row>
    <row r="1741" spans="1:17" ht="244.8" x14ac:dyDescent="0.3">
      <c r="A1741" s="16" t="s">
        <v>7665</v>
      </c>
      <c r="B1741" s="16" t="s">
        <v>7680</v>
      </c>
      <c r="C1741" s="16" t="s">
        <v>7646</v>
      </c>
      <c r="D1741" s="16" t="s">
        <v>7597</v>
      </c>
      <c r="E1741" s="16" t="s">
        <v>12778</v>
      </c>
      <c r="F1741" s="16" t="s">
        <v>12779</v>
      </c>
      <c r="G1741" s="16" t="s">
        <v>12909</v>
      </c>
      <c r="H1741" s="16"/>
      <c r="I1741" s="16" t="s">
        <v>155</v>
      </c>
      <c r="J1741" s="16" t="s">
        <v>2</v>
      </c>
      <c r="K1741" s="16" t="s">
        <v>12636</v>
      </c>
      <c r="L1741" s="16" t="s">
        <v>12780</v>
      </c>
      <c r="M1741" s="19" t="s">
        <v>12781</v>
      </c>
      <c r="N1741" s="16"/>
      <c r="O1741" s="16" t="s">
        <v>12782</v>
      </c>
      <c r="P1741" s="16" t="str">
        <f>HYPERLINK("https://ceds.ed.gov/cedselementdetails.aspx?termid=28097")</f>
        <v>https://ceds.ed.gov/cedselementdetails.aspx?termid=28097</v>
      </c>
      <c r="Q1741" s="16">
        <v>76572</v>
      </c>
    </row>
    <row r="1742" spans="1:17" ht="43.2" x14ac:dyDescent="0.3">
      <c r="A1742" s="16" t="s">
        <v>7665</v>
      </c>
      <c r="B1742" s="16" t="s">
        <v>7680</v>
      </c>
      <c r="C1742" s="16" t="s">
        <v>7646</v>
      </c>
      <c r="D1742" s="16" t="s">
        <v>7597</v>
      </c>
      <c r="E1742" s="16" t="s">
        <v>12831</v>
      </c>
      <c r="F1742" s="16" t="s">
        <v>12832</v>
      </c>
      <c r="G1742" s="16" t="s">
        <v>12891</v>
      </c>
      <c r="H1742" s="16"/>
      <c r="I1742" s="16" t="s">
        <v>155</v>
      </c>
      <c r="J1742" s="16" t="s">
        <v>2</v>
      </c>
      <c r="K1742" s="16" t="s">
        <v>12636</v>
      </c>
      <c r="L1742" s="16" t="s">
        <v>12833</v>
      </c>
      <c r="M1742" s="19" t="s">
        <v>12834</v>
      </c>
      <c r="N1742" s="16"/>
      <c r="O1742" s="16" t="s">
        <v>12835</v>
      </c>
      <c r="P1742" s="16" t="str">
        <f>HYPERLINK("https://ceds.ed.gov/cedselementdetails.aspx?termid=28102")</f>
        <v>https://ceds.ed.gov/cedselementdetails.aspx?termid=28102</v>
      </c>
      <c r="Q1742" s="16">
        <v>76579</v>
      </c>
    </row>
    <row r="1743" spans="1:17" ht="57.6" x14ac:dyDescent="0.3">
      <c r="A1743" s="16" t="s">
        <v>7665</v>
      </c>
      <c r="B1743" s="16" t="s">
        <v>7680</v>
      </c>
      <c r="C1743" s="16" t="s">
        <v>7646</v>
      </c>
      <c r="D1743" s="16" t="s">
        <v>7597</v>
      </c>
      <c r="E1743" s="16" t="s">
        <v>12865</v>
      </c>
      <c r="F1743" s="16" t="s">
        <v>12866</v>
      </c>
      <c r="G1743" s="16" t="s">
        <v>12891</v>
      </c>
      <c r="H1743" s="16"/>
      <c r="I1743" s="16" t="s">
        <v>155</v>
      </c>
      <c r="J1743" s="16" t="s">
        <v>2</v>
      </c>
      <c r="K1743" s="16" t="s">
        <v>12636</v>
      </c>
      <c r="L1743" s="16" t="s">
        <v>12677</v>
      </c>
      <c r="M1743" s="19" t="s">
        <v>12867</v>
      </c>
      <c r="N1743" s="16"/>
      <c r="O1743" s="16" t="s">
        <v>12868</v>
      </c>
      <c r="P1743" s="16" t="str">
        <f>HYPERLINK("https://ceds.ed.gov/cedselementdetails.aspx?termid=28104")</f>
        <v>https://ceds.ed.gov/cedselementdetails.aspx?termid=28104</v>
      </c>
      <c r="Q1743" s="16">
        <v>76581</v>
      </c>
    </row>
    <row r="1744" spans="1:17" ht="72" x14ac:dyDescent="0.3">
      <c r="A1744" s="16" t="s">
        <v>7665</v>
      </c>
      <c r="B1744" s="16" t="s">
        <v>7680</v>
      </c>
      <c r="C1744" s="16" t="s">
        <v>13068</v>
      </c>
      <c r="D1744" s="16" t="s">
        <v>7597</v>
      </c>
      <c r="E1744" s="16" t="s">
        <v>12634</v>
      </c>
      <c r="F1744" s="16" t="s">
        <v>12635</v>
      </c>
      <c r="G1744" s="16" t="s">
        <v>12886</v>
      </c>
      <c r="H1744" s="16"/>
      <c r="I1744" s="16" t="s">
        <v>155</v>
      </c>
      <c r="J1744" s="16" t="s">
        <v>2</v>
      </c>
      <c r="K1744" s="16" t="s">
        <v>12636</v>
      </c>
      <c r="L1744" s="16"/>
      <c r="M1744" s="19" t="s">
        <v>12637</v>
      </c>
      <c r="N1744" s="16"/>
      <c r="O1744" s="16" t="s">
        <v>12638</v>
      </c>
      <c r="P1744" s="16" t="str">
        <f>HYPERLINK("https://ceds.ed.gov/cedselementdetails.aspx?termid=28148")</f>
        <v>https://ceds.ed.gov/cedselementdetails.aspx?termid=28148</v>
      </c>
      <c r="Q1744" s="16">
        <v>76703</v>
      </c>
    </row>
    <row r="1745" spans="1:17" ht="72" x14ac:dyDescent="0.3">
      <c r="A1745" s="16" t="s">
        <v>7665</v>
      </c>
      <c r="B1745" s="16" t="s">
        <v>7680</v>
      </c>
      <c r="C1745" s="16" t="s">
        <v>13068</v>
      </c>
      <c r="D1745" s="16" t="s">
        <v>7597</v>
      </c>
      <c r="E1745" s="16" t="s">
        <v>12639</v>
      </c>
      <c r="F1745" s="16" t="s">
        <v>12640</v>
      </c>
      <c r="G1745" s="16" t="s">
        <v>12888</v>
      </c>
      <c r="H1745" s="16"/>
      <c r="I1745" s="16" t="s">
        <v>155</v>
      </c>
      <c r="J1745" s="16" t="s">
        <v>2</v>
      </c>
      <c r="K1745" s="16" t="s">
        <v>12636</v>
      </c>
      <c r="L1745" s="16"/>
      <c r="M1745" s="19" t="s">
        <v>12641</v>
      </c>
      <c r="N1745" s="16"/>
      <c r="O1745" s="16" t="s">
        <v>12642</v>
      </c>
      <c r="P1745" s="16" t="str">
        <f>HYPERLINK("https://ceds.ed.gov/cedselementdetails.aspx?termid=28149")</f>
        <v>https://ceds.ed.gov/cedselementdetails.aspx?termid=28149</v>
      </c>
      <c r="Q1745" s="16">
        <v>76705</v>
      </c>
    </row>
    <row r="1746" spans="1:17" ht="72" x14ac:dyDescent="0.3">
      <c r="A1746" s="16" t="s">
        <v>7665</v>
      </c>
      <c r="B1746" s="16" t="s">
        <v>7680</v>
      </c>
      <c r="C1746" s="16" t="s">
        <v>13068</v>
      </c>
      <c r="D1746" s="16" t="s">
        <v>7597</v>
      </c>
      <c r="E1746" s="16" t="s">
        <v>12643</v>
      </c>
      <c r="F1746" s="16" t="s">
        <v>12644</v>
      </c>
      <c r="G1746" s="16" t="s">
        <v>12889</v>
      </c>
      <c r="H1746" s="16"/>
      <c r="I1746" s="16" t="s">
        <v>155</v>
      </c>
      <c r="J1746" s="16" t="s">
        <v>2</v>
      </c>
      <c r="K1746" s="16" t="s">
        <v>12636</v>
      </c>
      <c r="L1746" s="16"/>
      <c r="M1746" s="19" t="s">
        <v>12645</v>
      </c>
      <c r="N1746" s="16"/>
      <c r="O1746" s="16" t="s">
        <v>12646</v>
      </c>
      <c r="P1746" s="16" t="str">
        <f>HYPERLINK("https://ceds.ed.gov/cedselementdetails.aspx?termid=28150")</f>
        <v>https://ceds.ed.gov/cedselementdetails.aspx?termid=28150</v>
      </c>
      <c r="Q1746" s="16">
        <v>76707</v>
      </c>
    </row>
    <row r="1747" spans="1:17" ht="43.2" x14ac:dyDescent="0.3">
      <c r="A1747" s="16" t="s">
        <v>7665</v>
      </c>
      <c r="B1747" s="16" t="s">
        <v>7680</v>
      </c>
      <c r="C1747" s="16" t="s">
        <v>13068</v>
      </c>
      <c r="D1747" s="16" t="s">
        <v>7597</v>
      </c>
      <c r="E1747" s="16" t="s">
        <v>12647</v>
      </c>
      <c r="F1747" s="16" t="s">
        <v>12648</v>
      </c>
      <c r="G1747" s="16" t="s">
        <v>12890</v>
      </c>
      <c r="H1747" s="16"/>
      <c r="I1747" s="16" t="s">
        <v>155</v>
      </c>
      <c r="J1747" s="16" t="s">
        <v>2</v>
      </c>
      <c r="K1747" s="16" t="s">
        <v>12636</v>
      </c>
      <c r="L1747" s="16"/>
      <c r="M1747" s="19" t="s">
        <v>12649</v>
      </c>
      <c r="N1747" s="16"/>
      <c r="O1747" s="16" t="s">
        <v>12650</v>
      </c>
      <c r="P1747" s="16" t="str">
        <f>HYPERLINK("https://ceds.ed.gov/cedselementdetails.aspx?termid=28151")</f>
        <v>https://ceds.ed.gov/cedselementdetails.aspx?termid=28151</v>
      </c>
      <c r="Q1747" s="16">
        <v>76709</v>
      </c>
    </row>
    <row r="1748" spans="1:17" ht="28.8" x14ac:dyDescent="0.3">
      <c r="A1748" s="16" t="s">
        <v>7665</v>
      </c>
      <c r="B1748" s="16" t="s">
        <v>7680</v>
      </c>
      <c r="C1748" s="16" t="s">
        <v>13068</v>
      </c>
      <c r="D1748" s="16" t="s">
        <v>7597</v>
      </c>
      <c r="E1748" s="16" t="s">
        <v>12651</v>
      </c>
      <c r="F1748" s="16" t="s">
        <v>12652</v>
      </c>
      <c r="G1748" s="16" t="s">
        <v>7313</v>
      </c>
      <c r="H1748" s="16"/>
      <c r="I1748" s="16" t="s">
        <v>155</v>
      </c>
      <c r="J1748" s="16" t="s">
        <v>2</v>
      </c>
      <c r="K1748" s="16" t="s">
        <v>12636</v>
      </c>
      <c r="L1748" s="16"/>
      <c r="M1748" s="19" t="s">
        <v>12653</v>
      </c>
      <c r="N1748" s="16"/>
      <c r="O1748" s="16" t="s">
        <v>12654</v>
      </c>
      <c r="P1748" s="16" t="str">
        <f>HYPERLINK("https://ceds.ed.gov/cedselementdetails.aspx?termid=28152")</f>
        <v>https://ceds.ed.gov/cedselementdetails.aspx?termid=28152</v>
      </c>
      <c r="Q1748" s="16">
        <v>76711</v>
      </c>
    </row>
    <row r="1749" spans="1:17" ht="43.2" x14ac:dyDescent="0.3">
      <c r="A1749" s="16" t="s">
        <v>7665</v>
      </c>
      <c r="B1749" s="16" t="s">
        <v>7680</v>
      </c>
      <c r="C1749" s="16" t="s">
        <v>13068</v>
      </c>
      <c r="D1749" s="16" t="s">
        <v>7597</v>
      </c>
      <c r="E1749" s="16" t="s">
        <v>12929</v>
      </c>
      <c r="F1749" s="16" t="s">
        <v>13071</v>
      </c>
      <c r="G1749" s="16" t="s">
        <v>32</v>
      </c>
      <c r="H1749" s="16"/>
      <c r="I1749" s="16" t="s">
        <v>160</v>
      </c>
      <c r="J1749" s="16" t="s">
        <v>316</v>
      </c>
      <c r="K1749" s="16" t="s">
        <v>12930</v>
      </c>
      <c r="L1749" s="16"/>
      <c r="M1749" s="19" t="s">
        <v>82</v>
      </c>
      <c r="N1749" s="16"/>
      <c r="O1749" s="16" t="s">
        <v>13072</v>
      </c>
      <c r="P1749" s="16" t="str">
        <f>HYPERLINK("https://ceds.ed.gov/cedselementdetails.aspx?termid=27116")</f>
        <v>https://ceds.ed.gov/cedselementdetails.aspx?termid=27116</v>
      </c>
      <c r="Q1749" s="16">
        <v>76545</v>
      </c>
    </row>
    <row r="1750" spans="1:17" ht="57.6" x14ac:dyDescent="0.3">
      <c r="A1750" s="16" t="s">
        <v>7665</v>
      </c>
      <c r="B1750" s="16" t="s">
        <v>7680</v>
      </c>
      <c r="C1750" s="16" t="s">
        <v>13068</v>
      </c>
      <c r="D1750" s="16" t="s">
        <v>7597</v>
      </c>
      <c r="E1750" s="16" t="s">
        <v>12655</v>
      </c>
      <c r="F1750" s="16" t="s">
        <v>12656</v>
      </c>
      <c r="G1750" s="16" t="s">
        <v>12891</v>
      </c>
      <c r="H1750" s="16"/>
      <c r="I1750" s="16" t="s">
        <v>155</v>
      </c>
      <c r="J1750" s="16" t="s">
        <v>2</v>
      </c>
      <c r="K1750" s="16" t="s">
        <v>12636</v>
      </c>
      <c r="L1750" s="16"/>
      <c r="M1750" s="19" t="s">
        <v>12657</v>
      </c>
      <c r="N1750" s="16"/>
      <c r="O1750" s="16" t="s">
        <v>12658</v>
      </c>
      <c r="P1750" s="16" t="str">
        <f>HYPERLINK("https://ceds.ed.gov/cedselementdetails.aspx?termid=28153")</f>
        <v>https://ceds.ed.gov/cedselementdetails.aspx?termid=28153</v>
      </c>
      <c r="Q1750" s="16">
        <v>76713</v>
      </c>
    </row>
    <row r="1751" spans="1:17" ht="86.4" x14ac:dyDescent="0.3">
      <c r="A1751" s="16" t="s">
        <v>7665</v>
      </c>
      <c r="B1751" s="16" t="s">
        <v>7680</v>
      </c>
      <c r="C1751" s="16" t="s">
        <v>13068</v>
      </c>
      <c r="D1751" s="16" t="s">
        <v>7597</v>
      </c>
      <c r="E1751" s="16" t="s">
        <v>12659</v>
      </c>
      <c r="F1751" s="16" t="s">
        <v>12660</v>
      </c>
      <c r="G1751" s="16" t="s">
        <v>12892</v>
      </c>
      <c r="H1751" s="16"/>
      <c r="I1751" s="16" t="s">
        <v>155</v>
      </c>
      <c r="J1751" s="16" t="s">
        <v>2</v>
      </c>
      <c r="K1751" s="16" t="s">
        <v>12636</v>
      </c>
      <c r="L1751" s="16"/>
      <c r="M1751" s="19" t="s">
        <v>12661</v>
      </c>
      <c r="N1751" s="16"/>
      <c r="O1751" s="16" t="s">
        <v>12662</v>
      </c>
      <c r="P1751" s="16" t="str">
        <f>HYPERLINK("https://ceds.ed.gov/cedselementdetails.aspx?termid=28154")</f>
        <v>https://ceds.ed.gov/cedselementdetails.aspx?termid=28154</v>
      </c>
      <c r="Q1751" s="16">
        <v>76715</v>
      </c>
    </row>
    <row r="1752" spans="1:17" ht="409.6" x14ac:dyDescent="0.3">
      <c r="A1752" s="16" t="s">
        <v>7665</v>
      </c>
      <c r="B1752" s="16" t="s">
        <v>7680</v>
      </c>
      <c r="C1752" s="16" t="s">
        <v>13068</v>
      </c>
      <c r="D1752" s="16" t="s">
        <v>7597</v>
      </c>
      <c r="E1752" s="16" t="s">
        <v>12931</v>
      </c>
      <c r="F1752" s="16" t="s">
        <v>13073</v>
      </c>
      <c r="G1752" s="16" t="s">
        <v>13480</v>
      </c>
      <c r="H1752" s="16" t="s">
        <v>84</v>
      </c>
      <c r="I1752" s="16" t="s">
        <v>160</v>
      </c>
      <c r="J1752" s="16"/>
      <c r="K1752" s="16" t="s">
        <v>12932</v>
      </c>
      <c r="L1752" s="16"/>
      <c r="M1752" s="19" t="s">
        <v>83</v>
      </c>
      <c r="N1752" s="16"/>
      <c r="O1752" s="16" t="s">
        <v>13074</v>
      </c>
      <c r="P1752" s="16" t="str">
        <f>HYPERLINK("https://ceds.ed.gov/cedselementdetails.aspx?termid=26376")</f>
        <v>https://ceds.ed.gov/cedselementdetails.aspx?termid=26376</v>
      </c>
      <c r="Q1752" s="16">
        <v>76538</v>
      </c>
    </row>
    <row r="1753" spans="1:17" ht="28.8" x14ac:dyDescent="0.3">
      <c r="A1753" s="16" t="s">
        <v>7665</v>
      </c>
      <c r="B1753" s="16" t="s">
        <v>7680</v>
      </c>
      <c r="C1753" s="16" t="s">
        <v>13068</v>
      </c>
      <c r="D1753" s="16" t="s">
        <v>7597</v>
      </c>
      <c r="E1753" s="16" t="s">
        <v>8871</v>
      </c>
      <c r="F1753" s="16" t="s">
        <v>8872</v>
      </c>
      <c r="G1753" s="16" t="s">
        <v>32</v>
      </c>
      <c r="H1753" s="16"/>
      <c r="I1753" s="16"/>
      <c r="J1753" s="16" t="s">
        <v>106</v>
      </c>
      <c r="K1753" s="16"/>
      <c r="L1753" s="16"/>
      <c r="M1753" s="19" t="s">
        <v>8873</v>
      </c>
      <c r="N1753" s="16"/>
      <c r="O1753" s="16" t="s">
        <v>8874</v>
      </c>
      <c r="P1753" s="16" t="str">
        <f>HYPERLINK("https://ceds.ed.gov/cedselementdetails.aspx?termid=27995")</f>
        <v>https://ceds.ed.gov/cedselementdetails.aspx?termid=27995</v>
      </c>
      <c r="Q1753" s="16">
        <v>76558</v>
      </c>
    </row>
    <row r="1754" spans="1:17" ht="28.8" x14ac:dyDescent="0.3">
      <c r="A1754" s="16" t="s">
        <v>7665</v>
      </c>
      <c r="B1754" s="16" t="s">
        <v>7680</v>
      </c>
      <c r="C1754" s="16" t="s">
        <v>13068</v>
      </c>
      <c r="D1754" s="16" t="s">
        <v>7597</v>
      </c>
      <c r="E1754" s="16" t="s">
        <v>8875</v>
      </c>
      <c r="F1754" s="16" t="s">
        <v>8876</v>
      </c>
      <c r="G1754" s="16" t="s">
        <v>32</v>
      </c>
      <c r="H1754" s="16"/>
      <c r="I1754" s="16"/>
      <c r="J1754" s="16" t="s">
        <v>106</v>
      </c>
      <c r="K1754" s="16"/>
      <c r="L1754" s="16"/>
      <c r="M1754" s="19" t="s">
        <v>8877</v>
      </c>
      <c r="N1754" s="16"/>
      <c r="O1754" s="16" t="s">
        <v>8878</v>
      </c>
      <c r="P1754" s="16" t="str">
        <f>HYPERLINK("https://ceds.ed.gov/cedselementdetails.aspx?termid=27996")</f>
        <v>https://ceds.ed.gov/cedselementdetails.aspx?termid=27996</v>
      </c>
      <c r="Q1754" s="16">
        <v>76559</v>
      </c>
    </row>
    <row r="1755" spans="1:17" ht="43.2" x14ac:dyDescent="0.3">
      <c r="A1755" s="16" t="s">
        <v>7665</v>
      </c>
      <c r="B1755" s="16" t="s">
        <v>7680</v>
      </c>
      <c r="C1755" s="16" t="s">
        <v>13068</v>
      </c>
      <c r="D1755" s="16" t="s">
        <v>7597</v>
      </c>
      <c r="E1755" s="16" t="s">
        <v>8879</v>
      </c>
      <c r="F1755" s="16" t="s">
        <v>8880</v>
      </c>
      <c r="G1755" s="16" t="s">
        <v>22</v>
      </c>
      <c r="H1755" s="16"/>
      <c r="I1755" s="16"/>
      <c r="J1755" s="16" t="s">
        <v>2</v>
      </c>
      <c r="K1755" s="16"/>
      <c r="L1755" s="16"/>
      <c r="M1755" s="19" t="s">
        <v>8881</v>
      </c>
      <c r="N1755" s="16"/>
      <c r="O1755" s="16" t="s">
        <v>8882</v>
      </c>
      <c r="P1755" s="16" t="str">
        <f>HYPERLINK("https://ceds.ed.gov/cedselementdetails.aspx?termid=27997")</f>
        <v>https://ceds.ed.gov/cedselementdetails.aspx?termid=27997</v>
      </c>
      <c r="Q1755" s="16">
        <v>76556</v>
      </c>
    </row>
    <row r="1756" spans="1:17" ht="57.6" x14ac:dyDescent="0.3">
      <c r="A1756" s="16" t="s">
        <v>7665</v>
      </c>
      <c r="B1756" s="16" t="s">
        <v>7680</v>
      </c>
      <c r="C1756" s="16" t="s">
        <v>13068</v>
      </c>
      <c r="D1756" s="16" t="s">
        <v>7597</v>
      </c>
      <c r="E1756" s="16" t="s">
        <v>8883</v>
      </c>
      <c r="F1756" s="16" t="s">
        <v>8884</v>
      </c>
      <c r="G1756" s="16" t="s">
        <v>2987</v>
      </c>
      <c r="H1756" s="16"/>
      <c r="I1756" s="16"/>
      <c r="J1756" s="16" t="s">
        <v>2</v>
      </c>
      <c r="K1756" s="16"/>
      <c r="L1756" s="16"/>
      <c r="M1756" s="19" t="s">
        <v>8885</v>
      </c>
      <c r="N1756" s="16"/>
      <c r="O1756" s="16" t="s">
        <v>8886</v>
      </c>
      <c r="P1756" s="16" t="str">
        <f>HYPERLINK("https://ceds.ed.gov/cedselementdetails.aspx?termid=27998")</f>
        <v>https://ceds.ed.gov/cedselementdetails.aspx?termid=27998</v>
      </c>
      <c r="Q1756" s="16">
        <v>76560</v>
      </c>
    </row>
    <row r="1757" spans="1:17" ht="144" x14ac:dyDescent="0.3">
      <c r="A1757" s="16" t="s">
        <v>7665</v>
      </c>
      <c r="B1757" s="16" t="s">
        <v>7680</v>
      </c>
      <c r="C1757" s="16" t="s">
        <v>13068</v>
      </c>
      <c r="D1757" s="16" t="s">
        <v>7597</v>
      </c>
      <c r="E1757" s="16" t="s">
        <v>8887</v>
      </c>
      <c r="F1757" s="16" t="s">
        <v>8888</v>
      </c>
      <c r="G1757" s="16" t="s">
        <v>9287</v>
      </c>
      <c r="H1757" s="16"/>
      <c r="I1757" s="16"/>
      <c r="J1757" s="16" t="s">
        <v>2</v>
      </c>
      <c r="K1757" s="16"/>
      <c r="L1757" s="16"/>
      <c r="M1757" s="19" t="s">
        <v>8889</v>
      </c>
      <c r="N1757" s="16"/>
      <c r="O1757" s="16" t="s">
        <v>8890</v>
      </c>
      <c r="P1757" s="16" t="str">
        <f>HYPERLINK("https://ceds.ed.gov/cedselementdetails.aspx?termid=27999")</f>
        <v>https://ceds.ed.gov/cedselementdetails.aspx?termid=27999</v>
      </c>
      <c r="Q1757" s="16">
        <v>76557</v>
      </c>
    </row>
    <row r="1758" spans="1:17" ht="43.2" x14ac:dyDescent="0.3">
      <c r="A1758" s="16" t="s">
        <v>7665</v>
      </c>
      <c r="B1758" s="16" t="s">
        <v>7680</v>
      </c>
      <c r="C1758" s="16" t="s">
        <v>13068</v>
      </c>
      <c r="D1758" s="16" t="s">
        <v>7597</v>
      </c>
      <c r="E1758" s="16" t="s">
        <v>12667</v>
      </c>
      <c r="F1758" s="16" t="s">
        <v>12668</v>
      </c>
      <c r="G1758" s="16" t="s">
        <v>32</v>
      </c>
      <c r="H1758" s="16"/>
      <c r="I1758" s="16" t="s">
        <v>155</v>
      </c>
      <c r="J1758" s="16" t="s">
        <v>316</v>
      </c>
      <c r="K1758" s="16" t="s">
        <v>12636</v>
      </c>
      <c r="L1758" s="16"/>
      <c r="M1758" s="19" t="s">
        <v>12669</v>
      </c>
      <c r="N1758" s="16"/>
      <c r="O1758" s="16" t="s">
        <v>12670</v>
      </c>
      <c r="P1758" s="16" t="str">
        <f>HYPERLINK("https://ceds.ed.gov/cedselementdetails.aspx?termid=28123")</f>
        <v>https://ceds.ed.gov/cedselementdetails.aspx?termid=28123</v>
      </c>
      <c r="Q1758" s="16">
        <v>76653</v>
      </c>
    </row>
    <row r="1759" spans="1:17" ht="57.6" x14ac:dyDescent="0.3">
      <c r="A1759" s="16" t="s">
        <v>7665</v>
      </c>
      <c r="B1759" s="16" t="s">
        <v>7680</v>
      </c>
      <c r="C1759" s="16" t="s">
        <v>13068</v>
      </c>
      <c r="D1759" s="16" t="s">
        <v>7597</v>
      </c>
      <c r="E1759" s="16" t="s">
        <v>12671</v>
      </c>
      <c r="F1759" s="16" t="s">
        <v>12672</v>
      </c>
      <c r="G1759" s="16" t="s">
        <v>12894</v>
      </c>
      <c r="H1759" s="16"/>
      <c r="I1759" s="16" t="s">
        <v>155</v>
      </c>
      <c r="J1759" s="16" t="s">
        <v>2</v>
      </c>
      <c r="K1759" s="16" t="s">
        <v>12636</v>
      </c>
      <c r="L1759" s="16"/>
      <c r="M1759" s="19" t="s">
        <v>12673</v>
      </c>
      <c r="N1759" s="16"/>
      <c r="O1759" s="16" t="s">
        <v>12674</v>
      </c>
      <c r="P1759" s="16" t="str">
        <f>HYPERLINK("https://ceds.ed.gov/cedselementdetails.aspx?termid=28124")</f>
        <v>https://ceds.ed.gov/cedselementdetails.aspx?termid=28124</v>
      </c>
      <c r="Q1759" s="16">
        <v>76655</v>
      </c>
    </row>
    <row r="1760" spans="1:17" ht="144" x14ac:dyDescent="0.3">
      <c r="A1760" s="16" t="s">
        <v>7665</v>
      </c>
      <c r="B1760" s="16" t="s">
        <v>7680</v>
      </c>
      <c r="C1760" s="16" t="s">
        <v>13068</v>
      </c>
      <c r="D1760" s="16" t="s">
        <v>7597</v>
      </c>
      <c r="E1760" s="16" t="s">
        <v>12680</v>
      </c>
      <c r="F1760" s="16" t="s">
        <v>12681</v>
      </c>
      <c r="G1760" s="16" t="s">
        <v>12895</v>
      </c>
      <c r="H1760" s="16"/>
      <c r="I1760" s="16" t="s">
        <v>155</v>
      </c>
      <c r="J1760" s="16" t="s">
        <v>2</v>
      </c>
      <c r="K1760" s="16" t="s">
        <v>12636</v>
      </c>
      <c r="L1760" s="16"/>
      <c r="M1760" s="19" t="s">
        <v>12682</v>
      </c>
      <c r="N1760" s="16"/>
      <c r="O1760" s="16" t="s">
        <v>12683</v>
      </c>
      <c r="P1760" s="16" t="str">
        <f>HYPERLINK("https://ceds.ed.gov/cedselementdetails.aspx?termid=28125")</f>
        <v>https://ceds.ed.gov/cedselementdetails.aspx?termid=28125</v>
      </c>
      <c r="Q1760" s="16">
        <v>76657</v>
      </c>
    </row>
    <row r="1761" spans="1:17" ht="115.2" x14ac:dyDescent="0.3">
      <c r="A1761" s="16" t="s">
        <v>7665</v>
      </c>
      <c r="B1761" s="16" t="s">
        <v>7680</v>
      </c>
      <c r="C1761" s="16" t="s">
        <v>13068</v>
      </c>
      <c r="D1761" s="16" t="s">
        <v>7597</v>
      </c>
      <c r="E1761" s="16" t="s">
        <v>12688</v>
      </c>
      <c r="F1761" s="16" t="s">
        <v>12689</v>
      </c>
      <c r="G1761" s="16" t="s">
        <v>12896</v>
      </c>
      <c r="H1761" s="16"/>
      <c r="I1761" s="16" t="s">
        <v>155</v>
      </c>
      <c r="J1761" s="16" t="s">
        <v>2</v>
      </c>
      <c r="K1761" s="16" t="s">
        <v>12636</v>
      </c>
      <c r="L1761" s="16"/>
      <c r="M1761" s="19" t="s">
        <v>12690</v>
      </c>
      <c r="N1761" s="16"/>
      <c r="O1761" s="16" t="s">
        <v>12691</v>
      </c>
      <c r="P1761" s="16" t="str">
        <f>HYPERLINK("https://ceds.ed.gov/cedselementdetails.aspx?termid=28155")</f>
        <v>https://ceds.ed.gov/cedselementdetails.aspx?termid=28155</v>
      </c>
      <c r="Q1761" s="16">
        <v>76717</v>
      </c>
    </row>
    <row r="1762" spans="1:17" ht="43.2" x14ac:dyDescent="0.3">
      <c r="A1762" s="16" t="s">
        <v>7665</v>
      </c>
      <c r="B1762" s="16" t="s">
        <v>7680</v>
      </c>
      <c r="C1762" s="16" t="s">
        <v>13068</v>
      </c>
      <c r="D1762" s="16" t="s">
        <v>7597</v>
      </c>
      <c r="E1762" s="16" t="s">
        <v>12692</v>
      </c>
      <c r="F1762" s="16" t="s">
        <v>12693</v>
      </c>
      <c r="G1762" s="16" t="s">
        <v>32</v>
      </c>
      <c r="H1762" s="16"/>
      <c r="I1762" s="16" t="s">
        <v>155</v>
      </c>
      <c r="J1762" s="16" t="s">
        <v>305</v>
      </c>
      <c r="K1762" s="16" t="s">
        <v>12636</v>
      </c>
      <c r="L1762" s="16"/>
      <c r="M1762" s="19" t="s">
        <v>12694</v>
      </c>
      <c r="N1762" s="16"/>
      <c r="O1762" s="16" t="s">
        <v>12695</v>
      </c>
      <c r="P1762" s="16" t="str">
        <f>HYPERLINK("https://ceds.ed.gov/cedselementdetails.aspx?termid=28136")</f>
        <v>https://ceds.ed.gov/cedselementdetails.aspx?termid=28136</v>
      </c>
      <c r="Q1762" s="16">
        <v>76679</v>
      </c>
    </row>
    <row r="1763" spans="1:17" ht="57.6" x14ac:dyDescent="0.3">
      <c r="A1763" s="16" t="s">
        <v>7665</v>
      </c>
      <c r="B1763" s="16" t="s">
        <v>7680</v>
      </c>
      <c r="C1763" s="16" t="s">
        <v>13068</v>
      </c>
      <c r="D1763" s="16" t="s">
        <v>7597</v>
      </c>
      <c r="E1763" s="16" t="s">
        <v>12696</v>
      </c>
      <c r="F1763" s="16" t="s">
        <v>12697</v>
      </c>
      <c r="G1763" s="16" t="s">
        <v>12897</v>
      </c>
      <c r="H1763" s="16"/>
      <c r="I1763" s="16" t="s">
        <v>155</v>
      </c>
      <c r="J1763" s="16" t="s">
        <v>2</v>
      </c>
      <c r="K1763" s="16" t="s">
        <v>12636</v>
      </c>
      <c r="L1763" s="16"/>
      <c r="M1763" s="19" t="s">
        <v>12698</v>
      </c>
      <c r="N1763" s="16"/>
      <c r="O1763" s="16" t="s">
        <v>12699</v>
      </c>
      <c r="P1763" s="16" t="str">
        <f>HYPERLINK("https://ceds.ed.gov/cedselementdetails.aspx?termid=28137")</f>
        <v>https://ceds.ed.gov/cedselementdetails.aspx?termid=28137</v>
      </c>
      <c r="Q1763" s="16">
        <v>76681</v>
      </c>
    </row>
    <row r="1764" spans="1:17" ht="57.6" x14ac:dyDescent="0.3">
      <c r="A1764" s="16" t="s">
        <v>7665</v>
      </c>
      <c r="B1764" s="16" t="s">
        <v>7680</v>
      </c>
      <c r="C1764" s="16" t="s">
        <v>13068</v>
      </c>
      <c r="D1764" s="16" t="s">
        <v>7597</v>
      </c>
      <c r="E1764" s="16" t="s">
        <v>12704</v>
      </c>
      <c r="F1764" s="16" t="s">
        <v>12705</v>
      </c>
      <c r="G1764" s="16" t="s">
        <v>12898</v>
      </c>
      <c r="H1764" s="16"/>
      <c r="I1764" s="16" t="s">
        <v>155</v>
      </c>
      <c r="J1764" s="16" t="s">
        <v>2</v>
      </c>
      <c r="K1764" s="16" t="s">
        <v>12636</v>
      </c>
      <c r="L1764" s="16"/>
      <c r="M1764" s="19" t="s">
        <v>12706</v>
      </c>
      <c r="N1764" s="16"/>
      <c r="O1764" s="16" t="s">
        <v>12707</v>
      </c>
      <c r="P1764" s="16" t="str">
        <f>HYPERLINK("https://ceds.ed.gov/cedselementdetails.aspx?termid=28127")</f>
        <v>https://ceds.ed.gov/cedselementdetails.aspx?termid=28127</v>
      </c>
      <c r="Q1764" s="16">
        <v>76661</v>
      </c>
    </row>
    <row r="1765" spans="1:17" ht="57.6" x14ac:dyDescent="0.3">
      <c r="A1765" s="16" t="s">
        <v>7665</v>
      </c>
      <c r="B1765" s="16" t="s">
        <v>7680</v>
      </c>
      <c r="C1765" s="16" t="s">
        <v>13068</v>
      </c>
      <c r="D1765" s="16" t="s">
        <v>7597</v>
      </c>
      <c r="E1765" s="16" t="s">
        <v>12708</v>
      </c>
      <c r="F1765" s="16" t="s">
        <v>12709</v>
      </c>
      <c r="G1765" s="16" t="s">
        <v>12899</v>
      </c>
      <c r="H1765" s="16"/>
      <c r="I1765" s="16" t="s">
        <v>155</v>
      </c>
      <c r="J1765" s="16" t="s">
        <v>2</v>
      </c>
      <c r="K1765" s="16" t="s">
        <v>12636</v>
      </c>
      <c r="L1765" s="16"/>
      <c r="M1765" s="19" t="s">
        <v>12710</v>
      </c>
      <c r="N1765" s="16"/>
      <c r="O1765" s="16" t="s">
        <v>12711</v>
      </c>
      <c r="P1765" s="16" t="str">
        <f>HYPERLINK("https://ceds.ed.gov/cedselementdetails.aspx?termid=28128")</f>
        <v>https://ceds.ed.gov/cedselementdetails.aspx?termid=28128</v>
      </c>
      <c r="Q1765" s="16">
        <v>76663</v>
      </c>
    </row>
    <row r="1766" spans="1:17" ht="57.6" x14ac:dyDescent="0.3">
      <c r="A1766" s="16" t="s">
        <v>7665</v>
      </c>
      <c r="B1766" s="16" t="s">
        <v>7680</v>
      </c>
      <c r="C1766" s="16" t="s">
        <v>13068</v>
      </c>
      <c r="D1766" s="16" t="s">
        <v>7597</v>
      </c>
      <c r="E1766" s="16" t="s">
        <v>12712</v>
      </c>
      <c r="F1766" s="16" t="s">
        <v>12713</v>
      </c>
      <c r="G1766" s="16" t="s">
        <v>12900</v>
      </c>
      <c r="H1766" s="16"/>
      <c r="I1766" s="16" t="s">
        <v>155</v>
      </c>
      <c r="J1766" s="16" t="s">
        <v>2</v>
      </c>
      <c r="K1766" s="16" t="s">
        <v>12636</v>
      </c>
      <c r="L1766" s="16"/>
      <c r="M1766" s="19" t="s">
        <v>12714</v>
      </c>
      <c r="N1766" s="16"/>
      <c r="O1766" s="16" t="s">
        <v>12715</v>
      </c>
      <c r="P1766" s="16" t="str">
        <f>HYPERLINK("https://ceds.ed.gov/cedselementdetails.aspx?termid=28129")</f>
        <v>https://ceds.ed.gov/cedselementdetails.aspx?termid=28129</v>
      </c>
      <c r="Q1766" s="16">
        <v>76665</v>
      </c>
    </row>
    <row r="1767" spans="1:17" ht="57.6" x14ac:dyDescent="0.3">
      <c r="A1767" s="16" t="s">
        <v>7665</v>
      </c>
      <c r="B1767" s="16" t="s">
        <v>7680</v>
      </c>
      <c r="C1767" s="16" t="s">
        <v>13068</v>
      </c>
      <c r="D1767" s="16" t="s">
        <v>7597</v>
      </c>
      <c r="E1767" s="16" t="s">
        <v>12716</v>
      </c>
      <c r="F1767" s="16" t="s">
        <v>12717</v>
      </c>
      <c r="G1767" s="16" t="s">
        <v>8339</v>
      </c>
      <c r="H1767" s="16"/>
      <c r="I1767" s="16" t="s">
        <v>155</v>
      </c>
      <c r="J1767" s="16" t="s">
        <v>2</v>
      </c>
      <c r="K1767" s="16" t="s">
        <v>12636</v>
      </c>
      <c r="L1767" s="16"/>
      <c r="M1767" s="19" t="s">
        <v>12718</v>
      </c>
      <c r="N1767" s="16"/>
      <c r="O1767" s="16" t="s">
        <v>12719</v>
      </c>
      <c r="P1767" s="16" t="str">
        <f>HYPERLINK("https://ceds.ed.gov/cedselementdetails.aspx?termid=28130")</f>
        <v>https://ceds.ed.gov/cedselementdetails.aspx?termid=28130</v>
      </c>
      <c r="Q1767" s="16">
        <v>76667</v>
      </c>
    </row>
    <row r="1768" spans="1:17" ht="43.2" x14ac:dyDescent="0.3">
      <c r="A1768" s="16" t="s">
        <v>7665</v>
      </c>
      <c r="B1768" s="16" t="s">
        <v>7680</v>
      </c>
      <c r="C1768" s="16" t="s">
        <v>13068</v>
      </c>
      <c r="D1768" s="16" t="s">
        <v>7597</v>
      </c>
      <c r="E1768" s="16" t="s">
        <v>12720</v>
      </c>
      <c r="F1768" s="16" t="s">
        <v>12721</v>
      </c>
      <c r="G1768" s="16" t="s">
        <v>32</v>
      </c>
      <c r="H1768" s="16"/>
      <c r="I1768" s="16" t="s">
        <v>155</v>
      </c>
      <c r="J1768" s="16" t="s">
        <v>305</v>
      </c>
      <c r="K1768" s="16" t="s">
        <v>12636</v>
      </c>
      <c r="L1768" s="16"/>
      <c r="M1768" s="19" t="s">
        <v>12722</v>
      </c>
      <c r="N1768" s="16"/>
      <c r="O1768" s="16" t="s">
        <v>12723</v>
      </c>
      <c r="P1768" s="16" t="str">
        <f>HYPERLINK("https://ceds.ed.gov/cedselementdetails.aspx?termid=28131")</f>
        <v>https://ceds.ed.gov/cedselementdetails.aspx?termid=28131</v>
      </c>
      <c r="Q1768" s="16">
        <v>76669</v>
      </c>
    </row>
    <row r="1769" spans="1:17" ht="57.6" x14ac:dyDescent="0.3">
      <c r="A1769" s="16" t="s">
        <v>7665</v>
      </c>
      <c r="B1769" s="16" t="s">
        <v>7680</v>
      </c>
      <c r="C1769" s="16" t="s">
        <v>13068</v>
      </c>
      <c r="D1769" s="16" t="s">
        <v>7597</v>
      </c>
      <c r="E1769" s="16" t="s">
        <v>12724</v>
      </c>
      <c r="F1769" s="16" t="s">
        <v>12725</v>
      </c>
      <c r="G1769" s="16" t="s">
        <v>12901</v>
      </c>
      <c r="H1769" s="16"/>
      <c r="I1769" s="16" t="s">
        <v>155</v>
      </c>
      <c r="J1769" s="16" t="s">
        <v>2</v>
      </c>
      <c r="K1769" s="16" t="s">
        <v>12636</v>
      </c>
      <c r="L1769" s="16"/>
      <c r="M1769" s="19" t="s">
        <v>12726</v>
      </c>
      <c r="N1769" s="16"/>
      <c r="O1769" s="16" t="s">
        <v>12727</v>
      </c>
      <c r="P1769" s="16" t="str">
        <f>HYPERLINK("https://ceds.ed.gov/cedselementdetails.aspx?termid=28132")</f>
        <v>https://ceds.ed.gov/cedselementdetails.aspx?termid=28132</v>
      </c>
      <c r="Q1769" s="16">
        <v>76671</v>
      </c>
    </row>
    <row r="1770" spans="1:17" ht="57.6" x14ac:dyDescent="0.3">
      <c r="A1770" s="16" t="s">
        <v>7665</v>
      </c>
      <c r="B1770" s="16" t="s">
        <v>7680</v>
      </c>
      <c r="C1770" s="16" t="s">
        <v>13068</v>
      </c>
      <c r="D1770" s="16" t="s">
        <v>7597</v>
      </c>
      <c r="E1770" s="16" t="s">
        <v>12728</v>
      </c>
      <c r="F1770" s="16" t="s">
        <v>12729</v>
      </c>
      <c r="G1770" s="16" t="s">
        <v>12902</v>
      </c>
      <c r="H1770" s="16"/>
      <c r="I1770" s="16" t="s">
        <v>155</v>
      </c>
      <c r="J1770" s="16" t="s">
        <v>2</v>
      </c>
      <c r="K1770" s="16" t="s">
        <v>12636</v>
      </c>
      <c r="L1770" s="16"/>
      <c r="M1770" s="19" t="s">
        <v>12730</v>
      </c>
      <c r="N1770" s="16"/>
      <c r="O1770" s="16" t="s">
        <v>12731</v>
      </c>
      <c r="P1770" s="16" t="str">
        <f>HYPERLINK("https://ceds.ed.gov/cedselementdetails.aspx?termid=28133")</f>
        <v>https://ceds.ed.gov/cedselementdetails.aspx?termid=28133</v>
      </c>
      <c r="Q1770" s="16">
        <v>76673</v>
      </c>
    </row>
    <row r="1771" spans="1:17" ht="86.4" x14ac:dyDescent="0.3">
      <c r="A1771" s="16" t="s">
        <v>7665</v>
      </c>
      <c r="B1771" s="16" t="s">
        <v>7680</v>
      </c>
      <c r="C1771" s="16" t="s">
        <v>13068</v>
      </c>
      <c r="D1771" s="16" t="s">
        <v>7597</v>
      </c>
      <c r="E1771" s="16" t="s">
        <v>12732</v>
      </c>
      <c r="F1771" s="16" t="s">
        <v>12733</v>
      </c>
      <c r="G1771" s="16" t="s">
        <v>12903</v>
      </c>
      <c r="H1771" s="16"/>
      <c r="I1771" s="16" t="s">
        <v>155</v>
      </c>
      <c r="J1771" s="16" t="s">
        <v>2</v>
      </c>
      <c r="K1771" s="16" t="s">
        <v>12636</v>
      </c>
      <c r="L1771" s="16"/>
      <c r="M1771" s="19" t="s">
        <v>12734</v>
      </c>
      <c r="N1771" s="16"/>
      <c r="O1771" s="16" t="s">
        <v>12735</v>
      </c>
      <c r="P1771" s="16" t="str">
        <f>HYPERLINK("https://ceds.ed.gov/cedselementdetails.aspx?termid=28134")</f>
        <v>https://ceds.ed.gov/cedselementdetails.aspx?termid=28134</v>
      </c>
      <c r="Q1771" s="16">
        <v>76675</v>
      </c>
    </row>
    <row r="1772" spans="1:17" ht="57.6" x14ac:dyDescent="0.3">
      <c r="A1772" s="16" t="s">
        <v>7665</v>
      </c>
      <c r="B1772" s="16" t="s">
        <v>7680</v>
      </c>
      <c r="C1772" s="16" t="s">
        <v>13068</v>
      </c>
      <c r="D1772" s="16" t="s">
        <v>7597</v>
      </c>
      <c r="E1772" s="16" t="s">
        <v>12740</v>
      </c>
      <c r="F1772" s="16" t="s">
        <v>12741</v>
      </c>
      <c r="G1772" s="16" t="s">
        <v>12905</v>
      </c>
      <c r="H1772" s="16"/>
      <c r="I1772" s="16" t="s">
        <v>155</v>
      </c>
      <c r="J1772" s="16" t="s">
        <v>2</v>
      </c>
      <c r="K1772" s="16" t="s">
        <v>12636</v>
      </c>
      <c r="L1772" s="16"/>
      <c r="M1772" s="19" t="s">
        <v>12742</v>
      </c>
      <c r="N1772" s="16"/>
      <c r="O1772" s="16" t="s">
        <v>12743</v>
      </c>
      <c r="P1772" s="16" t="str">
        <f>HYPERLINK("https://ceds.ed.gov/cedselementdetails.aspx?termid=28135")</f>
        <v>https://ceds.ed.gov/cedselementdetails.aspx?termid=28135</v>
      </c>
      <c r="Q1772" s="16">
        <v>76677</v>
      </c>
    </row>
    <row r="1773" spans="1:17" ht="28.8" x14ac:dyDescent="0.3">
      <c r="A1773" s="16" t="s">
        <v>7665</v>
      </c>
      <c r="B1773" s="16" t="s">
        <v>7680</v>
      </c>
      <c r="C1773" s="16" t="s">
        <v>13068</v>
      </c>
      <c r="D1773" s="16" t="s">
        <v>7597</v>
      </c>
      <c r="E1773" s="16" t="s">
        <v>12761</v>
      </c>
      <c r="F1773" s="16" t="s">
        <v>12762</v>
      </c>
      <c r="G1773" s="16" t="s">
        <v>32</v>
      </c>
      <c r="H1773" s="16"/>
      <c r="I1773" s="16" t="s">
        <v>155</v>
      </c>
      <c r="J1773" s="16" t="s">
        <v>305</v>
      </c>
      <c r="K1773" s="16" t="s">
        <v>12636</v>
      </c>
      <c r="L1773" s="16"/>
      <c r="M1773" s="19" t="s">
        <v>12763</v>
      </c>
      <c r="N1773" s="16"/>
      <c r="O1773" s="16" t="s">
        <v>12764</v>
      </c>
      <c r="P1773" s="16" t="str">
        <f>HYPERLINK("https://ceds.ed.gov/cedselementdetails.aspx?termid=28140")</f>
        <v>https://ceds.ed.gov/cedselementdetails.aspx?termid=28140</v>
      </c>
      <c r="Q1773" s="16">
        <v>76687</v>
      </c>
    </row>
    <row r="1774" spans="1:17" ht="28.8" x14ac:dyDescent="0.3">
      <c r="A1774" s="16" t="s">
        <v>7665</v>
      </c>
      <c r="B1774" s="16" t="s">
        <v>7680</v>
      </c>
      <c r="C1774" s="16" t="s">
        <v>13068</v>
      </c>
      <c r="D1774" s="16" t="s">
        <v>7597</v>
      </c>
      <c r="E1774" s="16" t="s">
        <v>12765</v>
      </c>
      <c r="F1774" s="16" t="s">
        <v>12766</v>
      </c>
      <c r="G1774" s="16" t="s">
        <v>32</v>
      </c>
      <c r="H1774" s="16"/>
      <c r="I1774" s="16" t="s">
        <v>155</v>
      </c>
      <c r="J1774" s="16" t="s">
        <v>305</v>
      </c>
      <c r="K1774" s="16" t="s">
        <v>12636</v>
      </c>
      <c r="L1774" s="16"/>
      <c r="M1774" s="19" t="s">
        <v>12767</v>
      </c>
      <c r="N1774" s="16"/>
      <c r="O1774" s="16" t="s">
        <v>12768</v>
      </c>
      <c r="P1774" s="16" t="str">
        <f>HYPERLINK("https://ceds.ed.gov/cedselementdetails.aspx?termid=28139")</f>
        <v>https://ceds.ed.gov/cedselementdetails.aspx?termid=28139</v>
      </c>
      <c r="Q1774" s="16">
        <v>76685</v>
      </c>
    </row>
    <row r="1775" spans="1:17" ht="43.2" x14ac:dyDescent="0.3">
      <c r="A1775" s="16" t="s">
        <v>7665</v>
      </c>
      <c r="B1775" s="16" t="s">
        <v>7680</v>
      </c>
      <c r="C1775" s="16" t="s">
        <v>13068</v>
      </c>
      <c r="D1775" s="16" t="s">
        <v>7597</v>
      </c>
      <c r="E1775" s="16" t="s">
        <v>12769</v>
      </c>
      <c r="F1775" s="16" t="s">
        <v>12770</v>
      </c>
      <c r="G1775" s="16" t="s">
        <v>12906</v>
      </c>
      <c r="H1775" s="16"/>
      <c r="I1775" s="16" t="s">
        <v>155</v>
      </c>
      <c r="J1775" s="16" t="s">
        <v>2</v>
      </c>
      <c r="K1775" s="16" t="s">
        <v>12636</v>
      </c>
      <c r="L1775" s="16"/>
      <c r="M1775" s="19" t="s">
        <v>12771</v>
      </c>
      <c r="N1775" s="16"/>
      <c r="O1775" s="16" t="s">
        <v>12772</v>
      </c>
      <c r="P1775" s="16" t="str">
        <f>HYPERLINK("https://ceds.ed.gov/cedselementdetails.aspx?termid=28138")</f>
        <v>https://ceds.ed.gov/cedselementdetails.aspx?termid=28138</v>
      </c>
      <c r="Q1775" s="16">
        <v>76683</v>
      </c>
    </row>
    <row r="1776" spans="1:17" ht="43.2" x14ac:dyDescent="0.3">
      <c r="A1776" s="16" t="s">
        <v>7665</v>
      </c>
      <c r="B1776" s="16" t="s">
        <v>7680</v>
      </c>
      <c r="C1776" s="16" t="s">
        <v>13068</v>
      </c>
      <c r="D1776" s="16" t="s">
        <v>7597</v>
      </c>
      <c r="E1776" s="16" t="s">
        <v>4567</v>
      </c>
      <c r="F1776" s="16" t="s">
        <v>4568</v>
      </c>
      <c r="G1776" s="16" t="s">
        <v>32</v>
      </c>
      <c r="H1776" s="16"/>
      <c r="I1776" s="16"/>
      <c r="J1776" s="16" t="s">
        <v>316</v>
      </c>
      <c r="K1776" s="16"/>
      <c r="L1776" s="16"/>
      <c r="M1776" s="19" t="s">
        <v>4569</v>
      </c>
      <c r="N1776" s="16"/>
      <c r="O1776" s="16" t="s">
        <v>4570</v>
      </c>
      <c r="P1776" s="16" t="str">
        <f>HYPERLINK("https://ceds.ed.gov/cedselementdetails.aspx?termid=27667")</f>
        <v>https://ceds.ed.gov/cedselementdetails.aspx?termid=27667</v>
      </c>
      <c r="Q1776" s="16">
        <v>76553</v>
      </c>
    </row>
    <row r="1777" spans="1:17" ht="43.2" x14ac:dyDescent="0.3">
      <c r="A1777" s="16" t="s">
        <v>7665</v>
      </c>
      <c r="B1777" s="16" t="s">
        <v>7680</v>
      </c>
      <c r="C1777" s="16" t="s">
        <v>13068</v>
      </c>
      <c r="D1777" s="16" t="s">
        <v>7597</v>
      </c>
      <c r="E1777" s="16" t="s">
        <v>4571</v>
      </c>
      <c r="F1777" s="16" t="s">
        <v>4572</v>
      </c>
      <c r="G1777" s="16" t="s">
        <v>32</v>
      </c>
      <c r="H1777" s="16"/>
      <c r="I1777" s="16"/>
      <c r="J1777" s="16" t="s">
        <v>316</v>
      </c>
      <c r="K1777" s="16"/>
      <c r="L1777" s="16"/>
      <c r="M1777" s="19" t="s">
        <v>4573</v>
      </c>
      <c r="N1777" s="16"/>
      <c r="O1777" s="16" t="s">
        <v>4574</v>
      </c>
      <c r="P1777" s="16" t="str">
        <f>HYPERLINK("https://ceds.ed.gov/cedselementdetails.aspx?termid=27666")</f>
        <v>https://ceds.ed.gov/cedselementdetails.aspx?termid=27666</v>
      </c>
      <c r="Q1777" s="16">
        <v>76552</v>
      </c>
    </row>
    <row r="1778" spans="1:17" ht="115.2" x14ac:dyDescent="0.3">
      <c r="A1778" s="16" t="s">
        <v>7665</v>
      </c>
      <c r="B1778" s="16" t="s">
        <v>7680</v>
      </c>
      <c r="C1778" s="16" t="s">
        <v>13068</v>
      </c>
      <c r="D1778" s="16" t="s">
        <v>7597</v>
      </c>
      <c r="E1778" s="16" t="s">
        <v>12817</v>
      </c>
      <c r="F1778" s="16" t="s">
        <v>12818</v>
      </c>
      <c r="G1778" s="16" t="s">
        <v>12915</v>
      </c>
      <c r="H1778" s="16"/>
      <c r="I1778" s="16" t="s">
        <v>155</v>
      </c>
      <c r="J1778" s="16" t="s">
        <v>2</v>
      </c>
      <c r="K1778" s="16" t="s">
        <v>12636</v>
      </c>
      <c r="L1778" s="16"/>
      <c r="M1778" s="19" t="s">
        <v>12819</v>
      </c>
      <c r="N1778" s="16"/>
      <c r="O1778" s="16" t="s">
        <v>12820</v>
      </c>
      <c r="P1778" s="16" t="str">
        <f>HYPERLINK("https://ceds.ed.gov/cedselementdetails.aspx?termid=28141")</f>
        <v>https://ceds.ed.gov/cedselementdetails.aspx?termid=28141</v>
      </c>
      <c r="Q1778" s="16">
        <v>76689</v>
      </c>
    </row>
    <row r="1779" spans="1:17" ht="57.6" x14ac:dyDescent="0.3">
      <c r="A1779" s="16" t="s">
        <v>7665</v>
      </c>
      <c r="B1779" s="16" t="s">
        <v>7680</v>
      </c>
      <c r="C1779" s="16" t="s">
        <v>13068</v>
      </c>
      <c r="D1779" s="16" t="s">
        <v>7597</v>
      </c>
      <c r="E1779" s="16" t="s">
        <v>12836</v>
      </c>
      <c r="F1779" s="16" t="s">
        <v>12837</v>
      </c>
      <c r="G1779" s="16" t="s">
        <v>12919</v>
      </c>
      <c r="H1779" s="16"/>
      <c r="I1779" s="16" t="s">
        <v>155</v>
      </c>
      <c r="J1779" s="16" t="s">
        <v>2</v>
      </c>
      <c r="K1779" s="16" t="s">
        <v>12636</v>
      </c>
      <c r="L1779" s="16"/>
      <c r="M1779" s="19" t="s">
        <v>12838</v>
      </c>
      <c r="N1779" s="16"/>
      <c r="O1779" s="16" t="s">
        <v>12839</v>
      </c>
      <c r="P1779" s="16" t="str">
        <f>HYPERLINK("https://ceds.ed.gov/cedselementdetails.aspx?termid=28142")</f>
        <v>https://ceds.ed.gov/cedselementdetails.aspx?termid=28142</v>
      </c>
      <c r="Q1779" s="16">
        <v>76691</v>
      </c>
    </row>
    <row r="1780" spans="1:17" ht="86.4" x14ac:dyDescent="0.3">
      <c r="A1780" s="16" t="s">
        <v>7665</v>
      </c>
      <c r="B1780" s="16" t="s">
        <v>7680</v>
      </c>
      <c r="C1780" s="16" t="s">
        <v>13068</v>
      </c>
      <c r="D1780" s="16" t="s">
        <v>7597</v>
      </c>
      <c r="E1780" s="16" t="s">
        <v>12840</v>
      </c>
      <c r="F1780" s="16" t="s">
        <v>12841</v>
      </c>
      <c r="G1780" s="16" t="s">
        <v>12920</v>
      </c>
      <c r="H1780" s="16"/>
      <c r="I1780" s="16" t="s">
        <v>155</v>
      </c>
      <c r="J1780" s="16" t="s">
        <v>2</v>
      </c>
      <c r="K1780" s="16" t="s">
        <v>12636</v>
      </c>
      <c r="L1780" s="16"/>
      <c r="M1780" s="19" t="s">
        <v>12842</v>
      </c>
      <c r="N1780" s="16"/>
      <c r="O1780" s="16" t="s">
        <v>12843</v>
      </c>
      <c r="P1780" s="16" t="str">
        <f>HYPERLINK("https://ceds.ed.gov/cedselementdetails.aspx?termid=28143")</f>
        <v>https://ceds.ed.gov/cedselementdetails.aspx?termid=28143</v>
      </c>
      <c r="Q1780" s="16">
        <v>76693</v>
      </c>
    </row>
    <row r="1781" spans="1:17" ht="345.6" x14ac:dyDescent="0.3">
      <c r="A1781" s="16" t="s">
        <v>7665</v>
      </c>
      <c r="B1781" s="16" t="s">
        <v>7680</v>
      </c>
      <c r="C1781" s="16" t="s">
        <v>13068</v>
      </c>
      <c r="D1781" s="16" t="s">
        <v>7597</v>
      </c>
      <c r="E1781" s="16" t="s">
        <v>6498</v>
      </c>
      <c r="F1781" s="16" t="s">
        <v>6499</v>
      </c>
      <c r="G1781" s="16" t="s">
        <v>8260</v>
      </c>
      <c r="H1781" s="16"/>
      <c r="I1781" s="16"/>
      <c r="J1781" s="16"/>
      <c r="K1781" s="16"/>
      <c r="L1781" s="16" t="s">
        <v>8138</v>
      </c>
      <c r="M1781" s="19" t="s">
        <v>6500</v>
      </c>
      <c r="N1781" s="16" t="s">
        <v>6501</v>
      </c>
      <c r="O1781" s="16" t="s">
        <v>6502</v>
      </c>
      <c r="P1781" s="16" t="str">
        <f>HYPERLINK("https://ceds.ed.gov/cedselementdetails.aspx?termid=27491")</f>
        <v>https://ceds.ed.gov/cedselementdetails.aspx?termid=27491</v>
      </c>
      <c r="Q1781" s="16">
        <v>76551</v>
      </c>
    </row>
    <row r="1782" spans="1:17" ht="100.8" x14ac:dyDescent="0.3">
      <c r="A1782" s="16" t="s">
        <v>7665</v>
      </c>
      <c r="B1782" s="16" t="s">
        <v>7680</v>
      </c>
      <c r="C1782" s="16" t="s">
        <v>13068</v>
      </c>
      <c r="D1782" s="16" t="s">
        <v>7597</v>
      </c>
      <c r="E1782" s="16" t="s">
        <v>12853</v>
      </c>
      <c r="F1782" s="16" t="s">
        <v>12854</v>
      </c>
      <c r="G1782" s="16" t="s">
        <v>12922</v>
      </c>
      <c r="H1782" s="16"/>
      <c r="I1782" s="16" t="s">
        <v>155</v>
      </c>
      <c r="J1782" s="16" t="s">
        <v>2</v>
      </c>
      <c r="K1782" s="16" t="s">
        <v>12636</v>
      </c>
      <c r="L1782" s="16"/>
      <c r="M1782" s="19" t="s">
        <v>12855</v>
      </c>
      <c r="N1782" s="16"/>
      <c r="O1782" s="16" t="s">
        <v>12856</v>
      </c>
      <c r="P1782" s="16" t="str">
        <f>HYPERLINK("https://ceds.ed.gov/cedselementdetails.aspx?termid=28144")</f>
        <v>https://ceds.ed.gov/cedselementdetails.aspx?termid=28144</v>
      </c>
      <c r="Q1782" s="16">
        <v>76695</v>
      </c>
    </row>
    <row r="1783" spans="1:17" ht="72" x14ac:dyDescent="0.3">
      <c r="A1783" s="16" t="s">
        <v>7665</v>
      </c>
      <c r="B1783" s="16" t="s">
        <v>7680</v>
      </c>
      <c r="C1783" s="16" t="s">
        <v>13068</v>
      </c>
      <c r="D1783" s="16" t="s">
        <v>7597</v>
      </c>
      <c r="E1783" s="16" t="s">
        <v>12857</v>
      </c>
      <c r="F1783" s="16" t="s">
        <v>12858</v>
      </c>
      <c r="G1783" s="16" t="s">
        <v>12923</v>
      </c>
      <c r="H1783" s="16"/>
      <c r="I1783" s="16" t="s">
        <v>155</v>
      </c>
      <c r="J1783" s="16" t="s">
        <v>2</v>
      </c>
      <c r="K1783" s="16" t="s">
        <v>12636</v>
      </c>
      <c r="L1783" s="16"/>
      <c r="M1783" s="19" t="s">
        <v>12859</v>
      </c>
      <c r="N1783" s="16"/>
      <c r="O1783" s="16" t="s">
        <v>12860</v>
      </c>
      <c r="P1783" s="16" t="str">
        <f>HYPERLINK("https://ceds.ed.gov/cedselementdetails.aspx?termid=28145")</f>
        <v>https://ceds.ed.gov/cedselementdetails.aspx?termid=28145</v>
      </c>
      <c r="Q1783" s="16">
        <v>76697</v>
      </c>
    </row>
    <row r="1784" spans="1:17" ht="57.6" x14ac:dyDescent="0.3">
      <c r="A1784" s="16" t="s">
        <v>7665</v>
      </c>
      <c r="B1784" s="16" t="s">
        <v>7680</v>
      </c>
      <c r="C1784" s="16" t="s">
        <v>13068</v>
      </c>
      <c r="D1784" s="16" t="s">
        <v>7597</v>
      </c>
      <c r="E1784" s="16" t="s">
        <v>12861</v>
      </c>
      <c r="F1784" s="16" t="s">
        <v>12862</v>
      </c>
      <c r="G1784" s="16" t="s">
        <v>12924</v>
      </c>
      <c r="H1784" s="16"/>
      <c r="I1784" s="16" t="s">
        <v>155</v>
      </c>
      <c r="J1784" s="16" t="s">
        <v>2</v>
      </c>
      <c r="K1784" s="16" t="s">
        <v>12636</v>
      </c>
      <c r="L1784" s="16"/>
      <c r="M1784" s="19" t="s">
        <v>12863</v>
      </c>
      <c r="N1784" s="16"/>
      <c r="O1784" s="16" t="s">
        <v>12864</v>
      </c>
      <c r="P1784" s="16" t="str">
        <f>HYPERLINK("https://ceds.ed.gov/cedselementdetails.aspx?termid=28126")</f>
        <v>https://ceds.ed.gov/cedselementdetails.aspx?termid=28126</v>
      </c>
      <c r="Q1784" s="16">
        <v>76659</v>
      </c>
    </row>
    <row r="1785" spans="1:17" ht="43.2" x14ac:dyDescent="0.3">
      <c r="A1785" s="16" t="s">
        <v>7665</v>
      </c>
      <c r="B1785" s="16" t="s">
        <v>7680</v>
      </c>
      <c r="C1785" s="16" t="s">
        <v>13068</v>
      </c>
      <c r="D1785" s="16" t="s">
        <v>7597</v>
      </c>
      <c r="E1785" s="16" t="s">
        <v>12869</v>
      </c>
      <c r="F1785" s="16" t="s">
        <v>12870</v>
      </c>
      <c r="G1785" s="16" t="s">
        <v>12925</v>
      </c>
      <c r="H1785" s="16"/>
      <c r="I1785" s="16" t="s">
        <v>155</v>
      </c>
      <c r="J1785" s="16" t="s">
        <v>2</v>
      </c>
      <c r="K1785" s="16" t="s">
        <v>12636</v>
      </c>
      <c r="L1785" s="16"/>
      <c r="M1785" s="19" t="s">
        <v>12871</v>
      </c>
      <c r="N1785" s="16"/>
      <c r="O1785" s="16" t="s">
        <v>12872</v>
      </c>
      <c r="P1785" s="16" t="str">
        <f>HYPERLINK("https://ceds.ed.gov/cedselementdetails.aspx?termid=28146")</f>
        <v>https://ceds.ed.gov/cedselementdetails.aspx?termid=28146</v>
      </c>
      <c r="Q1785" s="16">
        <v>76699</v>
      </c>
    </row>
    <row r="1786" spans="1:17" ht="43.2" x14ac:dyDescent="0.3">
      <c r="A1786" s="16" t="s">
        <v>7665</v>
      </c>
      <c r="B1786" s="16" t="s">
        <v>7680</v>
      </c>
      <c r="C1786" s="16" t="s">
        <v>13068</v>
      </c>
      <c r="D1786" s="16" t="s">
        <v>7597</v>
      </c>
      <c r="E1786" s="16" t="s">
        <v>12873</v>
      </c>
      <c r="F1786" s="16" t="s">
        <v>12874</v>
      </c>
      <c r="G1786" s="16" t="s">
        <v>12926</v>
      </c>
      <c r="H1786" s="16"/>
      <c r="I1786" s="16" t="s">
        <v>155</v>
      </c>
      <c r="J1786" s="16" t="s">
        <v>2</v>
      </c>
      <c r="K1786" s="16" t="s">
        <v>12636</v>
      </c>
      <c r="L1786" s="16"/>
      <c r="M1786" s="19" t="s">
        <v>12875</v>
      </c>
      <c r="N1786" s="16"/>
      <c r="O1786" s="16" t="s">
        <v>12876</v>
      </c>
      <c r="P1786" s="16" t="str">
        <f>HYPERLINK("https://ceds.ed.gov/cedselementdetails.aspx?termid=28147")</f>
        <v>https://ceds.ed.gov/cedselementdetails.aspx?termid=28147</v>
      </c>
      <c r="Q1786" s="16">
        <v>76701</v>
      </c>
    </row>
    <row r="1787" spans="1:17" ht="28.8" x14ac:dyDescent="0.3">
      <c r="A1787" s="16" t="s">
        <v>7665</v>
      </c>
      <c r="B1787" s="16" t="s">
        <v>7680</v>
      </c>
      <c r="C1787" s="16" t="s">
        <v>7688</v>
      </c>
      <c r="D1787" s="16" t="s">
        <v>7597</v>
      </c>
      <c r="E1787" s="16" t="s">
        <v>2420</v>
      </c>
      <c r="F1787" s="16" t="s">
        <v>2421</v>
      </c>
      <c r="G1787" s="16" t="s">
        <v>32</v>
      </c>
      <c r="H1787" s="16"/>
      <c r="I1787" s="16"/>
      <c r="J1787" s="16" t="s">
        <v>106</v>
      </c>
      <c r="K1787" s="16"/>
      <c r="L1787" s="16"/>
      <c r="M1787" s="19" t="s">
        <v>2423</v>
      </c>
      <c r="N1787" s="16"/>
      <c r="O1787" s="16" t="s">
        <v>2424</v>
      </c>
      <c r="P1787" s="16" t="str">
        <f>HYPERLINK("https://ceds.ed.gov/cedselementdetails.aspx?termid=27708")</f>
        <v>https://ceds.ed.gov/cedselementdetails.aspx?termid=27708</v>
      </c>
      <c r="Q1787" s="16">
        <v>74875</v>
      </c>
    </row>
    <row r="1788" spans="1:17" ht="43.2" x14ac:dyDescent="0.3">
      <c r="A1788" s="16" t="s">
        <v>7665</v>
      </c>
      <c r="B1788" s="16" t="s">
        <v>7680</v>
      </c>
      <c r="C1788" s="16" t="s">
        <v>7688</v>
      </c>
      <c r="D1788" s="16" t="s">
        <v>7597</v>
      </c>
      <c r="E1788" s="16" t="s">
        <v>2425</v>
      </c>
      <c r="F1788" s="16" t="s">
        <v>2426</v>
      </c>
      <c r="G1788" s="16" t="s">
        <v>22</v>
      </c>
      <c r="H1788" s="16"/>
      <c r="I1788" s="16"/>
      <c r="J1788" s="16"/>
      <c r="K1788" s="16"/>
      <c r="L1788" s="16"/>
      <c r="M1788" s="19" t="s">
        <v>2427</v>
      </c>
      <c r="N1788" s="16"/>
      <c r="O1788" s="16" t="s">
        <v>2428</v>
      </c>
      <c r="P1788" s="16" t="str">
        <f>HYPERLINK("https://ceds.ed.gov/cedselementdetails.aspx?termid=27707")</f>
        <v>https://ceds.ed.gov/cedselementdetails.aspx?termid=27707</v>
      </c>
      <c r="Q1788" s="16">
        <v>74876</v>
      </c>
    </row>
    <row r="1789" spans="1:17" ht="172.8" x14ac:dyDescent="0.3">
      <c r="A1789" s="16" t="s">
        <v>7665</v>
      </c>
      <c r="B1789" s="16" t="s">
        <v>7680</v>
      </c>
      <c r="C1789" s="16" t="s">
        <v>7688</v>
      </c>
      <c r="D1789" s="16" t="s">
        <v>7597</v>
      </c>
      <c r="E1789" s="16" t="s">
        <v>5738</v>
      </c>
      <c r="F1789" s="16" t="s">
        <v>5739</v>
      </c>
      <c r="G1789" s="16" t="s">
        <v>32</v>
      </c>
      <c r="H1789" s="16"/>
      <c r="I1789" s="16"/>
      <c r="J1789" s="16" t="s">
        <v>120</v>
      </c>
      <c r="K1789" s="16"/>
      <c r="L1789" s="16" t="s">
        <v>7905</v>
      </c>
      <c r="M1789" s="19" t="s">
        <v>5740</v>
      </c>
      <c r="N1789" s="16"/>
      <c r="O1789" s="16" t="s">
        <v>5741</v>
      </c>
      <c r="P1789" s="16" t="str">
        <f>HYPERLINK("https://ceds.ed.gov/cedselementdetails.aspx?termid=27551")</f>
        <v>https://ceds.ed.gov/cedselementdetails.aspx?termid=27551</v>
      </c>
      <c r="Q1789" s="16">
        <v>74854</v>
      </c>
    </row>
    <row r="1790" spans="1:17" ht="273.60000000000002" x14ac:dyDescent="0.3">
      <c r="A1790" s="16" t="s">
        <v>7665</v>
      </c>
      <c r="B1790" s="16" t="s">
        <v>7680</v>
      </c>
      <c r="C1790" s="16" t="s">
        <v>7688</v>
      </c>
      <c r="D1790" s="16" t="s">
        <v>7597</v>
      </c>
      <c r="E1790" s="16" t="s">
        <v>5734</v>
      </c>
      <c r="F1790" s="16" t="s">
        <v>5735</v>
      </c>
      <c r="G1790" s="16" t="s">
        <v>9336</v>
      </c>
      <c r="H1790" s="16"/>
      <c r="I1790" s="16"/>
      <c r="J1790" s="16"/>
      <c r="K1790" s="16"/>
      <c r="L1790" s="16"/>
      <c r="M1790" s="19" t="s">
        <v>5736</v>
      </c>
      <c r="N1790" s="16"/>
      <c r="O1790" s="16" t="s">
        <v>5737</v>
      </c>
      <c r="P1790" s="16" t="str">
        <f>HYPERLINK("https://ceds.ed.gov/cedselementdetails.aspx?termid=27550")</f>
        <v>https://ceds.ed.gov/cedselementdetails.aspx?termid=27550</v>
      </c>
      <c r="Q1790" s="16">
        <v>74845</v>
      </c>
    </row>
    <row r="1791" spans="1:17" ht="43.2" x14ac:dyDescent="0.3">
      <c r="A1791" s="16" t="s">
        <v>7665</v>
      </c>
      <c r="B1791" s="16" t="s">
        <v>7680</v>
      </c>
      <c r="C1791" s="16" t="s">
        <v>7689</v>
      </c>
      <c r="D1791" s="16" t="s">
        <v>7597</v>
      </c>
      <c r="E1791" s="16" t="s">
        <v>3117</v>
      </c>
      <c r="F1791" s="16" t="s">
        <v>3118</v>
      </c>
      <c r="G1791" s="16" t="s">
        <v>22</v>
      </c>
      <c r="H1791" s="16" t="s">
        <v>214</v>
      </c>
      <c r="I1791" s="16"/>
      <c r="J1791" s="16"/>
      <c r="K1791" s="16"/>
      <c r="L1791" s="16"/>
      <c r="M1791" s="19" t="s">
        <v>3119</v>
      </c>
      <c r="N1791" s="16"/>
      <c r="O1791" s="16" t="s">
        <v>3120</v>
      </c>
      <c r="P1791" s="16" t="str">
        <f>HYPERLINK("https://ceds.ed.gov/cedselementdetails.aspx?termid=26569")</f>
        <v>https://ceds.ed.gov/cedselementdetails.aspx?termid=26569</v>
      </c>
      <c r="Q1791" s="16">
        <v>74791</v>
      </c>
    </row>
    <row r="1792" spans="1:17" ht="86.4" x14ac:dyDescent="0.3">
      <c r="A1792" s="16" t="s">
        <v>7665</v>
      </c>
      <c r="B1792" s="16" t="s">
        <v>7680</v>
      </c>
      <c r="C1792" s="16" t="s">
        <v>7689</v>
      </c>
      <c r="D1792" s="16" t="s">
        <v>7597</v>
      </c>
      <c r="E1792" s="16" t="s">
        <v>6575</v>
      </c>
      <c r="F1792" s="16" t="s">
        <v>6576</v>
      </c>
      <c r="G1792" s="16" t="s">
        <v>22</v>
      </c>
      <c r="H1792" s="16" t="s">
        <v>4350</v>
      </c>
      <c r="I1792" s="16"/>
      <c r="J1792" s="16"/>
      <c r="K1792" s="16"/>
      <c r="L1792" s="16"/>
      <c r="M1792" s="19" t="s">
        <v>6577</v>
      </c>
      <c r="N1792" s="16"/>
      <c r="O1792" s="16" t="s">
        <v>6578</v>
      </c>
      <c r="P1792" s="16" t="str">
        <f>HYPERLINK("https://ceds.ed.gov/cedselementdetails.aspx?termid=26249")</f>
        <v>https://ceds.ed.gov/cedselementdetails.aspx?termid=26249</v>
      </c>
      <c r="Q1792" s="16">
        <v>74777</v>
      </c>
    </row>
    <row r="1793" spans="1:17" ht="201.6" x14ac:dyDescent="0.3">
      <c r="A1793" s="16" t="s">
        <v>7665</v>
      </c>
      <c r="B1793" s="16" t="s">
        <v>7680</v>
      </c>
      <c r="C1793" s="16" t="s">
        <v>7689</v>
      </c>
      <c r="D1793" s="16" t="s">
        <v>7597</v>
      </c>
      <c r="E1793" s="16" t="s">
        <v>5859</v>
      </c>
      <c r="F1793" s="16" t="s">
        <v>5860</v>
      </c>
      <c r="G1793" s="16" t="s">
        <v>8767</v>
      </c>
      <c r="H1793" s="16" t="s">
        <v>5864</v>
      </c>
      <c r="I1793" s="16"/>
      <c r="J1793" s="16"/>
      <c r="K1793" s="16"/>
      <c r="L1793" s="16" t="s">
        <v>5861</v>
      </c>
      <c r="M1793" s="19" t="s">
        <v>5862</v>
      </c>
      <c r="N1793" s="16"/>
      <c r="O1793" s="16" t="s">
        <v>5863</v>
      </c>
      <c r="P1793" s="16" t="str">
        <f>HYPERLINK("https://ceds.ed.gov/cedselementdetails.aspx?termid=26218")</f>
        <v>https://ceds.ed.gov/cedselementdetails.aspx?termid=26218</v>
      </c>
      <c r="Q1793" s="16">
        <v>74776</v>
      </c>
    </row>
    <row r="1794" spans="1:17" ht="230.4" x14ac:dyDescent="0.3">
      <c r="A1794" s="16" t="s">
        <v>7665</v>
      </c>
      <c r="B1794" s="16" t="s">
        <v>7680</v>
      </c>
      <c r="C1794" s="16" t="s">
        <v>7689</v>
      </c>
      <c r="D1794" s="16" t="s">
        <v>7597</v>
      </c>
      <c r="E1794" s="16" t="s">
        <v>4346</v>
      </c>
      <c r="F1794" s="16" t="s">
        <v>4347</v>
      </c>
      <c r="G1794" s="16" t="s">
        <v>22</v>
      </c>
      <c r="H1794" s="16" t="s">
        <v>4350</v>
      </c>
      <c r="I1794" s="16"/>
      <c r="J1794" s="16"/>
      <c r="K1794" s="16"/>
      <c r="L1794" s="16"/>
      <c r="M1794" s="19" t="s">
        <v>4348</v>
      </c>
      <c r="N1794" s="16"/>
      <c r="O1794" s="16" t="s">
        <v>4349</v>
      </c>
      <c r="P1794" s="16" t="str">
        <f>HYPERLINK("https://ceds.ed.gov/cedselementdetails.aspx?termid=26151")</f>
        <v>https://ceds.ed.gov/cedselementdetails.aspx?termid=26151</v>
      </c>
      <c r="Q1794" s="16">
        <v>74773</v>
      </c>
    </row>
    <row r="1795" spans="1:17" ht="216" x14ac:dyDescent="0.3">
      <c r="A1795" s="16" t="s">
        <v>7665</v>
      </c>
      <c r="B1795" s="16" t="s">
        <v>7680</v>
      </c>
      <c r="C1795" s="16" t="s">
        <v>7689</v>
      </c>
      <c r="D1795" s="16" t="s">
        <v>7597</v>
      </c>
      <c r="E1795" s="16" t="s">
        <v>4319</v>
      </c>
      <c r="F1795" s="16" t="s">
        <v>4320</v>
      </c>
      <c r="G1795" s="16" t="s">
        <v>8627</v>
      </c>
      <c r="H1795" s="16"/>
      <c r="I1795" s="16"/>
      <c r="J1795" s="16"/>
      <c r="K1795" s="16"/>
      <c r="L1795" s="16" t="s">
        <v>4322</v>
      </c>
      <c r="M1795" s="19" t="s">
        <v>4323</v>
      </c>
      <c r="N1795" s="16"/>
      <c r="O1795" s="16" t="s">
        <v>4324</v>
      </c>
      <c r="P1795" s="16" t="str">
        <f>HYPERLINK("https://ceds.ed.gov/cedselementdetails.aspx?termid=27714")</f>
        <v>https://ceds.ed.gov/cedselementdetails.aspx?termid=27714</v>
      </c>
      <c r="Q1795" s="16">
        <v>74931</v>
      </c>
    </row>
    <row r="1796" spans="1:17" ht="57.6" x14ac:dyDescent="0.3">
      <c r="A1796" s="16" t="s">
        <v>7665</v>
      </c>
      <c r="B1796" s="16" t="s">
        <v>7680</v>
      </c>
      <c r="C1796" s="16" t="s">
        <v>7689</v>
      </c>
      <c r="D1796" s="16" t="s">
        <v>7597</v>
      </c>
      <c r="E1796" s="16" t="s">
        <v>6677</v>
      </c>
      <c r="F1796" s="16" t="s">
        <v>6678</v>
      </c>
      <c r="G1796" s="16" t="s">
        <v>22</v>
      </c>
      <c r="H1796" s="16"/>
      <c r="I1796" s="16"/>
      <c r="J1796" s="16"/>
      <c r="K1796" s="16"/>
      <c r="L1796" s="16"/>
      <c r="M1796" s="19" t="s">
        <v>6679</v>
      </c>
      <c r="N1796" s="16"/>
      <c r="O1796" s="16" t="s">
        <v>6680</v>
      </c>
      <c r="P1796" s="16" t="str">
        <f>HYPERLINK("https://ceds.ed.gov/cedselementdetails.aspx?termid=27746")</f>
        <v>https://ceds.ed.gov/cedselementdetails.aspx?termid=27746</v>
      </c>
      <c r="Q1796" s="16">
        <v>75149</v>
      </c>
    </row>
    <row r="1797" spans="1:17" ht="43.2" x14ac:dyDescent="0.3">
      <c r="A1797" s="16" t="s">
        <v>7665</v>
      </c>
      <c r="B1797" s="16" t="s">
        <v>7680</v>
      </c>
      <c r="C1797" s="16" t="s">
        <v>7689</v>
      </c>
      <c r="D1797" s="16" t="s">
        <v>7597</v>
      </c>
      <c r="E1797" s="16" t="s">
        <v>12700</v>
      </c>
      <c r="F1797" s="16" t="s">
        <v>12701</v>
      </c>
      <c r="G1797" s="16" t="s">
        <v>12891</v>
      </c>
      <c r="H1797" s="16"/>
      <c r="I1797" s="16" t="s">
        <v>155</v>
      </c>
      <c r="J1797" s="16" t="s">
        <v>2</v>
      </c>
      <c r="K1797" s="16" t="s">
        <v>12636</v>
      </c>
      <c r="L1797" s="16"/>
      <c r="M1797" s="19" t="s">
        <v>12702</v>
      </c>
      <c r="N1797" s="16"/>
      <c r="O1797" s="16" t="s">
        <v>12703</v>
      </c>
      <c r="P1797" s="16" t="str">
        <f>HYPERLINK("https://ceds.ed.gov/cedselementdetails.aspx?termid=28103")</f>
        <v>https://ceds.ed.gov/cedselementdetails.aspx?termid=28103</v>
      </c>
      <c r="Q1797" s="16">
        <v>76580</v>
      </c>
    </row>
    <row r="1798" spans="1:17" ht="86.4" x14ac:dyDescent="0.3">
      <c r="A1798" s="16" t="s">
        <v>7665</v>
      </c>
      <c r="B1798" s="16" t="s">
        <v>7680</v>
      </c>
      <c r="C1798" s="16" t="s">
        <v>7689</v>
      </c>
      <c r="D1798" s="16" t="s">
        <v>7597</v>
      </c>
      <c r="E1798" s="16" t="s">
        <v>12748</v>
      </c>
      <c r="F1798" s="16" t="s">
        <v>12749</v>
      </c>
      <c r="G1798" s="16" t="s">
        <v>32</v>
      </c>
      <c r="H1798" s="16"/>
      <c r="I1798" s="16" t="s">
        <v>155</v>
      </c>
      <c r="J1798" s="16" t="s">
        <v>106</v>
      </c>
      <c r="K1798" s="16" t="s">
        <v>12636</v>
      </c>
      <c r="L1798" s="16"/>
      <c r="M1798" s="19" t="s">
        <v>12750</v>
      </c>
      <c r="N1798" s="16"/>
      <c r="O1798" s="16" t="s">
        <v>12751</v>
      </c>
      <c r="P1798" s="16" t="str">
        <f>HYPERLINK("https://ceds.ed.gov/cedselementdetails.aspx?termid=28101")</f>
        <v>https://ceds.ed.gov/cedselementdetails.aspx?termid=28101</v>
      </c>
      <c r="Q1798" s="16">
        <v>76578</v>
      </c>
    </row>
    <row r="1799" spans="1:17" ht="28.8" x14ac:dyDescent="0.3">
      <c r="A1799" s="16" t="s">
        <v>7665</v>
      </c>
      <c r="B1799" s="16" t="s">
        <v>7680</v>
      </c>
      <c r="C1799" s="16" t="s">
        <v>7690</v>
      </c>
      <c r="D1799" s="16" t="s">
        <v>7597</v>
      </c>
      <c r="E1799" s="16" t="s">
        <v>3420</v>
      </c>
      <c r="F1799" s="16" t="s">
        <v>3421</v>
      </c>
      <c r="G1799" s="16" t="s">
        <v>32</v>
      </c>
      <c r="H1799" s="16"/>
      <c r="I1799" s="16"/>
      <c r="J1799" s="16" t="s">
        <v>106</v>
      </c>
      <c r="K1799" s="16"/>
      <c r="L1799" s="16"/>
      <c r="M1799" s="19" t="s">
        <v>3423</v>
      </c>
      <c r="N1799" s="16"/>
      <c r="O1799" s="16" t="s">
        <v>3424</v>
      </c>
      <c r="P1799" s="16" t="str">
        <f>HYPERLINK("https://ceds.ed.gov/cedselementdetails.aspx?termid=27712")</f>
        <v>https://ceds.ed.gov/cedselementdetails.aspx?termid=27712</v>
      </c>
      <c r="Q1799" s="16">
        <v>74914</v>
      </c>
    </row>
    <row r="1800" spans="1:17" ht="28.8" x14ac:dyDescent="0.3">
      <c r="A1800" s="16" t="s">
        <v>7665</v>
      </c>
      <c r="B1800" s="16" t="s">
        <v>7680</v>
      </c>
      <c r="C1800" s="16" t="s">
        <v>7690</v>
      </c>
      <c r="D1800" s="16" t="s">
        <v>7597</v>
      </c>
      <c r="E1800" s="16" t="s">
        <v>3425</v>
      </c>
      <c r="F1800" s="16" t="s">
        <v>3426</v>
      </c>
      <c r="G1800" s="16" t="s">
        <v>32</v>
      </c>
      <c r="H1800" s="16"/>
      <c r="I1800" s="16"/>
      <c r="J1800" s="16" t="s">
        <v>316</v>
      </c>
      <c r="K1800" s="16"/>
      <c r="L1800" s="16"/>
      <c r="M1800" s="19" t="s">
        <v>3427</v>
      </c>
      <c r="N1800" s="16"/>
      <c r="O1800" s="16" t="s">
        <v>3428</v>
      </c>
      <c r="P1800" s="16" t="str">
        <f>HYPERLINK("https://ceds.ed.gov/cedselementdetails.aspx?termid=27711")</f>
        <v>https://ceds.ed.gov/cedselementdetails.aspx?termid=27711</v>
      </c>
      <c r="Q1800" s="16">
        <v>74915</v>
      </c>
    </row>
    <row r="1801" spans="1:17" ht="43.2" x14ac:dyDescent="0.3">
      <c r="A1801" s="16" t="s">
        <v>7665</v>
      </c>
      <c r="B1801" s="16" t="s">
        <v>7680</v>
      </c>
      <c r="C1801" s="16" t="s">
        <v>7690</v>
      </c>
      <c r="D1801" s="16" t="s">
        <v>7597</v>
      </c>
      <c r="E1801" s="16" t="s">
        <v>3429</v>
      </c>
      <c r="F1801" s="16" t="s">
        <v>3430</v>
      </c>
      <c r="G1801" s="16" t="s">
        <v>32</v>
      </c>
      <c r="H1801" s="16"/>
      <c r="I1801" s="16"/>
      <c r="J1801" s="16" t="s">
        <v>316</v>
      </c>
      <c r="K1801" s="16"/>
      <c r="L1801" s="16"/>
      <c r="M1801" s="19" t="s">
        <v>3431</v>
      </c>
      <c r="N1801" s="16"/>
      <c r="O1801" s="16" t="s">
        <v>3432</v>
      </c>
      <c r="P1801" s="16" t="str">
        <f>HYPERLINK("https://ceds.ed.gov/cedselementdetails.aspx?termid=27713")</f>
        <v>https://ceds.ed.gov/cedselementdetails.aspx?termid=27713</v>
      </c>
      <c r="Q1801" s="16">
        <v>74916</v>
      </c>
    </row>
    <row r="1802" spans="1:17" ht="259.2" x14ac:dyDescent="0.3">
      <c r="A1802" s="16" t="s">
        <v>7665</v>
      </c>
      <c r="B1802" s="16" t="s">
        <v>7680</v>
      </c>
      <c r="C1802" s="16" t="s">
        <v>7690</v>
      </c>
      <c r="D1802" s="16" t="s">
        <v>7597</v>
      </c>
      <c r="E1802" s="16" t="s">
        <v>4338</v>
      </c>
      <c r="F1802" s="16" t="s">
        <v>4339</v>
      </c>
      <c r="G1802" s="16" t="s">
        <v>8632</v>
      </c>
      <c r="H1802" s="16"/>
      <c r="I1802" s="16"/>
      <c r="J1802" s="16"/>
      <c r="K1802" s="16"/>
      <c r="L1802" s="16"/>
      <c r="M1802" s="19" t="s">
        <v>4340</v>
      </c>
      <c r="N1802" s="16"/>
      <c r="O1802" s="16" t="s">
        <v>4341</v>
      </c>
      <c r="P1802" s="16" t="str">
        <f>HYPERLINK("https://ceds.ed.gov/cedselementdetails.aspx?termid=27710")</f>
        <v>https://ceds.ed.gov/cedselementdetails.aspx?termid=27710</v>
      </c>
      <c r="Q1802" s="16">
        <v>74932</v>
      </c>
    </row>
    <row r="1803" spans="1:17" ht="43.2" x14ac:dyDescent="0.3">
      <c r="A1803" s="16" t="s">
        <v>7665</v>
      </c>
      <c r="B1803" s="16" t="s">
        <v>7680</v>
      </c>
      <c r="C1803" s="16" t="s">
        <v>7690</v>
      </c>
      <c r="D1803" s="16" t="s">
        <v>7597</v>
      </c>
      <c r="E1803" s="16" t="s">
        <v>4403</v>
      </c>
      <c r="F1803" s="16" t="s">
        <v>4404</v>
      </c>
      <c r="G1803" s="16" t="s">
        <v>8638</v>
      </c>
      <c r="H1803" s="16"/>
      <c r="I1803" s="16"/>
      <c r="J1803" s="16"/>
      <c r="K1803" s="16"/>
      <c r="L1803" s="16"/>
      <c r="M1803" s="19" t="s">
        <v>4405</v>
      </c>
      <c r="N1803" s="16"/>
      <c r="O1803" s="16" t="s">
        <v>4406</v>
      </c>
      <c r="P1803" s="16" t="str">
        <f>HYPERLINK("https://ceds.ed.gov/cedselementdetails.aspx?termid=27709")</f>
        <v>https://ceds.ed.gov/cedselementdetails.aspx?termid=27709</v>
      </c>
      <c r="Q1803" s="16">
        <v>74938</v>
      </c>
    </row>
    <row r="1804" spans="1:17" ht="28.8" x14ac:dyDescent="0.3">
      <c r="A1804" s="16" t="s">
        <v>7665</v>
      </c>
      <c r="B1804" s="16" t="s">
        <v>7680</v>
      </c>
      <c r="C1804" s="16" t="s">
        <v>7691</v>
      </c>
      <c r="D1804" s="16" t="s">
        <v>7597</v>
      </c>
      <c r="E1804" s="16" t="s">
        <v>6283</v>
      </c>
      <c r="F1804" s="16" t="s">
        <v>6284</v>
      </c>
      <c r="G1804" s="16" t="s">
        <v>32</v>
      </c>
      <c r="H1804" s="16"/>
      <c r="I1804" s="16"/>
      <c r="J1804" s="16" t="s">
        <v>106</v>
      </c>
      <c r="K1804" s="16"/>
      <c r="L1804" s="16"/>
      <c r="M1804" s="19" t="s">
        <v>6285</v>
      </c>
      <c r="N1804" s="16"/>
      <c r="O1804" s="16" t="s">
        <v>6286</v>
      </c>
      <c r="P1804" s="16" t="str">
        <f>HYPERLINK("https://ceds.ed.gov/cedselementdetails.aspx?termid=27453")</f>
        <v>https://ceds.ed.gov/cedselementdetails.aspx?termid=27453</v>
      </c>
      <c r="Q1804" s="16">
        <v>74828</v>
      </c>
    </row>
    <row r="1805" spans="1:17" ht="28.8" x14ac:dyDescent="0.3">
      <c r="A1805" s="16" t="s">
        <v>7665</v>
      </c>
      <c r="B1805" s="16" t="s">
        <v>7680</v>
      </c>
      <c r="C1805" s="16" t="s">
        <v>7691</v>
      </c>
      <c r="D1805" s="16" t="s">
        <v>7597</v>
      </c>
      <c r="E1805" s="16" t="s">
        <v>6295</v>
      </c>
      <c r="F1805" s="16" t="s">
        <v>6296</v>
      </c>
      <c r="G1805" s="16" t="s">
        <v>32</v>
      </c>
      <c r="H1805" s="16"/>
      <c r="I1805" s="16"/>
      <c r="J1805" s="16" t="s">
        <v>316</v>
      </c>
      <c r="K1805" s="16"/>
      <c r="L1805" s="16"/>
      <c r="M1805" s="19" t="s">
        <v>6297</v>
      </c>
      <c r="N1805" s="16"/>
      <c r="O1805" s="16" t="s">
        <v>6298</v>
      </c>
      <c r="P1805" s="16" t="str">
        <f>HYPERLINK("https://ceds.ed.gov/cedselementdetails.aspx?termid=27455")</f>
        <v>https://ceds.ed.gov/cedselementdetails.aspx?termid=27455</v>
      </c>
      <c r="Q1805" s="16">
        <v>74830</v>
      </c>
    </row>
    <row r="1806" spans="1:17" ht="28.8" x14ac:dyDescent="0.3">
      <c r="A1806" s="16" t="s">
        <v>7665</v>
      </c>
      <c r="B1806" s="16" t="s">
        <v>7680</v>
      </c>
      <c r="C1806" s="16" t="s">
        <v>7691</v>
      </c>
      <c r="D1806" s="16" t="s">
        <v>7597</v>
      </c>
      <c r="E1806" s="16" t="s">
        <v>6299</v>
      </c>
      <c r="F1806" s="16" t="s">
        <v>6300</v>
      </c>
      <c r="G1806" s="16" t="s">
        <v>32</v>
      </c>
      <c r="H1806" s="16"/>
      <c r="I1806" s="16"/>
      <c r="J1806" s="16" t="s">
        <v>145</v>
      </c>
      <c r="K1806" s="16"/>
      <c r="L1806" s="16"/>
      <c r="M1806" s="19" t="s">
        <v>6301</v>
      </c>
      <c r="N1806" s="16"/>
      <c r="O1806" s="16" t="s">
        <v>6302</v>
      </c>
      <c r="P1806" s="16" t="str">
        <f>HYPERLINK("https://ceds.ed.gov/cedselementdetails.aspx?termid=27456")</f>
        <v>https://ceds.ed.gov/cedselementdetails.aspx?termid=27456</v>
      </c>
      <c r="Q1806" s="16">
        <v>74832</v>
      </c>
    </row>
    <row r="1807" spans="1:17" ht="201.6" x14ac:dyDescent="0.3">
      <c r="A1807" s="16" t="s">
        <v>7665</v>
      </c>
      <c r="B1807" s="16" t="s">
        <v>7680</v>
      </c>
      <c r="C1807" s="16" t="s">
        <v>7692</v>
      </c>
      <c r="D1807" s="16" t="s">
        <v>7597</v>
      </c>
      <c r="E1807" s="16" t="s">
        <v>4329</v>
      </c>
      <c r="F1807" s="16" t="s">
        <v>4330</v>
      </c>
      <c r="G1807" s="16" t="s">
        <v>8629</v>
      </c>
      <c r="H1807" s="16" t="s">
        <v>214</v>
      </c>
      <c r="I1807" s="16"/>
      <c r="J1807" s="16"/>
      <c r="K1807" s="16"/>
      <c r="L1807" s="16"/>
      <c r="M1807" s="19" t="s">
        <v>4331</v>
      </c>
      <c r="N1807" s="16"/>
      <c r="O1807" s="16" t="s">
        <v>4332</v>
      </c>
      <c r="P1807" s="16" t="str">
        <f>HYPERLINK("https://ceds.ed.gov/cedselementdetails.aspx?termid=26550")</f>
        <v>https://ceds.ed.gov/cedselementdetails.aspx?termid=26550</v>
      </c>
      <c r="Q1807" s="16">
        <v>74790</v>
      </c>
    </row>
    <row r="1808" spans="1:17" ht="129.6" x14ac:dyDescent="0.3">
      <c r="A1808" s="16" t="s">
        <v>7665</v>
      </c>
      <c r="B1808" s="16" t="s">
        <v>7680</v>
      </c>
      <c r="C1808" s="16" t="s">
        <v>7692</v>
      </c>
      <c r="D1808" s="16" t="s">
        <v>7597</v>
      </c>
      <c r="E1808" s="16" t="s">
        <v>4333</v>
      </c>
      <c r="F1808" s="16" t="s">
        <v>4334</v>
      </c>
      <c r="G1808" s="16" t="s">
        <v>8631</v>
      </c>
      <c r="H1808" s="16" t="s">
        <v>214</v>
      </c>
      <c r="I1808" s="16"/>
      <c r="J1808" s="16"/>
      <c r="K1808" s="16"/>
      <c r="L1808" s="16"/>
      <c r="M1808" s="19" t="s">
        <v>4336</v>
      </c>
      <c r="N1808" s="16"/>
      <c r="O1808" s="16" t="s">
        <v>4337</v>
      </c>
      <c r="P1808" s="16" t="str">
        <f>HYPERLINK("https://ceds.ed.gov/cedselementdetails.aspx?termid=26526")</f>
        <v>https://ceds.ed.gov/cedselementdetails.aspx?termid=26526</v>
      </c>
      <c r="Q1808" s="16">
        <v>74787</v>
      </c>
    </row>
    <row r="1809" spans="1:17" ht="86.4" x14ac:dyDescent="0.3">
      <c r="A1809" s="16" t="s">
        <v>7665</v>
      </c>
      <c r="B1809" s="16" t="s">
        <v>7680</v>
      </c>
      <c r="C1809" s="16" t="s">
        <v>7692</v>
      </c>
      <c r="D1809" s="16" t="s">
        <v>7597</v>
      </c>
      <c r="E1809" s="16" t="s">
        <v>4379</v>
      </c>
      <c r="F1809" s="16" t="s">
        <v>4380</v>
      </c>
      <c r="G1809" s="16" t="s">
        <v>32</v>
      </c>
      <c r="H1809" s="16"/>
      <c r="I1809" s="16"/>
      <c r="J1809" s="16" t="s">
        <v>316</v>
      </c>
      <c r="K1809" s="16"/>
      <c r="L1809" s="16"/>
      <c r="M1809" s="19" t="s">
        <v>4382</v>
      </c>
      <c r="N1809" s="16"/>
      <c r="O1809" s="16" t="s">
        <v>4383</v>
      </c>
      <c r="P1809" s="16" t="str">
        <f>HYPERLINK("https://ceds.ed.gov/cedselementdetails.aspx?termid=27685")</f>
        <v>https://ceds.ed.gov/cedselementdetails.aspx?termid=27685</v>
      </c>
      <c r="Q1809" s="16">
        <v>74933</v>
      </c>
    </row>
    <row r="1810" spans="1:17" ht="43.2" x14ac:dyDescent="0.3">
      <c r="A1810" s="16" t="s">
        <v>7665</v>
      </c>
      <c r="B1810" s="16" t="s">
        <v>7680</v>
      </c>
      <c r="C1810" s="16" t="s">
        <v>7692</v>
      </c>
      <c r="D1810" s="16" t="s">
        <v>7597</v>
      </c>
      <c r="E1810" s="16" t="s">
        <v>4550</v>
      </c>
      <c r="F1810" s="16" t="s">
        <v>4551</v>
      </c>
      <c r="G1810" s="16" t="s">
        <v>22</v>
      </c>
      <c r="H1810" s="16"/>
      <c r="I1810" s="16"/>
      <c r="J1810" s="16"/>
      <c r="K1810" s="16"/>
      <c r="L1810" s="16"/>
      <c r="M1810" s="19" t="s">
        <v>4552</v>
      </c>
      <c r="N1810" s="16"/>
      <c r="O1810" s="16" t="s">
        <v>4553</v>
      </c>
      <c r="P1810" s="16" t="str">
        <f>HYPERLINK("https://ceds.ed.gov/cedselementdetails.aspx?termid=27615")</f>
        <v>https://ceds.ed.gov/cedselementdetails.aspx?termid=27615</v>
      </c>
      <c r="Q1810" s="16">
        <v>74856</v>
      </c>
    </row>
    <row r="1811" spans="1:17" ht="57.6" x14ac:dyDescent="0.3">
      <c r="A1811" s="16" t="s">
        <v>7665</v>
      </c>
      <c r="B1811" s="16" t="s">
        <v>7680</v>
      </c>
      <c r="C1811" s="16" t="s">
        <v>7692</v>
      </c>
      <c r="D1811" s="16" t="s">
        <v>7597</v>
      </c>
      <c r="E1811" s="16" t="s">
        <v>4579</v>
      </c>
      <c r="F1811" s="16" t="s">
        <v>4584</v>
      </c>
      <c r="G1811" s="16" t="s">
        <v>32</v>
      </c>
      <c r="H1811" s="16"/>
      <c r="I1811" s="16"/>
      <c r="J1811" s="16" t="s">
        <v>305</v>
      </c>
      <c r="K1811" s="16"/>
      <c r="L1811" s="16"/>
      <c r="M1811" s="19" t="s">
        <v>4581</v>
      </c>
      <c r="N1811" s="16"/>
      <c r="O1811" s="16" t="s">
        <v>4582</v>
      </c>
      <c r="P1811" s="16" t="str">
        <f>HYPERLINK("https://ceds.ed.gov/cedselementdetails.aspx?termid=27199")</f>
        <v>https://ceds.ed.gov/cedselementdetails.aspx?termid=27199</v>
      </c>
      <c r="Q1811" s="16">
        <v>74821</v>
      </c>
    </row>
    <row r="1812" spans="1:17" ht="57.6" x14ac:dyDescent="0.3">
      <c r="A1812" s="16" t="s">
        <v>7665</v>
      </c>
      <c r="B1812" s="16" t="s">
        <v>7680</v>
      </c>
      <c r="C1812" s="16" t="s">
        <v>7692</v>
      </c>
      <c r="D1812" s="16" t="s">
        <v>7597</v>
      </c>
      <c r="E1812" s="16" t="s">
        <v>4583</v>
      </c>
      <c r="F1812" s="16" t="s">
        <v>4580</v>
      </c>
      <c r="G1812" s="16" t="s">
        <v>32</v>
      </c>
      <c r="H1812" s="16"/>
      <c r="I1812" s="16"/>
      <c r="J1812" s="16" t="s">
        <v>305</v>
      </c>
      <c r="K1812" s="16"/>
      <c r="L1812" s="16"/>
      <c r="M1812" s="19" t="s">
        <v>4585</v>
      </c>
      <c r="N1812" s="16"/>
      <c r="O1812" s="16" t="s">
        <v>4586</v>
      </c>
      <c r="P1812" s="16" t="str">
        <f>HYPERLINK("https://ceds.ed.gov/cedselementdetails.aspx?termid=27198")</f>
        <v>https://ceds.ed.gov/cedselementdetails.aspx?termid=27198</v>
      </c>
      <c r="Q1812" s="16">
        <v>74820</v>
      </c>
    </row>
    <row r="1813" spans="1:17" ht="57.6" x14ac:dyDescent="0.3">
      <c r="A1813" s="16" t="s">
        <v>7665</v>
      </c>
      <c r="B1813" s="16" t="s">
        <v>7680</v>
      </c>
      <c r="C1813" s="16" t="s">
        <v>7693</v>
      </c>
      <c r="D1813" s="16" t="s">
        <v>7597</v>
      </c>
      <c r="E1813" s="16" t="s">
        <v>1441</v>
      </c>
      <c r="F1813" s="16" t="s">
        <v>1442</v>
      </c>
      <c r="G1813" s="16" t="s">
        <v>22</v>
      </c>
      <c r="H1813" s="16"/>
      <c r="I1813" s="16"/>
      <c r="J1813" s="16"/>
      <c r="K1813" s="16"/>
      <c r="L1813" s="16"/>
      <c r="M1813" s="19" t="s">
        <v>1444</v>
      </c>
      <c r="N1813" s="16"/>
      <c r="O1813" s="16" t="s">
        <v>1445</v>
      </c>
      <c r="P1813" s="16" t="str">
        <f>HYPERLINK("https://ceds.ed.gov/cedselementdetails.aspx?termid=27702")</f>
        <v>https://ceds.ed.gov/cedselementdetails.aspx?termid=27702</v>
      </c>
      <c r="Q1813" s="16">
        <v>74869</v>
      </c>
    </row>
    <row r="1814" spans="1:17" x14ac:dyDescent="0.3">
      <c r="A1814" s="16" t="s">
        <v>7665</v>
      </c>
      <c r="B1814" s="16" t="s">
        <v>7680</v>
      </c>
      <c r="C1814" s="16" t="s">
        <v>7693</v>
      </c>
      <c r="D1814" s="16" t="s">
        <v>7597</v>
      </c>
      <c r="E1814" s="16" t="s">
        <v>1460</v>
      </c>
      <c r="F1814" s="16" t="s">
        <v>1461</v>
      </c>
      <c r="G1814" s="16" t="s">
        <v>32</v>
      </c>
      <c r="H1814" s="16"/>
      <c r="I1814" s="16"/>
      <c r="J1814" s="16" t="s">
        <v>106</v>
      </c>
      <c r="K1814" s="16"/>
      <c r="L1814" s="16"/>
      <c r="M1814" s="19" t="s">
        <v>1462</v>
      </c>
      <c r="N1814" s="16"/>
      <c r="O1814" s="16" t="s">
        <v>1463</v>
      </c>
      <c r="P1814" s="16" t="str">
        <f>HYPERLINK("https://ceds.ed.gov/cedselementdetails.aspx?termid=27706")</f>
        <v>https://ceds.ed.gov/cedselementdetails.aspx?termid=27706</v>
      </c>
      <c r="Q1814" s="16">
        <v>74870</v>
      </c>
    </row>
    <row r="1815" spans="1:17" ht="28.8" x14ac:dyDescent="0.3">
      <c r="A1815" s="16" t="s">
        <v>7665</v>
      </c>
      <c r="B1815" s="16" t="s">
        <v>7680</v>
      </c>
      <c r="C1815" s="16" t="s">
        <v>7693</v>
      </c>
      <c r="D1815" s="16" t="s">
        <v>7597</v>
      </c>
      <c r="E1815" s="16" t="s">
        <v>1464</v>
      </c>
      <c r="F1815" s="16" t="s">
        <v>1465</v>
      </c>
      <c r="G1815" s="16" t="s">
        <v>32</v>
      </c>
      <c r="H1815" s="16"/>
      <c r="I1815" s="16"/>
      <c r="J1815" s="16" t="s">
        <v>316</v>
      </c>
      <c r="K1815" s="16"/>
      <c r="L1815" s="16"/>
      <c r="M1815" s="19" t="s">
        <v>1466</v>
      </c>
      <c r="N1815" s="16"/>
      <c r="O1815" s="16" t="s">
        <v>1467</v>
      </c>
      <c r="P1815" s="16" t="str">
        <f>HYPERLINK("https://ceds.ed.gov/cedselementdetails.aspx?termid=27703")</f>
        <v>https://ceds.ed.gov/cedselementdetails.aspx?termid=27703</v>
      </c>
      <c r="Q1815" s="16">
        <v>74871</v>
      </c>
    </row>
    <row r="1816" spans="1:17" ht="100.8" x14ac:dyDescent="0.3">
      <c r="A1816" s="16" t="s">
        <v>7665</v>
      </c>
      <c r="B1816" s="16" t="s">
        <v>7680</v>
      </c>
      <c r="C1816" s="16" t="s">
        <v>7693</v>
      </c>
      <c r="D1816" s="16" t="s">
        <v>7597</v>
      </c>
      <c r="E1816" s="16" t="s">
        <v>1474</v>
      </c>
      <c r="F1816" s="16" t="s">
        <v>1475</v>
      </c>
      <c r="G1816" s="16" t="s">
        <v>8366</v>
      </c>
      <c r="H1816" s="16"/>
      <c r="I1816" s="16"/>
      <c r="J1816" s="16"/>
      <c r="K1816" s="16"/>
      <c r="L1816" s="16"/>
      <c r="M1816" s="19" t="s">
        <v>1476</v>
      </c>
      <c r="N1816" s="16"/>
      <c r="O1816" s="16" t="s">
        <v>1477</v>
      </c>
      <c r="P1816" s="16" t="str">
        <f>HYPERLINK("https://ceds.ed.gov/cedselementdetails.aspx?termid=27701")</f>
        <v>https://ceds.ed.gov/cedselementdetails.aspx?termid=27701</v>
      </c>
      <c r="Q1816" s="16">
        <v>74872</v>
      </c>
    </row>
    <row r="1817" spans="1:17" ht="100.8" x14ac:dyDescent="0.3">
      <c r="A1817" s="16" t="s">
        <v>7665</v>
      </c>
      <c r="B1817" s="16" t="s">
        <v>7680</v>
      </c>
      <c r="C1817" s="16" t="s">
        <v>7693</v>
      </c>
      <c r="D1817" s="16" t="s">
        <v>7597</v>
      </c>
      <c r="E1817" s="16" t="s">
        <v>4391</v>
      </c>
      <c r="F1817" s="16" t="s">
        <v>4392</v>
      </c>
      <c r="G1817" s="16" t="s">
        <v>8637</v>
      </c>
      <c r="H1817" s="16"/>
      <c r="I1817" s="16"/>
      <c r="J1817" s="16"/>
      <c r="K1817" s="16"/>
      <c r="L1817" s="16"/>
      <c r="M1817" s="19" t="s">
        <v>4393</v>
      </c>
      <c r="N1817" s="16"/>
      <c r="O1817" s="16" t="s">
        <v>4394</v>
      </c>
      <c r="P1817" s="16" t="str">
        <f>HYPERLINK("https://ceds.ed.gov/cedselementdetails.aspx?termid=27700")</f>
        <v>https://ceds.ed.gov/cedselementdetails.aspx?termid=27700</v>
      </c>
      <c r="Q1817" s="16">
        <v>74935</v>
      </c>
    </row>
    <row r="1818" spans="1:17" ht="28.8" x14ac:dyDescent="0.3">
      <c r="A1818" s="16" t="s">
        <v>7665</v>
      </c>
      <c r="B1818" s="16" t="s">
        <v>7680</v>
      </c>
      <c r="C1818" s="16" t="s">
        <v>7693</v>
      </c>
      <c r="D1818" s="16" t="s">
        <v>7597</v>
      </c>
      <c r="E1818" s="16" t="s">
        <v>4395</v>
      </c>
      <c r="F1818" s="16" t="s">
        <v>4396</v>
      </c>
      <c r="G1818" s="16" t="s">
        <v>32</v>
      </c>
      <c r="H1818" s="16"/>
      <c r="I1818" s="16"/>
      <c r="J1818" s="16" t="s">
        <v>316</v>
      </c>
      <c r="K1818" s="16"/>
      <c r="L1818" s="16"/>
      <c r="M1818" s="19" t="s">
        <v>4397</v>
      </c>
      <c r="N1818" s="16"/>
      <c r="O1818" s="16" t="s">
        <v>4398</v>
      </c>
      <c r="P1818" s="16" t="str">
        <f>HYPERLINK("https://ceds.ed.gov/cedselementdetails.aspx?termid=27704")</f>
        <v>https://ceds.ed.gov/cedselementdetails.aspx?termid=27704</v>
      </c>
      <c r="Q1818" s="16">
        <v>74936</v>
      </c>
    </row>
    <row r="1819" spans="1:17" ht="28.8" x14ac:dyDescent="0.3">
      <c r="A1819" s="16" t="s">
        <v>7665</v>
      </c>
      <c r="B1819" s="16" t="s">
        <v>7680</v>
      </c>
      <c r="C1819" s="16" t="s">
        <v>7693</v>
      </c>
      <c r="D1819" s="16" t="s">
        <v>7597</v>
      </c>
      <c r="E1819" s="16" t="s">
        <v>4399</v>
      </c>
      <c r="F1819" s="16" t="s">
        <v>4400</v>
      </c>
      <c r="G1819" s="16" t="s">
        <v>32</v>
      </c>
      <c r="H1819" s="16"/>
      <c r="I1819" s="16"/>
      <c r="J1819" s="16" t="s">
        <v>316</v>
      </c>
      <c r="K1819" s="16"/>
      <c r="L1819" s="16"/>
      <c r="M1819" s="19" t="s">
        <v>4401</v>
      </c>
      <c r="N1819" s="16"/>
      <c r="O1819" s="16" t="s">
        <v>4402</v>
      </c>
      <c r="P1819" s="16" t="str">
        <f>HYPERLINK("https://ceds.ed.gov/cedselementdetails.aspx?termid=27705")</f>
        <v>https://ceds.ed.gov/cedselementdetails.aspx?termid=27705</v>
      </c>
      <c r="Q1819" s="16">
        <v>74937</v>
      </c>
    </row>
    <row r="1820" spans="1:17" ht="172.8" x14ac:dyDescent="0.3">
      <c r="A1820" s="16" t="s">
        <v>7665</v>
      </c>
      <c r="B1820" s="16" t="s">
        <v>7680</v>
      </c>
      <c r="C1820" s="16" t="s">
        <v>7693</v>
      </c>
      <c r="D1820" s="16" t="s">
        <v>7597</v>
      </c>
      <c r="E1820" s="16" t="s">
        <v>5738</v>
      </c>
      <c r="F1820" s="16" t="s">
        <v>5739</v>
      </c>
      <c r="G1820" s="16" t="s">
        <v>32</v>
      </c>
      <c r="H1820" s="16"/>
      <c r="I1820" s="16"/>
      <c r="J1820" s="16" t="s">
        <v>120</v>
      </c>
      <c r="K1820" s="16"/>
      <c r="L1820" s="16" t="s">
        <v>7905</v>
      </c>
      <c r="M1820" s="19" t="s">
        <v>5740</v>
      </c>
      <c r="N1820" s="16"/>
      <c r="O1820" s="16" t="s">
        <v>5741</v>
      </c>
      <c r="P1820" s="16" t="str">
        <f>HYPERLINK("https://ceds.ed.gov/cedselementdetails.aspx?termid=27551")</f>
        <v>https://ceds.ed.gov/cedselementdetails.aspx?termid=27551</v>
      </c>
      <c r="Q1820" s="16">
        <v>74853</v>
      </c>
    </row>
    <row r="1821" spans="1:17" ht="273.60000000000002" x14ac:dyDescent="0.3">
      <c r="A1821" s="16" t="s">
        <v>7665</v>
      </c>
      <c r="B1821" s="16" t="s">
        <v>7680</v>
      </c>
      <c r="C1821" s="16" t="s">
        <v>7693</v>
      </c>
      <c r="D1821" s="16" t="s">
        <v>7597</v>
      </c>
      <c r="E1821" s="16" t="s">
        <v>5734</v>
      </c>
      <c r="F1821" s="16" t="s">
        <v>5735</v>
      </c>
      <c r="G1821" s="16" t="s">
        <v>9336</v>
      </c>
      <c r="H1821" s="16"/>
      <c r="I1821" s="16"/>
      <c r="J1821" s="16"/>
      <c r="K1821" s="16"/>
      <c r="L1821" s="16"/>
      <c r="M1821" s="19" t="s">
        <v>5736</v>
      </c>
      <c r="N1821" s="16"/>
      <c r="O1821" s="16" t="s">
        <v>5737</v>
      </c>
      <c r="P1821" s="16" t="str">
        <f>HYPERLINK("https://ceds.ed.gov/cedselementdetails.aspx?termid=27550")</f>
        <v>https://ceds.ed.gov/cedselementdetails.aspx?termid=27550</v>
      </c>
      <c r="Q1821" s="16">
        <v>74844</v>
      </c>
    </row>
    <row r="1822" spans="1:17" ht="28.8" x14ac:dyDescent="0.3">
      <c r="A1822" s="16" t="s">
        <v>7665</v>
      </c>
      <c r="B1822" s="16" t="s">
        <v>7680</v>
      </c>
      <c r="C1822" s="16" t="s">
        <v>7694</v>
      </c>
      <c r="D1822" s="16" t="s">
        <v>7597</v>
      </c>
      <c r="E1822" s="16" t="s">
        <v>4411</v>
      </c>
      <c r="F1822" s="16" t="s">
        <v>4412</v>
      </c>
      <c r="G1822" s="16" t="s">
        <v>32</v>
      </c>
      <c r="H1822" s="16"/>
      <c r="I1822" s="16"/>
      <c r="J1822" s="16" t="s">
        <v>316</v>
      </c>
      <c r="K1822" s="16"/>
      <c r="L1822" s="16"/>
      <c r="M1822" s="19" t="s">
        <v>4414</v>
      </c>
      <c r="N1822" s="16"/>
      <c r="O1822" s="16" t="s">
        <v>4415</v>
      </c>
      <c r="P1822" s="16" t="str">
        <f>HYPERLINK("https://ceds.ed.gov/cedselementdetails.aspx?termid=27686")</f>
        <v>https://ceds.ed.gov/cedselementdetails.aspx?termid=27686</v>
      </c>
      <c r="Q1822" s="16">
        <v>74941</v>
      </c>
    </row>
    <row r="1823" spans="1:17" ht="28.8" x14ac:dyDescent="0.3">
      <c r="A1823" s="16" t="s">
        <v>7665</v>
      </c>
      <c r="B1823" s="16" t="s">
        <v>7680</v>
      </c>
      <c r="C1823" s="16" t="s">
        <v>7694</v>
      </c>
      <c r="D1823" s="16" t="s">
        <v>7597</v>
      </c>
      <c r="E1823" s="16" t="s">
        <v>4416</v>
      </c>
      <c r="F1823" s="16" t="s">
        <v>4417</v>
      </c>
      <c r="G1823" s="16" t="s">
        <v>32</v>
      </c>
      <c r="H1823" s="16"/>
      <c r="I1823" s="16"/>
      <c r="J1823" s="16" t="s">
        <v>316</v>
      </c>
      <c r="K1823" s="16"/>
      <c r="L1823" s="16"/>
      <c r="M1823" s="19" t="s">
        <v>4418</v>
      </c>
      <c r="N1823" s="16"/>
      <c r="O1823" s="16" t="s">
        <v>4419</v>
      </c>
      <c r="P1823" s="16" t="str">
        <f>HYPERLINK("https://ceds.ed.gov/cedselementdetails.aspx?termid=27687")</f>
        <v>https://ceds.ed.gov/cedselementdetails.aspx?termid=27687</v>
      </c>
      <c r="Q1823" s="16">
        <v>74942</v>
      </c>
    </row>
    <row r="1824" spans="1:17" ht="43.2" x14ac:dyDescent="0.3">
      <c r="A1824" s="16" t="s">
        <v>7665</v>
      </c>
      <c r="B1824" s="16" t="s">
        <v>7680</v>
      </c>
      <c r="C1824" s="16" t="s">
        <v>7694</v>
      </c>
      <c r="D1824" s="16" t="s">
        <v>7597</v>
      </c>
      <c r="E1824" s="16" t="s">
        <v>4420</v>
      </c>
      <c r="F1824" s="16" t="s">
        <v>4421</v>
      </c>
      <c r="G1824" s="16" t="s">
        <v>32</v>
      </c>
      <c r="H1824" s="16"/>
      <c r="I1824" s="16"/>
      <c r="J1824" s="16" t="s">
        <v>316</v>
      </c>
      <c r="K1824" s="16"/>
      <c r="L1824" s="16"/>
      <c r="M1824" s="19" t="s">
        <v>4422</v>
      </c>
      <c r="N1824" s="16"/>
      <c r="O1824" s="16" t="s">
        <v>4423</v>
      </c>
      <c r="P1824" s="16" t="str">
        <f>HYPERLINK("https://ceds.ed.gov/cedselementdetails.aspx?termid=27688")</f>
        <v>https://ceds.ed.gov/cedselementdetails.aspx?termid=27688</v>
      </c>
      <c r="Q1824" s="16">
        <v>74943</v>
      </c>
    </row>
    <row r="1825" spans="1:17" ht="43.2" x14ac:dyDescent="0.3">
      <c r="A1825" s="16" t="s">
        <v>7665</v>
      </c>
      <c r="B1825" s="16" t="s">
        <v>7680</v>
      </c>
      <c r="C1825" s="16" t="s">
        <v>7694</v>
      </c>
      <c r="D1825" s="16" t="s">
        <v>7597</v>
      </c>
      <c r="E1825" s="16" t="s">
        <v>4424</v>
      </c>
      <c r="F1825" s="16" t="s">
        <v>4425</v>
      </c>
      <c r="G1825" s="16" t="s">
        <v>32</v>
      </c>
      <c r="H1825" s="16"/>
      <c r="I1825" s="16"/>
      <c r="J1825" s="16" t="s">
        <v>316</v>
      </c>
      <c r="K1825" s="16"/>
      <c r="L1825" s="16"/>
      <c r="M1825" s="19" t="s">
        <v>4426</v>
      </c>
      <c r="N1825" s="16"/>
      <c r="O1825" s="16" t="s">
        <v>4427</v>
      </c>
      <c r="P1825" s="16" t="str">
        <f>HYPERLINK("https://ceds.ed.gov/cedselementdetails.aspx?termid=27691")</f>
        <v>https://ceds.ed.gov/cedselementdetails.aspx?termid=27691</v>
      </c>
      <c r="Q1825" s="16">
        <v>74944</v>
      </c>
    </row>
    <row r="1826" spans="1:17" ht="43.2" x14ac:dyDescent="0.3">
      <c r="A1826" s="16" t="s">
        <v>7665</v>
      </c>
      <c r="B1826" s="16" t="s">
        <v>7680</v>
      </c>
      <c r="C1826" s="16" t="s">
        <v>7694</v>
      </c>
      <c r="D1826" s="16" t="s">
        <v>7597</v>
      </c>
      <c r="E1826" s="16" t="s">
        <v>4428</v>
      </c>
      <c r="F1826" s="16" t="s">
        <v>4429</v>
      </c>
      <c r="G1826" s="16" t="s">
        <v>32</v>
      </c>
      <c r="H1826" s="16"/>
      <c r="I1826" s="16"/>
      <c r="J1826" s="16" t="s">
        <v>316</v>
      </c>
      <c r="K1826" s="16"/>
      <c r="L1826" s="16"/>
      <c r="M1826" s="19" t="s">
        <v>4430</v>
      </c>
      <c r="N1826" s="16"/>
      <c r="O1826" s="16" t="s">
        <v>4431</v>
      </c>
      <c r="P1826" s="16" t="str">
        <f>HYPERLINK("https://ceds.ed.gov/cedselementdetails.aspx?termid=27689")</f>
        <v>https://ceds.ed.gov/cedselementdetails.aspx?termid=27689</v>
      </c>
      <c r="Q1826" s="16">
        <v>74945</v>
      </c>
    </row>
    <row r="1827" spans="1:17" ht="43.2" x14ac:dyDescent="0.3">
      <c r="A1827" s="16" t="s">
        <v>7665</v>
      </c>
      <c r="B1827" s="16" t="s">
        <v>7680</v>
      </c>
      <c r="C1827" s="16" t="s">
        <v>7694</v>
      </c>
      <c r="D1827" s="16" t="s">
        <v>7597</v>
      </c>
      <c r="E1827" s="16" t="s">
        <v>4432</v>
      </c>
      <c r="F1827" s="16" t="s">
        <v>4433</v>
      </c>
      <c r="G1827" s="16" t="s">
        <v>32</v>
      </c>
      <c r="H1827" s="16"/>
      <c r="I1827" s="16"/>
      <c r="J1827" s="16" t="s">
        <v>316</v>
      </c>
      <c r="K1827" s="16"/>
      <c r="L1827" s="16"/>
      <c r="M1827" s="19" t="s">
        <v>4434</v>
      </c>
      <c r="N1827" s="16"/>
      <c r="O1827" s="16" t="s">
        <v>4435</v>
      </c>
      <c r="P1827" s="16" t="str">
        <f>HYPERLINK("https://ceds.ed.gov/cedselementdetails.aspx?termid=27692")</f>
        <v>https://ceds.ed.gov/cedselementdetails.aspx?termid=27692</v>
      </c>
      <c r="Q1827" s="16">
        <v>74946</v>
      </c>
    </row>
    <row r="1828" spans="1:17" ht="28.8" x14ac:dyDescent="0.3">
      <c r="A1828" s="16" t="s">
        <v>7665</v>
      </c>
      <c r="B1828" s="16" t="s">
        <v>7680</v>
      </c>
      <c r="C1828" s="16" t="s">
        <v>7694</v>
      </c>
      <c r="D1828" s="16" t="s">
        <v>7597</v>
      </c>
      <c r="E1828" s="16" t="s">
        <v>4436</v>
      </c>
      <c r="F1828" s="16" t="s">
        <v>4437</v>
      </c>
      <c r="G1828" s="16" t="s">
        <v>32</v>
      </c>
      <c r="H1828" s="16"/>
      <c r="I1828" s="16"/>
      <c r="J1828" s="16" t="s">
        <v>316</v>
      </c>
      <c r="K1828" s="16"/>
      <c r="L1828" s="16"/>
      <c r="M1828" s="19" t="s">
        <v>4438</v>
      </c>
      <c r="N1828" s="16"/>
      <c r="O1828" s="16" t="s">
        <v>4439</v>
      </c>
      <c r="P1828" s="16" t="str">
        <f>HYPERLINK("https://ceds.ed.gov/cedselementdetails.aspx?termid=27690")</f>
        <v>https://ceds.ed.gov/cedselementdetails.aspx?termid=27690</v>
      </c>
      <c r="Q1828" s="16">
        <v>74947</v>
      </c>
    </row>
    <row r="1829" spans="1:17" ht="28.8" x14ac:dyDescent="0.3">
      <c r="A1829" s="16" t="s">
        <v>7665</v>
      </c>
      <c r="B1829" s="16" t="s">
        <v>7680</v>
      </c>
      <c r="C1829" s="16" t="s">
        <v>7647</v>
      </c>
      <c r="D1829" s="16" t="s">
        <v>7597</v>
      </c>
      <c r="E1829" s="16" t="s">
        <v>4108</v>
      </c>
      <c r="F1829" s="16" t="s">
        <v>4109</v>
      </c>
      <c r="G1829" s="16" t="s">
        <v>32</v>
      </c>
      <c r="H1829" s="16"/>
      <c r="I1829" s="16"/>
      <c r="J1829" s="16" t="s">
        <v>106</v>
      </c>
      <c r="K1829" s="16"/>
      <c r="L1829" s="16"/>
      <c r="M1829" s="19" t="s">
        <v>4110</v>
      </c>
      <c r="N1829" s="16"/>
      <c r="O1829" s="16" t="s">
        <v>4111</v>
      </c>
      <c r="P1829" s="16" t="str">
        <f>HYPERLINK("https://ceds.ed.gov/cedselementdetails.aspx?termid=27169")</f>
        <v>https://ceds.ed.gov/cedselementdetails.aspx?termid=27169</v>
      </c>
      <c r="Q1829" s="16">
        <v>73890</v>
      </c>
    </row>
    <row r="1830" spans="1:17" ht="100.8" x14ac:dyDescent="0.3">
      <c r="A1830" s="16" t="s">
        <v>7665</v>
      </c>
      <c r="B1830" s="16" t="s">
        <v>7680</v>
      </c>
      <c r="C1830" s="16" t="s">
        <v>7647</v>
      </c>
      <c r="D1830" s="16" t="s">
        <v>7597</v>
      </c>
      <c r="E1830" s="16" t="s">
        <v>4073</v>
      </c>
      <c r="F1830" s="16" t="s">
        <v>4074</v>
      </c>
      <c r="G1830" s="16" t="s">
        <v>32</v>
      </c>
      <c r="H1830" s="16"/>
      <c r="I1830" s="16"/>
      <c r="J1830" s="16" t="s">
        <v>106</v>
      </c>
      <c r="K1830" s="16"/>
      <c r="L1830" s="16" t="s">
        <v>4075</v>
      </c>
      <c r="M1830" s="19" t="s">
        <v>4076</v>
      </c>
      <c r="N1830" s="16"/>
      <c r="O1830" s="16" t="s">
        <v>4077</v>
      </c>
      <c r="P1830" s="16" t="str">
        <f>HYPERLINK("https://ceds.ed.gov/cedselementdetails.aspx?termid=27170")</f>
        <v>https://ceds.ed.gov/cedselementdetails.aspx?termid=27170</v>
      </c>
      <c r="Q1830" s="16">
        <v>74818</v>
      </c>
    </row>
    <row r="1831" spans="1:17" ht="28.8" x14ac:dyDescent="0.3">
      <c r="A1831" s="16" t="s">
        <v>7665</v>
      </c>
      <c r="B1831" s="16" t="s">
        <v>7680</v>
      </c>
      <c r="C1831" s="16" t="s">
        <v>7647</v>
      </c>
      <c r="D1831" s="16" t="s">
        <v>7597</v>
      </c>
      <c r="E1831" s="16" t="s">
        <v>4069</v>
      </c>
      <c r="F1831" s="16" t="s">
        <v>4070</v>
      </c>
      <c r="G1831" s="16" t="s">
        <v>32</v>
      </c>
      <c r="H1831" s="16"/>
      <c r="I1831" s="16"/>
      <c r="J1831" s="16" t="s">
        <v>101</v>
      </c>
      <c r="K1831" s="16"/>
      <c r="L1831" s="16"/>
      <c r="M1831" s="19" t="s">
        <v>4071</v>
      </c>
      <c r="N1831" s="16"/>
      <c r="O1831" s="16" t="s">
        <v>4072</v>
      </c>
      <c r="P1831" s="16" t="str">
        <f>HYPERLINK("https://ceds.ed.gov/cedselementdetails.aspx?termid=26903")</f>
        <v>https://ceds.ed.gov/cedselementdetails.aspx?termid=26903</v>
      </c>
      <c r="Q1831" s="16">
        <v>73882</v>
      </c>
    </row>
    <row r="1832" spans="1:17" ht="57.6" x14ac:dyDescent="0.3">
      <c r="A1832" s="16" t="s">
        <v>7665</v>
      </c>
      <c r="B1832" s="16" t="s">
        <v>7680</v>
      </c>
      <c r="C1832" s="16" t="s">
        <v>7647</v>
      </c>
      <c r="D1832" s="16" t="s">
        <v>7597</v>
      </c>
      <c r="E1832" s="16" t="s">
        <v>4407</v>
      </c>
      <c r="F1832" s="16" t="s">
        <v>4408</v>
      </c>
      <c r="G1832" s="16" t="s">
        <v>8639</v>
      </c>
      <c r="H1832" s="16"/>
      <c r="I1832" s="16"/>
      <c r="J1832" s="16"/>
      <c r="K1832" s="16"/>
      <c r="L1832" s="16"/>
      <c r="M1832" s="19" t="s">
        <v>4409</v>
      </c>
      <c r="N1832" s="16"/>
      <c r="O1832" s="16" t="s">
        <v>4410</v>
      </c>
      <c r="P1832" s="16" t="str">
        <f>HYPERLINK("https://ceds.ed.gov/cedselementdetails.aspx?termid=27679")</f>
        <v>https://ceds.ed.gov/cedselementdetails.aspx?termid=27679</v>
      </c>
      <c r="Q1832" s="16">
        <v>74939</v>
      </c>
    </row>
    <row r="1833" spans="1:17" ht="43.2" x14ac:dyDescent="0.3">
      <c r="A1833" s="16" t="s">
        <v>7665</v>
      </c>
      <c r="B1833" s="16" t="s">
        <v>7680</v>
      </c>
      <c r="C1833" s="16" t="s">
        <v>7647</v>
      </c>
      <c r="D1833" s="16" t="s">
        <v>7597</v>
      </c>
      <c r="E1833" s="16" t="s">
        <v>4121</v>
      </c>
      <c r="F1833" s="16" t="s">
        <v>4122</v>
      </c>
      <c r="G1833" s="16" t="s">
        <v>32</v>
      </c>
      <c r="H1833" s="16"/>
      <c r="I1833" s="16"/>
      <c r="J1833" s="16" t="s">
        <v>101</v>
      </c>
      <c r="K1833" s="16"/>
      <c r="L1833" s="16"/>
      <c r="M1833" s="19" t="s">
        <v>4123</v>
      </c>
      <c r="N1833" s="16"/>
      <c r="O1833" s="16" t="s">
        <v>4124</v>
      </c>
      <c r="P1833" s="16" t="str">
        <f>HYPERLINK("https://ceds.ed.gov/cedselementdetails.aspx?termid=26902")</f>
        <v>https://ceds.ed.gov/cedselementdetails.aspx?termid=26902</v>
      </c>
      <c r="Q1833" s="16">
        <v>73892</v>
      </c>
    </row>
    <row r="1834" spans="1:17" ht="72" x14ac:dyDescent="0.3">
      <c r="A1834" s="16" t="s">
        <v>7665</v>
      </c>
      <c r="B1834" s="16" t="s">
        <v>7680</v>
      </c>
      <c r="C1834" s="16" t="s">
        <v>7647</v>
      </c>
      <c r="D1834" s="16" t="s">
        <v>7597</v>
      </c>
      <c r="E1834" s="16" t="s">
        <v>2139</v>
      </c>
      <c r="F1834" s="16" t="s">
        <v>2140</v>
      </c>
      <c r="G1834" s="16" t="s">
        <v>32</v>
      </c>
      <c r="H1834" s="16"/>
      <c r="I1834" s="16"/>
      <c r="J1834" s="16" t="s">
        <v>81</v>
      </c>
      <c r="K1834" s="16"/>
      <c r="L1834" s="16" t="s">
        <v>7904</v>
      </c>
      <c r="M1834" s="19" t="s">
        <v>2142</v>
      </c>
      <c r="N1834" s="16" t="s">
        <v>2143</v>
      </c>
      <c r="O1834" s="16" t="s">
        <v>2144</v>
      </c>
      <c r="P1834" s="16" t="str">
        <f>HYPERLINK("https://ceds.ed.gov/cedselementdetails.aspx?termid=26669")</f>
        <v>https://ceds.ed.gov/cedselementdetails.aspx?termid=26669</v>
      </c>
      <c r="Q1834" s="16">
        <v>74794</v>
      </c>
    </row>
    <row r="1835" spans="1:17" ht="201.6" x14ac:dyDescent="0.3">
      <c r="A1835" s="16" t="s">
        <v>7665</v>
      </c>
      <c r="B1835" s="16" t="s">
        <v>7680</v>
      </c>
      <c r="C1835" s="16" t="s">
        <v>7647</v>
      </c>
      <c r="D1835" s="16" t="s">
        <v>7597</v>
      </c>
      <c r="E1835" s="16" t="s">
        <v>2232</v>
      </c>
      <c r="F1835" s="16" t="s">
        <v>2233</v>
      </c>
      <c r="G1835" s="16" t="s">
        <v>32</v>
      </c>
      <c r="H1835" s="16" t="s">
        <v>779</v>
      </c>
      <c r="I1835" s="16"/>
      <c r="J1835" s="16" t="s">
        <v>316</v>
      </c>
      <c r="K1835" s="16"/>
      <c r="L1835" s="16" t="s">
        <v>7907</v>
      </c>
      <c r="M1835" s="19" t="s">
        <v>2234</v>
      </c>
      <c r="N1835" s="16" t="s">
        <v>2235</v>
      </c>
      <c r="O1835" s="16" t="s">
        <v>2236</v>
      </c>
      <c r="P1835" s="16" t="str">
        <f>HYPERLINK("https://ceds.ed.gov/cedselementdetails.aspx?termid=26667")</f>
        <v>https://ceds.ed.gov/cedselementdetails.aspx?termid=26667</v>
      </c>
      <c r="Q1835" s="16">
        <v>74792</v>
      </c>
    </row>
    <row r="1836" spans="1:17" ht="86.4" x14ac:dyDescent="0.3">
      <c r="A1836" s="16" t="s">
        <v>7665</v>
      </c>
      <c r="B1836" s="16" t="s">
        <v>7680</v>
      </c>
      <c r="C1836" s="16" t="s">
        <v>7647</v>
      </c>
      <c r="D1836" s="16" t="s">
        <v>7597</v>
      </c>
      <c r="E1836" s="16" t="s">
        <v>2277</v>
      </c>
      <c r="F1836" s="16" t="s">
        <v>2278</v>
      </c>
      <c r="G1836" s="16" t="s">
        <v>32</v>
      </c>
      <c r="H1836" s="16"/>
      <c r="I1836" s="16"/>
      <c r="J1836" s="16" t="s">
        <v>50</v>
      </c>
      <c r="K1836" s="16"/>
      <c r="L1836" s="16" t="s">
        <v>124</v>
      </c>
      <c r="M1836" s="19" t="s">
        <v>2280</v>
      </c>
      <c r="N1836" s="16" t="s">
        <v>2281</v>
      </c>
      <c r="O1836" s="16" t="s">
        <v>2282</v>
      </c>
      <c r="P1836" s="16" t="str">
        <f>HYPERLINK("https://ceds.ed.gov/cedselementdetails.aspx?termid=26874")</f>
        <v>https://ceds.ed.gov/cedselementdetails.aspx?termid=26874</v>
      </c>
      <c r="Q1836" s="16">
        <v>74803</v>
      </c>
    </row>
    <row r="1837" spans="1:17" ht="43.2" x14ac:dyDescent="0.3">
      <c r="A1837" s="16" t="s">
        <v>7665</v>
      </c>
      <c r="B1837" s="16" t="s">
        <v>7680</v>
      </c>
      <c r="C1837" s="16" t="s">
        <v>7647</v>
      </c>
      <c r="D1837" s="16" t="s">
        <v>7597</v>
      </c>
      <c r="E1837" s="16" t="s">
        <v>4064</v>
      </c>
      <c r="F1837" s="16" t="s">
        <v>4065</v>
      </c>
      <c r="G1837" s="16" t="s">
        <v>32</v>
      </c>
      <c r="H1837" s="16"/>
      <c r="I1837" s="16"/>
      <c r="J1837" s="16" t="s">
        <v>316</v>
      </c>
      <c r="K1837" s="16"/>
      <c r="L1837" s="16"/>
      <c r="M1837" s="19" t="s">
        <v>4067</v>
      </c>
      <c r="N1837" s="16"/>
      <c r="O1837" s="16" t="s">
        <v>4068</v>
      </c>
      <c r="P1837" s="16" t="str">
        <f>HYPERLINK("https://ceds.ed.gov/cedselementdetails.aspx?termid=27671")</f>
        <v>https://ceds.ed.gov/cedselementdetails.aspx?termid=27671</v>
      </c>
      <c r="Q1837" s="16">
        <v>74920</v>
      </c>
    </row>
    <row r="1838" spans="1:17" ht="72" x14ac:dyDescent="0.3">
      <c r="A1838" s="16" t="s">
        <v>7665</v>
      </c>
      <c r="B1838" s="16" t="s">
        <v>7680</v>
      </c>
      <c r="C1838" s="16" t="s">
        <v>7647</v>
      </c>
      <c r="D1838" s="16" t="s">
        <v>7597</v>
      </c>
      <c r="E1838" s="16" t="s">
        <v>4104</v>
      </c>
      <c r="F1838" s="16" t="s">
        <v>4105</v>
      </c>
      <c r="G1838" s="16" t="s">
        <v>8610</v>
      </c>
      <c r="H1838" s="16"/>
      <c r="I1838" s="16"/>
      <c r="J1838" s="16"/>
      <c r="K1838" s="16"/>
      <c r="L1838" s="16"/>
      <c r="M1838" s="19" t="s">
        <v>4106</v>
      </c>
      <c r="N1838" s="16"/>
      <c r="O1838" s="16" t="s">
        <v>4107</v>
      </c>
      <c r="P1838" s="16" t="str">
        <f>HYPERLINK("https://ceds.ed.gov/cedselementdetails.aspx?termid=27678")</f>
        <v>https://ceds.ed.gov/cedselementdetails.aspx?termid=27678</v>
      </c>
      <c r="Q1838" s="16">
        <v>74928</v>
      </c>
    </row>
    <row r="1839" spans="1:17" ht="43.2" x14ac:dyDescent="0.3">
      <c r="A1839" s="16" t="s">
        <v>7665</v>
      </c>
      <c r="B1839" s="16" t="s">
        <v>7680</v>
      </c>
      <c r="C1839" s="16" t="s">
        <v>7647</v>
      </c>
      <c r="D1839" s="16" t="s">
        <v>7597</v>
      </c>
      <c r="E1839" s="16" t="s">
        <v>4096</v>
      </c>
      <c r="F1839" s="16" t="s">
        <v>4097</v>
      </c>
      <c r="G1839" s="16" t="s">
        <v>32</v>
      </c>
      <c r="H1839" s="16"/>
      <c r="I1839" s="16"/>
      <c r="J1839" s="16" t="s">
        <v>316</v>
      </c>
      <c r="K1839" s="16"/>
      <c r="L1839" s="16"/>
      <c r="M1839" s="19" t="s">
        <v>4098</v>
      </c>
      <c r="N1839" s="16"/>
      <c r="O1839" s="16" t="s">
        <v>4099</v>
      </c>
      <c r="P1839" s="16" t="str">
        <f>HYPERLINK("https://ceds.ed.gov/cedselementdetails.aspx?termid=27676")</f>
        <v>https://ceds.ed.gov/cedselementdetails.aspx?termid=27676</v>
      </c>
      <c r="Q1839" s="16">
        <v>74926</v>
      </c>
    </row>
    <row r="1840" spans="1:17" ht="43.2" x14ac:dyDescent="0.3">
      <c r="A1840" s="16" t="s">
        <v>7665</v>
      </c>
      <c r="B1840" s="16" t="s">
        <v>7680</v>
      </c>
      <c r="C1840" s="16" t="s">
        <v>7647</v>
      </c>
      <c r="D1840" s="16" t="s">
        <v>7597</v>
      </c>
      <c r="E1840" s="16" t="s">
        <v>4100</v>
      </c>
      <c r="F1840" s="16" t="s">
        <v>4101</v>
      </c>
      <c r="G1840" s="16" t="s">
        <v>32</v>
      </c>
      <c r="H1840" s="16"/>
      <c r="I1840" s="16"/>
      <c r="J1840" s="16" t="s">
        <v>316</v>
      </c>
      <c r="K1840" s="16"/>
      <c r="L1840" s="16"/>
      <c r="M1840" s="19" t="s">
        <v>4102</v>
      </c>
      <c r="N1840" s="16"/>
      <c r="O1840" s="16" t="s">
        <v>4103</v>
      </c>
      <c r="P1840" s="16" t="str">
        <f>HYPERLINK("https://ceds.ed.gov/cedselementdetails.aspx?termid=27677")</f>
        <v>https://ceds.ed.gov/cedselementdetails.aspx?termid=27677</v>
      </c>
      <c r="Q1840" s="16">
        <v>74927</v>
      </c>
    </row>
    <row r="1841" spans="1:17" ht="28.8" x14ac:dyDescent="0.3">
      <c r="A1841" s="16" t="s">
        <v>7665</v>
      </c>
      <c r="B1841" s="16" t="s">
        <v>7680</v>
      </c>
      <c r="C1841" s="16" t="s">
        <v>7647</v>
      </c>
      <c r="D1841" s="16" t="s">
        <v>7597</v>
      </c>
      <c r="E1841" s="16" t="s">
        <v>4088</v>
      </c>
      <c r="F1841" s="16" t="s">
        <v>4089</v>
      </c>
      <c r="G1841" s="16" t="s">
        <v>32</v>
      </c>
      <c r="H1841" s="16"/>
      <c r="I1841" s="16"/>
      <c r="J1841" s="16" t="s">
        <v>145</v>
      </c>
      <c r="K1841" s="16"/>
      <c r="L1841" s="16"/>
      <c r="M1841" s="19" t="s">
        <v>4090</v>
      </c>
      <c r="N1841" s="16"/>
      <c r="O1841" s="16" t="s">
        <v>4091</v>
      </c>
      <c r="P1841" s="16" t="str">
        <f>HYPERLINK("https://ceds.ed.gov/cedselementdetails.aspx?termid=27674")</f>
        <v>https://ceds.ed.gov/cedselementdetails.aspx?termid=27674</v>
      </c>
      <c r="Q1841" s="16">
        <v>74924</v>
      </c>
    </row>
    <row r="1842" spans="1:17" ht="43.2" x14ac:dyDescent="0.3">
      <c r="A1842" s="16" t="s">
        <v>7665</v>
      </c>
      <c r="B1842" s="16" t="s">
        <v>7680</v>
      </c>
      <c r="C1842" s="16" t="s">
        <v>7647</v>
      </c>
      <c r="D1842" s="16" t="s">
        <v>7597</v>
      </c>
      <c r="E1842" s="16" t="s">
        <v>4078</v>
      </c>
      <c r="F1842" s="16" t="s">
        <v>4079</v>
      </c>
      <c r="G1842" s="16" t="s">
        <v>32</v>
      </c>
      <c r="H1842" s="16"/>
      <c r="I1842" s="16"/>
      <c r="J1842" s="16" t="s">
        <v>4081</v>
      </c>
      <c r="K1842" s="16"/>
      <c r="L1842" s="16"/>
      <c r="M1842" s="19" t="s">
        <v>4082</v>
      </c>
      <c r="N1842" s="16"/>
      <c r="O1842" s="16" t="s">
        <v>4083</v>
      </c>
      <c r="P1842" s="16" t="str">
        <f>HYPERLINK("https://ceds.ed.gov/cedselementdetails.aspx?termid=27672")</f>
        <v>https://ceds.ed.gov/cedselementdetails.aspx?termid=27672</v>
      </c>
      <c r="Q1842" s="16">
        <v>74922</v>
      </c>
    </row>
    <row r="1843" spans="1:17" ht="43.2" x14ac:dyDescent="0.3">
      <c r="A1843" s="16" t="s">
        <v>7665</v>
      </c>
      <c r="B1843" s="16" t="s">
        <v>7680</v>
      </c>
      <c r="C1843" s="16" t="s">
        <v>7647</v>
      </c>
      <c r="D1843" s="16" t="s">
        <v>7597</v>
      </c>
      <c r="E1843" s="16" t="s">
        <v>4084</v>
      </c>
      <c r="F1843" s="16" t="s">
        <v>4085</v>
      </c>
      <c r="G1843" s="16" t="s">
        <v>32</v>
      </c>
      <c r="H1843" s="16"/>
      <c r="I1843" s="16"/>
      <c r="J1843" s="16" t="s">
        <v>1662</v>
      </c>
      <c r="K1843" s="16"/>
      <c r="L1843" s="16"/>
      <c r="M1843" s="19" t="s">
        <v>4086</v>
      </c>
      <c r="N1843" s="16"/>
      <c r="O1843" s="16" t="s">
        <v>4087</v>
      </c>
      <c r="P1843" s="16" t="str">
        <f>HYPERLINK("https://ceds.ed.gov/cedselementdetails.aspx?termid=27673")</f>
        <v>https://ceds.ed.gov/cedselementdetails.aspx?termid=27673</v>
      </c>
      <c r="Q1843" s="16">
        <v>74923</v>
      </c>
    </row>
    <row r="1844" spans="1:17" ht="43.2" x14ac:dyDescent="0.3">
      <c r="A1844" s="16" t="s">
        <v>7665</v>
      </c>
      <c r="B1844" s="16" t="s">
        <v>7680</v>
      </c>
      <c r="C1844" s="16" t="s">
        <v>7647</v>
      </c>
      <c r="D1844" s="16" t="s">
        <v>7597</v>
      </c>
      <c r="E1844" s="16" t="s">
        <v>4092</v>
      </c>
      <c r="F1844" s="16" t="s">
        <v>4093</v>
      </c>
      <c r="G1844" s="16" t="s">
        <v>32</v>
      </c>
      <c r="H1844" s="16"/>
      <c r="I1844" s="16"/>
      <c r="J1844" s="16" t="s">
        <v>1662</v>
      </c>
      <c r="K1844" s="16"/>
      <c r="L1844" s="16"/>
      <c r="M1844" s="19" t="s">
        <v>4094</v>
      </c>
      <c r="N1844" s="16"/>
      <c r="O1844" s="16" t="s">
        <v>4095</v>
      </c>
      <c r="P1844" s="16" t="str">
        <f>HYPERLINK("https://ceds.ed.gov/cedselementdetails.aspx?termid=27675")</f>
        <v>https://ceds.ed.gov/cedselementdetails.aspx?termid=27675</v>
      </c>
      <c r="Q1844" s="16">
        <v>74925</v>
      </c>
    </row>
    <row r="1845" spans="1:17" ht="43.2" x14ac:dyDescent="0.3">
      <c r="A1845" s="16" t="s">
        <v>7665</v>
      </c>
      <c r="B1845" s="16" t="s">
        <v>7680</v>
      </c>
      <c r="C1845" s="16" t="s">
        <v>7695</v>
      </c>
      <c r="D1845" s="16" t="s">
        <v>7597</v>
      </c>
      <c r="E1845" s="16" t="s">
        <v>6587</v>
      </c>
      <c r="F1845" s="16" t="s">
        <v>6588</v>
      </c>
      <c r="G1845" s="16" t="s">
        <v>32</v>
      </c>
      <c r="H1845" s="16"/>
      <c r="I1845" s="16"/>
      <c r="J1845" s="16" t="s">
        <v>106</v>
      </c>
      <c r="K1845" s="16"/>
      <c r="L1845" s="16"/>
      <c r="M1845" s="19" t="s">
        <v>6589</v>
      </c>
      <c r="N1845" s="16"/>
      <c r="O1845" s="16" t="s">
        <v>6590</v>
      </c>
      <c r="P1845" s="16" t="str">
        <f>HYPERLINK("https://ceds.ed.gov/cedselementdetails.aspx?termid=26326")</f>
        <v>https://ceds.ed.gov/cedselementdetails.aspx?termid=26326</v>
      </c>
      <c r="Q1845" s="16">
        <v>74779</v>
      </c>
    </row>
    <row r="1846" spans="1:17" ht="57.6" x14ac:dyDescent="0.3">
      <c r="A1846" s="16" t="s">
        <v>7665</v>
      </c>
      <c r="B1846" s="16" t="s">
        <v>7680</v>
      </c>
      <c r="C1846" s="16" t="s">
        <v>7695</v>
      </c>
      <c r="D1846" s="16" t="s">
        <v>7597</v>
      </c>
      <c r="E1846" s="16" t="s">
        <v>6591</v>
      </c>
      <c r="F1846" s="16" t="s">
        <v>6592</v>
      </c>
      <c r="G1846" s="16" t="s">
        <v>32</v>
      </c>
      <c r="H1846" s="16"/>
      <c r="I1846" s="16"/>
      <c r="J1846" s="16" t="s">
        <v>106</v>
      </c>
      <c r="K1846" s="16"/>
      <c r="L1846" s="16" t="s">
        <v>131</v>
      </c>
      <c r="M1846" s="19" t="s">
        <v>6593</v>
      </c>
      <c r="N1846" s="16"/>
      <c r="O1846" s="16" t="s">
        <v>6594</v>
      </c>
      <c r="P1846" s="16" t="str">
        <f>HYPERLINK("https://ceds.ed.gov/cedselementdetails.aspx?termid=26327")</f>
        <v>https://ceds.ed.gov/cedselementdetails.aspx?termid=26327</v>
      </c>
      <c r="Q1846" s="16">
        <v>74780</v>
      </c>
    </row>
    <row r="1847" spans="1:17" ht="43.2" x14ac:dyDescent="0.3">
      <c r="A1847" s="16" t="s">
        <v>7665</v>
      </c>
      <c r="B1847" s="16" t="s">
        <v>7680</v>
      </c>
      <c r="C1847" s="16" t="s">
        <v>7695</v>
      </c>
      <c r="D1847" s="16" t="s">
        <v>7597</v>
      </c>
      <c r="E1847" s="16" t="s">
        <v>6595</v>
      </c>
      <c r="F1847" s="16" t="s">
        <v>6596</v>
      </c>
      <c r="G1847" s="16" t="s">
        <v>22</v>
      </c>
      <c r="H1847" s="16"/>
      <c r="I1847" s="16"/>
      <c r="J1847" s="16"/>
      <c r="K1847" s="16"/>
      <c r="L1847" s="16"/>
      <c r="M1847" s="19" t="s">
        <v>6597</v>
      </c>
      <c r="N1847" s="16"/>
      <c r="O1847" s="16" t="s">
        <v>6598</v>
      </c>
      <c r="P1847" s="16" t="str">
        <f>HYPERLINK("https://ceds.ed.gov/cedselementdetails.aspx?termid=27698")</f>
        <v>https://ceds.ed.gov/cedselementdetails.aspx?termid=27698</v>
      </c>
      <c r="Q1847" s="16">
        <v>74992</v>
      </c>
    </row>
    <row r="1848" spans="1:17" ht="28.8" x14ac:dyDescent="0.3">
      <c r="A1848" s="16" t="s">
        <v>7665</v>
      </c>
      <c r="B1848" s="16" t="s">
        <v>7680</v>
      </c>
      <c r="C1848" s="16" t="s">
        <v>7695</v>
      </c>
      <c r="D1848" s="16" t="s">
        <v>7597</v>
      </c>
      <c r="E1848" s="16" t="s">
        <v>3013</v>
      </c>
      <c r="F1848" s="16" t="s">
        <v>3014</v>
      </c>
      <c r="G1848" s="16" t="s">
        <v>32</v>
      </c>
      <c r="H1848" s="16"/>
      <c r="I1848" s="16"/>
      <c r="J1848" s="16" t="s">
        <v>106</v>
      </c>
      <c r="K1848" s="16"/>
      <c r="L1848" s="16"/>
      <c r="M1848" s="19" t="s">
        <v>3016</v>
      </c>
      <c r="N1848" s="16"/>
      <c r="O1848" s="16" t="s">
        <v>3017</v>
      </c>
      <c r="P1848" s="16" t="str">
        <f>HYPERLINK("https://ceds.ed.gov/cedselementdetails.aspx?termid=27693")</f>
        <v>https://ceds.ed.gov/cedselementdetails.aspx?termid=27693</v>
      </c>
      <c r="Q1848" s="16">
        <v>74912</v>
      </c>
    </row>
    <row r="1849" spans="1:17" ht="28.8" x14ac:dyDescent="0.3">
      <c r="A1849" s="16" t="s">
        <v>7665</v>
      </c>
      <c r="B1849" s="16" t="s">
        <v>7680</v>
      </c>
      <c r="C1849" s="16" t="s">
        <v>7695</v>
      </c>
      <c r="D1849" s="16" t="s">
        <v>7597</v>
      </c>
      <c r="E1849" s="16" t="s">
        <v>6249</v>
      </c>
      <c r="F1849" s="16" t="s">
        <v>6250</v>
      </c>
      <c r="G1849" s="16" t="s">
        <v>32</v>
      </c>
      <c r="H1849" s="16"/>
      <c r="I1849" s="16"/>
      <c r="J1849" s="16" t="s">
        <v>316</v>
      </c>
      <c r="K1849" s="16"/>
      <c r="L1849" s="16"/>
      <c r="M1849" s="19" t="s">
        <v>6251</v>
      </c>
      <c r="N1849" s="16"/>
      <c r="O1849" s="16" t="s">
        <v>6252</v>
      </c>
      <c r="P1849" s="16" t="str">
        <f>HYPERLINK("https://ceds.ed.gov/cedselementdetails.aspx?termid=27460")</f>
        <v>https://ceds.ed.gov/cedselementdetails.aspx?termid=27460</v>
      </c>
      <c r="Q1849" s="16">
        <v>74834</v>
      </c>
    </row>
    <row r="1850" spans="1:17" x14ac:dyDescent="0.3">
      <c r="A1850" s="16" t="s">
        <v>7665</v>
      </c>
      <c r="B1850" s="16" t="s">
        <v>7680</v>
      </c>
      <c r="C1850" s="16" t="s">
        <v>7695</v>
      </c>
      <c r="D1850" s="16" t="s">
        <v>7597</v>
      </c>
      <c r="E1850" s="16" t="s">
        <v>3203</v>
      </c>
      <c r="F1850" s="16" t="s">
        <v>3204</v>
      </c>
      <c r="G1850" s="16" t="s">
        <v>32</v>
      </c>
      <c r="H1850" s="16"/>
      <c r="I1850" s="16"/>
      <c r="J1850" s="16" t="s">
        <v>1662</v>
      </c>
      <c r="K1850" s="16"/>
      <c r="L1850" s="16"/>
      <c r="M1850" s="19" t="s">
        <v>3205</v>
      </c>
      <c r="N1850" s="16"/>
      <c r="O1850" s="16" t="s">
        <v>3206</v>
      </c>
      <c r="P1850" s="16" t="str">
        <f>HYPERLINK("https://ceds.ed.gov/cedselementdetails.aspx?termid=27697")</f>
        <v>https://ceds.ed.gov/cedselementdetails.aspx?termid=27697</v>
      </c>
      <c r="Q1850" s="16">
        <v>74913</v>
      </c>
    </row>
    <row r="1851" spans="1:17" ht="100.8" x14ac:dyDescent="0.3">
      <c r="A1851" s="16" t="s">
        <v>7665</v>
      </c>
      <c r="B1851" s="16" t="s">
        <v>7680</v>
      </c>
      <c r="C1851" s="16" t="s">
        <v>7695</v>
      </c>
      <c r="D1851" s="16" t="s">
        <v>7597</v>
      </c>
      <c r="E1851" s="16" t="s">
        <v>4024</v>
      </c>
      <c r="F1851" s="16" t="s">
        <v>4025</v>
      </c>
      <c r="G1851" s="16" t="s">
        <v>8232</v>
      </c>
      <c r="H1851" s="16"/>
      <c r="I1851" s="16"/>
      <c r="J1851" s="16"/>
      <c r="K1851" s="16"/>
      <c r="L1851" s="16"/>
      <c r="M1851" s="19" t="s">
        <v>4026</v>
      </c>
      <c r="N1851" s="16"/>
      <c r="O1851" s="16" t="s">
        <v>4027</v>
      </c>
      <c r="P1851" s="16" t="str">
        <f>HYPERLINK("https://ceds.ed.gov/cedselementdetails.aspx?termid=27694")</f>
        <v>https://ceds.ed.gov/cedselementdetails.aspx?termid=27694</v>
      </c>
      <c r="Q1851" s="16">
        <v>74919</v>
      </c>
    </row>
    <row r="1852" spans="1:17" ht="86.4" x14ac:dyDescent="0.3">
      <c r="A1852" s="16" t="s">
        <v>7665</v>
      </c>
      <c r="B1852" s="16" t="s">
        <v>7680</v>
      </c>
      <c r="C1852" s="16" t="s">
        <v>7695</v>
      </c>
      <c r="D1852" s="16" t="s">
        <v>7597</v>
      </c>
      <c r="E1852" s="16" t="s">
        <v>4017</v>
      </c>
      <c r="F1852" s="16" t="s">
        <v>4018</v>
      </c>
      <c r="G1852" s="16" t="s">
        <v>32</v>
      </c>
      <c r="H1852" s="16"/>
      <c r="I1852" s="16"/>
      <c r="J1852" s="16" t="s">
        <v>1662</v>
      </c>
      <c r="K1852" s="16"/>
      <c r="L1852" s="16"/>
      <c r="M1852" s="19" t="s">
        <v>4019</v>
      </c>
      <c r="N1852" s="16"/>
      <c r="O1852" s="16" t="s">
        <v>4020</v>
      </c>
      <c r="P1852" s="16" t="str">
        <f>HYPERLINK("https://ceds.ed.gov/cedselementdetails.aspx?termid=27696")</f>
        <v>https://ceds.ed.gov/cedselementdetails.aspx?termid=27696</v>
      </c>
      <c r="Q1852" s="16">
        <v>74918</v>
      </c>
    </row>
    <row r="1853" spans="1:17" x14ac:dyDescent="0.3">
      <c r="A1853" s="16" t="s">
        <v>7665</v>
      </c>
      <c r="B1853" s="16" t="s">
        <v>7680</v>
      </c>
      <c r="C1853" s="16" t="s">
        <v>7695</v>
      </c>
      <c r="D1853" s="16" t="s">
        <v>7597</v>
      </c>
      <c r="E1853" s="16" t="s">
        <v>4013</v>
      </c>
      <c r="F1853" s="16" t="s">
        <v>4014</v>
      </c>
      <c r="G1853" s="16" t="s">
        <v>32</v>
      </c>
      <c r="H1853" s="16"/>
      <c r="I1853" s="16"/>
      <c r="J1853" s="16" t="s">
        <v>1662</v>
      </c>
      <c r="K1853" s="16"/>
      <c r="L1853" s="16"/>
      <c r="M1853" s="19" t="s">
        <v>4015</v>
      </c>
      <c r="N1853" s="16"/>
      <c r="O1853" s="16" t="s">
        <v>4016</v>
      </c>
      <c r="P1853" s="16" t="str">
        <f>HYPERLINK("https://ceds.ed.gov/cedselementdetails.aspx?termid=27695")</f>
        <v>https://ceds.ed.gov/cedselementdetails.aspx?termid=27695</v>
      </c>
      <c r="Q1853" s="16">
        <v>74917</v>
      </c>
    </row>
    <row r="1854" spans="1:17" ht="28.8" x14ac:dyDescent="0.3">
      <c r="A1854" s="16" t="s">
        <v>7665</v>
      </c>
      <c r="B1854" s="16" t="s">
        <v>7680</v>
      </c>
      <c r="C1854" s="16" t="s">
        <v>7695</v>
      </c>
      <c r="D1854" s="16" t="s">
        <v>7597</v>
      </c>
      <c r="E1854" s="16" t="s">
        <v>6611</v>
      </c>
      <c r="F1854" s="16" t="s">
        <v>6612</v>
      </c>
      <c r="G1854" s="16" t="s">
        <v>32</v>
      </c>
      <c r="H1854" s="16"/>
      <c r="I1854" s="16"/>
      <c r="J1854" s="16" t="s">
        <v>316</v>
      </c>
      <c r="K1854" s="16"/>
      <c r="L1854" s="16"/>
      <c r="M1854" s="19" t="s">
        <v>6613</v>
      </c>
      <c r="N1854" s="16"/>
      <c r="O1854" s="16" t="s">
        <v>6614</v>
      </c>
      <c r="P1854" s="16" t="str">
        <f>HYPERLINK("https://ceds.ed.gov/cedselementdetails.aspx?termid=27699")</f>
        <v>https://ceds.ed.gov/cedselementdetails.aspx?termid=27699</v>
      </c>
      <c r="Q1854" s="16">
        <v>74993</v>
      </c>
    </row>
    <row r="1855" spans="1:17" ht="409.6" x14ac:dyDescent="0.3">
      <c r="A1855" s="16" t="s">
        <v>7665</v>
      </c>
      <c r="B1855" s="16" t="s">
        <v>7680</v>
      </c>
      <c r="C1855" s="16" t="s">
        <v>7695</v>
      </c>
      <c r="D1855" s="16" t="s">
        <v>7597</v>
      </c>
      <c r="E1855" s="16" t="s">
        <v>6945</v>
      </c>
      <c r="F1855" s="16" t="s">
        <v>6946</v>
      </c>
      <c r="G1855" s="16" t="s">
        <v>9421</v>
      </c>
      <c r="H1855" s="16"/>
      <c r="I1855" s="16"/>
      <c r="J1855" s="16"/>
      <c r="K1855" s="16"/>
      <c r="L1855" s="16" t="s">
        <v>6947</v>
      </c>
      <c r="M1855" s="19" t="s">
        <v>6948</v>
      </c>
      <c r="N1855" s="16"/>
      <c r="O1855" s="16" t="s">
        <v>6949</v>
      </c>
      <c r="P1855" s="16" t="str">
        <f>HYPERLINK("https://ceds.ed.gov/cedselementdetails.aspx?termid=26273")</f>
        <v>https://ceds.ed.gov/cedselementdetails.aspx?termid=26273</v>
      </c>
      <c r="Q1855" s="16">
        <v>74778</v>
      </c>
    </row>
    <row r="1856" spans="1:17" ht="100.8" x14ac:dyDescent="0.3">
      <c r="A1856" s="16" t="s">
        <v>7665</v>
      </c>
      <c r="B1856" s="16" t="s">
        <v>7680</v>
      </c>
      <c r="C1856" s="16" t="s">
        <v>7695</v>
      </c>
      <c r="D1856" s="16" t="s">
        <v>7597</v>
      </c>
      <c r="E1856" s="16" t="s">
        <v>8159</v>
      </c>
      <c r="F1856" s="16" t="s">
        <v>8160</v>
      </c>
      <c r="G1856" s="16" t="s">
        <v>8204</v>
      </c>
      <c r="H1856" s="16"/>
      <c r="I1856" s="16"/>
      <c r="J1856" s="16" t="s">
        <v>2</v>
      </c>
      <c r="K1856" s="16"/>
      <c r="L1856" s="16"/>
      <c r="M1856" s="19" t="s">
        <v>8196</v>
      </c>
      <c r="N1856" s="16"/>
      <c r="O1856" s="16" t="s">
        <v>8161</v>
      </c>
      <c r="P1856" s="16" t="str">
        <f>HYPERLINK("https://ceds.ed.gov/cedselementdetails.aspx?termid=27994")</f>
        <v>https://ceds.ed.gov/cedselementdetails.aspx?termid=27994</v>
      </c>
      <c r="Q1856" s="16">
        <v>75914</v>
      </c>
    </row>
    <row r="1857" spans="1:17" ht="172.8" x14ac:dyDescent="0.3">
      <c r="A1857" s="16" t="s">
        <v>7665</v>
      </c>
      <c r="B1857" s="16" t="s">
        <v>7680</v>
      </c>
      <c r="C1857" s="16" t="s">
        <v>7696</v>
      </c>
      <c r="D1857" s="16" t="s">
        <v>7597</v>
      </c>
      <c r="E1857" s="16" t="s">
        <v>5586</v>
      </c>
      <c r="F1857" s="16" t="s">
        <v>5587</v>
      </c>
      <c r="G1857" s="16" t="s">
        <v>32</v>
      </c>
      <c r="H1857" s="16" t="s">
        <v>98</v>
      </c>
      <c r="I1857" s="16"/>
      <c r="J1857" s="16" t="s">
        <v>120</v>
      </c>
      <c r="K1857" s="16"/>
      <c r="L1857" s="16" t="s">
        <v>7817</v>
      </c>
      <c r="M1857" s="19" t="s">
        <v>5588</v>
      </c>
      <c r="N1857" s="16"/>
      <c r="O1857" s="16" t="s">
        <v>5589</v>
      </c>
      <c r="P1857" s="16" t="str">
        <f>HYPERLINK("https://ceds.ed.gov/cedselementdetails.aspx?termid=26825")</f>
        <v>https://ceds.ed.gov/cedselementdetails.aspx?termid=26825</v>
      </c>
      <c r="Q1857" s="16">
        <v>74798</v>
      </c>
    </row>
    <row r="1858" spans="1:17" ht="187.2" x14ac:dyDescent="0.3">
      <c r="A1858" s="16" t="s">
        <v>7665</v>
      </c>
      <c r="B1858" s="16" t="s">
        <v>7680</v>
      </c>
      <c r="C1858" s="16" t="s">
        <v>7696</v>
      </c>
      <c r="D1858" s="16" t="s">
        <v>7597</v>
      </c>
      <c r="E1858" s="16" t="s">
        <v>5582</v>
      </c>
      <c r="F1858" s="16" t="s">
        <v>5583</v>
      </c>
      <c r="G1858" s="16" t="s">
        <v>8247</v>
      </c>
      <c r="H1858" s="16" t="s">
        <v>98</v>
      </c>
      <c r="I1858" s="16"/>
      <c r="J1858" s="16"/>
      <c r="K1858" s="16"/>
      <c r="L1858" s="16"/>
      <c r="M1858" s="19" t="s">
        <v>5584</v>
      </c>
      <c r="N1858" s="16"/>
      <c r="O1858" s="16" t="s">
        <v>5585</v>
      </c>
      <c r="P1858" s="16" t="str">
        <f>HYPERLINK("https://ceds.ed.gov/cedselementdetails.aspx?termid=26827")</f>
        <v>https://ceds.ed.gov/cedselementdetails.aspx?termid=26827</v>
      </c>
      <c r="Q1858" s="16">
        <v>74801</v>
      </c>
    </row>
    <row r="1859" spans="1:17" ht="172.8" x14ac:dyDescent="0.3">
      <c r="A1859" s="16" t="s">
        <v>7665</v>
      </c>
      <c r="B1859" s="16" t="s">
        <v>7680</v>
      </c>
      <c r="C1859" s="16" t="s">
        <v>7696</v>
      </c>
      <c r="D1859" s="16" t="s">
        <v>7597</v>
      </c>
      <c r="E1859" s="16" t="s">
        <v>5738</v>
      </c>
      <c r="F1859" s="16" t="s">
        <v>5739</v>
      </c>
      <c r="G1859" s="16" t="s">
        <v>32</v>
      </c>
      <c r="H1859" s="16"/>
      <c r="I1859" s="16"/>
      <c r="J1859" s="16" t="s">
        <v>120</v>
      </c>
      <c r="K1859" s="16"/>
      <c r="L1859" s="16" t="s">
        <v>7905</v>
      </c>
      <c r="M1859" s="19" t="s">
        <v>5740</v>
      </c>
      <c r="N1859" s="16"/>
      <c r="O1859" s="16" t="s">
        <v>5741</v>
      </c>
      <c r="P1859" s="16" t="str">
        <f>HYPERLINK("https://ceds.ed.gov/cedselementdetails.aspx?termid=27551")</f>
        <v>https://ceds.ed.gov/cedselementdetails.aspx?termid=27551</v>
      </c>
      <c r="Q1859" s="16">
        <v>74848</v>
      </c>
    </row>
    <row r="1860" spans="1:17" ht="273.60000000000002" x14ac:dyDescent="0.3">
      <c r="A1860" s="16" t="s">
        <v>7665</v>
      </c>
      <c r="B1860" s="16" t="s">
        <v>7680</v>
      </c>
      <c r="C1860" s="16" t="s">
        <v>7696</v>
      </c>
      <c r="D1860" s="16" t="s">
        <v>7597</v>
      </c>
      <c r="E1860" s="16" t="s">
        <v>5734</v>
      </c>
      <c r="F1860" s="16" t="s">
        <v>5735</v>
      </c>
      <c r="G1860" s="16" t="s">
        <v>9336</v>
      </c>
      <c r="H1860" s="16"/>
      <c r="I1860" s="16"/>
      <c r="J1860" s="16"/>
      <c r="K1860" s="16"/>
      <c r="L1860" s="16"/>
      <c r="M1860" s="19" t="s">
        <v>5736</v>
      </c>
      <c r="N1860" s="16"/>
      <c r="O1860" s="16" t="s">
        <v>5737</v>
      </c>
      <c r="P1860" s="16" t="str">
        <f>HYPERLINK("https://ceds.ed.gov/cedselementdetails.aspx?termid=27550")</f>
        <v>https://ceds.ed.gov/cedselementdetails.aspx?termid=27550</v>
      </c>
      <c r="Q1860" s="16">
        <v>74839</v>
      </c>
    </row>
    <row r="1861" spans="1:17" ht="187.2" x14ac:dyDescent="0.3">
      <c r="A1861" s="16" t="s">
        <v>7665</v>
      </c>
      <c r="B1861" s="16" t="s">
        <v>7680</v>
      </c>
      <c r="C1861" s="16" t="s">
        <v>7696</v>
      </c>
      <c r="D1861" s="16" t="s">
        <v>7597</v>
      </c>
      <c r="E1861" s="16" t="s">
        <v>6735</v>
      </c>
      <c r="F1861" s="16" t="s">
        <v>6736</v>
      </c>
      <c r="G1861" s="16" t="s">
        <v>8265</v>
      </c>
      <c r="H1861" s="16" t="s">
        <v>214</v>
      </c>
      <c r="I1861" s="16"/>
      <c r="J1861" s="16"/>
      <c r="K1861" s="16"/>
      <c r="L1861" s="16"/>
      <c r="M1861" s="19" t="s">
        <v>6737</v>
      </c>
      <c r="N1861" s="16"/>
      <c r="O1861" s="16" t="s">
        <v>6738</v>
      </c>
      <c r="P1861" s="16" t="str">
        <f>HYPERLINK("https://ceds.ed.gov/cedselementdetails.aspx?termid=26549")</f>
        <v>https://ceds.ed.gov/cedselementdetails.aspx?termid=26549</v>
      </c>
      <c r="Q1861" s="16">
        <v>74788</v>
      </c>
    </row>
    <row r="1862" spans="1:17" ht="144" x14ac:dyDescent="0.3">
      <c r="A1862" s="16" t="s">
        <v>7665</v>
      </c>
      <c r="B1862" s="16" t="s">
        <v>7680</v>
      </c>
      <c r="C1862" s="16" t="s">
        <v>7697</v>
      </c>
      <c r="D1862" s="16" t="s">
        <v>7597</v>
      </c>
      <c r="E1862" s="16" t="s">
        <v>1392</v>
      </c>
      <c r="F1862" s="16" t="s">
        <v>1393</v>
      </c>
      <c r="G1862" s="16" t="s">
        <v>32</v>
      </c>
      <c r="H1862" s="16" t="s">
        <v>1387</v>
      </c>
      <c r="I1862" s="16"/>
      <c r="J1862" s="16" t="s">
        <v>145</v>
      </c>
      <c r="K1862" s="16"/>
      <c r="L1862" s="16"/>
      <c r="M1862" s="19" t="s">
        <v>1395</v>
      </c>
      <c r="N1862" s="16"/>
      <c r="O1862" s="16" t="s">
        <v>1396</v>
      </c>
      <c r="P1862" s="16" t="str">
        <f>HYPERLINK("https://ceds.ed.gov/cedselementdetails.aspx?termid=26028")</f>
        <v>https://ceds.ed.gov/cedselementdetails.aspx?termid=26028</v>
      </c>
      <c r="Q1862" s="16">
        <v>74769</v>
      </c>
    </row>
    <row r="1863" spans="1:17" ht="144" x14ac:dyDescent="0.3">
      <c r="A1863" s="16" t="s">
        <v>7665</v>
      </c>
      <c r="B1863" s="16" t="s">
        <v>7680</v>
      </c>
      <c r="C1863" s="16" t="s">
        <v>7697</v>
      </c>
      <c r="D1863" s="16" t="s">
        <v>7597</v>
      </c>
      <c r="E1863" s="16" t="s">
        <v>383</v>
      </c>
      <c r="F1863" s="16" t="s">
        <v>384</v>
      </c>
      <c r="G1863" s="16" t="s">
        <v>8323</v>
      </c>
      <c r="H1863" s="16" t="s">
        <v>84</v>
      </c>
      <c r="I1863" s="16"/>
      <c r="J1863" s="16"/>
      <c r="K1863" s="16"/>
      <c r="L1863" s="16"/>
      <c r="M1863" s="19" t="s">
        <v>386</v>
      </c>
      <c r="N1863" s="16"/>
      <c r="O1863" s="16" t="s">
        <v>387</v>
      </c>
      <c r="P1863" s="16" t="str">
        <f>HYPERLINK("https://ceds.ed.gov/cedselementdetails.aspx?termid=26374")</f>
        <v>https://ceds.ed.gov/cedselementdetails.aspx?termid=26374</v>
      </c>
      <c r="Q1863" s="16">
        <v>74782</v>
      </c>
    </row>
    <row r="1864" spans="1:17" ht="409.6" x14ac:dyDescent="0.3">
      <c r="A1864" s="16" t="s">
        <v>7665</v>
      </c>
      <c r="B1864" s="16" t="s">
        <v>7680</v>
      </c>
      <c r="C1864" s="16" t="s">
        <v>7697</v>
      </c>
      <c r="D1864" s="16" t="s">
        <v>7597</v>
      </c>
      <c r="E1864" s="16" t="s">
        <v>12931</v>
      </c>
      <c r="F1864" s="16" t="s">
        <v>13073</v>
      </c>
      <c r="G1864" s="16" t="s">
        <v>13480</v>
      </c>
      <c r="H1864" s="16" t="s">
        <v>84</v>
      </c>
      <c r="I1864" s="16" t="s">
        <v>160</v>
      </c>
      <c r="J1864" s="16"/>
      <c r="K1864" s="16" t="s">
        <v>12932</v>
      </c>
      <c r="L1864" s="16"/>
      <c r="M1864" s="19" t="s">
        <v>83</v>
      </c>
      <c r="N1864" s="16"/>
      <c r="O1864" s="16" t="s">
        <v>13074</v>
      </c>
      <c r="P1864" s="16" t="str">
        <f>HYPERLINK("https://ceds.ed.gov/cedselementdetails.aspx?termid=26376")</f>
        <v>https://ceds.ed.gov/cedselementdetails.aspx?termid=26376</v>
      </c>
      <c r="Q1864" s="16">
        <v>74784</v>
      </c>
    </row>
    <row r="1865" spans="1:17" ht="43.2" x14ac:dyDescent="0.3">
      <c r="A1865" s="16" t="s">
        <v>7665</v>
      </c>
      <c r="B1865" s="16" t="s">
        <v>7680</v>
      </c>
      <c r="C1865" s="16" t="s">
        <v>7697</v>
      </c>
      <c r="D1865" s="16" t="s">
        <v>7597</v>
      </c>
      <c r="E1865" s="16" t="s">
        <v>12929</v>
      </c>
      <c r="F1865" s="16" t="s">
        <v>13071</v>
      </c>
      <c r="G1865" s="16" t="s">
        <v>32</v>
      </c>
      <c r="H1865" s="16"/>
      <c r="I1865" s="16" t="s">
        <v>160</v>
      </c>
      <c r="J1865" s="16" t="s">
        <v>316</v>
      </c>
      <c r="K1865" s="16" t="s">
        <v>12930</v>
      </c>
      <c r="L1865" s="16"/>
      <c r="M1865" s="19" t="s">
        <v>82</v>
      </c>
      <c r="N1865" s="16"/>
      <c r="O1865" s="16" t="s">
        <v>13072</v>
      </c>
      <c r="P1865" s="16" t="str">
        <f>HYPERLINK("https://ceds.ed.gov/cedselementdetails.aspx?termid=27116")</f>
        <v>https://ceds.ed.gov/cedselementdetails.aspx?termid=27116</v>
      </c>
      <c r="Q1865" s="16">
        <v>74813</v>
      </c>
    </row>
    <row r="1866" spans="1:17" ht="273.60000000000002" x14ac:dyDescent="0.3">
      <c r="A1866" s="16" t="s">
        <v>7665</v>
      </c>
      <c r="B1866" s="16" t="s">
        <v>7680</v>
      </c>
      <c r="C1866" s="16" t="s">
        <v>7697</v>
      </c>
      <c r="D1866" s="16" t="s">
        <v>7597</v>
      </c>
      <c r="E1866" s="16" t="s">
        <v>7882</v>
      </c>
      <c r="F1866" s="16" t="s">
        <v>7883</v>
      </c>
      <c r="G1866" s="16" t="s">
        <v>8210</v>
      </c>
      <c r="H1866" s="16" t="s">
        <v>1199</v>
      </c>
      <c r="I1866" s="16"/>
      <c r="J1866" s="16"/>
      <c r="K1866" s="16"/>
      <c r="L1866" s="16"/>
      <c r="M1866" s="19" t="s">
        <v>1401</v>
      </c>
      <c r="N1866" s="16"/>
      <c r="O1866" s="16" t="s">
        <v>7884</v>
      </c>
      <c r="P1866" s="16" t="str">
        <f>HYPERLINK("https://ceds.ed.gov/cedselementdetails.aspx?termid=26405")</f>
        <v>https://ceds.ed.gov/cedselementdetails.aspx?termid=26405</v>
      </c>
      <c r="Q1866" s="16">
        <v>74785</v>
      </c>
    </row>
    <row r="1867" spans="1:17" x14ac:dyDescent="0.3">
      <c r="A1867" s="16" t="s">
        <v>7665</v>
      </c>
      <c r="B1867" s="16" t="s">
        <v>7680</v>
      </c>
      <c r="C1867" s="16" t="s">
        <v>7697</v>
      </c>
      <c r="D1867" s="16" t="s">
        <v>7597</v>
      </c>
      <c r="E1867" s="16" t="s">
        <v>4388</v>
      </c>
      <c r="F1867" s="16" t="s">
        <v>12998</v>
      </c>
      <c r="G1867" s="16"/>
      <c r="H1867" s="16"/>
      <c r="I1867" s="16"/>
      <c r="J1867" s="16"/>
      <c r="K1867" s="16"/>
      <c r="L1867" s="16"/>
      <c r="M1867" s="19"/>
      <c r="N1867" s="16"/>
      <c r="O1867" s="16"/>
      <c r="P1867" s="16"/>
      <c r="Q1867" s="16"/>
    </row>
    <row r="1868" spans="1:17" ht="28.8" x14ac:dyDescent="0.3">
      <c r="A1868" s="16" t="s">
        <v>12999</v>
      </c>
      <c r="B1868" s="16"/>
      <c r="C1868" s="16"/>
      <c r="D1868" s="16"/>
      <c r="E1868" s="16"/>
      <c r="F1868" s="16"/>
      <c r="G1868" s="16"/>
      <c r="H1868" s="16"/>
      <c r="I1868" s="16"/>
      <c r="J1868" s="16"/>
      <c r="K1868" s="16"/>
      <c r="L1868" s="16"/>
      <c r="M1868" s="19"/>
      <c r="N1868" s="16"/>
      <c r="O1868" s="16"/>
      <c r="P1868" s="16"/>
      <c r="Q1868" s="16"/>
    </row>
    <row r="1869" spans="1:17" ht="43.2" x14ac:dyDescent="0.3">
      <c r="A1869" s="16" t="s">
        <v>13000</v>
      </c>
      <c r="B1869" s="16" t="s">
        <v>32</v>
      </c>
      <c r="C1869" s="16"/>
      <c r="D1869" s="16"/>
      <c r="E1869" s="16" t="s">
        <v>316</v>
      </c>
      <c r="F1869" s="16"/>
      <c r="G1869" s="16"/>
      <c r="H1869" s="16">
        <v>1687</v>
      </c>
      <c r="I1869" s="16"/>
      <c r="J1869" s="16" t="s">
        <v>4390</v>
      </c>
      <c r="K1869" s="16" t="str">
        <f>HYPERLINK("https://ceds.ed.gov/cedselementdetails.aspx?termid=27668")</f>
        <v>https://ceds.ed.gov/cedselementdetails.aspx?termid=27668</v>
      </c>
      <c r="L1869" s="16">
        <v>74934</v>
      </c>
      <c r="M1869" s="19"/>
      <c r="N1869" s="16"/>
      <c r="O1869" s="16"/>
      <c r="P1869" s="16"/>
      <c r="Q1869" s="16"/>
    </row>
    <row r="1870" spans="1:17" ht="72" x14ac:dyDescent="0.3">
      <c r="A1870" s="16" t="s">
        <v>7665</v>
      </c>
      <c r="B1870" s="16" t="s">
        <v>7680</v>
      </c>
      <c r="C1870" s="16" t="s">
        <v>7698</v>
      </c>
      <c r="D1870" s="16" t="s">
        <v>7597</v>
      </c>
      <c r="E1870" s="16" t="s">
        <v>4650</v>
      </c>
      <c r="F1870" s="16" t="s">
        <v>4651</v>
      </c>
      <c r="G1870" s="16" t="s">
        <v>8659</v>
      </c>
      <c r="H1870" s="16"/>
      <c r="I1870" s="16"/>
      <c r="J1870" s="16"/>
      <c r="K1870" s="16"/>
      <c r="L1870" s="16"/>
      <c r="M1870" s="19" t="s">
        <v>4653</v>
      </c>
      <c r="N1870" s="16"/>
      <c r="O1870" s="16" t="s">
        <v>4654</v>
      </c>
      <c r="P1870" s="16" t="str">
        <f>HYPERLINK("https://ceds.ed.gov/cedselementdetails.aspx?termid=27682")</f>
        <v>https://ceds.ed.gov/cedselementdetails.aspx?termid=27682</v>
      </c>
      <c r="Q1870" s="16">
        <v>74959</v>
      </c>
    </row>
    <row r="1871" spans="1:17" ht="72" x14ac:dyDescent="0.3">
      <c r="A1871" s="16" t="s">
        <v>7665</v>
      </c>
      <c r="B1871" s="16" t="s">
        <v>7680</v>
      </c>
      <c r="C1871" s="16" t="s">
        <v>7698</v>
      </c>
      <c r="D1871" s="16" t="s">
        <v>7597</v>
      </c>
      <c r="E1871" s="16" t="s">
        <v>4637</v>
      </c>
      <c r="F1871" s="16" t="s">
        <v>4638</v>
      </c>
      <c r="G1871" s="16" t="s">
        <v>32</v>
      </c>
      <c r="H1871" s="16"/>
      <c r="I1871" s="16"/>
      <c r="J1871" s="16" t="s">
        <v>106</v>
      </c>
      <c r="K1871" s="16"/>
      <c r="L1871" s="16"/>
      <c r="M1871" s="19" t="s">
        <v>4640</v>
      </c>
      <c r="N1871" s="16"/>
      <c r="O1871" s="16" t="s">
        <v>4641</v>
      </c>
      <c r="P1871" s="16" t="str">
        <f>HYPERLINK("https://ceds.ed.gov/cedselementdetails.aspx?termid=27680")</f>
        <v>https://ceds.ed.gov/cedselementdetails.aspx?termid=27680</v>
      </c>
      <c r="Q1871" s="16">
        <v>74955</v>
      </c>
    </row>
    <row r="1872" spans="1:17" ht="72" x14ac:dyDescent="0.3">
      <c r="A1872" s="16" t="s">
        <v>7665</v>
      </c>
      <c r="B1872" s="16" t="s">
        <v>7680</v>
      </c>
      <c r="C1872" s="16" t="s">
        <v>7698</v>
      </c>
      <c r="D1872" s="16" t="s">
        <v>7597</v>
      </c>
      <c r="E1872" s="16" t="s">
        <v>4642</v>
      </c>
      <c r="F1872" s="16" t="s">
        <v>4643</v>
      </c>
      <c r="G1872" s="16" t="s">
        <v>32</v>
      </c>
      <c r="H1872" s="16"/>
      <c r="I1872" s="16"/>
      <c r="J1872" s="16" t="s">
        <v>316</v>
      </c>
      <c r="K1872" s="16"/>
      <c r="L1872" s="16"/>
      <c r="M1872" s="19" t="s">
        <v>4644</v>
      </c>
      <c r="N1872" s="16"/>
      <c r="O1872" s="16" t="s">
        <v>4645</v>
      </c>
      <c r="P1872" s="16" t="str">
        <f>HYPERLINK("https://ceds.ed.gov/cedselementdetails.aspx?termid=27681")</f>
        <v>https://ceds.ed.gov/cedselementdetails.aspx?termid=27681</v>
      </c>
      <c r="Q1872" s="16">
        <v>74956</v>
      </c>
    </row>
    <row r="1873" spans="1:17" ht="57.6" x14ac:dyDescent="0.3">
      <c r="A1873" s="16" t="s">
        <v>7665</v>
      </c>
      <c r="B1873" s="16" t="s">
        <v>7680</v>
      </c>
      <c r="C1873" s="16" t="s">
        <v>7699</v>
      </c>
      <c r="D1873" s="16" t="s">
        <v>7597</v>
      </c>
      <c r="E1873" s="16" t="s">
        <v>4407</v>
      </c>
      <c r="F1873" s="16" t="s">
        <v>4408</v>
      </c>
      <c r="G1873" s="16" t="s">
        <v>8639</v>
      </c>
      <c r="H1873" s="16"/>
      <c r="I1873" s="16"/>
      <c r="J1873" s="16"/>
      <c r="K1873" s="16"/>
      <c r="L1873" s="16"/>
      <c r="M1873" s="19" t="s">
        <v>4409</v>
      </c>
      <c r="N1873" s="16"/>
      <c r="O1873" s="16" t="s">
        <v>4410</v>
      </c>
      <c r="P1873" s="16" t="str">
        <f>HYPERLINK("https://ceds.ed.gov/cedselementdetails.aspx?termid=27679")</f>
        <v>https://ceds.ed.gov/cedselementdetails.aspx?termid=27679</v>
      </c>
      <c r="Q1873" s="16">
        <v>74940</v>
      </c>
    </row>
    <row r="1874" spans="1:17" ht="28.8" x14ac:dyDescent="0.3">
      <c r="A1874" s="16" t="s">
        <v>7665</v>
      </c>
      <c r="B1874" s="16" t="s">
        <v>7680</v>
      </c>
      <c r="C1874" s="16" t="s">
        <v>7699</v>
      </c>
      <c r="D1874" s="16" t="s">
        <v>7597</v>
      </c>
      <c r="E1874" s="16" t="s">
        <v>4069</v>
      </c>
      <c r="F1874" s="16" t="s">
        <v>4070</v>
      </c>
      <c r="G1874" s="16" t="s">
        <v>32</v>
      </c>
      <c r="H1874" s="16"/>
      <c r="I1874" s="16"/>
      <c r="J1874" s="16" t="s">
        <v>101</v>
      </c>
      <c r="K1874" s="16"/>
      <c r="L1874" s="16"/>
      <c r="M1874" s="19" t="s">
        <v>4071</v>
      </c>
      <c r="N1874" s="16"/>
      <c r="O1874" s="16" t="s">
        <v>4072</v>
      </c>
      <c r="P1874" s="16" t="str">
        <f>HYPERLINK("https://ceds.ed.gov/cedselementdetails.aspx?termid=26903")</f>
        <v>https://ceds.ed.gov/cedselementdetails.aspx?termid=26903</v>
      </c>
      <c r="Q1874" s="16">
        <v>74809</v>
      </c>
    </row>
    <row r="1875" spans="1:17" ht="28.8" x14ac:dyDescent="0.3">
      <c r="A1875" s="16" t="s">
        <v>7665</v>
      </c>
      <c r="B1875" s="16" t="s">
        <v>7680</v>
      </c>
      <c r="C1875" s="16" t="s">
        <v>7699</v>
      </c>
      <c r="D1875" s="16" t="s">
        <v>7597</v>
      </c>
      <c r="E1875" s="16" t="s">
        <v>4108</v>
      </c>
      <c r="F1875" s="16" t="s">
        <v>4109</v>
      </c>
      <c r="G1875" s="16" t="s">
        <v>32</v>
      </c>
      <c r="H1875" s="16"/>
      <c r="I1875" s="16"/>
      <c r="J1875" s="16" t="s">
        <v>106</v>
      </c>
      <c r="K1875" s="16"/>
      <c r="L1875" s="16"/>
      <c r="M1875" s="19" t="s">
        <v>4110</v>
      </c>
      <c r="N1875" s="16"/>
      <c r="O1875" s="16" t="s">
        <v>4111</v>
      </c>
      <c r="P1875" s="16" t="str">
        <f>HYPERLINK("https://ceds.ed.gov/cedselementdetails.aspx?termid=27169")</f>
        <v>https://ceds.ed.gov/cedselementdetails.aspx?termid=27169</v>
      </c>
      <c r="Q1875" s="16">
        <v>74816</v>
      </c>
    </row>
    <row r="1876" spans="1:17" ht="100.8" x14ac:dyDescent="0.3">
      <c r="A1876" s="16" t="s">
        <v>7665</v>
      </c>
      <c r="B1876" s="16" t="s">
        <v>7680</v>
      </c>
      <c r="C1876" s="16" t="s">
        <v>7699</v>
      </c>
      <c r="D1876" s="16" t="s">
        <v>7597</v>
      </c>
      <c r="E1876" s="16" t="s">
        <v>4073</v>
      </c>
      <c r="F1876" s="16" t="s">
        <v>4074</v>
      </c>
      <c r="G1876" s="16" t="s">
        <v>32</v>
      </c>
      <c r="H1876" s="16"/>
      <c r="I1876" s="16"/>
      <c r="J1876" s="16" t="s">
        <v>106</v>
      </c>
      <c r="K1876" s="16"/>
      <c r="L1876" s="16" t="s">
        <v>4075</v>
      </c>
      <c r="M1876" s="19" t="s">
        <v>4076</v>
      </c>
      <c r="N1876" s="16"/>
      <c r="O1876" s="16" t="s">
        <v>4077</v>
      </c>
      <c r="P1876" s="16" t="str">
        <f>HYPERLINK("https://ceds.ed.gov/cedselementdetails.aspx?termid=27170")</f>
        <v>https://ceds.ed.gov/cedselementdetails.aspx?termid=27170</v>
      </c>
      <c r="Q1876" s="16">
        <v>74819</v>
      </c>
    </row>
    <row r="1877" spans="1:17" ht="43.2" x14ac:dyDescent="0.3">
      <c r="A1877" s="16" t="s">
        <v>7665</v>
      </c>
      <c r="B1877" s="16" t="s">
        <v>7680</v>
      </c>
      <c r="C1877" s="16" t="s">
        <v>7699</v>
      </c>
      <c r="D1877" s="16" t="s">
        <v>7597</v>
      </c>
      <c r="E1877" s="16" t="s">
        <v>4112</v>
      </c>
      <c r="F1877" s="16" t="s">
        <v>4113</v>
      </c>
      <c r="G1877" s="16" t="s">
        <v>32</v>
      </c>
      <c r="H1877" s="16"/>
      <c r="I1877" s="16"/>
      <c r="J1877" s="16" t="s">
        <v>316</v>
      </c>
      <c r="K1877" s="16"/>
      <c r="L1877" s="16"/>
      <c r="M1877" s="19" t="s">
        <v>4115</v>
      </c>
      <c r="N1877" s="16"/>
      <c r="O1877" s="16" t="s">
        <v>4116</v>
      </c>
      <c r="P1877" s="16" t="str">
        <f>HYPERLINK("https://ceds.ed.gov/cedselementdetails.aspx?termid=27684")</f>
        <v>https://ceds.ed.gov/cedselementdetails.aspx?termid=27684</v>
      </c>
      <c r="Q1877" s="16">
        <v>74929</v>
      </c>
    </row>
    <row r="1878" spans="1:17" ht="72" x14ac:dyDescent="0.3">
      <c r="A1878" s="16" t="s">
        <v>7665</v>
      </c>
      <c r="B1878" s="16" t="s">
        <v>7680</v>
      </c>
      <c r="C1878" s="16" t="s">
        <v>7699</v>
      </c>
      <c r="D1878" s="16" t="s">
        <v>7597</v>
      </c>
      <c r="E1878" s="16" t="s">
        <v>4117</v>
      </c>
      <c r="F1878" s="16" t="s">
        <v>4118</v>
      </c>
      <c r="G1878" s="16" t="s">
        <v>8611</v>
      </c>
      <c r="H1878" s="16"/>
      <c r="I1878" s="16"/>
      <c r="J1878" s="16"/>
      <c r="K1878" s="16"/>
      <c r="L1878" s="16"/>
      <c r="M1878" s="19" t="s">
        <v>4119</v>
      </c>
      <c r="N1878" s="16"/>
      <c r="O1878" s="16" t="s">
        <v>4120</v>
      </c>
      <c r="P1878" s="16" t="str">
        <f>HYPERLINK("https://ceds.ed.gov/cedselementdetails.aspx?termid=27683")</f>
        <v>https://ceds.ed.gov/cedselementdetails.aspx?termid=27683</v>
      </c>
      <c r="Q1878" s="16">
        <v>74930</v>
      </c>
    </row>
    <row r="1879" spans="1:17" ht="43.2" x14ac:dyDescent="0.3">
      <c r="A1879" s="16" t="s">
        <v>7665</v>
      </c>
      <c r="B1879" s="16" t="s">
        <v>7680</v>
      </c>
      <c r="C1879" s="16" t="s">
        <v>7699</v>
      </c>
      <c r="D1879" s="16" t="s">
        <v>7597</v>
      </c>
      <c r="E1879" s="16" t="s">
        <v>4064</v>
      </c>
      <c r="F1879" s="16" t="s">
        <v>4065</v>
      </c>
      <c r="G1879" s="16" t="s">
        <v>32</v>
      </c>
      <c r="H1879" s="16"/>
      <c r="I1879" s="16"/>
      <c r="J1879" s="16" t="s">
        <v>316</v>
      </c>
      <c r="K1879" s="16"/>
      <c r="L1879" s="16"/>
      <c r="M1879" s="19" t="s">
        <v>4067</v>
      </c>
      <c r="N1879" s="16"/>
      <c r="O1879" s="16" t="s">
        <v>4068</v>
      </c>
      <c r="P1879" s="16" t="str">
        <f>HYPERLINK("https://ceds.ed.gov/cedselementdetails.aspx?termid=27671")</f>
        <v>https://ceds.ed.gov/cedselementdetails.aspx?termid=27671</v>
      </c>
      <c r="Q1879" s="16">
        <v>74921</v>
      </c>
    </row>
    <row r="1880" spans="1:17" ht="43.2" x14ac:dyDescent="0.3">
      <c r="A1880" s="16" t="s">
        <v>7665</v>
      </c>
      <c r="B1880" s="16" t="s">
        <v>7680</v>
      </c>
      <c r="C1880" s="16" t="s">
        <v>7699</v>
      </c>
      <c r="D1880" s="16" t="s">
        <v>7597</v>
      </c>
      <c r="E1880" s="16" t="s">
        <v>4121</v>
      </c>
      <c r="F1880" s="16" t="s">
        <v>4122</v>
      </c>
      <c r="G1880" s="16" t="s">
        <v>32</v>
      </c>
      <c r="H1880" s="16"/>
      <c r="I1880" s="16"/>
      <c r="J1880" s="16" t="s">
        <v>101</v>
      </c>
      <c r="K1880" s="16"/>
      <c r="L1880" s="16"/>
      <c r="M1880" s="19" t="s">
        <v>4123</v>
      </c>
      <c r="N1880" s="16"/>
      <c r="O1880" s="16" t="s">
        <v>4124</v>
      </c>
      <c r="P1880" s="16" t="str">
        <f>HYPERLINK("https://ceds.ed.gov/cedselementdetails.aspx?termid=26902")</f>
        <v>https://ceds.ed.gov/cedselementdetails.aspx?termid=26902</v>
      </c>
      <c r="Q1880" s="16">
        <v>74808</v>
      </c>
    </row>
    <row r="1881" spans="1:17" ht="72" x14ac:dyDescent="0.3">
      <c r="A1881" s="16" t="s">
        <v>7665</v>
      </c>
      <c r="B1881" s="16" t="s">
        <v>7680</v>
      </c>
      <c r="C1881" s="16" t="s">
        <v>7699</v>
      </c>
      <c r="D1881" s="16" t="s">
        <v>7597</v>
      </c>
      <c r="E1881" s="16" t="s">
        <v>2139</v>
      </c>
      <c r="F1881" s="16" t="s">
        <v>2140</v>
      </c>
      <c r="G1881" s="16" t="s">
        <v>32</v>
      </c>
      <c r="H1881" s="16"/>
      <c r="I1881" s="16"/>
      <c r="J1881" s="16" t="s">
        <v>81</v>
      </c>
      <c r="K1881" s="16"/>
      <c r="L1881" s="16" t="s">
        <v>7904</v>
      </c>
      <c r="M1881" s="19" t="s">
        <v>2142</v>
      </c>
      <c r="N1881" s="16" t="s">
        <v>2143</v>
      </c>
      <c r="O1881" s="16" t="s">
        <v>2144</v>
      </c>
      <c r="P1881" s="16" t="str">
        <f>HYPERLINK("https://ceds.ed.gov/cedselementdetails.aspx?termid=26669")</f>
        <v>https://ceds.ed.gov/cedselementdetails.aspx?termid=26669</v>
      </c>
      <c r="Q1881" s="16">
        <v>74795</v>
      </c>
    </row>
    <row r="1882" spans="1:17" ht="201.6" x14ac:dyDescent="0.3">
      <c r="A1882" s="16" t="s">
        <v>7665</v>
      </c>
      <c r="B1882" s="16" t="s">
        <v>7680</v>
      </c>
      <c r="C1882" s="16" t="s">
        <v>7699</v>
      </c>
      <c r="D1882" s="16" t="s">
        <v>7597</v>
      </c>
      <c r="E1882" s="16" t="s">
        <v>2232</v>
      </c>
      <c r="F1882" s="16" t="s">
        <v>2233</v>
      </c>
      <c r="G1882" s="16" t="s">
        <v>32</v>
      </c>
      <c r="H1882" s="16" t="s">
        <v>779</v>
      </c>
      <c r="I1882" s="16"/>
      <c r="J1882" s="16" t="s">
        <v>316</v>
      </c>
      <c r="K1882" s="16"/>
      <c r="L1882" s="16" t="s">
        <v>7907</v>
      </c>
      <c r="M1882" s="19" t="s">
        <v>2234</v>
      </c>
      <c r="N1882" s="16" t="s">
        <v>2235</v>
      </c>
      <c r="O1882" s="16" t="s">
        <v>2236</v>
      </c>
      <c r="P1882" s="16" t="str">
        <f>HYPERLINK("https://ceds.ed.gov/cedselementdetails.aspx?termid=26667")</f>
        <v>https://ceds.ed.gov/cedselementdetails.aspx?termid=26667</v>
      </c>
      <c r="Q1882" s="16">
        <v>74793</v>
      </c>
    </row>
    <row r="1883" spans="1:17" ht="86.4" x14ac:dyDescent="0.3">
      <c r="A1883" s="16" t="s">
        <v>7665</v>
      </c>
      <c r="B1883" s="16" t="s">
        <v>7680</v>
      </c>
      <c r="C1883" s="16" t="s">
        <v>7699</v>
      </c>
      <c r="D1883" s="16" t="s">
        <v>7597</v>
      </c>
      <c r="E1883" s="16" t="s">
        <v>2277</v>
      </c>
      <c r="F1883" s="16" t="s">
        <v>2278</v>
      </c>
      <c r="G1883" s="16" t="s">
        <v>32</v>
      </c>
      <c r="H1883" s="16"/>
      <c r="I1883" s="16"/>
      <c r="J1883" s="16" t="s">
        <v>50</v>
      </c>
      <c r="K1883" s="16"/>
      <c r="L1883" s="16" t="s">
        <v>124</v>
      </c>
      <c r="M1883" s="19" t="s">
        <v>2280</v>
      </c>
      <c r="N1883" s="16" t="s">
        <v>2281</v>
      </c>
      <c r="O1883" s="16" t="s">
        <v>2282</v>
      </c>
      <c r="P1883" s="16" t="str">
        <f>HYPERLINK("https://ceds.ed.gov/cedselementdetails.aspx?termid=26874")</f>
        <v>https://ceds.ed.gov/cedselementdetails.aspx?termid=26874</v>
      </c>
      <c r="Q1883" s="16">
        <v>74804</v>
      </c>
    </row>
    <row r="1884" spans="1:17" ht="28.8" x14ac:dyDescent="0.3">
      <c r="A1884" s="16" t="s">
        <v>7665</v>
      </c>
      <c r="B1884" s="16" t="s">
        <v>7680</v>
      </c>
      <c r="C1884" s="16" t="s">
        <v>7700</v>
      </c>
      <c r="D1884" s="16" t="s">
        <v>7597</v>
      </c>
      <c r="E1884" s="16" t="s">
        <v>4604</v>
      </c>
      <c r="F1884" s="16" t="s">
        <v>4605</v>
      </c>
      <c r="G1884" s="16" t="s">
        <v>32</v>
      </c>
      <c r="H1884" s="16"/>
      <c r="I1884" s="16"/>
      <c r="J1884" s="16" t="s">
        <v>316</v>
      </c>
      <c r="K1884" s="16"/>
      <c r="L1884" s="16"/>
      <c r="M1884" s="19" t="s">
        <v>4607</v>
      </c>
      <c r="N1884" s="16"/>
      <c r="O1884" s="16" t="s">
        <v>4608</v>
      </c>
      <c r="P1884" s="16" t="str">
        <f>HYPERLINK("https://ceds.ed.gov/cedselementdetails.aspx?termid=27670")</f>
        <v>https://ceds.ed.gov/cedselementdetails.aspx?termid=27670</v>
      </c>
      <c r="Q1884" s="16">
        <v>74951</v>
      </c>
    </row>
    <row r="1885" spans="1:17" ht="43.2" x14ac:dyDescent="0.3">
      <c r="A1885" s="16" t="s">
        <v>7665</v>
      </c>
      <c r="B1885" s="16" t="s">
        <v>7680</v>
      </c>
      <c r="C1885" s="16" t="s">
        <v>7700</v>
      </c>
      <c r="D1885" s="16" t="s">
        <v>7597</v>
      </c>
      <c r="E1885" s="16" t="s">
        <v>4609</v>
      </c>
      <c r="F1885" s="16" t="s">
        <v>4610</v>
      </c>
      <c r="G1885" s="16" t="s">
        <v>32</v>
      </c>
      <c r="H1885" s="16"/>
      <c r="I1885" s="16"/>
      <c r="J1885" s="16" t="s">
        <v>316</v>
      </c>
      <c r="K1885" s="16"/>
      <c r="L1885" s="16"/>
      <c r="M1885" s="19" t="s">
        <v>4611</v>
      </c>
      <c r="N1885" s="16"/>
      <c r="O1885" s="16" t="s">
        <v>4612</v>
      </c>
      <c r="P1885" s="16" t="str">
        <f>HYPERLINK("https://ceds.ed.gov/cedselementdetails.aspx?termid=27669")</f>
        <v>https://ceds.ed.gov/cedselementdetails.aspx?termid=27669</v>
      </c>
      <c r="Q1885" s="16">
        <v>74952</v>
      </c>
    </row>
    <row r="1886" spans="1:17" ht="409.6" x14ac:dyDescent="0.3">
      <c r="A1886" s="16" t="s">
        <v>7665</v>
      </c>
      <c r="B1886" s="16" t="s">
        <v>7680</v>
      </c>
      <c r="C1886" s="16" t="s">
        <v>7701</v>
      </c>
      <c r="D1886" s="16" t="s">
        <v>7597</v>
      </c>
      <c r="E1886" s="16" t="s">
        <v>3135</v>
      </c>
      <c r="F1886" s="16" t="s">
        <v>3136</v>
      </c>
      <c r="G1886" s="16" t="s">
        <v>9429</v>
      </c>
      <c r="H1886" s="16" t="s">
        <v>25</v>
      </c>
      <c r="I1886" s="16"/>
      <c r="J1886" s="16"/>
      <c r="K1886" s="16"/>
      <c r="L1886" s="16"/>
      <c r="M1886" s="19" t="s">
        <v>3137</v>
      </c>
      <c r="N1886" s="16"/>
      <c r="O1886" s="16" t="s">
        <v>3138</v>
      </c>
      <c r="P1886" s="16" t="str">
        <f>HYPERLINK("https://ceds.ed.gov/cedselementdetails.aspx?termid=26479")</f>
        <v>https://ceds.ed.gov/cedselementdetails.aspx?termid=26479</v>
      </c>
      <c r="Q1886" s="16">
        <v>71855</v>
      </c>
    </row>
    <row r="1887" spans="1:17" ht="115.2" x14ac:dyDescent="0.3">
      <c r="A1887" s="16" t="s">
        <v>7665</v>
      </c>
      <c r="B1887" s="16" t="s">
        <v>7680</v>
      </c>
      <c r="C1887" s="16" t="s">
        <v>7701</v>
      </c>
      <c r="D1887" s="16" t="s">
        <v>7597</v>
      </c>
      <c r="E1887" s="16" t="s">
        <v>3151</v>
      </c>
      <c r="F1887" s="16" t="s">
        <v>3152</v>
      </c>
      <c r="G1887" s="16" t="s">
        <v>8512</v>
      </c>
      <c r="H1887" s="16" t="s">
        <v>214</v>
      </c>
      <c r="I1887" s="16"/>
      <c r="J1887" s="16"/>
      <c r="K1887" s="16"/>
      <c r="L1887" s="16"/>
      <c r="M1887" s="19" t="s">
        <v>3153</v>
      </c>
      <c r="N1887" s="16"/>
      <c r="O1887" s="16" t="s">
        <v>3154</v>
      </c>
      <c r="P1887" s="16" t="str">
        <f>HYPERLINK("https://ceds.ed.gov/cedselementdetails.aspx?termid=26536")</f>
        <v>https://ceds.ed.gov/cedselementdetails.aspx?termid=26536</v>
      </c>
      <c r="Q1887" s="16">
        <v>71869</v>
      </c>
    </row>
    <row r="1888" spans="1:17" ht="28.8" x14ac:dyDescent="0.3">
      <c r="A1888" s="16" t="s">
        <v>7665</v>
      </c>
      <c r="B1888" s="16" t="s">
        <v>7680</v>
      </c>
      <c r="C1888" s="16" t="s">
        <v>7701</v>
      </c>
      <c r="D1888" s="16" t="s">
        <v>7597</v>
      </c>
      <c r="E1888" s="16" t="s">
        <v>3131</v>
      </c>
      <c r="F1888" s="16" t="s">
        <v>3132</v>
      </c>
      <c r="G1888" s="16" t="s">
        <v>32</v>
      </c>
      <c r="H1888" s="16" t="s">
        <v>25</v>
      </c>
      <c r="I1888" s="16"/>
      <c r="J1888" s="16" t="s">
        <v>106</v>
      </c>
      <c r="K1888" s="16"/>
      <c r="L1888" s="16"/>
      <c r="M1888" s="19" t="s">
        <v>3133</v>
      </c>
      <c r="N1888" s="16"/>
      <c r="O1888" s="16" t="s">
        <v>3134</v>
      </c>
      <c r="P1888" s="16" t="str">
        <f>HYPERLINK("https://ceds.ed.gov/cedselementdetails.aspx?termid=26083")</f>
        <v>https://ceds.ed.gov/cedselementdetails.aspx?termid=26083</v>
      </c>
      <c r="Q1888" s="16">
        <v>71739</v>
      </c>
    </row>
    <row r="1889" spans="1:17" ht="57.6" x14ac:dyDescent="0.3">
      <c r="A1889" s="16" t="s">
        <v>7665</v>
      </c>
      <c r="B1889" s="16" t="s">
        <v>7680</v>
      </c>
      <c r="C1889" s="16" t="s">
        <v>7701</v>
      </c>
      <c r="D1889" s="16" t="s">
        <v>7597</v>
      </c>
      <c r="E1889" s="16" t="s">
        <v>3121</v>
      </c>
      <c r="F1889" s="16" t="s">
        <v>3122</v>
      </c>
      <c r="G1889" s="16" t="s">
        <v>32</v>
      </c>
      <c r="H1889" s="16" t="s">
        <v>25</v>
      </c>
      <c r="I1889" s="16"/>
      <c r="J1889" s="16" t="s">
        <v>106</v>
      </c>
      <c r="K1889" s="16"/>
      <c r="L1889" s="16" t="s">
        <v>131</v>
      </c>
      <c r="M1889" s="19" t="s">
        <v>3124</v>
      </c>
      <c r="N1889" s="16"/>
      <c r="O1889" s="16" t="s">
        <v>3125</v>
      </c>
      <c r="P1889" s="16" t="str">
        <f>HYPERLINK("https://ceds.ed.gov/cedselementdetails.aspx?termid=26082")</f>
        <v>https://ceds.ed.gov/cedselementdetails.aspx?termid=26082</v>
      </c>
      <c r="Q1889" s="16">
        <v>71738</v>
      </c>
    </row>
    <row r="1890" spans="1:17" ht="28.8" x14ac:dyDescent="0.3">
      <c r="A1890" s="16" t="s">
        <v>7665</v>
      </c>
      <c r="B1890" s="16" t="s">
        <v>7680</v>
      </c>
      <c r="C1890" s="16" t="s">
        <v>7701</v>
      </c>
      <c r="D1890" s="16" t="s">
        <v>7597</v>
      </c>
      <c r="E1890" s="16" t="s">
        <v>3207</v>
      </c>
      <c r="F1890" s="16" t="s">
        <v>3208</v>
      </c>
      <c r="G1890" s="16" t="s">
        <v>32</v>
      </c>
      <c r="H1890" s="16"/>
      <c r="I1890" s="16"/>
      <c r="J1890" s="16" t="s">
        <v>1481</v>
      </c>
      <c r="K1890" s="16"/>
      <c r="L1890" s="16"/>
      <c r="M1890" s="19" t="s">
        <v>3209</v>
      </c>
      <c r="N1890" s="16"/>
      <c r="O1890" s="16" t="s">
        <v>3210</v>
      </c>
      <c r="P1890" s="16" t="str">
        <f>HYPERLINK("https://ceds.ed.gov/cedselementdetails.aspx?termid=26502")</f>
        <v>https://ceds.ed.gov/cedselementdetails.aspx?termid=26502</v>
      </c>
      <c r="Q1890" s="16">
        <v>71856</v>
      </c>
    </row>
    <row r="1891" spans="1:17" ht="57.6" x14ac:dyDescent="0.3">
      <c r="A1891" s="16" t="s">
        <v>7665</v>
      </c>
      <c r="B1891" s="16" t="s">
        <v>7680</v>
      </c>
      <c r="C1891" s="16" t="s">
        <v>7701</v>
      </c>
      <c r="D1891" s="16" t="s">
        <v>7597</v>
      </c>
      <c r="E1891" s="16" t="s">
        <v>6673</v>
      </c>
      <c r="F1891" s="16" t="s">
        <v>6674</v>
      </c>
      <c r="G1891" s="16" t="s">
        <v>22</v>
      </c>
      <c r="H1891" s="16"/>
      <c r="I1891" s="16"/>
      <c r="J1891" s="16"/>
      <c r="K1891" s="16"/>
      <c r="L1891" s="16"/>
      <c r="M1891" s="19" t="s">
        <v>6675</v>
      </c>
      <c r="N1891" s="16"/>
      <c r="O1891" s="16" t="s">
        <v>6676</v>
      </c>
      <c r="P1891" s="16" t="str">
        <f>HYPERLINK("https://ceds.ed.gov/cedselementdetails.aspx?termid=26505")</f>
        <v>https://ceds.ed.gov/cedselementdetails.aspx?termid=26505</v>
      </c>
      <c r="Q1891" s="16">
        <v>71859</v>
      </c>
    </row>
    <row r="1892" spans="1:17" ht="244.8" x14ac:dyDescent="0.3">
      <c r="A1892" s="16" t="s">
        <v>7665</v>
      </c>
      <c r="B1892" s="16" t="s">
        <v>7680</v>
      </c>
      <c r="C1892" s="16" t="s">
        <v>7701</v>
      </c>
      <c r="D1892" s="16" t="s">
        <v>7597</v>
      </c>
      <c r="E1892" s="16" t="s">
        <v>3139</v>
      </c>
      <c r="F1892" s="16" t="s">
        <v>3140</v>
      </c>
      <c r="G1892" s="16" t="s">
        <v>8509</v>
      </c>
      <c r="H1892" s="16"/>
      <c r="I1892" s="16"/>
      <c r="J1892" s="16"/>
      <c r="K1892" s="16"/>
      <c r="L1892" s="16"/>
      <c r="M1892" s="19" t="s">
        <v>3141</v>
      </c>
      <c r="N1892" s="16"/>
      <c r="O1892" s="16" t="s">
        <v>3142</v>
      </c>
      <c r="P1892" s="16" t="str">
        <f>HYPERLINK("https://ceds.ed.gov/cedselementdetails.aspx?termid=26602")</f>
        <v>https://ceds.ed.gov/cedselementdetails.aspx?termid=26602</v>
      </c>
      <c r="Q1892" s="16">
        <v>71898</v>
      </c>
    </row>
    <row r="1893" spans="1:17" ht="43.2" x14ac:dyDescent="0.3">
      <c r="A1893" s="16" t="s">
        <v>7665</v>
      </c>
      <c r="B1893" s="16" t="s">
        <v>7680</v>
      </c>
      <c r="C1893" s="16" t="s">
        <v>7701</v>
      </c>
      <c r="D1893" s="16" t="s">
        <v>7597</v>
      </c>
      <c r="E1893" s="16" t="s">
        <v>4033</v>
      </c>
      <c r="F1893" s="16" t="s">
        <v>4034</v>
      </c>
      <c r="G1893" s="16" t="s">
        <v>22</v>
      </c>
      <c r="H1893" s="16"/>
      <c r="I1893" s="16"/>
      <c r="J1893" s="16"/>
      <c r="K1893" s="16"/>
      <c r="L1893" s="16"/>
      <c r="M1893" s="19" t="s">
        <v>4035</v>
      </c>
      <c r="N1893" s="16"/>
      <c r="O1893" s="16" t="s">
        <v>4036</v>
      </c>
      <c r="P1893" s="16" t="str">
        <f>HYPERLINK("https://ceds.ed.gov/cedselementdetails.aspx?termid=26504")</f>
        <v>https://ceds.ed.gov/cedselementdetails.aspx?termid=26504</v>
      </c>
      <c r="Q1893" s="16">
        <v>71858</v>
      </c>
    </row>
    <row r="1894" spans="1:17" ht="57.6" x14ac:dyDescent="0.3">
      <c r="A1894" s="16" t="s">
        <v>7665</v>
      </c>
      <c r="B1894" s="16" t="s">
        <v>7680</v>
      </c>
      <c r="C1894" s="16" t="s">
        <v>7701</v>
      </c>
      <c r="D1894" s="16" t="s">
        <v>7597</v>
      </c>
      <c r="E1894" s="16" t="s">
        <v>6320</v>
      </c>
      <c r="F1894" s="16" t="s">
        <v>6321</v>
      </c>
      <c r="G1894" s="16" t="s">
        <v>22</v>
      </c>
      <c r="H1894" s="16"/>
      <c r="I1894" s="16"/>
      <c r="J1894" s="16"/>
      <c r="K1894" s="16"/>
      <c r="L1894" s="16"/>
      <c r="M1894" s="19" t="s">
        <v>6322</v>
      </c>
      <c r="N1894" s="16"/>
      <c r="O1894" s="16" t="s">
        <v>6323</v>
      </c>
      <c r="P1894" s="16" t="str">
        <f>HYPERLINK("https://ceds.ed.gov/cedselementdetails.aspx?termid=26503")</f>
        <v>https://ceds.ed.gov/cedselementdetails.aspx?termid=26503</v>
      </c>
      <c r="Q1894" s="16">
        <v>71857</v>
      </c>
    </row>
    <row r="1895" spans="1:17" ht="43.2" x14ac:dyDescent="0.3">
      <c r="A1895" s="16" t="s">
        <v>7665</v>
      </c>
      <c r="B1895" s="16" t="s">
        <v>7680</v>
      </c>
      <c r="C1895" s="16" t="s">
        <v>7701</v>
      </c>
      <c r="D1895" s="16" t="s">
        <v>7597</v>
      </c>
      <c r="E1895" s="16" t="s">
        <v>4351</v>
      </c>
      <c r="F1895" s="16" t="s">
        <v>4352</v>
      </c>
      <c r="G1895" s="16" t="s">
        <v>8634</v>
      </c>
      <c r="H1895" s="16" t="s">
        <v>214</v>
      </c>
      <c r="I1895" s="16"/>
      <c r="J1895" s="16"/>
      <c r="K1895" s="16"/>
      <c r="L1895" s="16"/>
      <c r="M1895" s="19" t="s">
        <v>4353</v>
      </c>
      <c r="N1895" s="16"/>
      <c r="O1895" s="16" t="s">
        <v>4354</v>
      </c>
      <c r="P1895" s="16" t="str">
        <f>HYPERLINK("https://ceds.ed.gov/cedselementdetails.aspx?termid=26532")</f>
        <v>https://ceds.ed.gov/cedselementdetails.aspx?termid=26532</v>
      </c>
      <c r="Q1895" s="16">
        <v>71868</v>
      </c>
    </row>
    <row r="1896" spans="1:17" ht="57.6" x14ac:dyDescent="0.3">
      <c r="A1896" s="16" t="s">
        <v>7665</v>
      </c>
      <c r="B1896" s="16" t="s">
        <v>7680</v>
      </c>
      <c r="C1896" s="16" t="s">
        <v>7701</v>
      </c>
      <c r="D1896" s="16" t="s">
        <v>7597</v>
      </c>
      <c r="E1896" s="16" t="s">
        <v>4355</v>
      </c>
      <c r="F1896" s="16" t="s">
        <v>4356</v>
      </c>
      <c r="G1896" s="16" t="s">
        <v>8635</v>
      </c>
      <c r="H1896" s="16" t="s">
        <v>214</v>
      </c>
      <c r="I1896" s="16"/>
      <c r="J1896" s="16"/>
      <c r="K1896" s="16"/>
      <c r="L1896" s="16"/>
      <c r="M1896" s="19" t="s">
        <v>4357</v>
      </c>
      <c r="N1896" s="16"/>
      <c r="O1896" s="16" t="s">
        <v>4358</v>
      </c>
      <c r="P1896" s="16" t="str">
        <f>HYPERLINK("https://ceds.ed.gov/cedselementdetails.aspx?termid=26530")</f>
        <v>https://ceds.ed.gov/cedselementdetails.aspx?termid=26530</v>
      </c>
      <c r="Q1896" s="16">
        <v>71867</v>
      </c>
    </row>
    <row r="1897" spans="1:17" ht="172.8" x14ac:dyDescent="0.3">
      <c r="A1897" s="16" t="s">
        <v>7665</v>
      </c>
      <c r="B1897" s="16" t="s">
        <v>7680</v>
      </c>
      <c r="C1897" s="16" t="s">
        <v>7701</v>
      </c>
      <c r="D1897" s="16" t="s">
        <v>7597</v>
      </c>
      <c r="E1897" s="16" t="s">
        <v>3143</v>
      </c>
      <c r="F1897" s="16" t="s">
        <v>3144</v>
      </c>
      <c r="G1897" s="16" t="s">
        <v>8510</v>
      </c>
      <c r="H1897" s="16" t="s">
        <v>214</v>
      </c>
      <c r="I1897" s="16"/>
      <c r="J1897" s="16"/>
      <c r="K1897" s="16"/>
      <c r="L1897" s="16"/>
      <c r="M1897" s="19" t="s">
        <v>3145</v>
      </c>
      <c r="N1897" s="16"/>
      <c r="O1897" s="16" t="s">
        <v>3146</v>
      </c>
      <c r="P1897" s="16" t="str">
        <f>HYPERLINK("https://ceds.ed.gov/cedselementdetails.aspx?termid=26546")</f>
        <v>https://ceds.ed.gov/cedselementdetails.aspx?termid=26546</v>
      </c>
      <c r="Q1897" s="16">
        <v>71872</v>
      </c>
    </row>
    <row r="1898" spans="1:17" ht="43.2" x14ac:dyDescent="0.3">
      <c r="A1898" s="16" t="s">
        <v>7665</v>
      </c>
      <c r="B1898" s="16" t="s">
        <v>7680</v>
      </c>
      <c r="C1898" s="16" t="s">
        <v>7701</v>
      </c>
      <c r="D1898" s="16" t="s">
        <v>7597</v>
      </c>
      <c r="E1898" s="16" t="s">
        <v>3147</v>
      </c>
      <c r="F1898" s="16" t="s">
        <v>3148</v>
      </c>
      <c r="G1898" s="16" t="s">
        <v>8511</v>
      </c>
      <c r="H1898" s="16" t="s">
        <v>214</v>
      </c>
      <c r="I1898" s="16"/>
      <c r="J1898" s="16"/>
      <c r="K1898" s="16"/>
      <c r="L1898" s="16"/>
      <c r="M1898" s="19" t="s">
        <v>3149</v>
      </c>
      <c r="N1898" s="16"/>
      <c r="O1898" s="16" t="s">
        <v>3150</v>
      </c>
      <c r="P1898" s="16" t="str">
        <f>HYPERLINK("https://ceds.ed.gov/cedselementdetails.aspx?termid=26529")</f>
        <v>https://ceds.ed.gov/cedselementdetails.aspx?termid=26529</v>
      </c>
      <c r="Q1898" s="16">
        <v>71866</v>
      </c>
    </row>
    <row r="1899" spans="1:17" ht="129.6" x14ac:dyDescent="0.3">
      <c r="A1899" s="16" t="s">
        <v>7665</v>
      </c>
      <c r="B1899" s="16" t="s">
        <v>7680</v>
      </c>
      <c r="C1899" s="16" t="s">
        <v>7701</v>
      </c>
      <c r="D1899" s="16" t="s">
        <v>7597</v>
      </c>
      <c r="E1899" s="16" t="s">
        <v>4325</v>
      </c>
      <c r="F1899" s="16" t="s">
        <v>4326</v>
      </c>
      <c r="G1899" s="16" t="s">
        <v>8628</v>
      </c>
      <c r="H1899" s="16" t="s">
        <v>214</v>
      </c>
      <c r="I1899" s="16"/>
      <c r="J1899" s="16"/>
      <c r="K1899" s="16"/>
      <c r="L1899" s="16"/>
      <c r="M1899" s="19" t="s">
        <v>4327</v>
      </c>
      <c r="N1899" s="16"/>
      <c r="O1899" s="16" t="s">
        <v>4328</v>
      </c>
      <c r="P1899" s="16" t="str">
        <f>HYPERLINK("https://ceds.ed.gov/cedselementdetails.aspx?termid=26547")</f>
        <v>https://ceds.ed.gov/cedselementdetails.aspx?termid=26547</v>
      </c>
      <c r="Q1899" s="16">
        <v>71873</v>
      </c>
    </row>
    <row r="1900" spans="1:17" ht="72" x14ac:dyDescent="0.3">
      <c r="A1900" s="16" t="s">
        <v>7665</v>
      </c>
      <c r="B1900" s="16" t="s">
        <v>7680</v>
      </c>
      <c r="C1900" s="16" t="s">
        <v>7701</v>
      </c>
      <c r="D1900" s="16" t="s">
        <v>7597</v>
      </c>
      <c r="E1900" s="16" t="s">
        <v>3126</v>
      </c>
      <c r="F1900" s="16" t="s">
        <v>3127</v>
      </c>
      <c r="G1900" s="16" t="s">
        <v>22</v>
      </c>
      <c r="H1900" s="16"/>
      <c r="I1900" s="16"/>
      <c r="J1900" s="16"/>
      <c r="K1900" s="16"/>
      <c r="L1900" s="16"/>
      <c r="M1900" s="19" t="s">
        <v>3129</v>
      </c>
      <c r="N1900" s="16"/>
      <c r="O1900" s="16" t="s">
        <v>3130</v>
      </c>
      <c r="P1900" s="16" t="str">
        <f>HYPERLINK("https://ceds.ed.gov/cedselementdetails.aspx?termid=27288")</f>
        <v>https://ceds.ed.gov/cedselementdetails.aspx?termid=27288</v>
      </c>
      <c r="Q1900" s="16">
        <v>73128</v>
      </c>
    </row>
    <row r="1901" spans="1:17" ht="57.6" x14ac:dyDescent="0.3">
      <c r="A1901" s="16" t="s">
        <v>7665</v>
      </c>
      <c r="B1901" s="16" t="s">
        <v>7680</v>
      </c>
      <c r="C1901" s="16" t="s">
        <v>7701</v>
      </c>
      <c r="D1901" s="16" t="s">
        <v>7597</v>
      </c>
      <c r="E1901" s="16" t="s">
        <v>3402</v>
      </c>
      <c r="F1901" s="16" t="s">
        <v>3403</v>
      </c>
      <c r="G1901" s="16" t="s">
        <v>22</v>
      </c>
      <c r="H1901" s="16"/>
      <c r="I1901" s="16"/>
      <c r="J1901" s="16"/>
      <c r="K1901" s="16"/>
      <c r="L1901" s="16"/>
      <c r="M1901" s="19" t="s">
        <v>3404</v>
      </c>
      <c r="N1901" s="16"/>
      <c r="O1901" s="16" t="s">
        <v>3405</v>
      </c>
      <c r="P1901" s="16" t="str">
        <f>HYPERLINK("https://ceds.ed.gov/cedselementdetails.aspx?termid=26570")</f>
        <v>https://ceds.ed.gov/cedselementdetails.aspx?termid=26570</v>
      </c>
      <c r="Q1901" s="16">
        <v>71885</v>
      </c>
    </row>
    <row r="1902" spans="1:17" ht="43.2" x14ac:dyDescent="0.3">
      <c r="A1902" s="16" t="s">
        <v>7665</v>
      </c>
      <c r="B1902" s="16" t="s">
        <v>7680</v>
      </c>
      <c r="C1902" s="16" t="s">
        <v>7640</v>
      </c>
      <c r="D1902" s="16" t="s">
        <v>7597</v>
      </c>
      <c r="E1902" s="16" t="s">
        <v>4886</v>
      </c>
      <c r="F1902" s="16" t="s">
        <v>4887</v>
      </c>
      <c r="G1902" s="16" t="s">
        <v>13005</v>
      </c>
      <c r="H1902" s="16"/>
      <c r="I1902" s="16"/>
      <c r="J1902" s="16"/>
      <c r="K1902" s="16"/>
      <c r="L1902" s="16"/>
      <c r="M1902" s="19"/>
      <c r="N1902" s="16"/>
      <c r="O1902" s="16"/>
      <c r="P1902" s="16"/>
      <c r="Q1902" s="16"/>
    </row>
    <row r="1903" spans="1:17" x14ac:dyDescent="0.3">
      <c r="A1903" s="16"/>
      <c r="B1903" s="16"/>
      <c r="C1903" s="16"/>
      <c r="D1903" s="16"/>
      <c r="E1903" s="16"/>
      <c r="F1903" s="16"/>
      <c r="G1903" s="16"/>
      <c r="H1903" s="16"/>
      <c r="I1903" s="16"/>
      <c r="J1903" s="16"/>
      <c r="K1903" s="16"/>
      <c r="L1903" s="16"/>
      <c r="M1903" s="19"/>
      <c r="N1903" s="16"/>
      <c r="O1903" s="16"/>
      <c r="P1903" s="16"/>
      <c r="Q1903" s="16"/>
    </row>
    <row r="1904" spans="1:17" ht="144" x14ac:dyDescent="0.3">
      <c r="A1904" s="16"/>
      <c r="B1904" s="16" t="s">
        <v>13051</v>
      </c>
      <c r="C1904" s="16" t="s">
        <v>4851</v>
      </c>
      <c r="D1904" s="16"/>
      <c r="E1904" s="16"/>
      <c r="F1904" s="16"/>
      <c r="G1904" s="16"/>
      <c r="H1904" s="16">
        <v>316</v>
      </c>
      <c r="I1904" s="16"/>
      <c r="J1904" s="16" t="s">
        <v>4888</v>
      </c>
      <c r="K1904" s="16" t="str">
        <f>HYPERLINK("https://ceds.ed.gov/cedselementdetails.aspx?termid=26316")</f>
        <v>https://ceds.ed.gov/cedselementdetails.aspx?termid=26316</v>
      </c>
      <c r="L1904" s="16">
        <v>71828</v>
      </c>
      <c r="M1904" s="19"/>
      <c r="N1904" s="16"/>
      <c r="O1904" s="16"/>
      <c r="P1904" s="16"/>
      <c r="Q1904" s="16"/>
    </row>
    <row r="1905" spans="1:17" ht="100.8" x14ac:dyDescent="0.3">
      <c r="A1905" s="16" t="s">
        <v>7665</v>
      </c>
      <c r="B1905" s="16" t="s">
        <v>7680</v>
      </c>
      <c r="C1905" s="16" t="s">
        <v>7640</v>
      </c>
      <c r="D1905" s="16" t="s">
        <v>7597</v>
      </c>
      <c r="E1905" s="16" t="s">
        <v>4849</v>
      </c>
      <c r="F1905" s="16" t="s">
        <v>13082</v>
      </c>
      <c r="G1905" s="16" t="s">
        <v>7313</v>
      </c>
      <c r="H1905" s="16" t="s">
        <v>4851</v>
      </c>
      <c r="I1905" s="16" t="s">
        <v>160</v>
      </c>
      <c r="J1905" s="16"/>
      <c r="K1905" s="16" t="s">
        <v>12946</v>
      </c>
      <c r="L1905" s="16"/>
      <c r="M1905" s="19" t="s">
        <v>4850</v>
      </c>
      <c r="N1905" s="16"/>
      <c r="O1905" s="16"/>
      <c r="P1905" s="16" t="str">
        <f>HYPERLINK("https://ceds.ed.gov/cedselementdetails.aspx?termid=26317")</f>
        <v>https://ceds.ed.gov/cedselementdetails.aspx?termid=26317</v>
      </c>
      <c r="Q1905" s="16">
        <v>71829</v>
      </c>
    </row>
    <row r="1906" spans="1:17" ht="129.6" x14ac:dyDescent="0.3">
      <c r="A1906" s="16" t="s">
        <v>7665</v>
      </c>
      <c r="B1906" s="16" t="s">
        <v>7680</v>
      </c>
      <c r="C1906" s="16" t="s">
        <v>7640</v>
      </c>
      <c r="D1906" s="16" t="s">
        <v>7597</v>
      </c>
      <c r="E1906" s="16" t="s">
        <v>4852</v>
      </c>
      <c r="F1906" s="16" t="s">
        <v>13083</v>
      </c>
      <c r="G1906" s="16" t="s">
        <v>7313</v>
      </c>
      <c r="H1906" s="16"/>
      <c r="I1906" s="16" t="s">
        <v>160</v>
      </c>
      <c r="J1906" s="16"/>
      <c r="K1906" s="16" t="s">
        <v>12947</v>
      </c>
      <c r="L1906" s="16" t="s">
        <v>13084</v>
      </c>
      <c r="M1906" s="19" t="s">
        <v>4853</v>
      </c>
      <c r="N1906" s="16"/>
      <c r="O1906" s="16"/>
      <c r="P1906" s="16" t="str">
        <f>HYPERLINK("https://ceds.ed.gov/cedselementdetails.aspx?termid=27618")</f>
        <v>https://ceds.ed.gov/cedselementdetails.aspx?termid=27618</v>
      </c>
      <c r="Q1906" s="16">
        <v>74215</v>
      </c>
    </row>
    <row r="1907" spans="1:17" ht="409.6" x14ac:dyDescent="0.3">
      <c r="A1907" s="16" t="s">
        <v>7665</v>
      </c>
      <c r="B1907" s="16" t="s">
        <v>7680</v>
      </c>
      <c r="C1907" s="16" t="s">
        <v>7640</v>
      </c>
      <c r="D1907" s="16" t="s">
        <v>7597</v>
      </c>
      <c r="E1907" s="16" t="s">
        <v>4854</v>
      </c>
      <c r="F1907" s="16" t="s">
        <v>13085</v>
      </c>
      <c r="G1907" s="16" t="s">
        <v>8683</v>
      </c>
      <c r="H1907" s="16"/>
      <c r="I1907" s="16" t="s">
        <v>160</v>
      </c>
      <c r="J1907" s="16"/>
      <c r="K1907" s="16" t="s">
        <v>12948</v>
      </c>
      <c r="L1907" s="16" t="s">
        <v>13086</v>
      </c>
      <c r="M1907" s="19" t="s">
        <v>4855</v>
      </c>
      <c r="N1907" s="16"/>
      <c r="O1907" s="16"/>
      <c r="P1907" s="16" t="str">
        <f>HYPERLINK("https://ceds.ed.gov/cedselementdetails.aspx?termid=27619")</f>
        <v>https://ceds.ed.gov/cedselementdetails.aspx?termid=27619</v>
      </c>
      <c r="Q1907" s="16">
        <v>74222</v>
      </c>
    </row>
    <row r="1908" spans="1:17" ht="72" x14ac:dyDescent="0.3">
      <c r="A1908" s="16" t="s">
        <v>7665</v>
      </c>
      <c r="B1908" s="16" t="s">
        <v>7680</v>
      </c>
      <c r="C1908" s="16" t="s">
        <v>7702</v>
      </c>
      <c r="D1908" s="16" t="s">
        <v>7597</v>
      </c>
      <c r="E1908" s="16" t="s">
        <v>3437</v>
      </c>
      <c r="F1908" s="16" t="s">
        <v>3438</v>
      </c>
      <c r="G1908" s="16" t="s">
        <v>8548</v>
      </c>
      <c r="H1908" s="16" t="s">
        <v>64</v>
      </c>
      <c r="I1908" s="16"/>
      <c r="J1908" s="16"/>
      <c r="K1908" s="16"/>
      <c r="L1908" s="16"/>
      <c r="M1908" s="19" t="s">
        <v>3439</v>
      </c>
      <c r="N1908" s="16"/>
      <c r="O1908" s="16" t="s">
        <v>3440</v>
      </c>
      <c r="P1908" s="16" t="str">
        <f>HYPERLINK("https://ceds.ed.gov/cedselementdetails.aspx?termid=26092")</f>
        <v>https://ceds.ed.gov/cedselementdetails.aspx?termid=26092</v>
      </c>
      <c r="Q1908" s="16">
        <v>71744</v>
      </c>
    </row>
    <row r="1909" spans="1:17" ht="28.8" x14ac:dyDescent="0.3">
      <c r="A1909" s="16" t="s">
        <v>7665</v>
      </c>
      <c r="B1909" s="16" t="s">
        <v>7680</v>
      </c>
      <c r="C1909" s="16" t="s">
        <v>7702</v>
      </c>
      <c r="D1909" s="16" t="s">
        <v>7597</v>
      </c>
      <c r="E1909" s="16" t="s">
        <v>6906</v>
      </c>
      <c r="F1909" s="16" t="s">
        <v>9324</v>
      </c>
      <c r="G1909" s="16" t="s">
        <v>32</v>
      </c>
      <c r="H1909" s="16"/>
      <c r="I1909" s="16" t="s">
        <v>160</v>
      </c>
      <c r="J1909" s="16" t="s">
        <v>812</v>
      </c>
      <c r="K1909" s="16" t="s">
        <v>12952</v>
      </c>
      <c r="L1909" s="16"/>
      <c r="M1909" s="19" t="s">
        <v>6907</v>
      </c>
      <c r="N1909" s="16"/>
      <c r="O1909" s="16" t="s">
        <v>6908</v>
      </c>
      <c r="P1909" s="16" t="str">
        <f>HYPERLINK("https://ceds.ed.gov/cedselementdetails.aspx?termid=27192")</f>
        <v>https://ceds.ed.gov/cedselementdetails.aspx?termid=27192</v>
      </c>
      <c r="Q1909" s="16">
        <v>71917</v>
      </c>
    </row>
    <row r="1910" spans="1:17" ht="374.4" x14ac:dyDescent="0.3">
      <c r="A1910" s="16" t="s">
        <v>7665</v>
      </c>
      <c r="B1910" s="16" t="s">
        <v>7680</v>
      </c>
      <c r="C1910" s="16" t="s">
        <v>7702</v>
      </c>
      <c r="D1910" s="16" t="s">
        <v>7597</v>
      </c>
      <c r="E1910" s="16" t="s">
        <v>6903</v>
      </c>
      <c r="F1910" s="16" t="s">
        <v>9323</v>
      </c>
      <c r="G1910" s="16" t="s">
        <v>32</v>
      </c>
      <c r="H1910" s="16"/>
      <c r="I1910" s="16" t="s">
        <v>160</v>
      </c>
      <c r="J1910" s="16" t="s">
        <v>812</v>
      </c>
      <c r="K1910" s="16" t="s">
        <v>12952</v>
      </c>
      <c r="L1910" s="16" t="s">
        <v>8158</v>
      </c>
      <c r="M1910" s="19" t="s">
        <v>6904</v>
      </c>
      <c r="N1910" s="16"/>
      <c r="O1910" s="16" t="s">
        <v>6905</v>
      </c>
      <c r="P1910" s="16" t="str">
        <f>HYPERLINK("https://ceds.ed.gov/cedselementdetails.aspx?termid=27193")</f>
        <v>https://ceds.ed.gov/cedselementdetails.aspx?termid=27193</v>
      </c>
      <c r="Q1910" s="16">
        <v>71982</v>
      </c>
    </row>
    <row r="1911" spans="1:17" ht="86.4" x14ac:dyDescent="0.3">
      <c r="A1911" s="16" t="s">
        <v>7665</v>
      </c>
      <c r="B1911" s="16" t="s">
        <v>7680</v>
      </c>
      <c r="C1911" s="16" t="s">
        <v>7702</v>
      </c>
      <c r="D1911" s="16" t="s">
        <v>7597</v>
      </c>
      <c r="E1911" s="16" t="s">
        <v>3387</v>
      </c>
      <c r="F1911" s="16" t="s">
        <v>3388</v>
      </c>
      <c r="G1911" s="16" t="s">
        <v>22</v>
      </c>
      <c r="H1911" s="16" t="s">
        <v>1863</v>
      </c>
      <c r="I1911" s="16"/>
      <c r="J1911" s="16"/>
      <c r="K1911" s="16"/>
      <c r="L1911" s="16"/>
      <c r="M1911" s="19" t="s">
        <v>3390</v>
      </c>
      <c r="N1911" s="16"/>
      <c r="O1911" s="16" t="s">
        <v>3391</v>
      </c>
      <c r="P1911" s="16" t="str">
        <f>HYPERLINK("https://ceds.ed.gov/cedselementdetails.aspx?termid=26086")</f>
        <v>https://ceds.ed.gov/cedselementdetails.aspx?termid=26086</v>
      </c>
      <c r="Q1911" s="16">
        <v>71741</v>
      </c>
    </row>
    <row r="1912" spans="1:17" ht="230.4" x14ac:dyDescent="0.3">
      <c r="A1912" s="16" t="s">
        <v>7665</v>
      </c>
      <c r="B1912" s="16" t="s">
        <v>7680</v>
      </c>
      <c r="C1912" s="16" t="s">
        <v>7702</v>
      </c>
      <c r="D1912" s="16" t="s">
        <v>7597</v>
      </c>
      <c r="E1912" s="16" t="s">
        <v>5684</v>
      </c>
      <c r="F1912" s="16" t="s">
        <v>5685</v>
      </c>
      <c r="G1912" s="16" t="s">
        <v>8750</v>
      </c>
      <c r="H1912" s="16" t="s">
        <v>372</v>
      </c>
      <c r="I1912" s="16"/>
      <c r="J1912" s="16"/>
      <c r="K1912" s="16"/>
      <c r="L1912" s="16"/>
      <c r="M1912" s="19" t="s">
        <v>5686</v>
      </c>
      <c r="N1912" s="16"/>
      <c r="O1912" s="16" t="s">
        <v>5687</v>
      </c>
      <c r="P1912" s="16" t="str">
        <f>HYPERLINK("https://ceds.ed.gov/cedselementdetails.aspx?termid=26325")</f>
        <v>https://ceds.ed.gov/cedselementdetails.aspx?termid=26325</v>
      </c>
      <c r="Q1912" s="16">
        <v>71613</v>
      </c>
    </row>
    <row r="1913" spans="1:17" ht="57.6" x14ac:dyDescent="0.3">
      <c r="A1913" s="16" t="s">
        <v>7665</v>
      </c>
      <c r="B1913" s="16" t="s">
        <v>7680</v>
      </c>
      <c r="C1913" s="16" t="s">
        <v>7702</v>
      </c>
      <c r="D1913" s="16" t="s">
        <v>7597</v>
      </c>
      <c r="E1913" s="16" t="s">
        <v>5445</v>
      </c>
      <c r="F1913" s="16" t="s">
        <v>5446</v>
      </c>
      <c r="G1913" s="16" t="s">
        <v>22</v>
      </c>
      <c r="H1913" s="16" t="s">
        <v>214</v>
      </c>
      <c r="I1913" s="16"/>
      <c r="J1913" s="16"/>
      <c r="K1913" s="16"/>
      <c r="L1913" s="16" t="s">
        <v>5447</v>
      </c>
      <c r="M1913" s="19" t="s">
        <v>5448</v>
      </c>
      <c r="N1913" s="16"/>
      <c r="O1913" s="16" t="s">
        <v>5449</v>
      </c>
      <c r="P1913" s="16" t="str">
        <f>HYPERLINK("https://ceds.ed.gov/cedselementdetails.aspx?termid=27635")</f>
        <v>https://ceds.ed.gov/cedselementdetails.aspx?termid=27635</v>
      </c>
      <c r="Q1913" s="16">
        <v>74349</v>
      </c>
    </row>
    <row r="1914" spans="1:17" ht="72" x14ac:dyDescent="0.3">
      <c r="A1914" s="16" t="s">
        <v>7665</v>
      </c>
      <c r="B1914" s="16" t="s">
        <v>7680</v>
      </c>
      <c r="C1914" s="16" t="s">
        <v>7702</v>
      </c>
      <c r="D1914" s="16" t="s">
        <v>7597</v>
      </c>
      <c r="E1914" s="16" t="s">
        <v>7471</v>
      </c>
      <c r="F1914" s="16" t="s">
        <v>7472</v>
      </c>
      <c r="G1914" s="16" t="s">
        <v>32</v>
      </c>
      <c r="H1914" s="16"/>
      <c r="I1914" s="16"/>
      <c r="J1914" s="16" t="s">
        <v>106</v>
      </c>
      <c r="K1914" s="16"/>
      <c r="L1914" s="16"/>
      <c r="M1914" s="19" t="s">
        <v>7473</v>
      </c>
      <c r="N1914" s="16"/>
      <c r="O1914" s="16" t="s">
        <v>7474</v>
      </c>
      <c r="P1914" s="16" t="str">
        <f>HYPERLINK("https://ceds.ed.gov/cedselementdetails.aspx?termid=27943")</f>
        <v>https://ceds.ed.gov/cedselementdetails.aspx?termid=27943</v>
      </c>
      <c r="Q1914" s="16">
        <v>75559</v>
      </c>
    </row>
    <row r="1915" spans="1:17" ht="57.6" x14ac:dyDescent="0.3">
      <c r="A1915" s="16" t="s">
        <v>7665</v>
      </c>
      <c r="B1915" s="16" t="s">
        <v>7680</v>
      </c>
      <c r="C1915" s="16" t="s">
        <v>7702</v>
      </c>
      <c r="D1915" s="16" t="s">
        <v>7597</v>
      </c>
      <c r="E1915" s="16" t="s">
        <v>7475</v>
      </c>
      <c r="F1915" s="16" t="s">
        <v>7476</v>
      </c>
      <c r="G1915" s="16" t="s">
        <v>32</v>
      </c>
      <c r="H1915" s="16"/>
      <c r="I1915" s="16"/>
      <c r="J1915" s="16" t="s">
        <v>136</v>
      </c>
      <c r="K1915" s="16"/>
      <c r="L1915" s="16"/>
      <c r="M1915" s="19" t="s">
        <v>7477</v>
      </c>
      <c r="N1915" s="16"/>
      <c r="O1915" s="16" t="s">
        <v>7478</v>
      </c>
      <c r="P1915" s="16" t="str">
        <f>HYPERLINK("https://ceds.ed.gov/cedselementdetails.aspx?termid=27944")</f>
        <v>https://ceds.ed.gov/cedselementdetails.aspx?termid=27944</v>
      </c>
      <c r="Q1915" s="16">
        <v>75560</v>
      </c>
    </row>
    <row r="1916" spans="1:17" ht="57.6" x14ac:dyDescent="0.3">
      <c r="A1916" s="16" t="s">
        <v>7665</v>
      </c>
      <c r="B1916" s="16" t="s">
        <v>7680</v>
      </c>
      <c r="C1916" s="16" t="s">
        <v>7702</v>
      </c>
      <c r="D1916" s="16" t="s">
        <v>7597</v>
      </c>
      <c r="E1916" s="16" t="s">
        <v>7479</v>
      </c>
      <c r="F1916" s="16" t="s">
        <v>7480</v>
      </c>
      <c r="G1916" s="16" t="s">
        <v>32</v>
      </c>
      <c r="H1916" s="16"/>
      <c r="I1916" s="16"/>
      <c r="J1916" s="16" t="s">
        <v>136</v>
      </c>
      <c r="K1916" s="16"/>
      <c r="L1916" s="16"/>
      <c r="M1916" s="19" t="s">
        <v>7481</v>
      </c>
      <c r="N1916" s="16"/>
      <c r="O1916" s="16" t="s">
        <v>7482</v>
      </c>
      <c r="P1916" s="16" t="str">
        <f>HYPERLINK("https://ceds.ed.gov/cedselementdetails.aspx?termid=27945")</f>
        <v>https://ceds.ed.gov/cedselementdetails.aspx?termid=27945</v>
      </c>
      <c r="Q1916" s="16">
        <v>75561</v>
      </c>
    </row>
    <row r="1917" spans="1:17" ht="72" x14ac:dyDescent="0.3">
      <c r="A1917" s="16" t="s">
        <v>7665</v>
      </c>
      <c r="B1917" s="16" t="s">
        <v>7680</v>
      </c>
      <c r="C1917" s="16" t="s">
        <v>7702</v>
      </c>
      <c r="D1917" s="16" t="s">
        <v>7597</v>
      </c>
      <c r="E1917" s="16" t="s">
        <v>7483</v>
      </c>
      <c r="F1917" s="16" t="s">
        <v>7484</v>
      </c>
      <c r="G1917" s="16" t="s">
        <v>32</v>
      </c>
      <c r="H1917" s="16"/>
      <c r="I1917" s="16"/>
      <c r="J1917" s="16" t="s">
        <v>1807</v>
      </c>
      <c r="K1917" s="16"/>
      <c r="L1917" s="16" t="s">
        <v>7485</v>
      </c>
      <c r="M1917" s="19" t="s">
        <v>7486</v>
      </c>
      <c r="N1917" s="16"/>
      <c r="O1917" s="16" t="s">
        <v>7487</v>
      </c>
      <c r="P1917" s="16" t="str">
        <f>HYPERLINK("https://ceds.ed.gov/cedselementdetails.aspx?termid=27946")</f>
        <v>https://ceds.ed.gov/cedselementdetails.aspx?termid=27946</v>
      </c>
      <c r="Q1917" s="16">
        <v>75562</v>
      </c>
    </row>
    <row r="1918" spans="1:17" ht="72" x14ac:dyDescent="0.3">
      <c r="A1918" s="16" t="s">
        <v>7665</v>
      </c>
      <c r="B1918" s="16" t="s">
        <v>7680</v>
      </c>
      <c r="C1918" s="16" t="s">
        <v>7702</v>
      </c>
      <c r="D1918" s="16" t="s">
        <v>7597</v>
      </c>
      <c r="E1918" s="16" t="s">
        <v>7488</v>
      </c>
      <c r="F1918" s="16" t="s">
        <v>7489</v>
      </c>
      <c r="G1918" s="16" t="s">
        <v>32</v>
      </c>
      <c r="H1918" s="16"/>
      <c r="I1918" s="16"/>
      <c r="J1918" s="16" t="s">
        <v>1807</v>
      </c>
      <c r="K1918" s="16"/>
      <c r="L1918" s="16" t="s">
        <v>7490</v>
      </c>
      <c r="M1918" s="19" t="s">
        <v>7491</v>
      </c>
      <c r="N1918" s="16"/>
      <c r="O1918" s="16" t="s">
        <v>7492</v>
      </c>
      <c r="P1918" s="16" t="str">
        <f>HYPERLINK("https://ceds.ed.gov/cedselementdetails.aspx?termid=27947")</f>
        <v>https://ceds.ed.gov/cedselementdetails.aspx?termid=27947</v>
      </c>
      <c r="Q1918" s="16">
        <v>75563</v>
      </c>
    </row>
    <row r="1919" spans="1:17" ht="72" x14ac:dyDescent="0.3">
      <c r="A1919" s="16" t="s">
        <v>7665</v>
      </c>
      <c r="B1919" s="16" t="s">
        <v>7680</v>
      </c>
      <c r="C1919" s="16" t="s">
        <v>7703</v>
      </c>
      <c r="D1919" s="16" t="s">
        <v>7597</v>
      </c>
      <c r="E1919" s="16" t="s">
        <v>2934</v>
      </c>
      <c r="F1919" s="16" t="s">
        <v>2935</v>
      </c>
      <c r="G1919" s="16" t="s">
        <v>32</v>
      </c>
      <c r="H1919" s="16"/>
      <c r="I1919" s="16"/>
      <c r="J1919" s="16" t="s">
        <v>1481</v>
      </c>
      <c r="K1919" s="16"/>
      <c r="L1919" s="16" t="s">
        <v>2937</v>
      </c>
      <c r="M1919" s="19" t="s">
        <v>2938</v>
      </c>
      <c r="N1919" s="16"/>
      <c r="O1919" s="16" t="s">
        <v>2939</v>
      </c>
      <c r="P1919" s="16" t="str">
        <f>HYPERLINK("https://ceds.ed.gov/cedselementdetails.aspx?termid=27553")</f>
        <v>https://ceds.ed.gov/cedselementdetails.aspx?termid=27553</v>
      </c>
      <c r="Q1919" s="16">
        <v>74145</v>
      </c>
    </row>
    <row r="1920" spans="1:17" ht="72" x14ac:dyDescent="0.3">
      <c r="A1920" s="16" t="s">
        <v>7665</v>
      </c>
      <c r="B1920" s="16" t="s">
        <v>7680</v>
      </c>
      <c r="C1920" s="16" t="s">
        <v>7704</v>
      </c>
      <c r="D1920" s="16" t="s">
        <v>7597</v>
      </c>
      <c r="E1920" s="16" t="s">
        <v>2934</v>
      </c>
      <c r="F1920" s="16" t="s">
        <v>2935</v>
      </c>
      <c r="G1920" s="16" t="s">
        <v>32</v>
      </c>
      <c r="H1920" s="16"/>
      <c r="I1920" s="16"/>
      <c r="J1920" s="16" t="s">
        <v>1481</v>
      </c>
      <c r="K1920" s="16"/>
      <c r="L1920" s="16" t="s">
        <v>2937</v>
      </c>
      <c r="M1920" s="19" t="s">
        <v>2938</v>
      </c>
      <c r="N1920" s="16"/>
      <c r="O1920" s="16" t="s">
        <v>2939</v>
      </c>
      <c r="P1920" s="16" t="str">
        <f>HYPERLINK("https://ceds.ed.gov/cedselementdetails.aspx?termid=27553")</f>
        <v>https://ceds.ed.gov/cedselementdetails.aspx?termid=27553</v>
      </c>
      <c r="Q1920" s="16">
        <v>74147</v>
      </c>
    </row>
    <row r="1921" spans="1:17" ht="345.6" x14ac:dyDescent="0.3">
      <c r="A1921" s="16" t="s">
        <v>7665</v>
      </c>
      <c r="B1921" s="16" t="s">
        <v>7680</v>
      </c>
      <c r="C1921" s="16" t="s">
        <v>7704</v>
      </c>
      <c r="D1921" s="16" t="s">
        <v>7597</v>
      </c>
      <c r="E1921" s="16" t="s">
        <v>6498</v>
      </c>
      <c r="F1921" s="16" t="s">
        <v>6499</v>
      </c>
      <c r="G1921" s="16" t="s">
        <v>8260</v>
      </c>
      <c r="H1921" s="16"/>
      <c r="I1921" s="16"/>
      <c r="J1921" s="16"/>
      <c r="K1921" s="16"/>
      <c r="L1921" s="16" t="s">
        <v>8138</v>
      </c>
      <c r="M1921" s="19" t="s">
        <v>6500</v>
      </c>
      <c r="N1921" s="16" t="s">
        <v>6501</v>
      </c>
      <c r="O1921" s="16" t="s">
        <v>6502</v>
      </c>
      <c r="P1921" s="16" t="str">
        <f>HYPERLINK("https://ceds.ed.gov/cedselementdetails.aspx?termid=27491")</f>
        <v>https://ceds.ed.gov/cedselementdetails.aspx?termid=27491</v>
      </c>
      <c r="Q1921" s="16">
        <v>74146</v>
      </c>
    </row>
    <row r="1922" spans="1:17" ht="172.8" x14ac:dyDescent="0.3">
      <c r="A1922" s="16" t="s">
        <v>7665</v>
      </c>
      <c r="B1922" s="16" t="s">
        <v>7680</v>
      </c>
      <c r="C1922" s="16" t="s">
        <v>7705</v>
      </c>
      <c r="D1922" s="16" t="s">
        <v>7597</v>
      </c>
      <c r="E1922" s="16" t="s">
        <v>2584</v>
      </c>
      <c r="F1922" s="16" t="s">
        <v>2585</v>
      </c>
      <c r="G1922" s="16" t="s">
        <v>32</v>
      </c>
      <c r="H1922" s="16" t="s">
        <v>2588</v>
      </c>
      <c r="I1922" s="16"/>
      <c r="J1922" s="16" t="s">
        <v>120</v>
      </c>
      <c r="K1922" s="16"/>
      <c r="L1922" s="16" t="s">
        <v>7817</v>
      </c>
      <c r="M1922" s="19" t="s">
        <v>2586</v>
      </c>
      <c r="N1922" s="16"/>
      <c r="O1922" s="16" t="s">
        <v>2587</v>
      </c>
      <c r="P1922" s="16" t="str">
        <f>HYPERLINK("https://ceds.ed.gov/cedselementdetails.aspx?termid=26055")</f>
        <v>https://ceds.ed.gov/cedselementdetails.aspx?termid=26055</v>
      </c>
      <c r="Q1922" s="16">
        <v>74148</v>
      </c>
    </row>
    <row r="1923" spans="1:17" ht="144" x14ac:dyDescent="0.3">
      <c r="A1923" s="16" t="s">
        <v>7665</v>
      </c>
      <c r="B1923" s="16" t="s">
        <v>7680</v>
      </c>
      <c r="C1923" s="16" t="s">
        <v>7705</v>
      </c>
      <c r="D1923" s="16" t="s">
        <v>7597</v>
      </c>
      <c r="E1923" s="16" t="s">
        <v>2536</v>
      </c>
      <c r="F1923" s="16" t="s">
        <v>2537</v>
      </c>
      <c r="G1923" s="16" t="s">
        <v>8217</v>
      </c>
      <c r="H1923" s="16" t="s">
        <v>1484</v>
      </c>
      <c r="I1923" s="16"/>
      <c r="J1923" s="16"/>
      <c r="K1923" s="16"/>
      <c r="L1923" s="16"/>
      <c r="M1923" s="19" t="s">
        <v>2538</v>
      </c>
      <c r="N1923" s="16"/>
      <c r="O1923" s="16" t="s">
        <v>2539</v>
      </c>
      <c r="P1923" s="16" t="str">
        <f>HYPERLINK("https://ceds.ed.gov/cedselementdetails.aspx?termid=26056")</f>
        <v>https://ceds.ed.gov/cedselementdetails.aspx?termid=26056</v>
      </c>
      <c r="Q1923" s="16">
        <v>74149</v>
      </c>
    </row>
    <row r="1924" spans="1:17" ht="345.6" x14ac:dyDescent="0.3">
      <c r="A1924" s="16" t="s">
        <v>7665</v>
      </c>
      <c r="B1924" s="16" t="s">
        <v>7680</v>
      </c>
      <c r="C1924" s="16" t="s">
        <v>7705</v>
      </c>
      <c r="D1924" s="16" t="s">
        <v>7597</v>
      </c>
      <c r="E1924" s="16" t="s">
        <v>6498</v>
      </c>
      <c r="F1924" s="16" t="s">
        <v>6499</v>
      </c>
      <c r="G1924" s="16" t="s">
        <v>8260</v>
      </c>
      <c r="H1924" s="16"/>
      <c r="I1924" s="16"/>
      <c r="J1924" s="16"/>
      <c r="K1924" s="16"/>
      <c r="L1924" s="16" t="s">
        <v>8138</v>
      </c>
      <c r="M1924" s="19" t="s">
        <v>6500</v>
      </c>
      <c r="N1924" s="16" t="s">
        <v>6501</v>
      </c>
      <c r="O1924" s="16" t="s">
        <v>6502</v>
      </c>
      <c r="P1924" s="16" t="str">
        <f>HYPERLINK("https://ceds.ed.gov/cedselementdetails.aspx?termid=27491")</f>
        <v>https://ceds.ed.gov/cedselementdetails.aspx?termid=27491</v>
      </c>
      <c r="Q1924" s="16">
        <v>74150</v>
      </c>
    </row>
    <row r="1925" spans="1:17" ht="100.8" x14ac:dyDescent="0.3">
      <c r="A1925" s="16" t="s">
        <v>7665</v>
      </c>
      <c r="B1925" s="16" t="s">
        <v>7680</v>
      </c>
      <c r="C1925" s="16" t="s">
        <v>7705</v>
      </c>
      <c r="D1925" s="16" t="s">
        <v>7597</v>
      </c>
      <c r="E1925" s="16" t="s">
        <v>6510</v>
      </c>
      <c r="F1925" s="16" t="s">
        <v>6511</v>
      </c>
      <c r="G1925" s="16" t="s">
        <v>32</v>
      </c>
      <c r="H1925" s="16" t="s">
        <v>1484</v>
      </c>
      <c r="I1925" s="16"/>
      <c r="J1925" s="16" t="s">
        <v>2697</v>
      </c>
      <c r="K1925" s="16"/>
      <c r="L1925" s="16" t="s">
        <v>6512</v>
      </c>
      <c r="M1925" s="19" t="s">
        <v>6513</v>
      </c>
      <c r="N1925" s="16" t="s">
        <v>6514</v>
      </c>
      <c r="O1925" s="16" t="s">
        <v>6515</v>
      </c>
      <c r="P1925" s="16" t="str">
        <f>HYPERLINK("https://ceds.ed.gov/cedselementdetails.aspx?termid=26250")</f>
        <v>https://ceds.ed.gov/cedselementdetails.aspx?termid=26250</v>
      </c>
      <c r="Q1925" s="16">
        <v>74151</v>
      </c>
    </row>
    <row r="1926" spans="1:17" ht="115.2" x14ac:dyDescent="0.3">
      <c r="A1926" s="16" t="s">
        <v>7665</v>
      </c>
      <c r="B1926" s="16" t="s">
        <v>7680</v>
      </c>
      <c r="C1926" s="16" t="s">
        <v>7705</v>
      </c>
      <c r="D1926" s="16" t="s">
        <v>7597</v>
      </c>
      <c r="E1926" s="16" t="s">
        <v>6489</v>
      </c>
      <c r="F1926" s="16" t="s">
        <v>6490</v>
      </c>
      <c r="G1926" s="16" t="s">
        <v>7313</v>
      </c>
      <c r="H1926" s="16"/>
      <c r="I1926" s="16"/>
      <c r="J1926" s="16"/>
      <c r="K1926" s="16"/>
      <c r="L1926" s="16" t="s">
        <v>8136</v>
      </c>
      <c r="M1926" s="19" t="s">
        <v>6491</v>
      </c>
      <c r="N1926" s="16" t="s">
        <v>6492</v>
      </c>
      <c r="O1926" s="16" t="s">
        <v>6493</v>
      </c>
      <c r="P1926" s="16" t="str">
        <f>HYPERLINK("https://ceds.ed.gov/cedselementdetails.aspx?termid=27490")</f>
        <v>https://ceds.ed.gov/cedselementdetails.aspx?termid=27490</v>
      </c>
      <c r="Q1926" s="16">
        <v>74152</v>
      </c>
    </row>
    <row r="1927" spans="1:17" ht="100.8" x14ac:dyDescent="0.3">
      <c r="A1927" s="16" t="s">
        <v>7665</v>
      </c>
      <c r="B1927" s="16" t="s">
        <v>7680</v>
      </c>
      <c r="C1927" s="16" t="s">
        <v>7705</v>
      </c>
      <c r="D1927" s="16" t="s">
        <v>7597</v>
      </c>
      <c r="E1927" s="16" t="s">
        <v>6494</v>
      </c>
      <c r="F1927" s="16" t="s">
        <v>8137</v>
      </c>
      <c r="G1927" s="16" t="s">
        <v>8259</v>
      </c>
      <c r="H1927" s="16"/>
      <c r="I1927" s="16"/>
      <c r="J1927" s="16"/>
      <c r="K1927" s="16"/>
      <c r="L1927" s="16"/>
      <c r="M1927" s="19" t="s">
        <v>6495</v>
      </c>
      <c r="N1927" s="16" t="s">
        <v>6496</v>
      </c>
      <c r="O1927" s="16" t="s">
        <v>6497</v>
      </c>
      <c r="P1927" s="16" t="str">
        <f>HYPERLINK("https://ceds.ed.gov/cedselementdetails.aspx?termid=27488")</f>
        <v>https://ceds.ed.gov/cedselementdetails.aspx?termid=27488</v>
      </c>
      <c r="Q1927" s="16">
        <v>74153</v>
      </c>
    </row>
    <row r="1928" spans="1:17" ht="100.8" x14ac:dyDescent="0.3">
      <c r="A1928" s="16" t="s">
        <v>7665</v>
      </c>
      <c r="B1928" s="16" t="s">
        <v>7680</v>
      </c>
      <c r="C1928" s="16" t="s">
        <v>7705</v>
      </c>
      <c r="D1928" s="16" t="s">
        <v>7597</v>
      </c>
      <c r="E1928" s="16" t="s">
        <v>6503</v>
      </c>
      <c r="F1928" s="16" t="s">
        <v>6504</v>
      </c>
      <c r="G1928" s="16" t="s">
        <v>32</v>
      </c>
      <c r="H1928" s="16"/>
      <c r="I1928" s="16"/>
      <c r="J1928" s="16" t="s">
        <v>6506</v>
      </c>
      <c r="K1928" s="16"/>
      <c r="L1928" s="16" t="s">
        <v>8139</v>
      </c>
      <c r="M1928" s="19" t="s">
        <v>6507</v>
      </c>
      <c r="N1928" s="16" t="s">
        <v>6508</v>
      </c>
      <c r="O1928" s="16" t="s">
        <v>6509</v>
      </c>
      <c r="P1928" s="16" t="str">
        <f>HYPERLINK("https://ceds.ed.gov/cedselementdetails.aspx?termid=27452")</f>
        <v>https://ceds.ed.gov/cedselementdetails.aspx?termid=27452</v>
      </c>
      <c r="Q1928" s="16">
        <v>74154</v>
      </c>
    </row>
    <row r="1929" spans="1:17" ht="100.8" x14ac:dyDescent="0.3">
      <c r="A1929" s="16" t="s">
        <v>7665</v>
      </c>
      <c r="B1929" s="16" t="s">
        <v>7680</v>
      </c>
      <c r="C1929" s="16" t="s">
        <v>7705</v>
      </c>
      <c r="D1929" s="16" t="s">
        <v>7597</v>
      </c>
      <c r="E1929" s="16" t="s">
        <v>4233</v>
      </c>
      <c r="F1929" s="16" t="s">
        <v>4234</v>
      </c>
      <c r="G1929" s="16" t="s">
        <v>22</v>
      </c>
      <c r="H1929" s="16" t="s">
        <v>1484</v>
      </c>
      <c r="I1929" s="16"/>
      <c r="J1929" s="16"/>
      <c r="K1929" s="16"/>
      <c r="L1929" s="16"/>
      <c r="M1929" s="19" t="s">
        <v>4236</v>
      </c>
      <c r="N1929" s="16"/>
      <c r="O1929" s="16" t="s">
        <v>4237</v>
      </c>
      <c r="P1929" s="16" t="str">
        <f>HYPERLINK("https://ceds.ed.gov/cedselementdetails.aspx?termid=26137")</f>
        <v>https://ceds.ed.gov/cedselementdetails.aspx?termid=26137</v>
      </c>
      <c r="Q1929" s="16">
        <v>74155</v>
      </c>
    </row>
    <row r="1930" spans="1:17" ht="100.8" x14ac:dyDescent="0.3">
      <c r="A1930" s="16" t="s">
        <v>7665</v>
      </c>
      <c r="B1930" s="16" t="s">
        <v>7680</v>
      </c>
      <c r="C1930" s="16" t="s">
        <v>7705</v>
      </c>
      <c r="D1930" s="16" t="s">
        <v>7597</v>
      </c>
      <c r="E1930" s="16" t="s">
        <v>2923</v>
      </c>
      <c r="F1930" s="16" t="s">
        <v>2924</v>
      </c>
      <c r="G1930" s="16" t="s">
        <v>32</v>
      </c>
      <c r="H1930" s="16" t="s">
        <v>58</v>
      </c>
      <c r="I1930" s="16"/>
      <c r="J1930" s="16" t="s">
        <v>1481</v>
      </c>
      <c r="K1930" s="16"/>
      <c r="L1930" s="16" t="s">
        <v>7931</v>
      </c>
      <c r="M1930" s="19" t="s">
        <v>2926</v>
      </c>
      <c r="N1930" s="16"/>
      <c r="O1930" s="16" t="s">
        <v>2927</v>
      </c>
      <c r="P1930" s="16" t="str">
        <f>HYPERLINK("https://ceds.ed.gov/cedselementdetails.aspx?termid=26058")</f>
        <v>https://ceds.ed.gov/cedselementdetails.aspx?termid=26058</v>
      </c>
      <c r="Q1930" s="16">
        <v>74156</v>
      </c>
    </row>
    <row r="1931" spans="1:17" ht="331.2" x14ac:dyDescent="0.3">
      <c r="A1931" s="16" t="s">
        <v>7665</v>
      </c>
      <c r="B1931" s="16" t="s">
        <v>7680</v>
      </c>
      <c r="C1931" s="16" t="s">
        <v>7705</v>
      </c>
      <c r="D1931" s="16" t="s">
        <v>7597</v>
      </c>
      <c r="E1931" s="16" t="s">
        <v>4134</v>
      </c>
      <c r="F1931" s="16" t="s">
        <v>4135</v>
      </c>
      <c r="G1931" s="16" t="s">
        <v>8235</v>
      </c>
      <c r="H1931" s="16" t="s">
        <v>64</v>
      </c>
      <c r="I1931" s="16"/>
      <c r="J1931" s="16"/>
      <c r="K1931" s="16"/>
      <c r="L1931" s="16"/>
      <c r="M1931" s="19" t="s">
        <v>4136</v>
      </c>
      <c r="N1931" s="16"/>
      <c r="O1931" s="16" t="s">
        <v>4137</v>
      </c>
      <c r="P1931" s="16" t="str">
        <f>HYPERLINK("https://ceds.ed.gov/cedselementdetails.aspx?termid=26125")</f>
        <v>https://ceds.ed.gov/cedselementdetails.aspx?termid=26125</v>
      </c>
      <c r="Q1931" s="16">
        <v>74157</v>
      </c>
    </row>
    <row r="1932" spans="1:17" ht="374.4" x14ac:dyDescent="0.3">
      <c r="A1932" s="16" t="s">
        <v>7665</v>
      </c>
      <c r="B1932" s="16" t="s">
        <v>7680</v>
      </c>
      <c r="C1932" s="16" t="s">
        <v>7651</v>
      </c>
      <c r="D1932" s="16" t="s">
        <v>7597</v>
      </c>
      <c r="E1932" s="16" t="s">
        <v>4298</v>
      </c>
      <c r="F1932" s="16" t="s">
        <v>4299</v>
      </c>
      <c r="G1932" s="16" t="s">
        <v>22</v>
      </c>
      <c r="H1932" s="16" t="s">
        <v>4302</v>
      </c>
      <c r="I1932" s="16"/>
      <c r="J1932" s="16"/>
      <c r="K1932" s="16"/>
      <c r="L1932" s="16" t="s">
        <v>9319</v>
      </c>
      <c r="M1932" s="19" t="s">
        <v>4300</v>
      </c>
      <c r="N1932" s="16"/>
      <c r="O1932" s="16" t="s">
        <v>4301</v>
      </c>
      <c r="P1932" s="16" t="str">
        <f>HYPERLINK("https://ceds.ed.gov/cedselementdetails.aspx?termid=26149")</f>
        <v>https://ceds.ed.gov/cedselementdetails.aspx?termid=26149</v>
      </c>
      <c r="Q1932" s="16">
        <v>71769</v>
      </c>
    </row>
    <row r="1933" spans="1:17" ht="28.8" x14ac:dyDescent="0.3">
      <c r="A1933" s="16" t="s">
        <v>7665</v>
      </c>
      <c r="B1933" s="16" t="s">
        <v>7680</v>
      </c>
      <c r="C1933" s="16" t="s">
        <v>7651</v>
      </c>
      <c r="D1933" s="16" t="s">
        <v>7597</v>
      </c>
      <c r="E1933" s="16" t="s">
        <v>6906</v>
      </c>
      <c r="F1933" s="16" t="s">
        <v>9324</v>
      </c>
      <c r="G1933" s="16" t="s">
        <v>32</v>
      </c>
      <c r="H1933" s="16"/>
      <c r="I1933" s="16" t="s">
        <v>160</v>
      </c>
      <c r="J1933" s="16" t="s">
        <v>812</v>
      </c>
      <c r="K1933" s="16" t="s">
        <v>12952</v>
      </c>
      <c r="L1933" s="16"/>
      <c r="M1933" s="19" t="s">
        <v>6907</v>
      </c>
      <c r="N1933" s="16"/>
      <c r="O1933" s="16" t="s">
        <v>6908</v>
      </c>
      <c r="P1933" s="16" t="str">
        <f>HYPERLINK("https://ceds.ed.gov/cedselementdetails.aspx?termid=27192")</f>
        <v>https://ceds.ed.gov/cedselementdetails.aspx?termid=27192</v>
      </c>
      <c r="Q1933" s="16">
        <v>71420</v>
      </c>
    </row>
    <row r="1934" spans="1:17" ht="374.4" x14ac:dyDescent="0.3">
      <c r="A1934" s="16" t="s">
        <v>7665</v>
      </c>
      <c r="B1934" s="16" t="s">
        <v>7680</v>
      </c>
      <c r="C1934" s="16" t="s">
        <v>7651</v>
      </c>
      <c r="D1934" s="16" t="s">
        <v>7597</v>
      </c>
      <c r="E1934" s="16" t="s">
        <v>6903</v>
      </c>
      <c r="F1934" s="16" t="s">
        <v>9323</v>
      </c>
      <c r="G1934" s="16" t="s">
        <v>32</v>
      </c>
      <c r="H1934" s="16"/>
      <c r="I1934" s="16" t="s">
        <v>160</v>
      </c>
      <c r="J1934" s="16" t="s">
        <v>812</v>
      </c>
      <c r="K1934" s="16" t="s">
        <v>12952</v>
      </c>
      <c r="L1934" s="16" t="s">
        <v>8158</v>
      </c>
      <c r="M1934" s="19" t="s">
        <v>6904</v>
      </c>
      <c r="N1934" s="16"/>
      <c r="O1934" s="16" t="s">
        <v>6905</v>
      </c>
      <c r="P1934" s="16" t="str">
        <f>HYPERLINK("https://ceds.ed.gov/cedselementdetails.aspx?termid=27193")</f>
        <v>https://ceds.ed.gov/cedselementdetails.aspx?termid=27193</v>
      </c>
      <c r="Q1934" s="16">
        <v>71543</v>
      </c>
    </row>
    <row r="1935" spans="1:17" ht="100.8" x14ac:dyDescent="0.3">
      <c r="A1935" s="16" t="s">
        <v>7665</v>
      </c>
      <c r="B1935" s="16" t="s">
        <v>7680</v>
      </c>
      <c r="C1935" s="16" t="s">
        <v>7651</v>
      </c>
      <c r="D1935" s="16" t="s">
        <v>7597</v>
      </c>
      <c r="E1935" s="16" t="s">
        <v>4287</v>
      </c>
      <c r="F1935" s="16" t="s">
        <v>4288</v>
      </c>
      <c r="G1935" s="16" t="s">
        <v>8624</v>
      </c>
      <c r="H1935" s="16" t="s">
        <v>214</v>
      </c>
      <c r="I1935" s="16"/>
      <c r="J1935" s="16"/>
      <c r="K1935" s="16"/>
      <c r="L1935" s="16"/>
      <c r="M1935" s="19" t="s">
        <v>4289</v>
      </c>
      <c r="N1935" s="16"/>
      <c r="O1935" s="16" t="s">
        <v>4290</v>
      </c>
      <c r="P1935" s="16" t="str">
        <f>HYPERLINK("https://ceds.ed.gov/cedselementdetails.aspx?termid=26146")</f>
        <v>https://ceds.ed.gov/cedselementdetails.aspx?termid=26146</v>
      </c>
      <c r="Q1935" s="16">
        <v>71766</v>
      </c>
    </row>
    <row r="1936" spans="1:17" ht="43.2" x14ac:dyDescent="0.3">
      <c r="A1936" s="16" t="s">
        <v>7665</v>
      </c>
      <c r="B1936" s="16" t="s">
        <v>7680</v>
      </c>
      <c r="C1936" s="16" t="s">
        <v>7651</v>
      </c>
      <c r="D1936" s="16" t="s">
        <v>7597</v>
      </c>
      <c r="E1936" s="16" t="s">
        <v>4291</v>
      </c>
      <c r="F1936" s="16" t="s">
        <v>8058</v>
      </c>
      <c r="G1936" s="16" t="s">
        <v>22</v>
      </c>
      <c r="H1936" s="16"/>
      <c r="I1936" s="16"/>
      <c r="J1936" s="16"/>
      <c r="K1936" s="16"/>
      <c r="L1936" s="16"/>
      <c r="M1936" s="19" t="s">
        <v>4292</v>
      </c>
      <c r="N1936" s="16"/>
      <c r="O1936" s="16" t="s">
        <v>4293</v>
      </c>
      <c r="P1936" s="16" t="str">
        <f>HYPERLINK("https://ceds.ed.gov/cedselementdetails.aspx?termid=26147")</f>
        <v>https://ceds.ed.gov/cedselementdetails.aspx?termid=26147</v>
      </c>
      <c r="Q1936" s="16">
        <v>71767</v>
      </c>
    </row>
    <row r="1937" spans="1:17" ht="302.39999999999998" x14ac:dyDescent="0.3">
      <c r="A1937" s="16" t="s">
        <v>7665</v>
      </c>
      <c r="B1937" s="16" t="s">
        <v>7680</v>
      </c>
      <c r="C1937" s="16" t="s">
        <v>7651</v>
      </c>
      <c r="D1937" s="16" t="s">
        <v>7597</v>
      </c>
      <c r="E1937" s="16" t="s">
        <v>4294</v>
      </c>
      <c r="F1937" s="16" t="s">
        <v>9317</v>
      </c>
      <c r="G1937" s="16" t="s">
        <v>22</v>
      </c>
      <c r="H1937" s="16" t="s">
        <v>214</v>
      </c>
      <c r="I1937" s="16"/>
      <c r="J1937" s="16"/>
      <c r="K1937" s="16"/>
      <c r="L1937" s="16" t="s">
        <v>9318</v>
      </c>
      <c r="M1937" s="19" t="s">
        <v>4296</v>
      </c>
      <c r="N1937" s="16"/>
      <c r="O1937" s="16" t="s">
        <v>4297</v>
      </c>
      <c r="P1937" s="16" t="str">
        <f>HYPERLINK("https://ceds.ed.gov/cedselementdetails.aspx?termid=26148")</f>
        <v>https://ceds.ed.gov/cedselementdetails.aspx?termid=26148</v>
      </c>
      <c r="Q1937" s="16">
        <v>71768</v>
      </c>
    </row>
    <row r="1938" spans="1:17" ht="100.8" x14ac:dyDescent="0.3">
      <c r="A1938" s="16" t="s">
        <v>7665</v>
      </c>
      <c r="B1938" s="16" t="s">
        <v>7680</v>
      </c>
      <c r="C1938" s="16" t="s">
        <v>7706</v>
      </c>
      <c r="D1938" s="16" t="s">
        <v>7597</v>
      </c>
      <c r="E1938" s="16" t="s">
        <v>7142</v>
      </c>
      <c r="F1938" s="16" t="s">
        <v>7143</v>
      </c>
      <c r="G1938" s="16" t="s">
        <v>22</v>
      </c>
      <c r="H1938" s="16" t="s">
        <v>64</v>
      </c>
      <c r="I1938" s="16"/>
      <c r="J1938" s="16"/>
      <c r="K1938" s="16"/>
      <c r="L1938" s="16"/>
      <c r="M1938" s="19" t="s">
        <v>7144</v>
      </c>
      <c r="N1938" s="16"/>
      <c r="O1938" s="16" t="s">
        <v>7145</v>
      </c>
      <c r="P1938" s="16" t="str">
        <f>HYPERLINK("https://ceds.ed.gov/cedselementdetails.aspx?termid=26291")</f>
        <v>https://ceds.ed.gov/cedselementdetails.aspx?termid=26291</v>
      </c>
      <c r="Q1938" s="16">
        <v>71826</v>
      </c>
    </row>
    <row r="1939" spans="1:17" ht="86.4" x14ac:dyDescent="0.3">
      <c r="A1939" s="16" t="s">
        <v>7665</v>
      </c>
      <c r="B1939" s="16" t="s">
        <v>7680</v>
      </c>
      <c r="C1939" s="16" t="s">
        <v>7706</v>
      </c>
      <c r="D1939" s="16" t="s">
        <v>7597</v>
      </c>
      <c r="E1939" s="16" t="s">
        <v>7138</v>
      </c>
      <c r="F1939" s="16" t="s">
        <v>7139</v>
      </c>
      <c r="G1939" s="16" t="s">
        <v>22</v>
      </c>
      <c r="H1939" s="16" t="s">
        <v>214</v>
      </c>
      <c r="I1939" s="16"/>
      <c r="J1939" s="16"/>
      <c r="K1939" s="16"/>
      <c r="L1939" s="16"/>
      <c r="M1939" s="19" t="s">
        <v>7140</v>
      </c>
      <c r="N1939" s="16"/>
      <c r="O1939" s="16" t="s">
        <v>7141</v>
      </c>
      <c r="P1939" s="16" t="str">
        <f>HYPERLINK("https://ceds.ed.gov/cedselementdetails.aspx?termid=26290")</f>
        <v>https://ceds.ed.gov/cedselementdetails.aspx?termid=26290</v>
      </c>
      <c r="Q1939" s="16">
        <v>71825</v>
      </c>
    </row>
    <row r="1940" spans="1:17" ht="28.8" x14ac:dyDescent="0.3">
      <c r="A1940" s="16" t="s">
        <v>7665</v>
      </c>
      <c r="B1940" s="16" t="s">
        <v>7680</v>
      </c>
      <c r="C1940" s="16" t="s">
        <v>7706</v>
      </c>
      <c r="D1940" s="16" t="s">
        <v>7597</v>
      </c>
      <c r="E1940" s="16" t="s">
        <v>6906</v>
      </c>
      <c r="F1940" s="16" t="s">
        <v>9324</v>
      </c>
      <c r="G1940" s="16" t="s">
        <v>32</v>
      </c>
      <c r="H1940" s="16"/>
      <c r="I1940" s="16" t="s">
        <v>160</v>
      </c>
      <c r="J1940" s="16" t="s">
        <v>812</v>
      </c>
      <c r="K1940" s="16" t="s">
        <v>12952</v>
      </c>
      <c r="L1940" s="16"/>
      <c r="M1940" s="19" t="s">
        <v>6907</v>
      </c>
      <c r="N1940" s="16"/>
      <c r="O1940" s="16" t="s">
        <v>6908</v>
      </c>
      <c r="P1940" s="16" t="str">
        <f>HYPERLINK("https://ceds.ed.gov/cedselementdetails.aspx?termid=27192")</f>
        <v>https://ceds.ed.gov/cedselementdetails.aspx?termid=27192</v>
      </c>
      <c r="Q1940" s="16">
        <v>71983</v>
      </c>
    </row>
    <row r="1941" spans="1:17" ht="374.4" x14ac:dyDescent="0.3">
      <c r="A1941" s="16" t="s">
        <v>7665</v>
      </c>
      <c r="B1941" s="16" t="s">
        <v>7680</v>
      </c>
      <c r="C1941" s="16" t="s">
        <v>7706</v>
      </c>
      <c r="D1941" s="16" t="s">
        <v>7597</v>
      </c>
      <c r="E1941" s="16" t="s">
        <v>6903</v>
      </c>
      <c r="F1941" s="16" t="s">
        <v>9323</v>
      </c>
      <c r="G1941" s="16" t="s">
        <v>32</v>
      </c>
      <c r="H1941" s="16"/>
      <c r="I1941" s="16" t="s">
        <v>160</v>
      </c>
      <c r="J1941" s="16" t="s">
        <v>812</v>
      </c>
      <c r="K1941" s="16" t="s">
        <v>12952</v>
      </c>
      <c r="L1941" s="16" t="s">
        <v>8158</v>
      </c>
      <c r="M1941" s="19" t="s">
        <v>6904</v>
      </c>
      <c r="N1941" s="16"/>
      <c r="O1941" s="16" t="s">
        <v>6905</v>
      </c>
      <c r="P1941" s="16" t="str">
        <f>HYPERLINK("https://ceds.ed.gov/cedselementdetails.aspx?termid=27193")</f>
        <v>https://ceds.ed.gov/cedselementdetails.aspx?termid=27193</v>
      </c>
      <c r="Q1941" s="16">
        <v>71984</v>
      </c>
    </row>
    <row r="1942" spans="1:17" ht="43.2" x14ac:dyDescent="0.3">
      <c r="A1942" s="16" t="s">
        <v>7665</v>
      </c>
      <c r="B1942" s="16" t="s">
        <v>7680</v>
      </c>
      <c r="C1942" s="16" t="s">
        <v>7706</v>
      </c>
      <c r="D1942" s="16" t="s">
        <v>7597</v>
      </c>
      <c r="E1942" s="16" t="s">
        <v>3981</v>
      </c>
      <c r="F1942" s="16" t="s">
        <v>3982</v>
      </c>
      <c r="G1942" s="16" t="s">
        <v>32</v>
      </c>
      <c r="H1942" s="16"/>
      <c r="I1942" s="16"/>
      <c r="J1942" s="16" t="s">
        <v>106</v>
      </c>
      <c r="K1942" s="16"/>
      <c r="L1942" s="16"/>
      <c r="M1942" s="19" t="s">
        <v>3984</v>
      </c>
      <c r="N1942" s="16"/>
      <c r="O1942" s="16" t="s">
        <v>3985</v>
      </c>
      <c r="P1942" s="16" t="str">
        <f>HYPERLINK("https://ceds.ed.gov/cedselementdetails.aspx?termid=26520")</f>
        <v>https://ceds.ed.gov/cedselementdetails.aspx?termid=26520</v>
      </c>
      <c r="Q1942" s="16">
        <v>71860</v>
      </c>
    </row>
    <row r="1943" spans="1:17" ht="72" x14ac:dyDescent="0.3">
      <c r="A1943" s="16" t="s">
        <v>7665</v>
      </c>
      <c r="B1943" s="16" t="s">
        <v>7680</v>
      </c>
      <c r="C1943" s="16" t="s">
        <v>7707</v>
      </c>
      <c r="D1943" s="16" t="s">
        <v>7597</v>
      </c>
      <c r="E1943" s="16" t="s">
        <v>3519</v>
      </c>
      <c r="F1943" s="16" t="s">
        <v>12980</v>
      </c>
      <c r="G1943" s="16"/>
      <c r="H1943" s="16"/>
      <c r="I1943" s="16"/>
      <c r="J1943" s="16"/>
      <c r="K1943" s="16"/>
      <c r="L1943" s="16"/>
      <c r="M1943" s="19"/>
      <c r="N1943" s="16"/>
      <c r="O1943" s="16"/>
      <c r="P1943" s="16"/>
      <c r="Q1943" s="16"/>
    </row>
    <row r="1944" spans="1:17" x14ac:dyDescent="0.3">
      <c r="A1944" s="16" t="s">
        <v>12981</v>
      </c>
      <c r="B1944" s="16"/>
      <c r="C1944" s="16"/>
      <c r="D1944" s="16"/>
      <c r="E1944" s="16"/>
      <c r="F1944" s="16"/>
      <c r="G1944" s="16"/>
      <c r="H1944" s="16"/>
      <c r="I1944" s="16"/>
      <c r="J1944" s="16"/>
      <c r="K1944" s="16"/>
      <c r="L1944" s="16"/>
      <c r="M1944" s="19"/>
      <c r="N1944" s="16"/>
      <c r="O1944" s="16"/>
      <c r="P1944" s="16"/>
      <c r="Q1944" s="16"/>
    </row>
    <row r="1945" spans="1:17" ht="43.2" x14ac:dyDescent="0.3">
      <c r="A1945" s="16" t="s">
        <v>12982</v>
      </c>
      <c r="B1945" s="16"/>
      <c r="C1945" s="16"/>
      <c r="D1945" s="16"/>
      <c r="E1945" s="16"/>
      <c r="F1945" s="16"/>
      <c r="G1945" s="16"/>
      <c r="H1945" s="16"/>
      <c r="I1945" s="16"/>
      <c r="J1945" s="16"/>
      <c r="K1945" s="16"/>
      <c r="L1945" s="16"/>
      <c r="M1945" s="19"/>
      <c r="N1945" s="16"/>
      <c r="O1945" s="16"/>
      <c r="P1945" s="16"/>
      <c r="Q1945" s="16"/>
    </row>
    <row r="1946" spans="1:17" x14ac:dyDescent="0.3">
      <c r="A1946" s="16" t="s">
        <v>12983</v>
      </c>
      <c r="B1946" s="16"/>
      <c r="C1946" s="16"/>
      <c r="D1946" s="16"/>
      <c r="E1946" s="16"/>
      <c r="F1946" s="16"/>
      <c r="G1946" s="16"/>
      <c r="H1946" s="16"/>
      <c r="I1946" s="16"/>
      <c r="J1946" s="16"/>
      <c r="K1946" s="16"/>
      <c r="L1946" s="16"/>
      <c r="M1946" s="19"/>
      <c r="N1946" s="16"/>
      <c r="O1946" s="16"/>
      <c r="P1946" s="16"/>
      <c r="Q1946" s="16"/>
    </row>
    <row r="1947" spans="1:17" ht="43.2" x14ac:dyDescent="0.3">
      <c r="A1947" s="16" t="s">
        <v>12984</v>
      </c>
      <c r="B1947" s="16"/>
      <c r="C1947" s="16"/>
      <c r="D1947" s="16"/>
      <c r="E1947" s="16"/>
      <c r="F1947" s="16"/>
      <c r="G1947" s="16"/>
      <c r="H1947" s="16"/>
      <c r="I1947" s="16"/>
      <c r="J1947" s="16"/>
      <c r="K1947" s="16"/>
      <c r="L1947" s="16"/>
      <c r="M1947" s="19"/>
      <c r="N1947" s="16"/>
      <c r="O1947" s="16"/>
      <c r="P1947" s="16"/>
      <c r="Q1947" s="16"/>
    </row>
    <row r="1948" spans="1:17" x14ac:dyDescent="0.3">
      <c r="A1948" s="16" t="s">
        <v>12985</v>
      </c>
      <c r="B1948" s="16"/>
      <c r="C1948" s="16"/>
      <c r="D1948" s="16"/>
      <c r="E1948" s="16"/>
      <c r="F1948" s="16"/>
      <c r="G1948" s="16"/>
      <c r="H1948" s="16"/>
      <c r="I1948" s="16"/>
      <c r="J1948" s="16"/>
      <c r="K1948" s="16"/>
      <c r="L1948" s="16"/>
      <c r="M1948" s="19"/>
      <c r="N1948" s="16"/>
      <c r="O1948" s="16"/>
      <c r="P1948" s="16"/>
      <c r="Q1948" s="16"/>
    </row>
    <row r="1949" spans="1:17" ht="43.2" x14ac:dyDescent="0.3">
      <c r="A1949" s="16" t="s">
        <v>12986</v>
      </c>
      <c r="B1949" s="16"/>
      <c r="C1949" s="16"/>
      <c r="D1949" s="16"/>
      <c r="E1949" s="16"/>
      <c r="F1949" s="16"/>
      <c r="G1949" s="16"/>
      <c r="H1949" s="16"/>
      <c r="I1949" s="16"/>
      <c r="J1949" s="16"/>
      <c r="K1949" s="16"/>
      <c r="L1949" s="16"/>
      <c r="M1949" s="19"/>
      <c r="N1949" s="16"/>
      <c r="O1949" s="16"/>
      <c r="P1949" s="16"/>
      <c r="Q1949" s="16"/>
    </row>
    <row r="1950" spans="1:17" ht="72" x14ac:dyDescent="0.3">
      <c r="A1950" s="16" t="s">
        <v>12987</v>
      </c>
      <c r="B1950" s="16"/>
      <c r="C1950" s="16"/>
      <c r="D1950" s="16"/>
      <c r="E1950" s="16"/>
      <c r="F1950" s="16"/>
      <c r="G1950" s="16"/>
      <c r="H1950" s="16"/>
      <c r="I1950" s="16"/>
      <c r="J1950" s="16"/>
      <c r="K1950" s="16"/>
      <c r="L1950" s="16"/>
      <c r="M1950" s="19"/>
      <c r="N1950" s="16"/>
      <c r="O1950" s="16"/>
      <c r="P1950" s="16"/>
      <c r="Q1950" s="16"/>
    </row>
    <row r="1951" spans="1:17" ht="72" x14ac:dyDescent="0.3">
      <c r="A1951" s="16" t="s">
        <v>12988</v>
      </c>
      <c r="B1951" s="16"/>
      <c r="C1951" s="16"/>
      <c r="D1951" s="16"/>
      <c r="E1951" s="16"/>
      <c r="F1951" s="16"/>
      <c r="G1951" s="16"/>
      <c r="H1951" s="16"/>
      <c r="I1951" s="16"/>
      <c r="J1951" s="16"/>
      <c r="K1951" s="16"/>
      <c r="L1951" s="16"/>
      <c r="M1951" s="19"/>
      <c r="N1951" s="16"/>
      <c r="O1951" s="16"/>
      <c r="P1951" s="16"/>
      <c r="Q1951" s="16"/>
    </row>
    <row r="1952" spans="1:17" ht="57.6" x14ac:dyDescent="0.3">
      <c r="A1952" s="16" t="s">
        <v>12989</v>
      </c>
      <c r="B1952" s="16"/>
      <c r="C1952" s="16"/>
      <c r="D1952" s="16"/>
      <c r="E1952" s="16"/>
      <c r="F1952" s="16"/>
      <c r="G1952" s="16"/>
      <c r="H1952" s="16"/>
      <c r="I1952" s="16"/>
      <c r="J1952" s="16"/>
      <c r="K1952" s="16"/>
      <c r="L1952" s="16"/>
      <c r="M1952" s="19"/>
      <c r="N1952" s="16"/>
      <c r="O1952" s="16"/>
      <c r="P1952" s="16"/>
      <c r="Q1952" s="16"/>
    </row>
    <row r="1953" spans="1:17" ht="28.8" x14ac:dyDescent="0.3">
      <c r="A1953" s="16" t="s">
        <v>12990</v>
      </c>
      <c r="B1953" s="16"/>
      <c r="C1953" s="16"/>
      <c r="D1953" s="16"/>
      <c r="E1953" s="16"/>
      <c r="F1953" s="16"/>
      <c r="G1953" s="16"/>
      <c r="H1953" s="16"/>
      <c r="I1953" s="16"/>
      <c r="J1953" s="16"/>
      <c r="K1953" s="16"/>
      <c r="L1953" s="16"/>
      <c r="M1953" s="19"/>
      <c r="N1953" s="16"/>
      <c r="O1953" s="16"/>
      <c r="P1953" s="16"/>
      <c r="Q1953" s="16"/>
    </row>
    <row r="1954" spans="1:17" ht="43.2" x14ac:dyDescent="0.3">
      <c r="A1954" s="16" t="s">
        <v>12991</v>
      </c>
      <c r="B1954" s="16"/>
      <c r="C1954" s="16"/>
      <c r="D1954" s="16"/>
      <c r="E1954" s="16"/>
      <c r="F1954" s="16"/>
      <c r="G1954" s="16"/>
      <c r="H1954" s="16"/>
      <c r="I1954" s="16"/>
      <c r="J1954" s="16"/>
      <c r="K1954" s="16"/>
      <c r="L1954" s="16"/>
      <c r="M1954" s="19"/>
      <c r="N1954" s="16"/>
      <c r="O1954" s="16"/>
      <c r="P1954" s="16"/>
      <c r="Q1954" s="16"/>
    </row>
    <row r="1955" spans="1:17" ht="86.4" x14ac:dyDescent="0.3">
      <c r="A1955" s="16" t="s">
        <v>12992</v>
      </c>
      <c r="B1955" s="16" t="s">
        <v>22</v>
      </c>
      <c r="C1955" s="16" t="s">
        <v>1863</v>
      </c>
      <c r="D1955" s="16"/>
      <c r="E1955" s="16"/>
      <c r="F1955" s="16"/>
      <c r="G1955" s="16" t="s">
        <v>3520</v>
      </c>
      <c r="H1955" s="16">
        <v>180</v>
      </c>
      <c r="I1955" s="16"/>
      <c r="J1955" s="16" t="s">
        <v>3521</v>
      </c>
      <c r="K1955" s="16" t="str">
        <f>HYPERLINK("https://ceds.ed.gov/cedselementdetails.aspx?termid=26180")</f>
        <v>https://ceds.ed.gov/cedselementdetails.aspx?termid=26180</v>
      </c>
      <c r="L1955" s="16">
        <v>71783</v>
      </c>
      <c r="M1955" s="19"/>
      <c r="N1955" s="16"/>
      <c r="O1955" s="16"/>
      <c r="P1955" s="16"/>
      <c r="Q1955" s="16"/>
    </row>
    <row r="1956" spans="1:17" ht="57.6" x14ac:dyDescent="0.3">
      <c r="A1956" s="16" t="s">
        <v>7665</v>
      </c>
      <c r="B1956" s="16" t="s">
        <v>7680</v>
      </c>
      <c r="C1956" s="16" t="s">
        <v>7707</v>
      </c>
      <c r="D1956" s="16" t="s">
        <v>7597</v>
      </c>
      <c r="E1956" s="16" t="s">
        <v>6097</v>
      </c>
      <c r="F1956" s="16" t="s">
        <v>6098</v>
      </c>
      <c r="G1956" s="16" t="s">
        <v>32</v>
      </c>
      <c r="H1956" s="16" t="s">
        <v>6101</v>
      </c>
      <c r="I1956" s="16"/>
      <c r="J1956" s="16" t="s">
        <v>106</v>
      </c>
      <c r="K1956" s="16"/>
      <c r="L1956" s="16"/>
      <c r="M1956" s="19" t="s">
        <v>6099</v>
      </c>
      <c r="N1956" s="16"/>
      <c r="O1956" s="16" t="s">
        <v>6100</v>
      </c>
      <c r="P1956" s="16" t="str">
        <f>HYPERLINK("https://ceds.ed.gov/cedselementdetails.aspx?termid=26583")</f>
        <v>https://ceds.ed.gov/cedselementdetails.aspx?termid=26583</v>
      </c>
      <c r="Q1956" s="16">
        <v>71985</v>
      </c>
    </row>
    <row r="1957" spans="1:17" ht="57.6" x14ac:dyDescent="0.3">
      <c r="A1957" s="16" t="s">
        <v>7665</v>
      </c>
      <c r="B1957" s="16" t="s">
        <v>7680</v>
      </c>
      <c r="C1957" s="16" t="s">
        <v>7707</v>
      </c>
      <c r="D1957" s="16" t="s">
        <v>7597</v>
      </c>
      <c r="E1957" s="16" t="s">
        <v>6093</v>
      </c>
      <c r="F1957" s="16" t="s">
        <v>1900</v>
      </c>
      <c r="G1957" s="16" t="s">
        <v>32</v>
      </c>
      <c r="H1957" s="16" t="s">
        <v>6096</v>
      </c>
      <c r="I1957" s="16"/>
      <c r="J1957" s="16" t="s">
        <v>106</v>
      </c>
      <c r="K1957" s="16"/>
      <c r="L1957" s="16" t="s">
        <v>131</v>
      </c>
      <c r="M1957" s="19" t="s">
        <v>6094</v>
      </c>
      <c r="N1957" s="16"/>
      <c r="O1957" s="16" t="s">
        <v>6095</v>
      </c>
      <c r="P1957" s="16" t="str">
        <f>HYPERLINK("https://ceds.ed.gov/cedselementdetails.aspx?termid=26584")</f>
        <v>https://ceds.ed.gov/cedselementdetails.aspx?termid=26584</v>
      </c>
      <c r="Q1957" s="16">
        <v>71986</v>
      </c>
    </row>
    <row r="1958" spans="1:17" ht="115.2" x14ac:dyDescent="0.3">
      <c r="A1958" s="16" t="s">
        <v>7665</v>
      </c>
      <c r="B1958" s="16" t="s">
        <v>7680</v>
      </c>
      <c r="C1958" s="16" t="s">
        <v>7707</v>
      </c>
      <c r="D1958" s="16" t="s">
        <v>7597</v>
      </c>
      <c r="E1958" s="16" t="s">
        <v>8103</v>
      </c>
      <c r="F1958" s="16" t="s">
        <v>8104</v>
      </c>
      <c r="G1958" s="16" t="s">
        <v>22</v>
      </c>
      <c r="H1958" s="16" t="s">
        <v>214</v>
      </c>
      <c r="I1958" s="16"/>
      <c r="J1958" s="16"/>
      <c r="K1958" s="16"/>
      <c r="L1958" s="16"/>
      <c r="M1958" s="19" t="s">
        <v>5720</v>
      </c>
      <c r="N1958" s="16"/>
      <c r="O1958" s="16" t="s">
        <v>8105</v>
      </c>
      <c r="P1958" s="16" t="str">
        <f>HYPERLINK("https://ceds.ed.gov/cedselementdetails.aspx?termid=26574")</f>
        <v>https://ceds.ed.gov/cedselementdetails.aspx?termid=26574</v>
      </c>
      <c r="Q1958" s="16">
        <v>71887</v>
      </c>
    </row>
    <row r="1959" spans="1:17" ht="57.6" x14ac:dyDescent="0.3">
      <c r="A1959" s="16" t="s">
        <v>7665</v>
      </c>
      <c r="B1959" s="16" t="s">
        <v>7680</v>
      </c>
      <c r="C1959" s="16" t="s">
        <v>7707</v>
      </c>
      <c r="D1959" s="16" t="s">
        <v>7597</v>
      </c>
      <c r="E1959" s="16" t="s">
        <v>7130</v>
      </c>
      <c r="F1959" s="16" t="s">
        <v>7131</v>
      </c>
      <c r="G1959" s="16" t="s">
        <v>8854</v>
      </c>
      <c r="H1959" s="16" t="s">
        <v>214</v>
      </c>
      <c r="I1959" s="16"/>
      <c r="J1959" s="16"/>
      <c r="K1959" s="16"/>
      <c r="L1959" s="16"/>
      <c r="M1959" s="19" t="s">
        <v>7132</v>
      </c>
      <c r="N1959" s="16"/>
      <c r="O1959" s="16" t="s">
        <v>7133</v>
      </c>
      <c r="P1959" s="16" t="str">
        <f>HYPERLINK("https://ceds.ed.gov/cedselementdetails.aspx?termid=26527")</f>
        <v>https://ceds.ed.gov/cedselementdetails.aspx?termid=26527</v>
      </c>
      <c r="Q1959" s="16">
        <v>71865</v>
      </c>
    </row>
    <row r="1960" spans="1:17" ht="57.6" x14ac:dyDescent="0.3">
      <c r="A1960" s="16" t="s">
        <v>7665</v>
      </c>
      <c r="B1960" s="16" t="s">
        <v>7680</v>
      </c>
      <c r="C1960" s="16" t="s">
        <v>7707</v>
      </c>
      <c r="D1960" s="16" t="s">
        <v>7597</v>
      </c>
      <c r="E1960" s="16" t="s">
        <v>7134</v>
      </c>
      <c r="F1960" s="16" t="s">
        <v>7135</v>
      </c>
      <c r="G1960" s="16" t="s">
        <v>22</v>
      </c>
      <c r="H1960" s="16" t="s">
        <v>214</v>
      </c>
      <c r="I1960" s="16"/>
      <c r="J1960" s="16"/>
      <c r="K1960" s="16"/>
      <c r="L1960" s="16"/>
      <c r="M1960" s="19" t="s">
        <v>7136</v>
      </c>
      <c r="N1960" s="16"/>
      <c r="O1960" s="16" t="s">
        <v>7137</v>
      </c>
      <c r="P1960" s="16" t="str">
        <f>HYPERLINK("https://ceds.ed.gov/cedselementdetails.aspx?termid=26557")</f>
        <v>https://ceds.ed.gov/cedselementdetails.aspx?termid=26557</v>
      </c>
      <c r="Q1960" s="16">
        <v>71877</v>
      </c>
    </row>
    <row r="1961" spans="1:17" ht="144" x14ac:dyDescent="0.3">
      <c r="A1961" s="16" t="s">
        <v>7665</v>
      </c>
      <c r="B1961" s="16" t="s">
        <v>7680</v>
      </c>
      <c r="C1961" s="16" t="s">
        <v>7707</v>
      </c>
      <c r="D1961" s="16" t="s">
        <v>7597</v>
      </c>
      <c r="E1961" s="16" t="s">
        <v>7209</v>
      </c>
      <c r="F1961" s="16" t="s">
        <v>7210</v>
      </c>
      <c r="G1961" s="16" t="s">
        <v>8861</v>
      </c>
      <c r="H1961" s="16" t="s">
        <v>202</v>
      </c>
      <c r="I1961" s="16"/>
      <c r="J1961" s="16"/>
      <c r="K1961" s="16"/>
      <c r="L1961" s="16"/>
      <c r="M1961" s="19" t="s">
        <v>7211</v>
      </c>
      <c r="N1961" s="16" t="s">
        <v>7212</v>
      </c>
      <c r="O1961" s="16" t="s">
        <v>7213</v>
      </c>
      <c r="P1961" s="16" t="str">
        <f>HYPERLINK("https://ceds.ed.gov/cedselementdetails.aspx?termid=26477")</f>
        <v>https://ceds.ed.gov/cedselementdetails.aspx?termid=26477</v>
      </c>
      <c r="Q1961" s="16">
        <v>75003</v>
      </c>
    </row>
    <row r="1962" spans="1:17" ht="230.4" x14ac:dyDescent="0.3">
      <c r="A1962" s="16" t="s">
        <v>7665</v>
      </c>
      <c r="B1962" s="16" t="s">
        <v>7680</v>
      </c>
      <c r="C1962" s="16" t="s">
        <v>7707</v>
      </c>
      <c r="D1962" s="16" t="s">
        <v>7597</v>
      </c>
      <c r="E1962" s="16" t="s">
        <v>7428</v>
      </c>
      <c r="F1962" s="16" t="s">
        <v>7429</v>
      </c>
      <c r="G1962" s="16" t="s">
        <v>32</v>
      </c>
      <c r="H1962" s="16"/>
      <c r="I1962" s="16"/>
      <c r="J1962" s="16" t="s">
        <v>106</v>
      </c>
      <c r="K1962" s="16"/>
      <c r="L1962" s="16" t="s">
        <v>7430</v>
      </c>
      <c r="M1962" s="19" t="s">
        <v>7431</v>
      </c>
      <c r="N1962" s="16"/>
      <c r="O1962" s="16" t="s">
        <v>7432</v>
      </c>
      <c r="P1962" s="16" t="str">
        <f>HYPERLINK("https://ceds.ed.gov/cedselementdetails.aspx?termid=27934")</f>
        <v>https://ceds.ed.gov/cedselementdetails.aspx?termid=27934</v>
      </c>
      <c r="Q1962" s="16">
        <v>75565</v>
      </c>
    </row>
    <row r="1963" spans="1:17" ht="158.4" x14ac:dyDescent="0.3">
      <c r="A1963" s="16" t="s">
        <v>7665</v>
      </c>
      <c r="B1963" s="16" t="s">
        <v>7680</v>
      </c>
      <c r="C1963" s="16" t="s">
        <v>7707</v>
      </c>
      <c r="D1963" s="16" t="s">
        <v>7597</v>
      </c>
      <c r="E1963" s="16" t="s">
        <v>7433</v>
      </c>
      <c r="F1963" s="16" t="s">
        <v>7434</v>
      </c>
      <c r="G1963" s="16" t="s">
        <v>2987</v>
      </c>
      <c r="H1963" s="16"/>
      <c r="I1963" s="16"/>
      <c r="J1963" s="16"/>
      <c r="K1963" s="16"/>
      <c r="L1963" s="16" t="s">
        <v>7435</v>
      </c>
      <c r="M1963" s="19" t="s">
        <v>7436</v>
      </c>
      <c r="N1963" s="16"/>
      <c r="O1963" s="16" t="s">
        <v>7437</v>
      </c>
      <c r="P1963" s="16" t="str">
        <f>HYPERLINK("https://ceds.ed.gov/cedselementdetails.aspx?termid=27935")</f>
        <v>https://ceds.ed.gov/cedselementdetails.aspx?termid=27935</v>
      </c>
      <c r="Q1963" s="16">
        <v>75566</v>
      </c>
    </row>
    <row r="1964" spans="1:17" ht="374.4" x14ac:dyDescent="0.3">
      <c r="A1964" s="16" t="s">
        <v>7665</v>
      </c>
      <c r="B1964" s="16" t="s">
        <v>7680</v>
      </c>
      <c r="C1964" s="16" t="s">
        <v>7707</v>
      </c>
      <c r="D1964" s="16" t="s">
        <v>7597</v>
      </c>
      <c r="E1964" s="16" t="s">
        <v>6903</v>
      </c>
      <c r="F1964" s="16" t="s">
        <v>9323</v>
      </c>
      <c r="G1964" s="16" t="s">
        <v>32</v>
      </c>
      <c r="H1964" s="16"/>
      <c r="I1964" s="16" t="s">
        <v>160</v>
      </c>
      <c r="J1964" s="16" t="s">
        <v>812</v>
      </c>
      <c r="K1964" s="16" t="s">
        <v>12952</v>
      </c>
      <c r="L1964" s="16" t="s">
        <v>8158</v>
      </c>
      <c r="M1964" s="19" t="s">
        <v>6904</v>
      </c>
      <c r="N1964" s="16"/>
      <c r="O1964" s="16" t="s">
        <v>6905</v>
      </c>
      <c r="P1964" s="16" t="str">
        <f>HYPERLINK("https://ceds.ed.gov/cedselementdetails.aspx?termid=27193")</f>
        <v>https://ceds.ed.gov/cedselementdetails.aspx?termid=27193</v>
      </c>
      <c r="Q1964" s="16">
        <v>76547</v>
      </c>
    </row>
    <row r="1965" spans="1:17" ht="28.8" x14ac:dyDescent="0.3">
      <c r="A1965" s="16" t="s">
        <v>7665</v>
      </c>
      <c r="B1965" s="16" t="s">
        <v>7680</v>
      </c>
      <c r="C1965" s="16" t="s">
        <v>7707</v>
      </c>
      <c r="D1965" s="16" t="s">
        <v>7597</v>
      </c>
      <c r="E1965" s="16" t="s">
        <v>6906</v>
      </c>
      <c r="F1965" s="16" t="s">
        <v>9324</v>
      </c>
      <c r="G1965" s="16" t="s">
        <v>32</v>
      </c>
      <c r="H1965" s="16"/>
      <c r="I1965" s="16" t="s">
        <v>160</v>
      </c>
      <c r="J1965" s="16" t="s">
        <v>812</v>
      </c>
      <c r="K1965" s="16" t="s">
        <v>12952</v>
      </c>
      <c r="L1965" s="16"/>
      <c r="M1965" s="19" t="s">
        <v>6907</v>
      </c>
      <c r="N1965" s="16"/>
      <c r="O1965" s="16" t="s">
        <v>6908</v>
      </c>
      <c r="P1965" s="16" t="str">
        <f>HYPERLINK("https://ceds.ed.gov/cedselementdetails.aspx?termid=27192")</f>
        <v>https://ceds.ed.gov/cedselementdetails.aspx?termid=27192</v>
      </c>
      <c r="Q1965" s="16">
        <v>76546</v>
      </c>
    </row>
    <row r="1966" spans="1:17" ht="28.8" x14ac:dyDescent="0.3">
      <c r="A1966" s="16" t="s">
        <v>7665</v>
      </c>
      <c r="B1966" s="16" t="s">
        <v>7680</v>
      </c>
      <c r="C1966" s="16" t="s">
        <v>7707</v>
      </c>
      <c r="D1966" s="16" t="s">
        <v>7597</v>
      </c>
      <c r="E1966" s="16" t="s">
        <v>12881</v>
      </c>
      <c r="F1966" s="16" t="s">
        <v>12882</v>
      </c>
      <c r="G1966" s="16" t="s">
        <v>32</v>
      </c>
      <c r="H1966" s="16"/>
      <c r="I1966" s="16" t="s">
        <v>155</v>
      </c>
      <c r="J1966" s="16" t="s">
        <v>12883</v>
      </c>
      <c r="K1966" s="16" t="s">
        <v>12636</v>
      </c>
      <c r="L1966" s="16"/>
      <c r="M1966" s="19" t="s">
        <v>12884</v>
      </c>
      <c r="N1966" s="16"/>
      <c r="O1966" s="16" t="s">
        <v>12885</v>
      </c>
      <c r="P1966" s="16" t="str">
        <f>HYPERLINK("https://ceds.ed.gov/cedselementdetails.aspx?termid=28099")</f>
        <v>https://ceds.ed.gov/cedselementdetails.aspx?termid=28099</v>
      </c>
      <c r="Q1966" s="16">
        <v>76575</v>
      </c>
    </row>
    <row r="1967" spans="1:17" ht="172.8" x14ac:dyDescent="0.3">
      <c r="A1967" s="16" t="s">
        <v>7665</v>
      </c>
      <c r="B1967" s="16" t="s">
        <v>7680</v>
      </c>
      <c r="C1967" s="16" t="s">
        <v>7708</v>
      </c>
      <c r="D1967" s="16" t="s">
        <v>7597</v>
      </c>
      <c r="E1967" s="16" t="s">
        <v>6937</v>
      </c>
      <c r="F1967" s="16" t="s">
        <v>6938</v>
      </c>
      <c r="G1967" s="16" t="s">
        <v>32</v>
      </c>
      <c r="H1967" s="16" t="s">
        <v>6936</v>
      </c>
      <c r="I1967" s="16"/>
      <c r="J1967" s="16" t="s">
        <v>120</v>
      </c>
      <c r="K1967" s="16"/>
      <c r="L1967" s="16" t="s">
        <v>7817</v>
      </c>
      <c r="M1967" s="19" t="s">
        <v>6939</v>
      </c>
      <c r="N1967" s="16"/>
      <c r="O1967" s="16" t="s">
        <v>6940</v>
      </c>
      <c r="P1967" s="16" t="str">
        <f>HYPERLINK("https://ceds.ed.gov/cedselementdetails.aspx?termid=26157")</f>
        <v>https://ceds.ed.gov/cedselementdetails.aspx?termid=26157</v>
      </c>
      <c r="Q1967" s="16">
        <v>71347</v>
      </c>
    </row>
    <row r="1968" spans="1:17" ht="158.4" x14ac:dyDescent="0.3">
      <c r="A1968" s="16" t="s">
        <v>7665</v>
      </c>
      <c r="B1968" s="16" t="s">
        <v>7680</v>
      </c>
      <c r="C1968" s="16" t="s">
        <v>7708</v>
      </c>
      <c r="D1968" s="16" t="s">
        <v>7597</v>
      </c>
      <c r="E1968" s="16" t="s">
        <v>6932</v>
      </c>
      <c r="F1968" s="16" t="s">
        <v>6933</v>
      </c>
      <c r="G1968" s="16" t="s">
        <v>9344</v>
      </c>
      <c r="H1968" s="16" t="s">
        <v>6936</v>
      </c>
      <c r="I1968" s="16"/>
      <c r="J1968" s="16"/>
      <c r="K1968" s="16"/>
      <c r="L1968" s="16"/>
      <c r="M1968" s="19" t="s">
        <v>6934</v>
      </c>
      <c r="N1968" s="16"/>
      <c r="O1968" s="16" t="s">
        <v>6935</v>
      </c>
      <c r="P1968" s="16" t="str">
        <f>HYPERLINK("https://ceds.ed.gov/cedselementdetails.aspx?termid=26163")</f>
        <v>https://ceds.ed.gov/cedselementdetails.aspx?termid=26163</v>
      </c>
      <c r="Q1968" s="16">
        <v>71346</v>
      </c>
    </row>
    <row r="1969" spans="1:17" ht="230.4" x14ac:dyDescent="0.3">
      <c r="A1969" s="16" t="s">
        <v>7665</v>
      </c>
      <c r="B1969" s="16" t="s">
        <v>7680</v>
      </c>
      <c r="C1969" s="16" t="s">
        <v>7708</v>
      </c>
      <c r="D1969" s="16" t="s">
        <v>7597</v>
      </c>
      <c r="E1969" s="16" t="s">
        <v>5387</v>
      </c>
      <c r="F1969" s="16" t="s">
        <v>5388</v>
      </c>
      <c r="G1969" s="16" t="s">
        <v>22</v>
      </c>
      <c r="H1969" s="16" t="s">
        <v>1863</v>
      </c>
      <c r="I1969" s="16"/>
      <c r="J1969" s="16"/>
      <c r="K1969" s="16"/>
      <c r="L1969" s="16"/>
      <c r="M1969" s="19" t="s">
        <v>5389</v>
      </c>
      <c r="N1969" s="16"/>
      <c r="O1969" s="16" t="s">
        <v>5390</v>
      </c>
      <c r="P1969" s="16" t="str">
        <f>HYPERLINK("https://ceds.ed.gov/cedselementdetails.aspx?termid=26189")</f>
        <v>https://ceds.ed.gov/cedselementdetails.aspx?termid=26189</v>
      </c>
      <c r="Q1969" s="16">
        <v>71789</v>
      </c>
    </row>
    <row r="1970" spans="1:17" ht="57.6" x14ac:dyDescent="0.3">
      <c r="A1970" s="16" t="s">
        <v>7665</v>
      </c>
      <c r="B1970" s="16" t="s">
        <v>7680</v>
      </c>
      <c r="C1970" s="16" t="s">
        <v>7708</v>
      </c>
      <c r="D1970" s="16" t="s">
        <v>7597</v>
      </c>
      <c r="E1970" s="16" t="s">
        <v>6097</v>
      </c>
      <c r="F1970" s="16" t="s">
        <v>6098</v>
      </c>
      <c r="G1970" s="16" t="s">
        <v>32</v>
      </c>
      <c r="H1970" s="16" t="s">
        <v>6101</v>
      </c>
      <c r="I1970" s="16"/>
      <c r="J1970" s="16" t="s">
        <v>106</v>
      </c>
      <c r="K1970" s="16"/>
      <c r="L1970" s="16"/>
      <c r="M1970" s="19" t="s">
        <v>6099</v>
      </c>
      <c r="N1970" s="16"/>
      <c r="O1970" s="16" t="s">
        <v>6100</v>
      </c>
      <c r="P1970" s="16" t="str">
        <f>HYPERLINK("https://ceds.ed.gov/cedselementdetails.aspx?termid=26583")</f>
        <v>https://ceds.ed.gov/cedselementdetails.aspx?termid=26583</v>
      </c>
      <c r="Q1970" s="16">
        <v>71987</v>
      </c>
    </row>
    <row r="1971" spans="1:17" ht="57.6" x14ac:dyDescent="0.3">
      <c r="A1971" s="16" t="s">
        <v>7665</v>
      </c>
      <c r="B1971" s="16" t="s">
        <v>7680</v>
      </c>
      <c r="C1971" s="16" t="s">
        <v>7708</v>
      </c>
      <c r="D1971" s="16" t="s">
        <v>7597</v>
      </c>
      <c r="E1971" s="16" t="s">
        <v>6093</v>
      </c>
      <c r="F1971" s="16" t="s">
        <v>1900</v>
      </c>
      <c r="G1971" s="16" t="s">
        <v>32</v>
      </c>
      <c r="H1971" s="16" t="s">
        <v>6096</v>
      </c>
      <c r="I1971" s="16"/>
      <c r="J1971" s="16" t="s">
        <v>106</v>
      </c>
      <c r="K1971" s="16"/>
      <c r="L1971" s="16" t="s">
        <v>131</v>
      </c>
      <c r="M1971" s="19" t="s">
        <v>6094</v>
      </c>
      <c r="N1971" s="16"/>
      <c r="O1971" s="16" t="s">
        <v>6095</v>
      </c>
      <c r="P1971" s="16" t="str">
        <f>HYPERLINK("https://ceds.ed.gov/cedselementdetails.aspx?termid=26584")</f>
        <v>https://ceds.ed.gov/cedselementdetails.aspx?termid=26584</v>
      </c>
      <c r="Q1971" s="16">
        <v>71988</v>
      </c>
    </row>
    <row r="1972" spans="1:17" ht="115.2" x14ac:dyDescent="0.3">
      <c r="A1972" s="16" t="s">
        <v>7665</v>
      </c>
      <c r="B1972" s="16" t="s">
        <v>7680</v>
      </c>
      <c r="C1972" s="16" t="s">
        <v>7708</v>
      </c>
      <c r="D1972" s="16" t="s">
        <v>7597</v>
      </c>
      <c r="E1972" s="16" t="s">
        <v>5337</v>
      </c>
      <c r="F1972" s="16" t="s">
        <v>5338</v>
      </c>
      <c r="G1972" s="16" t="s">
        <v>32</v>
      </c>
      <c r="H1972" s="16" t="s">
        <v>1516</v>
      </c>
      <c r="I1972" s="16"/>
      <c r="J1972" s="16" t="s">
        <v>106</v>
      </c>
      <c r="K1972" s="16"/>
      <c r="L1972" s="16"/>
      <c r="M1972" s="19" t="s">
        <v>5339</v>
      </c>
      <c r="N1972" s="16" t="s">
        <v>5340</v>
      </c>
      <c r="O1972" s="16" t="s">
        <v>5341</v>
      </c>
      <c r="P1972" s="16" t="str">
        <f>HYPERLINK("https://ceds.ed.gov/cedselementdetails.aspx?termid=26420")</f>
        <v>https://ceds.ed.gov/cedselementdetails.aspx?termid=26420</v>
      </c>
      <c r="Q1972" s="16">
        <v>71840</v>
      </c>
    </row>
    <row r="1973" spans="1:17" ht="43.2" x14ac:dyDescent="0.3">
      <c r="A1973" s="16" t="s">
        <v>7665</v>
      </c>
      <c r="B1973" s="16" t="s">
        <v>7680</v>
      </c>
      <c r="C1973" s="16" t="s">
        <v>7708</v>
      </c>
      <c r="D1973" s="16" t="s">
        <v>7597</v>
      </c>
      <c r="E1973" s="16" t="s">
        <v>5347</v>
      </c>
      <c r="F1973" s="16" t="s">
        <v>5348</v>
      </c>
      <c r="G1973" s="16" t="s">
        <v>22</v>
      </c>
      <c r="H1973" s="16" t="s">
        <v>214</v>
      </c>
      <c r="I1973" s="16"/>
      <c r="J1973" s="16"/>
      <c r="K1973" s="16"/>
      <c r="L1973" s="16"/>
      <c r="M1973" s="19" t="s">
        <v>5349</v>
      </c>
      <c r="N1973" s="16" t="s">
        <v>5350</v>
      </c>
      <c r="O1973" s="16" t="s">
        <v>5351</v>
      </c>
      <c r="P1973" s="16" t="str">
        <f>HYPERLINK("https://ceds.ed.gov/cedselementdetails.aspx?termid=26185")</f>
        <v>https://ceds.ed.gov/cedselementdetails.aspx?termid=26185</v>
      </c>
      <c r="Q1973" s="16">
        <v>71787</v>
      </c>
    </row>
    <row r="1974" spans="1:17" ht="100.8" x14ac:dyDescent="0.3">
      <c r="A1974" s="16" t="s">
        <v>7665</v>
      </c>
      <c r="B1974" s="16" t="s">
        <v>7680</v>
      </c>
      <c r="C1974" s="16" t="s">
        <v>7708</v>
      </c>
      <c r="D1974" s="16" t="s">
        <v>7597</v>
      </c>
      <c r="E1974" s="16" t="s">
        <v>5342</v>
      </c>
      <c r="F1974" s="16" t="s">
        <v>5343</v>
      </c>
      <c r="G1974" s="16" t="s">
        <v>8721</v>
      </c>
      <c r="H1974" s="16" t="s">
        <v>1516</v>
      </c>
      <c r="I1974" s="16"/>
      <c r="J1974" s="16"/>
      <c r="K1974" s="16"/>
      <c r="L1974" s="16"/>
      <c r="M1974" s="19" t="s">
        <v>5344</v>
      </c>
      <c r="N1974" s="16" t="s">
        <v>5345</v>
      </c>
      <c r="O1974" s="16" t="s">
        <v>5346</v>
      </c>
      <c r="P1974" s="16" t="str">
        <f>HYPERLINK("https://ceds.ed.gov/cedselementdetails.aspx?termid=26427")</f>
        <v>https://ceds.ed.gov/cedselementdetails.aspx?termid=26427</v>
      </c>
      <c r="Q1974" s="16">
        <v>71847</v>
      </c>
    </row>
    <row r="1975" spans="1:17" ht="115.2" x14ac:dyDescent="0.3">
      <c r="A1975" s="16" t="s">
        <v>7665</v>
      </c>
      <c r="B1975" s="16" t="s">
        <v>7680</v>
      </c>
      <c r="C1975" s="16" t="s">
        <v>7708</v>
      </c>
      <c r="D1975" s="16" t="s">
        <v>7597</v>
      </c>
      <c r="E1975" s="16" t="s">
        <v>5367</v>
      </c>
      <c r="F1975" s="16" t="s">
        <v>5368</v>
      </c>
      <c r="G1975" s="16" t="s">
        <v>8724</v>
      </c>
      <c r="H1975" s="16" t="s">
        <v>214</v>
      </c>
      <c r="I1975" s="16"/>
      <c r="J1975" s="16"/>
      <c r="K1975" s="16"/>
      <c r="L1975" s="16"/>
      <c r="M1975" s="19" t="s">
        <v>5369</v>
      </c>
      <c r="N1975" s="16" t="s">
        <v>5370</v>
      </c>
      <c r="O1975" s="16" t="s">
        <v>5371</v>
      </c>
      <c r="P1975" s="16" t="str">
        <f>HYPERLINK("https://ceds.ed.gov/cedselementdetails.aspx?termid=26186")</f>
        <v>https://ceds.ed.gov/cedselementdetails.aspx?termid=26186</v>
      </c>
      <c r="Q1975" s="16">
        <v>71788</v>
      </c>
    </row>
    <row r="1976" spans="1:17" ht="72" x14ac:dyDescent="0.3">
      <c r="A1976" s="16" t="s">
        <v>7665</v>
      </c>
      <c r="B1976" s="16" t="s">
        <v>7680</v>
      </c>
      <c r="C1976" s="16" t="s">
        <v>7708</v>
      </c>
      <c r="D1976" s="16" t="s">
        <v>7597</v>
      </c>
      <c r="E1976" s="16" t="s">
        <v>5332</v>
      </c>
      <c r="F1976" s="16" t="s">
        <v>5333</v>
      </c>
      <c r="G1976" s="16" t="s">
        <v>22</v>
      </c>
      <c r="H1976" s="16" t="s">
        <v>214</v>
      </c>
      <c r="I1976" s="16"/>
      <c r="J1976" s="16"/>
      <c r="K1976" s="16"/>
      <c r="L1976" s="16"/>
      <c r="M1976" s="19" t="s">
        <v>5334</v>
      </c>
      <c r="N1976" s="16" t="s">
        <v>5335</v>
      </c>
      <c r="O1976" s="16" t="s">
        <v>5336</v>
      </c>
      <c r="P1976" s="16" t="str">
        <f>HYPERLINK("https://ceds.ed.gov/cedselementdetails.aspx?termid=26555")</f>
        <v>https://ceds.ed.gov/cedselementdetails.aspx?termid=26555</v>
      </c>
      <c r="Q1976" s="16">
        <v>71876</v>
      </c>
    </row>
    <row r="1977" spans="1:17" ht="72" x14ac:dyDescent="0.3">
      <c r="A1977" s="16" t="s">
        <v>7665</v>
      </c>
      <c r="B1977" s="16" t="s">
        <v>7680</v>
      </c>
      <c r="C1977" s="16" t="s">
        <v>7708</v>
      </c>
      <c r="D1977" s="16" t="s">
        <v>7597</v>
      </c>
      <c r="E1977" s="16" t="s">
        <v>2435</v>
      </c>
      <c r="F1977" s="16" t="s">
        <v>2436</v>
      </c>
      <c r="G1977" s="16" t="s">
        <v>8451</v>
      </c>
      <c r="H1977" s="16" t="s">
        <v>1516</v>
      </c>
      <c r="I1977" s="16"/>
      <c r="J1977" s="16"/>
      <c r="K1977" s="16"/>
      <c r="L1977" s="16"/>
      <c r="M1977" s="19" t="s">
        <v>2438</v>
      </c>
      <c r="N1977" s="16"/>
      <c r="O1977" s="16" t="s">
        <v>2439</v>
      </c>
      <c r="P1977" s="16" t="str">
        <f>HYPERLINK("https://ceds.ed.gov/cedselementdetails.aspx?termid=26419")</f>
        <v>https://ceds.ed.gov/cedselementdetails.aspx?termid=26419</v>
      </c>
      <c r="Q1977" s="16">
        <v>71839</v>
      </c>
    </row>
    <row r="1978" spans="1:17" ht="43.2" x14ac:dyDescent="0.3">
      <c r="A1978" s="16" t="s">
        <v>7665</v>
      </c>
      <c r="B1978" s="16" t="s">
        <v>7680</v>
      </c>
      <c r="C1978" s="16" t="s">
        <v>7708</v>
      </c>
      <c r="D1978" s="16" t="s">
        <v>7597</v>
      </c>
      <c r="E1978" s="16" t="s">
        <v>5357</v>
      </c>
      <c r="F1978" s="16" t="s">
        <v>5358</v>
      </c>
      <c r="G1978" s="16" t="s">
        <v>8722</v>
      </c>
      <c r="H1978" s="16" t="s">
        <v>1516</v>
      </c>
      <c r="I1978" s="16"/>
      <c r="J1978" s="16"/>
      <c r="K1978" s="16"/>
      <c r="L1978" s="16"/>
      <c r="M1978" s="19" t="s">
        <v>5359</v>
      </c>
      <c r="N1978" s="16" t="s">
        <v>5360</v>
      </c>
      <c r="O1978" s="16" t="s">
        <v>5361</v>
      </c>
      <c r="P1978" s="16" t="str">
        <f>HYPERLINK("https://ceds.ed.gov/cedselementdetails.aspx?termid=26430")</f>
        <v>https://ceds.ed.gov/cedselementdetails.aspx?termid=26430</v>
      </c>
      <c r="Q1978" s="16">
        <v>71850</v>
      </c>
    </row>
    <row r="1979" spans="1:17" ht="100.8" x14ac:dyDescent="0.3">
      <c r="A1979" s="16" t="s">
        <v>7665</v>
      </c>
      <c r="B1979" s="16" t="s">
        <v>7680</v>
      </c>
      <c r="C1979" s="16" t="s">
        <v>7708</v>
      </c>
      <c r="D1979" s="16" t="s">
        <v>7597</v>
      </c>
      <c r="E1979" s="16" t="s">
        <v>5383</v>
      </c>
      <c r="F1979" s="16" t="s">
        <v>5384</v>
      </c>
      <c r="G1979" s="16" t="s">
        <v>22</v>
      </c>
      <c r="H1979" s="16" t="s">
        <v>214</v>
      </c>
      <c r="I1979" s="16"/>
      <c r="J1979" s="16"/>
      <c r="K1979" s="16"/>
      <c r="L1979" s="16"/>
      <c r="M1979" s="19" t="s">
        <v>5385</v>
      </c>
      <c r="N1979" s="16"/>
      <c r="O1979" s="16" t="s">
        <v>5386</v>
      </c>
      <c r="P1979" s="16" t="str">
        <f>HYPERLINK("https://ceds.ed.gov/cedselementdetails.aspx?termid=26554")</f>
        <v>https://ceds.ed.gov/cedselementdetails.aspx?termid=26554</v>
      </c>
      <c r="Q1979" s="16">
        <v>71875</v>
      </c>
    </row>
    <row r="1980" spans="1:17" ht="172.8" x14ac:dyDescent="0.3">
      <c r="A1980" s="16" t="s">
        <v>7665</v>
      </c>
      <c r="B1980" s="16" t="s">
        <v>7680</v>
      </c>
      <c r="C1980" s="16" t="s">
        <v>7708</v>
      </c>
      <c r="D1980" s="16" t="s">
        <v>7597</v>
      </c>
      <c r="E1980" s="16" t="s">
        <v>5391</v>
      </c>
      <c r="F1980" s="16" t="s">
        <v>8091</v>
      </c>
      <c r="G1980" s="16" t="s">
        <v>32</v>
      </c>
      <c r="H1980" s="16" t="s">
        <v>1516</v>
      </c>
      <c r="I1980" s="16"/>
      <c r="J1980" s="16" t="s">
        <v>106</v>
      </c>
      <c r="K1980" s="16"/>
      <c r="L1980" s="16"/>
      <c r="M1980" s="19" t="s">
        <v>5392</v>
      </c>
      <c r="N1980" s="16"/>
      <c r="O1980" s="16" t="s">
        <v>5393</v>
      </c>
      <c r="P1980" s="16" t="str">
        <f>HYPERLINK("https://ceds.ed.gov/cedselementdetails.aspx?termid=26422")</f>
        <v>https://ceds.ed.gov/cedselementdetails.aspx?termid=26422</v>
      </c>
      <c r="Q1980" s="16">
        <v>71842</v>
      </c>
    </row>
    <row r="1981" spans="1:17" ht="28.8" x14ac:dyDescent="0.3">
      <c r="A1981" s="16" t="s">
        <v>7665</v>
      </c>
      <c r="B1981" s="16" t="s">
        <v>7680</v>
      </c>
      <c r="C1981" s="16" t="s">
        <v>7708</v>
      </c>
      <c r="D1981" s="16" t="s">
        <v>7597</v>
      </c>
      <c r="E1981" s="16" t="s">
        <v>4898</v>
      </c>
      <c r="F1981" s="16" t="s">
        <v>4899</v>
      </c>
      <c r="G1981" s="16" t="s">
        <v>32</v>
      </c>
      <c r="H1981" s="16" t="s">
        <v>214</v>
      </c>
      <c r="I1981" s="16"/>
      <c r="J1981" s="16" t="s">
        <v>106</v>
      </c>
      <c r="K1981" s="16"/>
      <c r="L1981" s="16"/>
      <c r="M1981" s="19" t="s">
        <v>4900</v>
      </c>
      <c r="N1981" s="16"/>
      <c r="O1981" s="16" t="s">
        <v>4901</v>
      </c>
      <c r="P1981" s="16" t="str">
        <f>HYPERLINK("https://ceds.ed.gov/cedselementdetails.aspx?termid=26171")</f>
        <v>https://ceds.ed.gov/cedselementdetails.aspx?termid=26171</v>
      </c>
      <c r="Q1981" s="16">
        <v>71780</v>
      </c>
    </row>
    <row r="1982" spans="1:17" ht="28.8" x14ac:dyDescent="0.3">
      <c r="A1982" s="16" t="s">
        <v>7665</v>
      </c>
      <c r="B1982" s="16" t="s">
        <v>7680</v>
      </c>
      <c r="C1982" s="16" t="s">
        <v>7708</v>
      </c>
      <c r="D1982" s="16" t="s">
        <v>7597</v>
      </c>
      <c r="E1982" s="16" t="s">
        <v>6187</v>
      </c>
      <c r="F1982" s="16" t="s">
        <v>6188</v>
      </c>
      <c r="G1982" s="16" t="s">
        <v>32</v>
      </c>
      <c r="H1982" s="16" t="s">
        <v>1516</v>
      </c>
      <c r="I1982" s="16"/>
      <c r="J1982" s="16" t="s">
        <v>81</v>
      </c>
      <c r="K1982" s="16"/>
      <c r="L1982" s="16"/>
      <c r="M1982" s="19" t="s">
        <v>6189</v>
      </c>
      <c r="N1982" s="16"/>
      <c r="O1982" s="16" t="s">
        <v>6190</v>
      </c>
      <c r="P1982" s="16" t="str">
        <f>HYPERLINK("https://ceds.ed.gov/cedselementdetails.aspx?termid=26423")</f>
        <v>https://ceds.ed.gov/cedselementdetails.aspx?termid=26423</v>
      </c>
      <c r="Q1982" s="16">
        <v>71843</v>
      </c>
    </row>
    <row r="1983" spans="1:17" ht="409.6" x14ac:dyDescent="0.3">
      <c r="A1983" s="16" t="s">
        <v>7665</v>
      </c>
      <c r="B1983" s="16" t="s">
        <v>7680</v>
      </c>
      <c r="C1983" s="16" t="s">
        <v>7708</v>
      </c>
      <c r="D1983" s="16" t="s">
        <v>7597</v>
      </c>
      <c r="E1983" s="16" t="s">
        <v>6191</v>
      </c>
      <c r="F1983" s="16" t="s">
        <v>6192</v>
      </c>
      <c r="G1983" s="16" t="s">
        <v>8454</v>
      </c>
      <c r="H1983" s="16" t="s">
        <v>1516</v>
      </c>
      <c r="I1983" s="16"/>
      <c r="J1983" s="16"/>
      <c r="K1983" s="16"/>
      <c r="L1983" s="16" t="s">
        <v>7915</v>
      </c>
      <c r="M1983" s="19" t="s">
        <v>6193</v>
      </c>
      <c r="N1983" s="16"/>
      <c r="O1983" s="16" t="s">
        <v>6194</v>
      </c>
      <c r="P1983" s="16" t="str">
        <f>HYPERLINK("https://ceds.ed.gov/cedselementdetails.aspx?termid=26424")</f>
        <v>https://ceds.ed.gov/cedselementdetails.aspx?termid=26424</v>
      </c>
      <c r="Q1983" s="16">
        <v>71844</v>
      </c>
    </row>
    <row r="1984" spans="1:17" ht="409.6" x14ac:dyDescent="0.3">
      <c r="A1984" s="16" t="s">
        <v>7665</v>
      </c>
      <c r="B1984" s="16" t="s">
        <v>7680</v>
      </c>
      <c r="C1984" s="16" t="s">
        <v>7708</v>
      </c>
      <c r="D1984" s="16" t="s">
        <v>7597</v>
      </c>
      <c r="E1984" s="16" t="s">
        <v>6195</v>
      </c>
      <c r="F1984" s="16" t="s">
        <v>6196</v>
      </c>
      <c r="G1984" s="16" t="s">
        <v>8809</v>
      </c>
      <c r="H1984" s="16" t="s">
        <v>1516</v>
      </c>
      <c r="I1984" s="16"/>
      <c r="J1984" s="16"/>
      <c r="K1984" s="16"/>
      <c r="L1984" s="16"/>
      <c r="M1984" s="19" t="s">
        <v>6197</v>
      </c>
      <c r="N1984" s="16"/>
      <c r="O1984" s="16" t="s">
        <v>6198</v>
      </c>
      <c r="P1984" s="16" t="str">
        <f>HYPERLINK("https://ceds.ed.gov/cedselementdetails.aspx?termid=26425")</f>
        <v>https://ceds.ed.gov/cedselementdetails.aspx?termid=26425</v>
      </c>
      <c r="Q1984" s="16">
        <v>71845</v>
      </c>
    </row>
    <row r="1985" spans="1:17" ht="172.8" x14ac:dyDescent="0.3">
      <c r="A1985" s="16" t="s">
        <v>7665</v>
      </c>
      <c r="B1985" s="16" t="s">
        <v>7680</v>
      </c>
      <c r="C1985" s="16" t="s">
        <v>7708</v>
      </c>
      <c r="D1985" s="16" t="s">
        <v>7597</v>
      </c>
      <c r="E1985" s="16" t="s">
        <v>3065</v>
      </c>
      <c r="F1985" s="16" t="s">
        <v>3066</v>
      </c>
      <c r="G1985" s="16" t="s">
        <v>32</v>
      </c>
      <c r="H1985" s="16" t="s">
        <v>1516</v>
      </c>
      <c r="I1985" s="16"/>
      <c r="J1985" s="16" t="s">
        <v>120</v>
      </c>
      <c r="K1985" s="16"/>
      <c r="L1985" s="16" t="s">
        <v>7817</v>
      </c>
      <c r="M1985" s="19" t="s">
        <v>3067</v>
      </c>
      <c r="N1985" s="16"/>
      <c r="O1985" s="16" t="s">
        <v>3068</v>
      </c>
      <c r="P1985" s="16" t="str">
        <f>HYPERLINK("https://ceds.ed.gov/cedselementdetails.aspx?termid=26426")</f>
        <v>https://ceds.ed.gov/cedselementdetails.aspx?termid=26426</v>
      </c>
      <c r="Q1985" s="16">
        <v>71846</v>
      </c>
    </row>
    <row r="1986" spans="1:17" ht="28.8" x14ac:dyDescent="0.3">
      <c r="A1986" s="16" t="s">
        <v>7665</v>
      </c>
      <c r="B1986" s="16" t="s">
        <v>7680</v>
      </c>
      <c r="C1986" s="16" t="s">
        <v>7708</v>
      </c>
      <c r="D1986" s="16" t="s">
        <v>7597</v>
      </c>
      <c r="E1986" s="16" t="s">
        <v>1511</v>
      </c>
      <c r="F1986" s="16" t="s">
        <v>1512</v>
      </c>
      <c r="G1986" s="16" t="s">
        <v>32</v>
      </c>
      <c r="H1986" s="16" t="s">
        <v>1516</v>
      </c>
      <c r="I1986" s="16"/>
      <c r="J1986" s="16" t="s">
        <v>145</v>
      </c>
      <c r="K1986" s="16"/>
      <c r="L1986" s="16"/>
      <c r="M1986" s="19" t="s">
        <v>1514</v>
      </c>
      <c r="N1986" s="16"/>
      <c r="O1986" s="16" t="s">
        <v>1515</v>
      </c>
      <c r="P1986" s="16" t="str">
        <f>HYPERLINK("https://ceds.ed.gov/cedselementdetails.aspx?termid=26418")</f>
        <v>https://ceds.ed.gov/cedselementdetails.aspx?termid=26418</v>
      </c>
      <c r="Q1986" s="16">
        <v>71838</v>
      </c>
    </row>
    <row r="1987" spans="1:17" ht="43.2" x14ac:dyDescent="0.3">
      <c r="A1987" s="16" t="s">
        <v>7665</v>
      </c>
      <c r="B1987" s="16" t="s">
        <v>7680</v>
      </c>
      <c r="C1987" s="16" t="s">
        <v>7708</v>
      </c>
      <c r="D1987" s="16" t="s">
        <v>7597</v>
      </c>
      <c r="E1987" s="16" t="s">
        <v>4454</v>
      </c>
      <c r="F1987" s="16" t="s">
        <v>4455</v>
      </c>
      <c r="G1987" s="16" t="s">
        <v>22</v>
      </c>
      <c r="H1987" s="16" t="s">
        <v>1516</v>
      </c>
      <c r="I1987" s="16"/>
      <c r="J1987" s="16"/>
      <c r="K1987" s="16"/>
      <c r="L1987" s="16"/>
      <c r="M1987" s="19" t="s">
        <v>4456</v>
      </c>
      <c r="N1987" s="16"/>
      <c r="O1987" s="16" t="s">
        <v>4457</v>
      </c>
      <c r="P1987" s="16" t="str">
        <f>HYPERLINK("https://ceds.ed.gov/cedselementdetails.aspx?termid=26428")</f>
        <v>https://ceds.ed.gov/cedselementdetails.aspx?termid=26428</v>
      </c>
      <c r="Q1987" s="16">
        <v>71848</v>
      </c>
    </row>
    <row r="1988" spans="1:17" ht="43.2" x14ac:dyDescent="0.3">
      <c r="A1988" s="16" t="s">
        <v>7665</v>
      </c>
      <c r="B1988" s="16" t="s">
        <v>7680</v>
      </c>
      <c r="C1988" s="16" t="s">
        <v>7708</v>
      </c>
      <c r="D1988" s="16" t="s">
        <v>7597</v>
      </c>
      <c r="E1988" s="16" t="s">
        <v>5419</v>
      </c>
      <c r="F1988" s="16" t="s">
        <v>5420</v>
      </c>
      <c r="G1988" s="16" t="s">
        <v>22</v>
      </c>
      <c r="H1988" s="16" t="s">
        <v>1516</v>
      </c>
      <c r="I1988" s="16"/>
      <c r="J1988" s="16"/>
      <c r="K1988" s="16"/>
      <c r="L1988" s="16"/>
      <c r="M1988" s="19" t="s">
        <v>5421</v>
      </c>
      <c r="N1988" s="16"/>
      <c r="O1988" s="16" t="s">
        <v>5422</v>
      </c>
      <c r="P1988" s="16" t="str">
        <f>HYPERLINK("https://ceds.ed.gov/cedselementdetails.aspx?termid=26421")</f>
        <v>https://ceds.ed.gov/cedselementdetails.aspx?termid=26421</v>
      </c>
      <c r="Q1988" s="16">
        <v>71841</v>
      </c>
    </row>
    <row r="1989" spans="1:17" ht="115.2" x14ac:dyDescent="0.3">
      <c r="A1989" s="16" t="s">
        <v>7665</v>
      </c>
      <c r="B1989" s="16" t="s">
        <v>7680</v>
      </c>
      <c r="C1989" s="16" t="s">
        <v>7709</v>
      </c>
      <c r="D1989" s="16" t="s">
        <v>7597</v>
      </c>
      <c r="E1989" s="16" t="s">
        <v>5475</v>
      </c>
      <c r="F1989" s="16" t="s">
        <v>5476</v>
      </c>
      <c r="G1989" s="16" t="s">
        <v>9334</v>
      </c>
      <c r="H1989" s="16" t="s">
        <v>214</v>
      </c>
      <c r="I1989" s="16"/>
      <c r="J1989" s="16"/>
      <c r="K1989" s="16"/>
      <c r="L1989" s="16"/>
      <c r="M1989" s="19" t="s">
        <v>5477</v>
      </c>
      <c r="N1989" s="16"/>
      <c r="O1989" s="16" t="s">
        <v>5478</v>
      </c>
      <c r="P1989" s="16" t="str">
        <f>HYPERLINK("https://ceds.ed.gov/cedselementdetails.aspx?termid=26194")</f>
        <v>https://ceds.ed.gov/cedselementdetails.aspx?termid=26194</v>
      </c>
      <c r="Q1989" s="16">
        <v>71792</v>
      </c>
    </row>
    <row r="1990" spans="1:17" ht="86.4" x14ac:dyDescent="0.3">
      <c r="A1990" s="16" t="s">
        <v>7665</v>
      </c>
      <c r="B1990" s="16" t="s">
        <v>7680</v>
      </c>
      <c r="C1990" s="16" t="s">
        <v>7709</v>
      </c>
      <c r="D1990" s="16" t="s">
        <v>7597</v>
      </c>
      <c r="E1990" s="16" t="s">
        <v>5479</v>
      </c>
      <c r="F1990" s="16" t="s">
        <v>5480</v>
      </c>
      <c r="G1990" s="16" t="s">
        <v>2987</v>
      </c>
      <c r="H1990" s="16" t="s">
        <v>1863</v>
      </c>
      <c r="I1990" s="16"/>
      <c r="J1990" s="16"/>
      <c r="K1990" s="16"/>
      <c r="L1990" s="16"/>
      <c r="M1990" s="19" t="s">
        <v>5481</v>
      </c>
      <c r="N1990" s="16"/>
      <c r="O1990" s="16" t="s">
        <v>5482</v>
      </c>
      <c r="P1990" s="16" t="str">
        <f>HYPERLINK("https://ceds.ed.gov/cedselementdetails.aspx?termid=26193")</f>
        <v>https://ceds.ed.gov/cedselementdetails.aspx?termid=26193</v>
      </c>
      <c r="Q1990" s="16">
        <v>71791</v>
      </c>
    </row>
    <row r="1991" spans="1:17" ht="57.6" x14ac:dyDescent="0.3">
      <c r="A1991" s="16" t="s">
        <v>7665</v>
      </c>
      <c r="B1991" s="16" t="s">
        <v>7680</v>
      </c>
      <c r="C1991" s="16" t="s">
        <v>7709</v>
      </c>
      <c r="D1991" s="16" t="s">
        <v>7597</v>
      </c>
      <c r="E1991" s="16" t="s">
        <v>6097</v>
      </c>
      <c r="F1991" s="16" t="s">
        <v>6098</v>
      </c>
      <c r="G1991" s="16" t="s">
        <v>32</v>
      </c>
      <c r="H1991" s="16" t="s">
        <v>6101</v>
      </c>
      <c r="I1991" s="16"/>
      <c r="J1991" s="16" t="s">
        <v>106</v>
      </c>
      <c r="K1991" s="16"/>
      <c r="L1991" s="16"/>
      <c r="M1991" s="19" t="s">
        <v>6099</v>
      </c>
      <c r="N1991" s="16"/>
      <c r="O1991" s="16" t="s">
        <v>6100</v>
      </c>
      <c r="P1991" s="16" t="str">
        <f>HYPERLINK("https://ceds.ed.gov/cedselementdetails.aspx?termid=26583")</f>
        <v>https://ceds.ed.gov/cedselementdetails.aspx?termid=26583</v>
      </c>
      <c r="Q1991" s="16">
        <v>71989</v>
      </c>
    </row>
    <row r="1992" spans="1:17" ht="57.6" x14ac:dyDescent="0.3">
      <c r="A1992" s="16" t="s">
        <v>7665</v>
      </c>
      <c r="B1992" s="16" t="s">
        <v>7680</v>
      </c>
      <c r="C1992" s="16" t="s">
        <v>7709</v>
      </c>
      <c r="D1992" s="16" t="s">
        <v>7597</v>
      </c>
      <c r="E1992" s="16" t="s">
        <v>6093</v>
      </c>
      <c r="F1992" s="16" t="s">
        <v>1900</v>
      </c>
      <c r="G1992" s="16" t="s">
        <v>32</v>
      </c>
      <c r="H1992" s="16" t="s">
        <v>6096</v>
      </c>
      <c r="I1992" s="16"/>
      <c r="J1992" s="16" t="s">
        <v>106</v>
      </c>
      <c r="K1992" s="16"/>
      <c r="L1992" s="16" t="s">
        <v>131</v>
      </c>
      <c r="M1992" s="19" t="s">
        <v>6094</v>
      </c>
      <c r="N1992" s="16"/>
      <c r="O1992" s="16" t="s">
        <v>6095</v>
      </c>
      <c r="P1992" s="16" t="str">
        <f>HYPERLINK("https://ceds.ed.gov/cedselementdetails.aspx?termid=26584")</f>
        <v>https://ceds.ed.gov/cedselementdetails.aspx?termid=26584</v>
      </c>
      <c r="Q1992" s="16">
        <v>71990</v>
      </c>
    </row>
    <row r="1993" spans="1:17" ht="72" x14ac:dyDescent="0.3">
      <c r="A1993" s="16" t="s">
        <v>7665</v>
      </c>
      <c r="B1993" s="16" t="s">
        <v>7680</v>
      </c>
      <c r="C1993" s="16" t="s">
        <v>7709</v>
      </c>
      <c r="D1993" s="16" t="s">
        <v>7597</v>
      </c>
      <c r="E1993" s="16" t="s">
        <v>5464</v>
      </c>
      <c r="F1993" s="16" t="s">
        <v>5465</v>
      </c>
      <c r="G1993" s="16" t="s">
        <v>22</v>
      </c>
      <c r="H1993" s="16" t="s">
        <v>214</v>
      </c>
      <c r="I1993" s="16"/>
      <c r="J1993" s="16"/>
      <c r="K1993" s="16"/>
      <c r="L1993" s="16" t="s">
        <v>13011</v>
      </c>
      <c r="M1993" s="19"/>
      <c r="N1993" s="16"/>
      <c r="O1993" s="16"/>
      <c r="P1993" s="16"/>
      <c r="Q1993" s="16"/>
    </row>
    <row r="1994" spans="1:17" ht="86.4" x14ac:dyDescent="0.3">
      <c r="A1994" s="16"/>
      <c r="B1994" s="16" t="s">
        <v>13012</v>
      </c>
      <c r="C1994" s="16">
        <v>635</v>
      </c>
      <c r="D1994" s="16"/>
      <c r="E1994" s="16" t="s">
        <v>5467</v>
      </c>
      <c r="F1994" s="16" t="str">
        <f>HYPERLINK("https://ceds.ed.gov/cedselementdetails.aspx?termid=26636")</f>
        <v>https://ceds.ed.gov/cedselementdetails.aspx?termid=26636</v>
      </c>
      <c r="G1994" s="16">
        <v>71903</v>
      </c>
      <c r="H1994" s="16"/>
      <c r="I1994" s="16"/>
      <c r="J1994" s="16"/>
      <c r="K1994" s="16"/>
      <c r="L1994" s="16"/>
      <c r="M1994" s="19"/>
      <c r="N1994" s="16"/>
      <c r="O1994" s="16"/>
      <c r="P1994" s="16"/>
      <c r="Q1994" s="16"/>
    </row>
    <row r="1995" spans="1:17" ht="72" x14ac:dyDescent="0.3">
      <c r="A1995" s="16" t="s">
        <v>7665</v>
      </c>
      <c r="B1995" s="16" t="s">
        <v>7680</v>
      </c>
      <c r="C1995" s="16" t="s">
        <v>7709</v>
      </c>
      <c r="D1995" s="16" t="s">
        <v>7597</v>
      </c>
      <c r="E1995" s="16" t="s">
        <v>5468</v>
      </c>
      <c r="F1995" s="16" t="s">
        <v>5469</v>
      </c>
      <c r="G1995" s="16" t="s">
        <v>22</v>
      </c>
      <c r="H1995" s="16" t="s">
        <v>214</v>
      </c>
      <c r="I1995" s="16"/>
      <c r="J1995" s="16"/>
      <c r="K1995" s="16"/>
      <c r="L1995" s="16" t="s">
        <v>13011</v>
      </c>
      <c r="M1995" s="19"/>
      <c r="N1995" s="16"/>
      <c r="O1995" s="16"/>
      <c r="P1995" s="16"/>
      <c r="Q1995" s="16"/>
    </row>
    <row r="1996" spans="1:17" ht="86.4" x14ac:dyDescent="0.3">
      <c r="A1996" s="16"/>
      <c r="B1996" s="16" t="s">
        <v>13012</v>
      </c>
      <c r="C1996" s="16">
        <v>636</v>
      </c>
      <c r="D1996" s="16"/>
      <c r="E1996" s="16" t="s">
        <v>5470</v>
      </c>
      <c r="F1996" s="16" t="str">
        <f>HYPERLINK("https://ceds.ed.gov/cedselementdetails.aspx?termid=26638")</f>
        <v>https://ceds.ed.gov/cedselementdetails.aspx?termid=26638</v>
      </c>
      <c r="G1996" s="16">
        <v>71904</v>
      </c>
      <c r="H1996" s="16"/>
      <c r="I1996" s="16"/>
      <c r="J1996" s="16"/>
      <c r="K1996" s="16"/>
      <c r="L1996" s="16"/>
      <c r="M1996" s="19"/>
      <c r="N1996" s="16"/>
      <c r="O1996" s="16"/>
      <c r="P1996" s="16"/>
      <c r="Q1996" s="16"/>
    </row>
    <row r="1997" spans="1:17" ht="43.2" x14ac:dyDescent="0.3">
      <c r="A1997" s="16" t="s">
        <v>7665</v>
      </c>
      <c r="B1997" s="16" t="s">
        <v>7680</v>
      </c>
      <c r="C1997" s="16" t="s">
        <v>7709</v>
      </c>
      <c r="D1997" s="16" t="s">
        <v>7597</v>
      </c>
      <c r="E1997" s="16" t="s">
        <v>5471</v>
      </c>
      <c r="F1997" s="16" t="s">
        <v>5472</v>
      </c>
      <c r="G1997" s="16" t="s">
        <v>22</v>
      </c>
      <c r="H1997" s="16" t="s">
        <v>202</v>
      </c>
      <c r="I1997" s="16"/>
      <c r="J1997" s="16"/>
      <c r="K1997" s="16"/>
      <c r="L1997" s="16"/>
      <c r="M1997" s="19" t="s">
        <v>5473</v>
      </c>
      <c r="N1997" s="16"/>
      <c r="O1997" s="16" t="s">
        <v>5474</v>
      </c>
      <c r="P1997" s="16" t="str">
        <f>HYPERLINK("https://ceds.ed.gov/cedselementdetails.aspx?termid=26475")</f>
        <v>https://ceds.ed.gov/cedselementdetails.aspx?termid=26475</v>
      </c>
      <c r="Q1997" s="16">
        <v>71854</v>
      </c>
    </row>
    <row r="1998" spans="1:17" ht="144" x14ac:dyDescent="0.3">
      <c r="A1998" s="16" t="s">
        <v>7665</v>
      </c>
      <c r="B1998" s="16" t="s">
        <v>7680</v>
      </c>
      <c r="C1998" s="16" t="s">
        <v>7709</v>
      </c>
      <c r="D1998" s="16" t="s">
        <v>7597</v>
      </c>
      <c r="E1998" s="16" t="s">
        <v>7397</v>
      </c>
      <c r="F1998" s="16" t="s">
        <v>7398</v>
      </c>
      <c r="G1998" s="16" t="s">
        <v>8541</v>
      </c>
      <c r="H1998" s="16"/>
      <c r="I1998" s="16"/>
      <c r="J1998" s="16"/>
      <c r="K1998" s="16"/>
      <c r="L1998" s="16"/>
      <c r="M1998" s="19" t="s">
        <v>7399</v>
      </c>
      <c r="N1998" s="16"/>
      <c r="O1998" s="16" t="s">
        <v>7400</v>
      </c>
      <c r="P1998" s="16" t="str">
        <f>HYPERLINK("https://ceds.ed.gov/cedselementdetails.aspx?termid=27927")</f>
        <v>https://ceds.ed.gov/cedselementdetails.aspx?termid=27927</v>
      </c>
      <c r="Q1998" s="16">
        <v>75572</v>
      </c>
    </row>
    <row r="1999" spans="1:17" ht="129.6" x14ac:dyDescent="0.3">
      <c r="A1999" s="16" t="s">
        <v>7665</v>
      </c>
      <c r="B1999" s="16" t="s">
        <v>7680</v>
      </c>
      <c r="C1999" s="16" t="s">
        <v>7709</v>
      </c>
      <c r="D1999" s="16" t="s">
        <v>7597</v>
      </c>
      <c r="E1999" s="16" t="s">
        <v>7401</v>
      </c>
      <c r="F1999" s="16" t="s">
        <v>7402</v>
      </c>
      <c r="G1999" s="16" t="s">
        <v>8542</v>
      </c>
      <c r="H1999" s="16"/>
      <c r="I1999" s="16"/>
      <c r="J1999" s="16"/>
      <c r="K1999" s="16"/>
      <c r="L1999" s="16"/>
      <c r="M1999" s="19" t="s">
        <v>7403</v>
      </c>
      <c r="N1999" s="16"/>
      <c r="O1999" s="16" t="s">
        <v>7404</v>
      </c>
      <c r="P1999" s="16" t="str">
        <f>HYPERLINK("https://ceds.ed.gov/cedselementdetails.aspx?termid=27928")</f>
        <v>https://ceds.ed.gov/cedselementdetails.aspx?termid=27928</v>
      </c>
      <c r="Q1999" s="16">
        <v>75573</v>
      </c>
    </row>
    <row r="2000" spans="1:17" ht="144" x14ac:dyDescent="0.3">
      <c r="A2000" s="16" t="s">
        <v>7665</v>
      </c>
      <c r="B2000" s="16" t="s">
        <v>7680</v>
      </c>
      <c r="C2000" s="16" t="s">
        <v>7709</v>
      </c>
      <c r="D2000" s="16" t="s">
        <v>7597</v>
      </c>
      <c r="E2000" s="16" t="s">
        <v>8942</v>
      </c>
      <c r="F2000" s="16" t="s">
        <v>8943</v>
      </c>
      <c r="G2000" s="16" t="s">
        <v>9291</v>
      </c>
      <c r="H2000" s="16"/>
      <c r="I2000" s="16"/>
      <c r="J2000" s="16" t="s">
        <v>2</v>
      </c>
      <c r="K2000" s="16"/>
      <c r="L2000" s="16"/>
      <c r="M2000" s="19" t="s">
        <v>8944</v>
      </c>
      <c r="N2000" s="16"/>
      <c r="O2000" s="16" t="s">
        <v>8945</v>
      </c>
      <c r="P2000" s="16" t="str">
        <f>HYPERLINK("https://ceds.ed.gov/cedselementdetails.aspx?termid=28012")</f>
        <v>https://ceds.ed.gov/cedselementdetails.aspx?termid=28012</v>
      </c>
      <c r="Q2000" s="16">
        <v>76240</v>
      </c>
    </row>
    <row r="2001" spans="1:17" ht="86.4" x14ac:dyDescent="0.3">
      <c r="A2001" s="16" t="s">
        <v>7665</v>
      </c>
      <c r="B2001" s="16" t="s">
        <v>7680</v>
      </c>
      <c r="C2001" s="16" t="s">
        <v>7709</v>
      </c>
      <c r="D2001" s="16" t="s">
        <v>7597</v>
      </c>
      <c r="E2001" s="16" t="s">
        <v>9197</v>
      </c>
      <c r="F2001" s="16" t="s">
        <v>9198</v>
      </c>
      <c r="G2001" s="16" t="s">
        <v>9305</v>
      </c>
      <c r="H2001" s="16"/>
      <c r="I2001" s="16"/>
      <c r="J2001" s="16" t="s">
        <v>2</v>
      </c>
      <c r="K2001" s="16"/>
      <c r="L2001" s="16"/>
      <c r="M2001" s="19" t="s">
        <v>9199</v>
      </c>
      <c r="N2001" s="16"/>
      <c r="O2001" s="16" t="s">
        <v>9200</v>
      </c>
      <c r="P2001" s="16" t="str">
        <f>HYPERLINK("https://ceds.ed.gov/cedselementdetails.aspx?termid=28073")</f>
        <v>https://ceds.ed.gov/cedselementdetails.aspx?termid=28073</v>
      </c>
      <c r="Q2001" s="16">
        <v>76241</v>
      </c>
    </row>
    <row r="2002" spans="1:17" ht="409.6" x14ac:dyDescent="0.3">
      <c r="A2002" s="16" t="s">
        <v>7665</v>
      </c>
      <c r="B2002" s="16" t="s">
        <v>7680</v>
      </c>
      <c r="C2002" s="16" t="s">
        <v>7650</v>
      </c>
      <c r="D2002" s="16" t="s">
        <v>7597</v>
      </c>
      <c r="E2002" s="16" t="s">
        <v>6130</v>
      </c>
      <c r="F2002" s="16" t="s">
        <v>6131</v>
      </c>
      <c r="G2002" s="16" t="s">
        <v>9420</v>
      </c>
      <c r="H2002" s="16" t="s">
        <v>64</v>
      </c>
      <c r="I2002" s="16"/>
      <c r="J2002" s="16"/>
      <c r="K2002" s="16"/>
      <c r="L2002" s="16"/>
      <c r="M2002" s="19" t="s">
        <v>6132</v>
      </c>
      <c r="N2002" s="16"/>
      <c r="O2002" s="16" t="s">
        <v>6133</v>
      </c>
      <c r="P2002" s="16" t="str">
        <f>HYPERLINK("https://ceds.ed.gov/cedselementdetails.aspx?termid=26225")</f>
        <v>https://ceds.ed.gov/cedselementdetails.aspx?termid=26225</v>
      </c>
      <c r="Q2002" s="16">
        <v>71992</v>
      </c>
    </row>
    <row r="2003" spans="1:17" ht="172.8" x14ac:dyDescent="0.3">
      <c r="A2003" s="16" t="s">
        <v>7665</v>
      </c>
      <c r="B2003" s="16" t="s">
        <v>7680</v>
      </c>
      <c r="C2003" s="16" t="s">
        <v>7650</v>
      </c>
      <c r="D2003" s="16" t="s">
        <v>7597</v>
      </c>
      <c r="E2003" s="16" t="s">
        <v>6074</v>
      </c>
      <c r="F2003" s="16" t="s">
        <v>6075</v>
      </c>
      <c r="G2003" s="16" t="s">
        <v>32</v>
      </c>
      <c r="H2003" s="16" t="s">
        <v>2564</v>
      </c>
      <c r="I2003" s="16"/>
      <c r="J2003" s="16" t="s">
        <v>120</v>
      </c>
      <c r="K2003" s="16"/>
      <c r="L2003" s="16" t="s">
        <v>7817</v>
      </c>
      <c r="M2003" s="19" t="s">
        <v>6076</v>
      </c>
      <c r="N2003" s="16"/>
      <c r="O2003" s="16" t="s">
        <v>6077</v>
      </c>
      <c r="P2003" s="16" t="str">
        <f>HYPERLINK("https://ceds.ed.gov/cedselementdetails.aspx?termid=26618")</f>
        <v>https://ceds.ed.gov/cedselementdetails.aspx?termid=26618</v>
      </c>
      <c r="Q2003" s="16">
        <v>73697</v>
      </c>
    </row>
    <row r="2004" spans="1:17" ht="43.2" x14ac:dyDescent="0.3">
      <c r="A2004" s="16" t="s">
        <v>7665</v>
      </c>
      <c r="B2004" s="16" t="s">
        <v>7680</v>
      </c>
      <c r="C2004" s="16" t="s">
        <v>7650</v>
      </c>
      <c r="D2004" s="16" t="s">
        <v>7597</v>
      </c>
      <c r="E2004" s="16" t="s">
        <v>6089</v>
      </c>
      <c r="F2004" s="16" t="s">
        <v>6090</v>
      </c>
      <c r="G2004" s="16" t="s">
        <v>32</v>
      </c>
      <c r="H2004" s="16" t="s">
        <v>2564</v>
      </c>
      <c r="I2004" s="16"/>
      <c r="J2004" s="16" t="s">
        <v>145</v>
      </c>
      <c r="K2004" s="16"/>
      <c r="L2004" s="16"/>
      <c r="M2004" s="19" t="s">
        <v>6091</v>
      </c>
      <c r="N2004" s="16"/>
      <c r="O2004" s="16" t="s">
        <v>6092</v>
      </c>
      <c r="P2004" s="16" t="str">
        <f>HYPERLINK("https://ceds.ed.gov/cedselementdetails.aspx?termid=26619")</f>
        <v>https://ceds.ed.gov/cedselementdetails.aspx?termid=26619</v>
      </c>
      <c r="Q2004" s="16">
        <v>73696</v>
      </c>
    </row>
    <row r="2005" spans="1:17" ht="115.2" x14ac:dyDescent="0.3">
      <c r="A2005" s="16" t="s">
        <v>7665</v>
      </c>
      <c r="B2005" s="16" t="s">
        <v>7680</v>
      </c>
      <c r="C2005" s="16" t="s">
        <v>7650</v>
      </c>
      <c r="D2005" s="16" t="s">
        <v>7597</v>
      </c>
      <c r="E2005" s="16" t="s">
        <v>6102</v>
      </c>
      <c r="F2005" s="16" t="s">
        <v>6103</v>
      </c>
      <c r="G2005" s="16" t="s">
        <v>8799</v>
      </c>
      <c r="H2005" s="16" t="s">
        <v>2564</v>
      </c>
      <c r="I2005" s="16"/>
      <c r="J2005" s="16"/>
      <c r="K2005" s="16"/>
      <c r="L2005" s="16"/>
      <c r="M2005" s="19" t="s">
        <v>6104</v>
      </c>
      <c r="N2005" s="16"/>
      <c r="O2005" s="16" t="s">
        <v>6105</v>
      </c>
      <c r="P2005" s="16" t="str">
        <f>HYPERLINK("https://ceds.ed.gov/cedselementdetails.aspx?termid=27209")</f>
        <v>https://ceds.ed.gov/cedselementdetails.aspx?termid=27209</v>
      </c>
      <c r="Q2005" s="16">
        <v>71708</v>
      </c>
    </row>
    <row r="2006" spans="1:17" ht="57.6" x14ac:dyDescent="0.3">
      <c r="A2006" s="16" t="s">
        <v>7665</v>
      </c>
      <c r="B2006" s="16" t="s">
        <v>7680</v>
      </c>
      <c r="C2006" s="16" t="s">
        <v>7650</v>
      </c>
      <c r="D2006" s="16" t="s">
        <v>7597</v>
      </c>
      <c r="E2006" s="16" t="s">
        <v>6097</v>
      </c>
      <c r="F2006" s="16" t="s">
        <v>6098</v>
      </c>
      <c r="G2006" s="16" t="s">
        <v>32</v>
      </c>
      <c r="H2006" s="16" t="s">
        <v>6101</v>
      </c>
      <c r="I2006" s="16"/>
      <c r="J2006" s="16" t="s">
        <v>106</v>
      </c>
      <c r="K2006" s="16"/>
      <c r="L2006" s="16"/>
      <c r="M2006" s="19" t="s">
        <v>6099</v>
      </c>
      <c r="N2006" s="16"/>
      <c r="O2006" s="16" t="s">
        <v>6100</v>
      </c>
      <c r="P2006" s="16" t="str">
        <f>HYPERLINK("https://ceds.ed.gov/cedselementdetails.aspx?termid=26583")</f>
        <v>https://ceds.ed.gov/cedselementdetails.aspx?termid=26583</v>
      </c>
      <c r="Q2006" s="16">
        <v>71993</v>
      </c>
    </row>
    <row r="2007" spans="1:17" ht="57.6" x14ac:dyDescent="0.3">
      <c r="A2007" s="16" t="s">
        <v>7665</v>
      </c>
      <c r="B2007" s="16" t="s">
        <v>7680</v>
      </c>
      <c r="C2007" s="16" t="s">
        <v>7650</v>
      </c>
      <c r="D2007" s="16" t="s">
        <v>7597</v>
      </c>
      <c r="E2007" s="16" t="s">
        <v>6093</v>
      </c>
      <c r="F2007" s="16" t="s">
        <v>1900</v>
      </c>
      <c r="G2007" s="16" t="s">
        <v>32</v>
      </c>
      <c r="H2007" s="16" t="s">
        <v>6096</v>
      </c>
      <c r="I2007" s="16"/>
      <c r="J2007" s="16" t="s">
        <v>106</v>
      </c>
      <c r="K2007" s="16"/>
      <c r="L2007" s="16" t="s">
        <v>131</v>
      </c>
      <c r="M2007" s="19" t="s">
        <v>6094</v>
      </c>
      <c r="N2007" s="16"/>
      <c r="O2007" s="16" t="s">
        <v>6095</v>
      </c>
      <c r="P2007" s="16" t="str">
        <f>HYPERLINK("https://ceds.ed.gov/cedselementdetails.aspx?termid=26584")</f>
        <v>https://ceds.ed.gov/cedselementdetails.aspx?termid=26584</v>
      </c>
      <c r="Q2007" s="16">
        <v>71994</v>
      </c>
    </row>
    <row r="2008" spans="1:17" ht="409.6" x14ac:dyDescent="0.3">
      <c r="A2008" s="16" t="s">
        <v>7665</v>
      </c>
      <c r="B2008" s="16" t="s">
        <v>7680</v>
      </c>
      <c r="C2008" s="16" t="s">
        <v>7650</v>
      </c>
      <c r="D2008" s="16" t="s">
        <v>7597</v>
      </c>
      <c r="E2008" s="16" t="s">
        <v>3569</v>
      </c>
      <c r="F2008" s="16" t="s">
        <v>3570</v>
      </c>
      <c r="G2008" s="16" t="s">
        <v>8561</v>
      </c>
      <c r="H2008" s="16"/>
      <c r="I2008" s="16" t="s">
        <v>160</v>
      </c>
      <c r="J2008" s="16"/>
      <c r="K2008" s="16" t="s">
        <v>12935</v>
      </c>
      <c r="L2008" s="16"/>
      <c r="M2008" s="19" t="s">
        <v>3571</v>
      </c>
      <c r="N2008" s="16"/>
      <c r="O2008" s="16" t="s">
        <v>3572</v>
      </c>
      <c r="P2008" s="16" t="str">
        <f>HYPERLINK("https://ceds.ed.gov/cedselementdetails.aspx?termid=26222")</f>
        <v>https://ceds.ed.gov/cedselementdetails.aspx?termid=26222</v>
      </c>
      <c r="Q2008" s="16">
        <v>71802</v>
      </c>
    </row>
    <row r="2009" spans="1:17" ht="72" x14ac:dyDescent="0.3">
      <c r="A2009" s="16" t="s">
        <v>7665</v>
      </c>
      <c r="B2009" s="16" t="s">
        <v>7680</v>
      </c>
      <c r="C2009" s="16" t="s">
        <v>7650</v>
      </c>
      <c r="D2009" s="16" t="s">
        <v>7597</v>
      </c>
      <c r="E2009" s="16" t="s">
        <v>2934</v>
      </c>
      <c r="F2009" s="16" t="s">
        <v>2935</v>
      </c>
      <c r="G2009" s="16" t="s">
        <v>32</v>
      </c>
      <c r="H2009" s="16"/>
      <c r="I2009" s="16"/>
      <c r="J2009" s="16" t="s">
        <v>1481</v>
      </c>
      <c r="K2009" s="16"/>
      <c r="L2009" s="16" t="s">
        <v>2937</v>
      </c>
      <c r="M2009" s="19" t="s">
        <v>2938</v>
      </c>
      <c r="N2009" s="16"/>
      <c r="O2009" s="16" t="s">
        <v>2939</v>
      </c>
      <c r="P2009" s="16" t="str">
        <f>HYPERLINK("https://ceds.ed.gov/cedselementdetails.aspx?termid=27553")</f>
        <v>https://ceds.ed.gov/cedselementdetails.aspx?termid=27553</v>
      </c>
      <c r="Q2009" s="16">
        <v>73928</v>
      </c>
    </row>
    <row r="2010" spans="1:17" ht="230.4" x14ac:dyDescent="0.3">
      <c r="A2010" s="16" t="s">
        <v>7665</v>
      </c>
      <c r="B2010" s="16" t="s">
        <v>7680</v>
      </c>
      <c r="C2010" s="16" t="s">
        <v>7650</v>
      </c>
      <c r="D2010" s="16" t="s">
        <v>7597</v>
      </c>
      <c r="E2010" s="16" t="s">
        <v>7286</v>
      </c>
      <c r="F2010" s="16" t="s">
        <v>7287</v>
      </c>
      <c r="G2010" s="16" t="s">
        <v>9348</v>
      </c>
      <c r="H2010" s="16"/>
      <c r="I2010" s="16"/>
      <c r="J2010" s="16"/>
      <c r="K2010" s="16"/>
      <c r="L2010" s="16"/>
      <c r="M2010" s="19" t="s">
        <v>7288</v>
      </c>
      <c r="N2010" s="16"/>
      <c r="O2010" s="16" t="s">
        <v>7289</v>
      </c>
      <c r="P2010" s="16" t="str">
        <f>HYPERLINK("https://ceds.ed.gov/cedselementdetails.aspx?termid=27471")</f>
        <v>https://ceds.ed.gov/cedselementdetails.aspx?termid=27471</v>
      </c>
      <c r="Q2010" s="16">
        <v>73455</v>
      </c>
    </row>
    <row r="2011" spans="1:17" ht="28.8" x14ac:dyDescent="0.3">
      <c r="A2011" s="16" t="s">
        <v>7665</v>
      </c>
      <c r="B2011" s="16" t="s">
        <v>7680</v>
      </c>
      <c r="C2011" s="16" t="s">
        <v>7650</v>
      </c>
      <c r="D2011" s="16" t="s">
        <v>7597</v>
      </c>
      <c r="E2011" s="16" t="s">
        <v>6057</v>
      </c>
      <c r="F2011" s="16" t="s">
        <v>6058</v>
      </c>
      <c r="G2011" s="16" t="s">
        <v>32</v>
      </c>
      <c r="H2011" s="16"/>
      <c r="I2011" s="16" t="s">
        <v>160</v>
      </c>
      <c r="J2011" s="16" t="s">
        <v>101</v>
      </c>
      <c r="K2011" s="16" t="s">
        <v>12935</v>
      </c>
      <c r="L2011" s="16"/>
      <c r="M2011" s="19" t="s">
        <v>6059</v>
      </c>
      <c r="N2011" s="16"/>
      <c r="O2011" s="16" t="s">
        <v>6060</v>
      </c>
      <c r="P2011" s="16" t="str">
        <f>HYPERLINK("https://ceds.ed.gov/cedselementdetails.aspx?termid=27909")</f>
        <v>https://ceds.ed.gov/cedselementdetails.aspx?termid=27909</v>
      </c>
      <c r="Q2011" s="16">
        <v>75347</v>
      </c>
    </row>
    <row r="2012" spans="1:17" ht="43.2" x14ac:dyDescent="0.3">
      <c r="A2012" s="16" t="s">
        <v>7665</v>
      </c>
      <c r="B2012" s="16" t="s">
        <v>7680</v>
      </c>
      <c r="C2012" s="16" t="s">
        <v>7650</v>
      </c>
      <c r="D2012" s="16" t="s">
        <v>7597</v>
      </c>
      <c r="E2012" s="16" t="s">
        <v>369</v>
      </c>
      <c r="F2012" s="16" t="s">
        <v>7829</v>
      </c>
      <c r="G2012" s="16" t="s">
        <v>32</v>
      </c>
      <c r="H2012" s="16" t="s">
        <v>372</v>
      </c>
      <c r="I2012" s="16"/>
      <c r="J2012" s="16" t="s">
        <v>106</v>
      </c>
      <c r="K2012" s="16"/>
      <c r="L2012" s="16"/>
      <c r="M2012" s="19" t="s">
        <v>370</v>
      </c>
      <c r="N2012" s="16"/>
      <c r="O2012" s="16" t="s">
        <v>371</v>
      </c>
      <c r="P2012" s="16" t="str">
        <f>HYPERLINK("https://ceds.ed.gov/cedselementdetails.aspx?termid=26323")</f>
        <v>https://ceds.ed.gov/cedselementdetails.aspx?termid=26323</v>
      </c>
      <c r="Q2012" s="16">
        <v>75574</v>
      </c>
    </row>
    <row r="2013" spans="1:17" ht="230.4" x14ac:dyDescent="0.3">
      <c r="A2013" s="16" t="s">
        <v>7665</v>
      </c>
      <c r="B2013" s="16" t="s">
        <v>7680</v>
      </c>
      <c r="C2013" s="16" t="s">
        <v>7650</v>
      </c>
      <c r="D2013" s="16" t="s">
        <v>7597</v>
      </c>
      <c r="E2013" s="16" t="s">
        <v>7543</v>
      </c>
      <c r="F2013" s="16" t="s">
        <v>7544</v>
      </c>
      <c r="G2013" s="16" t="s">
        <v>13093</v>
      </c>
      <c r="H2013" s="16"/>
      <c r="I2013" s="16" t="s">
        <v>160</v>
      </c>
      <c r="J2013" s="16"/>
      <c r="K2013" s="16" t="s">
        <v>12951</v>
      </c>
      <c r="L2013" s="16"/>
      <c r="M2013" s="19" t="s">
        <v>7545</v>
      </c>
      <c r="N2013" s="16"/>
      <c r="O2013" s="16" t="s">
        <v>7543</v>
      </c>
      <c r="P2013" s="16" t="str">
        <f>HYPERLINK("https://ceds.ed.gov/cedselementdetails.aspx?termid=27959")</f>
        <v>https://ceds.ed.gov/cedselementdetails.aspx?termid=27959</v>
      </c>
      <c r="Q2013" s="16">
        <v>75575</v>
      </c>
    </row>
    <row r="2014" spans="1:17" ht="100.8" x14ac:dyDescent="0.3">
      <c r="A2014" s="16" t="s">
        <v>7665</v>
      </c>
      <c r="B2014" s="16" t="s">
        <v>7680</v>
      </c>
      <c r="C2014" s="16" t="s">
        <v>7650</v>
      </c>
      <c r="D2014" s="16" t="s">
        <v>7597</v>
      </c>
      <c r="E2014" s="16" t="s">
        <v>4021</v>
      </c>
      <c r="F2014" s="16" t="s">
        <v>8050</v>
      </c>
      <c r="G2014" s="16" t="s">
        <v>8231</v>
      </c>
      <c r="H2014" s="16"/>
      <c r="I2014" s="16" t="s">
        <v>160</v>
      </c>
      <c r="J2014" s="16"/>
      <c r="K2014" s="16" t="s">
        <v>12935</v>
      </c>
      <c r="L2014" s="16" t="s">
        <v>8051</v>
      </c>
      <c r="M2014" s="19" t="s">
        <v>4022</v>
      </c>
      <c r="N2014" s="16"/>
      <c r="O2014" s="16" t="s">
        <v>4023</v>
      </c>
      <c r="P2014" s="16" t="str">
        <f>HYPERLINK("https://ceds.ed.gov/cedselementdetails.aspx?termid=27323")</f>
        <v>https://ceds.ed.gov/cedselementdetails.aspx?termid=27323</v>
      </c>
      <c r="Q2014" s="16">
        <v>75915</v>
      </c>
    </row>
    <row r="2015" spans="1:17" ht="331.2" x14ac:dyDescent="0.3">
      <c r="A2015" s="16" t="s">
        <v>7665</v>
      </c>
      <c r="B2015" s="16" t="s">
        <v>7680</v>
      </c>
      <c r="C2015" s="16" t="s">
        <v>7650</v>
      </c>
      <c r="D2015" s="16" t="s">
        <v>7597</v>
      </c>
      <c r="E2015" s="16" t="s">
        <v>12826</v>
      </c>
      <c r="F2015" s="16" t="s">
        <v>12827</v>
      </c>
      <c r="G2015" s="16" t="s">
        <v>12917</v>
      </c>
      <c r="H2015" s="16"/>
      <c r="I2015" s="16" t="s">
        <v>155</v>
      </c>
      <c r="J2015" s="16" t="s">
        <v>2</v>
      </c>
      <c r="K2015" s="16" t="s">
        <v>12636</v>
      </c>
      <c r="L2015" s="16" t="s">
        <v>12828</v>
      </c>
      <c r="M2015" s="19" t="s">
        <v>12829</v>
      </c>
      <c r="N2015" s="16"/>
      <c r="O2015" s="16" t="s">
        <v>12830</v>
      </c>
      <c r="P2015" s="16" t="str">
        <f>HYPERLINK("https://ceds.ed.gov/cedselementdetails.aspx?termid=28096")</f>
        <v>https://ceds.ed.gov/cedselementdetails.aspx?termid=28096</v>
      </c>
      <c r="Q2015" s="16">
        <v>76568</v>
      </c>
    </row>
    <row r="2016" spans="1:17" ht="28.8" x14ac:dyDescent="0.3">
      <c r="A2016" s="16" t="s">
        <v>7665</v>
      </c>
      <c r="B2016" s="16" t="s">
        <v>7680</v>
      </c>
      <c r="C2016" s="16" t="s">
        <v>7650</v>
      </c>
      <c r="D2016" s="16" t="s">
        <v>7597</v>
      </c>
      <c r="E2016" s="16" t="s">
        <v>12881</v>
      </c>
      <c r="F2016" s="16" t="s">
        <v>12882</v>
      </c>
      <c r="G2016" s="16" t="s">
        <v>32</v>
      </c>
      <c r="H2016" s="16"/>
      <c r="I2016" s="16" t="s">
        <v>155</v>
      </c>
      <c r="J2016" s="16" t="s">
        <v>12883</v>
      </c>
      <c r="K2016" s="16" t="s">
        <v>12636</v>
      </c>
      <c r="L2016" s="16"/>
      <c r="M2016" s="19" t="s">
        <v>12884</v>
      </c>
      <c r="N2016" s="16"/>
      <c r="O2016" s="16" t="s">
        <v>12885</v>
      </c>
      <c r="P2016" s="16" t="str">
        <f>HYPERLINK("https://ceds.ed.gov/cedselementdetails.aspx?termid=28099")</f>
        <v>https://ceds.ed.gov/cedselementdetails.aspx?termid=28099</v>
      </c>
      <c r="Q2016" s="16">
        <v>76576</v>
      </c>
    </row>
    <row r="2017" spans="1:17" ht="57.6" x14ac:dyDescent="0.3">
      <c r="A2017" s="16" t="s">
        <v>7665</v>
      </c>
      <c r="B2017" s="16" t="s">
        <v>7680</v>
      </c>
      <c r="C2017" s="16" t="s">
        <v>7658</v>
      </c>
      <c r="D2017" s="16" t="s">
        <v>7597</v>
      </c>
      <c r="E2017" s="16" t="s">
        <v>3498</v>
      </c>
      <c r="F2017" s="16" t="s">
        <v>3499</v>
      </c>
      <c r="G2017" s="16" t="s">
        <v>32</v>
      </c>
      <c r="H2017" s="16" t="s">
        <v>3502</v>
      </c>
      <c r="I2017" s="16"/>
      <c r="J2017" s="16" t="s">
        <v>106</v>
      </c>
      <c r="K2017" s="16"/>
      <c r="L2017" s="16"/>
      <c r="M2017" s="19" t="s">
        <v>3500</v>
      </c>
      <c r="N2017" s="16"/>
      <c r="O2017" s="16" t="s">
        <v>3501</v>
      </c>
      <c r="P2017" s="16" t="str">
        <f>HYPERLINK("https://ceds.ed.gov/cedselementdetails.aspx?termid=26345")</f>
        <v>https://ceds.ed.gov/cedselementdetails.aspx?termid=26345</v>
      </c>
      <c r="Q2017" s="16">
        <v>73705</v>
      </c>
    </row>
    <row r="2018" spans="1:17" ht="57.6" x14ac:dyDescent="0.3">
      <c r="A2018" s="16" t="s">
        <v>7665</v>
      </c>
      <c r="B2018" s="16" t="s">
        <v>7680</v>
      </c>
      <c r="C2018" s="16" t="s">
        <v>7658</v>
      </c>
      <c r="D2018" s="16" t="s">
        <v>7597</v>
      </c>
      <c r="E2018" s="16" t="s">
        <v>3462</v>
      </c>
      <c r="F2018" s="16" t="s">
        <v>3463</v>
      </c>
      <c r="G2018" s="16" t="s">
        <v>32</v>
      </c>
      <c r="H2018" s="16" t="s">
        <v>195</v>
      </c>
      <c r="I2018" s="16"/>
      <c r="J2018" s="16" t="s">
        <v>106</v>
      </c>
      <c r="K2018" s="16"/>
      <c r="L2018" s="16" t="s">
        <v>131</v>
      </c>
      <c r="M2018" s="19" t="s">
        <v>3464</v>
      </c>
      <c r="N2018" s="16"/>
      <c r="O2018" s="16" t="s">
        <v>3465</v>
      </c>
      <c r="P2018" s="16" t="str">
        <f>HYPERLINK("https://ceds.ed.gov/cedselementdetails.aspx?termid=26794")</f>
        <v>https://ceds.ed.gov/cedselementdetails.aspx?termid=26794</v>
      </c>
      <c r="Q2018" s="16">
        <v>73700</v>
      </c>
    </row>
    <row r="2019" spans="1:17" ht="43.2" x14ac:dyDescent="0.3">
      <c r="A2019" s="16" t="s">
        <v>7665</v>
      </c>
      <c r="B2019" s="16" t="s">
        <v>7680</v>
      </c>
      <c r="C2019" s="16" t="s">
        <v>7658</v>
      </c>
      <c r="D2019" s="16" t="s">
        <v>7597</v>
      </c>
      <c r="E2019" s="16" t="s">
        <v>3471</v>
      </c>
      <c r="F2019" s="16" t="s">
        <v>3472</v>
      </c>
      <c r="G2019" s="16" t="s">
        <v>2838</v>
      </c>
      <c r="H2019" s="16"/>
      <c r="I2019" s="16"/>
      <c r="J2019" s="16" t="s">
        <v>2839</v>
      </c>
      <c r="K2019" s="16"/>
      <c r="L2019" s="16"/>
      <c r="M2019" s="19" t="s">
        <v>3474</v>
      </c>
      <c r="N2019" s="16"/>
      <c r="O2019" s="16" t="s">
        <v>3475</v>
      </c>
      <c r="P2019" s="16" t="str">
        <f>HYPERLINK("https://ceds.ed.gov/cedselementdetails.aspx?termid=27070")</f>
        <v>https://ceds.ed.gov/cedselementdetails.aspx?termid=27070</v>
      </c>
      <c r="Q2019" s="16">
        <v>71621</v>
      </c>
    </row>
    <row r="2020" spans="1:17" ht="201.6" x14ac:dyDescent="0.3">
      <c r="A2020" s="16" t="s">
        <v>7665</v>
      </c>
      <c r="B2020" s="16" t="s">
        <v>7680</v>
      </c>
      <c r="C2020" s="16" t="s">
        <v>7658</v>
      </c>
      <c r="D2020" s="16" t="s">
        <v>7597</v>
      </c>
      <c r="E2020" s="16" t="s">
        <v>3457</v>
      </c>
      <c r="F2020" s="16" t="s">
        <v>3458</v>
      </c>
      <c r="G2020" s="16" t="s">
        <v>3446</v>
      </c>
      <c r="H2020" s="16" t="s">
        <v>3450</v>
      </c>
      <c r="I2020" s="16"/>
      <c r="J2020" s="16"/>
      <c r="K2020" s="16"/>
      <c r="L2020" s="16" t="s">
        <v>3459</v>
      </c>
      <c r="M2020" s="19" t="s">
        <v>3460</v>
      </c>
      <c r="N2020" s="16"/>
      <c r="O2020" s="16" t="s">
        <v>3461</v>
      </c>
      <c r="P2020" s="16" t="str">
        <f>HYPERLINK("https://ceds.ed.gov/cedselementdetails.aspx?termid=26989")</f>
        <v>https://ceds.ed.gov/cedselementdetails.aspx?termid=26989</v>
      </c>
      <c r="Q2020" s="16">
        <v>71619</v>
      </c>
    </row>
    <row r="2021" spans="1:17" ht="230.4" x14ac:dyDescent="0.3">
      <c r="A2021" s="16" t="s">
        <v>7665</v>
      </c>
      <c r="B2021" s="16" t="s">
        <v>7680</v>
      </c>
      <c r="C2021" s="16" t="s">
        <v>7658</v>
      </c>
      <c r="D2021" s="16" t="s">
        <v>7597</v>
      </c>
      <c r="E2021" s="16" t="s">
        <v>3444</v>
      </c>
      <c r="F2021" s="16" t="s">
        <v>3445</v>
      </c>
      <c r="G2021" s="16" t="s">
        <v>3446</v>
      </c>
      <c r="H2021" s="16" t="s">
        <v>3450</v>
      </c>
      <c r="I2021" s="16"/>
      <c r="J2021" s="16"/>
      <c r="K2021" s="16"/>
      <c r="L2021" s="16" t="s">
        <v>7965</v>
      </c>
      <c r="M2021" s="19" t="s">
        <v>3448</v>
      </c>
      <c r="N2021" s="16"/>
      <c r="O2021" s="16" t="s">
        <v>3449</v>
      </c>
      <c r="P2021" s="16" t="str">
        <f>HYPERLINK("https://ceds.ed.gov/cedselementdetails.aspx?termid=26990")</f>
        <v>https://ceds.ed.gov/cedselementdetails.aspx?termid=26990</v>
      </c>
      <c r="Q2021" s="16">
        <v>71617</v>
      </c>
    </row>
    <row r="2022" spans="1:17" ht="230.4" x14ac:dyDescent="0.3">
      <c r="A2022" s="16" t="s">
        <v>7665</v>
      </c>
      <c r="B2022" s="16" t="s">
        <v>7680</v>
      </c>
      <c r="C2022" s="16" t="s">
        <v>7658</v>
      </c>
      <c r="D2022" s="16" t="s">
        <v>7597</v>
      </c>
      <c r="E2022" s="16" t="s">
        <v>7543</v>
      </c>
      <c r="F2022" s="16" t="s">
        <v>7544</v>
      </c>
      <c r="G2022" s="16" t="s">
        <v>13093</v>
      </c>
      <c r="H2022" s="16"/>
      <c r="I2022" s="16" t="s">
        <v>160</v>
      </c>
      <c r="J2022" s="16"/>
      <c r="K2022" s="16" t="s">
        <v>12951</v>
      </c>
      <c r="L2022" s="16"/>
      <c r="M2022" s="19" t="s">
        <v>7545</v>
      </c>
      <c r="N2022" s="16"/>
      <c r="O2022" s="16" t="s">
        <v>7543</v>
      </c>
      <c r="P2022" s="16" t="str">
        <f>HYPERLINK("https://ceds.ed.gov/cedselementdetails.aspx?termid=27959")</f>
        <v>https://ceds.ed.gov/cedselementdetails.aspx?termid=27959</v>
      </c>
      <c r="Q2022" s="16">
        <v>75564</v>
      </c>
    </row>
    <row r="2023" spans="1:17" ht="57.6" x14ac:dyDescent="0.3">
      <c r="A2023" s="16" t="s">
        <v>7665</v>
      </c>
      <c r="B2023" s="16" t="s">
        <v>7680</v>
      </c>
      <c r="C2023" s="16" t="s">
        <v>7658</v>
      </c>
      <c r="D2023" s="16" t="s">
        <v>7597</v>
      </c>
      <c r="E2023" s="16" t="s">
        <v>3506</v>
      </c>
      <c r="F2023" s="16" t="s">
        <v>3507</v>
      </c>
      <c r="G2023" s="16" t="s">
        <v>8556</v>
      </c>
      <c r="H2023" s="16"/>
      <c r="I2023" s="16" t="s">
        <v>160</v>
      </c>
      <c r="J2023" s="16"/>
      <c r="K2023" s="16" t="s">
        <v>12935</v>
      </c>
      <c r="L2023" s="16"/>
      <c r="M2023" s="19" t="s">
        <v>3508</v>
      </c>
      <c r="N2023" s="16"/>
      <c r="O2023" s="16" t="s">
        <v>3509</v>
      </c>
      <c r="P2023" s="16" t="str">
        <f>HYPERLINK("https://ceds.ed.gov/cedselementdetails.aspx?termid=27310")</f>
        <v>https://ceds.ed.gov/cedselementdetails.aspx?termid=27310</v>
      </c>
      <c r="Q2023" s="16">
        <v>76549</v>
      </c>
    </row>
    <row r="2024" spans="1:17" ht="172.8" x14ac:dyDescent="0.3">
      <c r="A2024" s="16" t="s">
        <v>7665</v>
      </c>
      <c r="B2024" s="16" t="s">
        <v>7680</v>
      </c>
      <c r="C2024" s="16" t="s">
        <v>7710</v>
      </c>
      <c r="D2024" s="16" t="s">
        <v>7597</v>
      </c>
      <c r="E2024" s="16" t="s">
        <v>4909</v>
      </c>
      <c r="F2024" s="16" t="s">
        <v>8077</v>
      </c>
      <c r="G2024" s="16" t="s">
        <v>32</v>
      </c>
      <c r="H2024" s="16"/>
      <c r="I2024" s="16"/>
      <c r="J2024" s="16" t="s">
        <v>120</v>
      </c>
      <c r="K2024" s="16"/>
      <c r="L2024" s="16" t="s">
        <v>7817</v>
      </c>
      <c r="M2024" s="19" t="s">
        <v>4911</v>
      </c>
      <c r="N2024" s="16"/>
      <c r="O2024" s="16" t="s">
        <v>4912</v>
      </c>
      <c r="P2024" s="16" t="str">
        <f>HYPERLINK("https://ceds.ed.gov/cedselementdetails.aspx?termid=27533")</f>
        <v>https://ceds.ed.gov/cedselementdetails.aspx?termid=27533</v>
      </c>
      <c r="Q2024" s="16">
        <v>73868</v>
      </c>
    </row>
    <row r="2025" spans="1:17" ht="28.8" x14ac:dyDescent="0.3">
      <c r="A2025" s="16" t="s">
        <v>7665</v>
      </c>
      <c r="B2025" s="16" t="s">
        <v>7680</v>
      </c>
      <c r="C2025" s="16" t="s">
        <v>7710</v>
      </c>
      <c r="D2025" s="16" t="s">
        <v>7597</v>
      </c>
      <c r="E2025" s="16" t="s">
        <v>4913</v>
      </c>
      <c r="F2025" s="16" t="s">
        <v>4914</v>
      </c>
      <c r="G2025" s="16" t="s">
        <v>32</v>
      </c>
      <c r="H2025" s="16"/>
      <c r="I2025" s="16"/>
      <c r="J2025" s="16" t="s">
        <v>812</v>
      </c>
      <c r="K2025" s="16"/>
      <c r="L2025" s="16"/>
      <c r="M2025" s="19" t="s">
        <v>4915</v>
      </c>
      <c r="N2025" s="16"/>
      <c r="O2025" s="16" t="s">
        <v>4916</v>
      </c>
      <c r="P2025" s="16" t="str">
        <f>HYPERLINK("https://ceds.ed.gov/cedselementdetails.aspx?termid=26938")</f>
        <v>https://ceds.ed.gov/cedselementdetails.aspx?termid=26938</v>
      </c>
      <c r="Q2025" s="16">
        <v>73869</v>
      </c>
    </row>
    <row r="2026" spans="1:17" ht="28.8" x14ac:dyDescent="0.3">
      <c r="A2026" s="16" t="s">
        <v>7665</v>
      </c>
      <c r="B2026" s="16" t="s">
        <v>7680</v>
      </c>
      <c r="C2026" s="16" t="s">
        <v>7710</v>
      </c>
      <c r="D2026" s="16" t="s">
        <v>7597</v>
      </c>
      <c r="E2026" s="16" t="s">
        <v>4917</v>
      </c>
      <c r="F2026" s="16" t="s">
        <v>4918</v>
      </c>
      <c r="G2026" s="16" t="s">
        <v>32</v>
      </c>
      <c r="H2026" s="16"/>
      <c r="I2026" s="16"/>
      <c r="J2026" s="16" t="s">
        <v>101</v>
      </c>
      <c r="K2026" s="16"/>
      <c r="L2026" s="16"/>
      <c r="M2026" s="19" t="s">
        <v>4919</v>
      </c>
      <c r="N2026" s="16"/>
      <c r="O2026" s="16" t="s">
        <v>4920</v>
      </c>
      <c r="P2026" s="16" t="str">
        <f>HYPERLINK("https://ceds.ed.gov/cedselementdetails.aspx?termid=27534")</f>
        <v>https://ceds.ed.gov/cedselementdetails.aspx?termid=27534</v>
      </c>
      <c r="Q2026" s="16">
        <v>73870</v>
      </c>
    </row>
    <row r="2027" spans="1:17" ht="172.8" x14ac:dyDescent="0.3">
      <c r="A2027" s="16" t="s">
        <v>7665</v>
      </c>
      <c r="B2027" s="16" t="s">
        <v>7680</v>
      </c>
      <c r="C2027" s="16" t="s">
        <v>7710</v>
      </c>
      <c r="D2027" s="16" t="s">
        <v>7597</v>
      </c>
      <c r="E2027" s="16" t="s">
        <v>4921</v>
      </c>
      <c r="F2027" s="16" t="s">
        <v>4922</v>
      </c>
      <c r="G2027" s="16" t="s">
        <v>32</v>
      </c>
      <c r="H2027" s="16"/>
      <c r="I2027" s="16"/>
      <c r="J2027" s="16" t="s">
        <v>120</v>
      </c>
      <c r="K2027" s="16"/>
      <c r="L2027" s="16" t="s">
        <v>7817</v>
      </c>
      <c r="M2027" s="19" t="s">
        <v>4923</v>
      </c>
      <c r="N2027" s="16"/>
      <c r="O2027" s="16" t="s">
        <v>4924</v>
      </c>
      <c r="P2027" s="16" t="str">
        <f>HYPERLINK("https://ceds.ed.gov/cedselementdetails.aspx?termid=27535")</f>
        <v>https://ceds.ed.gov/cedselementdetails.aspx?termid=27535</v>
      </c>
      <c r="Q2027" s="16">
        <v>73873</v>
      </c>
    </row>
    <row r="2028" spans="1:17" ht="28.8" x14ac:dyDescent="0.3">
      <c r="A2028" s="16" t="s">
        <v>7665</v>
      </c>
      <c r="B2028" s="16" t="s">
        <v>7680</v>
      </c>
      <c r="C2028" s="16" t="s">
        <v>7710</v>
      </c>
      <c r="D2028" s="16" t="s">
        <v>7597</v>
      </c>
      <c r="E2028" s="16" t="s">
        <v>4925</v>
      </c>
      <c r="F2028" s="16" t="s">
        <v>4926</v>
      </c>
      <c r="G2028" s="16" t="s">
        <v>32</v>
      </c>
      <c r="H2028" s="16"/>
      <c r="I2028" s="16"/>
      <c r="J2028" s="16" t="s">
        <v>145</v>
      </c>
      <c r="K2028" s="16"/>
      <c r="L2028" s="16"/>
      <c r="M2028" s="19" t="s">
        <v>4927</v>
      </c>
      <c r="N2028" s="16"/>
      <c r="O2028" s="16" t="s">
        <v>4928</v>
      </c>
      <c r="P2028" s="16" t="str">
        <f>HYPERLINK("https://ceds.ed.gov/cedselementdetails.aspx?termid=27536")</f>
        <v>https://ceds.ed.gov/cedselementdetails.aspx?termid=27536</v>
      </c>
      <c r="Q2028" s="16">
        <v>73876</v>
      </c>
    </row>
    <row r="2029" spans="1:17" ht="409.6" x14ac:dyDescent="0.3">
      <c r="A2029" s="16" t="s">
        <v>7665</v>
      </c>
      <c r="B2029" s="16" t="s">
        <v>7680</v>
      </c>
      <c r="C2029" s="16" t="s">
        <v>7710</v>
      </c>
      <c r="D2029" s="16" t="s">
        <v>7597</v>
      </c>
      <c r="E2029" s="16" t="s">
        <v>4929</v>
      </c>
      <c r="F2029" s="16" t="s">
        <v>4930</v>
      </c>
      <c r="G2029" s="16" t="s">
        <v>8690</v>
      </c>
      <c r="H2029" s="16"/>
      <c r="I2029" s="16"/>
      <c r="J2029" s="16"/>
      <c r="K2029" s="16"/>
      <c r="L2029" s="16" t="s">
        <v>8078</v>
      </c>
      <c r="M2029" s="19" t="s">
        <v>4931</v>
      </c>
      <c r="N2029" s="16"/>
      <c r="O2029" s="16" t="s">
        <v>4932</v>
      </c>
      <c r="P2029" s="16" t="str">
        <f>HYPERLINK("https://ceds.ed.gov/cedselementdetails.aspx?termid=26935")</f>
        <v>https://ceds.ed.gov/cedselementdetails.aspx?termid=26935</v>
      </c>
      <c r="Q2029" s="16">
        <v>73879</v>
      </c>
    </row>
    <row r="2030" spans="1:17" ht="72" x14ac:dyDescent="0.3">
      <c r="A2030" s="16" t="s">
        <v>7665</v>
      </c>
      <c r="B2030" s="16" t="s">
        <v>7680</v>
      </c>
      <c r="C2030" s="16" t="s">
        <v>7710</v>
      </c>
      <c r="D2030" s="16" t="s">
        <v>7597</v>
      </c>
      <c r="E2030" s="16" t="s">
        <v>4933</v>
      </c>
      <c r="F2030" s="16" t="s">
        <v>4934</v>
      </c>
      <c r="G2030" s="16" t="s">
        <v>32</v>
      </c>
      <c r="H2030" s="16"/>
      <c r="I2030" s="16"/>
      <c r="J2030" s="16" t="s">
        <v>316</v>
      </c>
      <c r="K2030" s="16"/>
      <c r="L2030" s="16"/>
      <c r="M2030" s="19" t="s">
        <v>4935</v>
      </c>
      <c r="N2030" s="16"/>
      <c r="O2030" s="16" t="s">
        <v>4936</v>
      </c>
      <c r="P2030" s="16" t="str">
        <f>HYPERLINK("https://ceds.ed.gov/cedselementdetails.aspx?termid=26936")</f>
        <v>https://ceds.ed.gov/cedselementdetails.aspx?termid=26936</v>
      </c>
      <c r="Q2030" s="16">
        <v>73880</v>
      </c>
    </row>
    <row r="2031" spans="1:17" ht="409.6" x14ac:dyDescent="0.3">
      <c r="A2031" s="16" t="s">
        <v>7665</v>
      </c>
      <c r="B2031" s="16" t="s">
        <v>7680</v>
      </c>
      <c r="C2031" s="16" t="s">
        <v>7652</v>
      </c>
      <c r="D2031" s="16" t="s">
        <v>7597</v>
      </c>
      <c r="E2031" s="16" t="s">
        <v>5751</v>
      </c>
      <c r="F2031" s="16" t="s">
        <v>5752</v>
      </c>
      <c r="G2031" s="16" t="s">
        <v>8753</v>
      </c>
      <c r="H2031" s="16" t="s">
        <v>1516</v>
      </c>
      <c r="I2031" s="16"/>
      <c r="J2031" s="16"/>
      <c r="K2031" s="16"/>
      <c r="L2031" s="16" t="s">
        <v>5753</v>
      </c>
      <c r="M2031" s="19" t="s">
        <v>5754</v>
      </c>
      <c r="N2031" s="16"/>
      <c r="O2031" s="16" t="s">
        <v>5755</v>
      </c>
      <c r="P2031" s="16" t="str">
        <f>HYPERLINK("https://ceds.ed.gov/cedselementdetails.aspx?termid=26415")</f>
        <v>https://ceds.ed.gov/cedselementdetails.aspx?termid=26415</v>
      </c>
      <c r="Q2031" s="16">
        <v>75348</v>
      </c>
    </row>
    <row r="2032" spans="1:17" ht="43.2" x14ac:dyDescent="0.3">
      <c r="A2032" s="16" t="s">
        <v>7665</v>
      </c>
      <c r="B2032" s="16" t="s">
        <v>7680</v>
      </c>
      <c r="C2032" s="16" t="s">
        <v>4</v>
      </c>
      <c r="D2032" s="16" t="s">
        <v>7597</v>
      </c>
      <c r="E2032" s="16" t="s">
        <v>1490</v>
      </c>
      <c r="F2032" s="16" t="s">
        <v>1491</v>
      </c>
      <c r="G2032" s="16" t="s">
        <v>22</v>
      </c>
      <c r="H2032" s="16"/>
      <c r="I2032" s="16"/>
      <c r="J2032" s="16"/>
      <c r="K2032" s="16"/>
      <c r="L2032" s="16"/>
      <c r="M2032" s="19" t="s">
        <v>1492</v>
      </c>
      <c r="N2032" s="16"/>
      <c r="O2032" s="16" t="s">
        <v>1493</v>
      </c>
      <c r="P2032" s="16" t="str">
        <f>HYPERLINK("https://ceds.ed.gov/cedselementdetails.aspx?termid=27903")</f>
        <v>https://ceds.ed.gov/cedselementdetails.aspx?termid=27903</v>
      </c>
      <c r="Q2032" s="16">
        <v>75349</v>
      </c>
    </row>
    <row r="2033" spans="1:17" ht="57.6" x14ac:dyDescent="0.3">
      <c r="A2033" s="16" t="s">
        <v>7665</v>
      </c>
      <c r="B2033" s="16" t="s">
        <v>7680</v>
      </c>
      <c r="C2033" s="16" t="s">
        <v>4</v>
      </c>
      <c r="D2033" s="16" t="s">
        <v>7597</v>
      </c>
      <c r="E2033" s="16" t="s">
        <v>6162</v>
      </c>
      <c r="F2033" s="16" t="s">
        <v>6163</v>
      </c>
      <c r="G2033" s="16" t="s">
        <v>22</v>
      </c>
      <c r="H2033" s="16"/>
      <c r="I2033" s="16"/>
      <c r="J2033" s="16"/>
      <c r="K2033" s="16"/>
      <c r="L2033" s="16"/>
      <c r="M2033" s="19" t="s">
        <v>6164</v>
      </c>
      <c r="N2033" s="16"/>
      <c r="O2033" s="16" t="s">
        <v>6165</v>
      </c>
      <c r="P2033" s="16" t="str">
        <f>HYPERLINK("https://ceds.ed.gov/cedselementdetails.aspx?termid=26760")</f>
        <v>https://ceds.ed.gov/cedselementdetails.aspx?termid=26760</v>
      </c>
      <c r="Q2033" s="16">
        <v>75350</v>
      </c>
    </row>
    <row r="2034" spans="1:17" ht="158.4" x14ac:dyDescent="0.3">
      <c r="A2034" s="16" t="s">
        <v>7665</v>
      </c>
      <c r="B2034" s="16" t="s">
        <v>7680</v>
      </c>
      <c r="C2034" s="16" t="s">
        <v>4</v>
      </c>
      <c r="D2034" s="16" t="s">
        <v>7597</v>
      </c>
      <c r="E2034" s="16" t="s">
        <v>5288</v>
      </c>
      <c r="F2034" s="16" t="s">
        <v>5289</v>
      </c>
      <c r="G2034" s="16" t="s">
        <v>22</v>
      </c>
      <c r="H2034" s="16"/>
      <c r="I2034" s="16" t="s">
        <v>160</v>
      </c>
      <c r="J2034" s="16"/>
      <c r="K2034" s="16" t="s">
        <v>12935</v>
      </c>
      <c r="L2034" s="16"/>
      <c r="M2034" s="19" t="s">
        <v>5290</v>
      </c>
      <c r="N2034" s="16"/>
      <c r="O2034" s="16" t="s">
        <v>5291</v>
      </c>
      <c r="P2034" s="16" t="str">
        <f>HYPERLINK("https://ceds.ed.gov/cedselementdetails.aspx?termid=26758")</f>
        <v>https://ceds.ed.gov/cedselementdetails.aspx?termid=26758</v>
      </c>
      <c r="Q2034" s="16">
        <v>76542</v>
      </c>
    </row>
    <row r="2035" spans="1:17" ht="115.2" x14ac:dyDescent="0.3">
      <c r="A2035" s="16" t="s">
        <v>7665</v>
      </c>
      <c r="B2035" s="16" t="s">
        <v>7680</v>
      </c>
      <c r="C2035" s="16" t="s">
        <v>7711</v>
      </c>
      <c r="D2035" s="16" t="s">
        <v>7597</v>
      </c>
      <c r="E2035" s="16" t="s">
        <v>7331</v>
      </c>
      <c r="F2035" s="16" t="s">
        <v>7332</v>
      </c>
      <c r="G2035" s="16" t="s">
        <v>8369</v>
      </c>
      <c r="H2035" s="16"/>
      <c r="I2035" s="16"/>
      <c r="J2035" s="16"/>
      <c r="K2035" s="16"/>
      <c r="L2035" s="16" t="s">
        <v>7333</v>
      </c>
      <c r="M2035" s="19" t="s">
        <v>7334</v>
      </c>
      <c r="N2035" s="16"/>
      <c r="O2035" s="16" t="s">
        <v>7335</v>
      </c>
      <c r="P2035" s="16" t="str">
        <f>HYPERLINK("https://ceds.ed.gov/cedselementdetails.aspx?termid=27916")</f>
        <v>https://ceds.ed.gov/cedselementdetails.aspx?termid=27916</v>
      </c>
      <c r="Q2035" s="16">
        <v>75549</v>
      </c>
    </row>
    <row r="2036" spans="1:17" ht="57.6" x14ac:dyDescent="0.3">
      <c r="A2036" s="16" t="s">
        <v>7665</v>
      </c>
      <c r="B2036" s="16" t="s">
        <v>7680</v>
      </c>
      <c r="C2036" s="16" t="s">
        <v>7653</v>
      </c>
      <c r="D2036" s="16" t="s">
        <v>7597</v>
      </c>
      <c r="E2036" s="16" t="s">
        <v>7446</v>
      </c>
      <c r="F2036" s="16" t="s">
        <v>7447</v>
      </c>
      <c r="G2036" s="16" t="s">
        <v>32</v>
      </c>
      <c r="H2036" s="16"/>
      <c r="I2036" s="16"/>
      <c r="J2036" s="16" t="s">
        <v>136</v>
      </c>
      <c r="K2036" s="16"/>
      <c r="L2036" s="16" t="s">
        <v>7448</v>
      </c>
      <c r="M2036" s="19" t="s">
        <v>7449</v>
      </c>
      <c r="N2036" s="16"/>
      <c r="O2036" s="16" t="s">
        <v>7450</v>
      </c>
      <c r="P2036" s="16" t="str">
        <f>HYPERLINK("https://ceds.ed.gov/cedselementdetails.aspx?termid=27938")</f>
        <v>https://ceds.ed.gov/cedselementdetails.aspx?termid=27938</v>
      </c>
      <c r="Q2036" s="16">
        <v>75556</v>
      </c>
    </row>
    <row r="2037" spans="1:17" ht="72" x14ac:dyDescent="0.3">
      <c r="A2037" s="16" t="s">
        <v>7665</v>
      </c>
      <c r="B2037" s="16" t="s">
        <v>7680</v>
      </c>
      <c r="C2037" s="16" t="s">
        <v>7711</v>
      </c>
      <c r="D2037" s="16" t="s">
        <v>7597</v>
      </c>
      <c r="E2037" s="16" t="s">
        <v>7439</v>
      </c>
      <c r="F2037" s="16" t="s">
        <v>7440</v>
      </c>
      <c r="G2037" s="16" t="s">
        <v>22</v>
      </c>
      <c r="H2037" s="16"/>
      <c r="I2037" s="16"/>
      <c r="J2037" s="16"/>
      <c r="K2037" s="16"/>
      <c r="L2037" s="16" t="s">
        <v>7441</v>
      </c>
      <c r="M2037" s="19" t="s">
        <v>7442</v>
      </c>
      <c r="N2037" s="16"/>
      <c r="O2037" s="16" t="s">
        <v>7443</v>
      </c>
      <c r="P2037" s="16" t="str">
        <f>HYPERLINK("https://ceds.ed.gov/cedselementdetails.aspx?termid=27936")</f>
        <v>https://ceds.ed.gov/cedselementdetails.aspx?termid=27936</v>
      </c>
      <c r="Q2037" s="16">
        <v>75550</v>
      </c>
    </row>
    <row r="2038" spans="1:17" ht="43.2" x14ac:dyDescent="0.3">
      <c r="A2038" s="16" t="s">
        <v>7665</v>
      </c>
      <c r="B2038" s="16" t="s">
        <v>7680</v>
      </c>
      <c r="C2038" s="16" t="s">
        <v>7653</v>
      </c>
      <c r="D2038" s="16" t="s">
        <v>7597</v>
      </c>
      <c r="E2038" s="16" t="s">
        <v>7456</v>
      </c>
      <c r="F2038" s="16" t="s">
        <v>7457</v>
      </c>
      <c r="G2038" s="16" t="s">
        <v>32</v>
      </c>
      <c r="H2038" s="16"/>
      <c r="I2038" s="16"/>
      <c r="J2038" s="16" t="s">
        <v>812</v>
      </c>
      <c r="K2038" s="16"/>
      <c r="L2038" s="16" t="s">
        <v>7458</v>
      </c>
      <c r="M2038" s="19" t="s">
        <v>7459</v>
      </c>
      <c r="N2038" s="16"/>
      <c r="O2038" s="16" t="s">
        <v>7460</v>
      </c>
      <c r="P2038" s="16" t="str">
        <f>HYPERLINK("https://ceds.ed.gov/cedselementdetails.aspx?termid=27940")</f>
        <v>https://ceds.ed.gov/cedselementdetails.aspx?termid=27940</v>
      </c>
      <c r="Q2038" s="16">
        <v>75557</v>
      </c>
    </row>
    <row r="2039" spans="1:17" ht="144" x14ac:dyDescent="0.3">
      <c r="A2039" s="16" t="s">
        <v>7665</v>
      </c>
      <c r="B2039" s="16" t="s">
        <v>7680</v>
      </c>
      <c r="C2039" s="16" t="s">
        <v>7711</v>
      </c>
      <c r="D2039" s="16" t="s">
        <v>7597</v>
      </c>
      <c r="E2039" s="16" t="s">
        <v>7444</v>
      </c>
      <c r="F2039" s="16" t="s">
        <v>13080</v>
      </c>
      <c r="G2039" s="16" t="s">
        <v>8668</v>
      </c>
      <c r="H2039" s="16"/>
      <c r="I2039" s="16" t="s">
        <v>160</v>
      </c>
      <c r="J2039" s="16"/>
      <c r="K2039" s="16" t="s">
        <v>12945</v>
      </c>
      <c r="L2039" s="16" t="s">
        <v>13081</v>
      </c>
      <c r="M2039" s="19" t="s">
        <v>7445</v>
      </c>
      <c r="N2039" s="16"/>
      <c r="O2039" s="16"/>
      <c r="P2039" s="16" t="str">
        <f>HYPERLINK("https://ceds.ed.gov/cedselementdetails.aspx?termid=27937")</f>
        <v>https://ceds.ed.gov/cedselementdetails.aspx?termid=27937</v>
      </c>
      <c r="Q2039" s="16">
        <v>75551</v>
      </c>
    </row>
    <row r="2040" spans="1:17" ht="57.6" x14ac:dyDescent="0.3">
      <c r="A2040" s="16" t="s">
        <v>7665</v>
      </c>
      <c r="B2040" s="16" t="s">
        <v>7680</v>
      </c>
      <c r="C2040" s="16" t="s">
        <v>7653</v>
      </c>
      <c r="D2040" s="16" t="s">
        <v>7597</v>
      </c>
      <c r="E2040" s="16" t="s">
        <v>7461</v>
      </c>
      <c r="F2040" s="16" t="s">
        <v>7462</v>
      </c>
      <c r="G2040" s="16" t="s">
        <v>32</v>
      </c>
      <c r="H2040" s="16"/>
      <c r="I2040" s="16"/>
      <c r="J2040" s="16" t="s">
        <v>136</v>
      </c>
      <c r="K2040" s="16"/>
      <c r="L2040" s="16" t="s">
        <v>7463</v>
      </c>
      <c r="M2040" s="19" t="s">
        <v>7464</v>
      </c>
      <c r="N2040" s="16"/>
      <c r="O2040" s="16" t="s">
        <v>7465</v>
      </c>
      <c r="P2040" s="16" t="str">
        <f>HYPERLINK("https://ceds.ed.gov/cedselementdetails.aspx?termid=27941")</f>
        <v>https://ceds.ed.gov/cedselementdetails.aspx?termid=27941</v>
      </c>
      <c r="Q2040" s="16">
        <v>75558</v>
      </c>
    </row>
    <row r="2041" spans="1:17" ht="100.8" x14ac:dyDescent="0.3">
      <c r="A2041" s="16" t="s">
        <v>7665</v>
      </c>
      <c r="B2041" s="16" t="s">
        <v>7680</v>
      </c>
      <c r="C2041" s="16" t="s">
        <v>7711</v>
      </c>
      <c r="D2041" s="16" t="s">
        <v>7597</v>
      </c>
      <c r="E2041" s="16" t="s">
        <v>7451</v>
      </c>
      <c r="F2041" s="16" t="s">
        <v>7452</v>
      </c>
      <c r="G2041" s="16" t="s">
        <v>8670</v>
      </c>
      <c r="H2041" s="16"/>
      <c r="I2041" s="16"/>
      <c r="J2041" s="16"/>
      <c r="K2041" s="16"/>
      <c r="L2041" s="16" t="s">
        <v>7453</v>
      </c>
      <c r="M2041" s="19" t="s">
        <v>7454</v>
      </c>
      <c r="N2041" s="16"/>
      <c r="O2041" s="16" t="s">
        <v>7455</v>
      </c>
      <c r="P2041" s="16" t="str">
        <f>HYPERLINK("https://ceds.ed.gov/cedselementdetails.aspx?termid=27939")</f>
        <v>https://ceds.ed.gov/cedselementdetails.aspx?termid=27939</v>
      </c>
      <c r="Q2041" s="16">
        <v>75552</v>
      </c>
    </row>
    <row r="2042" spans="1:17" ht="72" x14ac:dyDescent="0.3">
      <c r="A2042" s="16" t="s">
        <v>7665</v>
      </c>
      <c r="B2042" s="16" t="s">
        <v>7680</v>
      </c>
      <c r="C2042" s="16" t="s">
        <v>7711</v>
      </c>
      <c r="D2042" s="16" t="s">
        <v>7597</v>
      </c>
      <c r="E2042" s="16" t="s">
        <v>7512</v>
      </c>
      <c r="F2042" s="16" t="s">
        <v>7513</v>
      </c>
      <c r="G2042" s="16" t="s">
        <v>8769</v>
      </c>
      <c r="H2042" s="16"/>
      <c r="I2042" s="16"/>
      <c r="J2042" s="16"/>
      <c r="K2042" s="16"/>
      <c r="L2042" s="16" t="s">
        <v>7514</v>
      </c>
      <c r="M2042" s="19" t="s">
        <v>7515</v>
      </c>
      <c r="N2042" s="16"/>
      <c r="O2042" s="16" t="s">
        <v>7516</v>
      </c>
      <c r="P2042" s="16" t="str">
        <f>HYPERLINK("https://ceds.ed.gov/cedselementdetails.aspx?termid=27952")</f>
        <v>https://ceds.ed.gov/cedselementdetails.aspx?termid=27952</v>
      </c>
      <c r="Q2042" s="16">
        <v>75553</v>
      </c>
    </row>
    <row r="2043" spans="1:17" ht="115.2" x14ac:dyDescent="0.3">
      <c r="A2043" s="16" t="s">
        <v>7665</v>
      </c>
      <c r="B2043" s="16" t="s">
        <v>7680</v>
      </c>
      <c r="C2043" s="16" t="s">
        <v>7711</v>
      </c>
      <c r="D2043" s="16" t="s">
        <v>7597</v>
      </c>
      <c r="E2043" s="16" t="s">
        <v>7517</v>
      </c>
      <c r="F2043" s="16" t="s">
        <v>7518</v>
      </c>
      <c r="G2043" s="16" t="s">
        <v>8770</v>
      </c>
      <c r="H2043" s="16"/>
      <c r="I2043" s="16"/>
      <c r="J2043" s="16"/>
      <c r="K2043" s="16"/>
      <c r="L2043" s="16" t="s">
        <v>7519</v>
      </c>
      <c r="M2043" s="19" t="s">
        <v>7520</v>
      </c>
      <c r="N2043" s="16"/>
      <c r="O2043" s="16" t="s">
        <v>7521</v>
      </c>
      <c r="P2043" s="16" t="str">
        <f>HYPERLINK("https://ceds.ed.gov/cedselementdetails.aspx?termid=27953")</f>
        <v>https://ceds.ed.gov/cedselementdetails.aspx?termid=27953</v>
      </c>
      <c r="Q2043" s="16">
        <v>75554</v>
      </c>
    </row>
    <row r="2044" spans="1:17" ht="72" x14ac:dyDescent="0.3">
      <c r="A2044" s="16" t="s">
        <v>7665</v>
      </c>
      <c r="B2044" s="16" t="s">
        <v>7680</v>
      </c>
      <c r="C2044" s="16" t="s">
        <v>7711</v>
      </c>
      <c r="D2044" s="16" t="s">
        <v>7597</v>
      </c>
      <c r="E2044" s="16" t="s">
        <v>7522</v>
      </c>
      <c r="F2044" s="16" t="s">
        <v>7523</v>
      </c>
      <c r="G2044" s="16" t="s">
        <v>8771</v>
      </c>
      <c r="H2044" s="16"/>
      <c r="I2044" s="16"/>
      <c r="J2044" s="16"/>
      <c r="K2044" s="16"/>
      <c r="L2044" s="16" t="s">
        <v>7524</v>
      </c>
      <c r="M2044" s="19" t="s">
        <v>7525</v>
      </c>
      <c r="N2044" s="16"/>
      <c r="O2044" s="16" t="s">
        <v>7526</v>
      </c>
      <c r="P2044" s="16" t="str">
        <f>HYPERLINK("https://ceds.ed.gov/cedselementdetails.aspx?termid=27954")</f>
        <v>https://ceds.ed.gov/cedselementdetails.aspx?termid=27954</v>
      </c>
      <c r="Q2044" s="16">
        <v>75555</v>
      </c>
    </row>
    <row r="2045" spans="1:17" ht="72" x14ac:dyDescent="0.3">
      <c r="A2045" s="16" t="s">
        <v>7665</v>
      </c>
      <c r="B2045" s="16" t="s">
        <v>7680</v>
      </c>
      <c r="C2045" s="16" t="s">
        <v>9412</v>
      </c>
      <c r="D2045" s="16" t="s">
        <v>7597</v>
      </c>
      <c r="E2045" s="16" t="s">
        <v>9312</v>
      </c>
      <c r="F2045" s="16" t="s">
        <v>9313</v>
      </c>
      <c r="G2045" s="16" t="s">
        <v>9325</v>
      </c>
      <c r="H2045" s="16"/>
      <c r="I2045" s="16"/>
      <c r="J2045" s="16"/>
      <c r="K2045" s="16"/>
      <c r="L2045" s="16"/>
      <c r="M2045" s="19" t="s">
        <v>5394</v>
      </c>
      <c r="N2045" s="16"/>
      <c r="O2045" s="16" t="s">
        <v>9314</v>
      </c>
      <c r="P2045" s="16" t="str">
        <f>HYPERLINK("https://ceds.ed.gov/cedselementdetails.aspx?termid=27556")</f>
        <v>https://ceds.ed.gov/cedselementdetails.aspx?termid=27556</v>
      </c>
      <c r="Q2045" s="16">
        <v>76213</v>
      </c>
    </row>
    <row r="2046" spans="1:17" ht="144" x14ac:dyDescent="0.3">
      <c r="A2046" s="16" t="s">
        <v>7665</v>
      </c>
      <c r="B2046" s="16" t="s">
        <v>7680</v>
      </c>
      <c r="C2046" s="16" t="s">
        <v>9412</v>
      </c>
      <c r="D2046" s="16" t="s">
        <v>7597</v>
      </c>
      <c r="E2046" s="16" t="s">
        <v>9087</v>
      </c>
      <c r="F2046" s="16" t="s">
        <v>9088</v>
      </c>
      <c r="G2046" s="16" t="s">
        <v>9298</v>
      </c>
      <c r="H2046" s="16"/>
      <c r="I2046" s="16"/>
      <c r="J2046" s="16" t="s">
        <v>2</v>
      </c>
      <c r="K2046" s="16"/>
      <c r="L2046" s="16" t="s">
        <v>9089</v>
      </c>
      <c r="M2046" s="19" t="s">
        <v>9090</v>
      </c>
      <c r="N2046" s="16"/>
      <c r="O2046" s="16" t="s">
        <v>9091</v>
      </c>
      <c r="P2046" s="16" t="str">
        <f>HYPERLINK("https://ceds.ed.gov/cedselementdetails.aspx?termid=28047")</f>
        <v>https://ceds.ed.gov/cedselementdetails.aspx?termid=28047</v>
      </c>
      <c r="Q2046" s="16">
        <v>76214</v>
      </c>
    </row>
    <row r="2047" spans="1:17" ht="409.6" x14ac:dyDescent="0.3">
      <c r="A2047" s="16" t="s">
        <v>7665</v>
      </c>
      <c r="B2047" s="16" t="s">
        <v>7680</v>
      </c>
      <c r="C2047" s="16" t="s">
        <v>9412</v>
      </c>
      <c r="D2047" s="16" t="s">
        <v>7597</v>
      </c>
      <c r="E2047" s="16" t="s">
        <v>9092</v>
      </c>
      <c r="F2047" s="16" t="s">
        <v>9093</v>
      </c>
      <c r="G2047" s="16" t="s">
        <v>9299</v>
      </c>
      <c r="H2047" s="16"/>
      <c r="I2047" s="16"/>
      <c r="J2047" s="16" t="s">
        <v>2</v>
      </c>
      <c r="K2047" s="16"/>
      <c r="L2047" s="16" t="s">
        <v>9094</v>
      </c>
      <c r="M2047" s="19" t="s">
        <v>9095</v>
      </c>
      <c r="N2047" s="16"/>
      <c r="O2047" s="16" t="s">
        <v>9096</v>
      </c>
      <c r="P2047" s="16" t="str">
        <f>HYPERLINK("https://ceds.ed.gov/cedselementdetails.aspx?termid=28048")</f>
        <v>https://ceds.ed.gov/cedselementdetails.aspx?termid=28048</v>
      </c>
      <c r="Q2047" s="16">
        <v>76215</v>
      </c>
    </row>
    <row r="2048" spans="1:17" ht="100.8" x14ac:dyDescent="0.3">
      <c r="A2048" s="16" t="s">
        <v>7665</v>
      </c>
      <c r="B2048" s="16" t="s">
        <v>7680</v>
      </c>
      <c r="C2048" s="16" t="s">
        <v>9412</v>
      </c>
      <c r="D2048" s="16" t="s">
        <v>7597</v>
      </c>
      <c r="E2048" s="16" t="s">
        <v>9097</v>
      </c>
      <c r="F2048" s="16" t="s">
        <v>9098</v>
      </c>
      <c r="G2048" s="16" t="s">
        <v>32</v>
      </c>
      <c r="H2048" s="16"/>
      <c r="I2048" s="16"/>
      <c r="J2048" s="16" t="s">
        <v>120</v>
      </c>
      <c r="K2048" s="16"/>
      <c r="L2048" s="16" t="s">
        <v>9089</v>
      </c>
      <c r="M2048" s="19" t="s">
        <v>9099</v>
      </c>
      <c r="N2048" s="16"/>
      <c r="O2048" s="16" t="s">
        <v>9100</v>
      </c>
      <c r="P2048" s="16" t="str">
        <f>HYPERLINK("https://ceds.ed.gov/cedselementdetails.aspx?termid=28049")</f>
        <v>https://ceds.ed.gov/cedselementdetails.aspx?termid=28049</v>
      </c>
      <c r="Q2048" s="16">
        <v>76216</v>
      </c>
    </row>
    <row r="2049" spans="1:17" ht="100.8" x14ac:dyDescent="0.3">
      <c r="A2049" s="16" t="s">
        <v>7665</v>
      </c>
      <c r="B2049" s="16" t="s">
        <v>7680</v>
      </c>
      <c r="C2049" s="16" t="s">
        <v>9412</v>
      </c>
      <c r="D2049" s="16" t="s">
        <v>7597</v>
      </c>
      <c r="E2049" s="16" t="s">
        <v>9101</v>
      </c>
      <c r="F2049" s="16" t="s">
        <v>9102</v>
      </c>
      <c r="G2049" s="16" t="s">
        <v>32</v>
      </c>
      <c r="H2049" s="16"/>
      <c r="I2049" s="16"/>
      <c r="J2049" s="16" t="s">
        <v>9103</v>
      </c>
      <c r="K2049" s="16"/>
      <c r="L2049" s="16" t="s">
        <v>9089</v>
      </c>
      <c r="M2049" s="19" t="s">
        <v>9104</v>
      </c>
      <c r="N2049" s="16"/>
      <c r="O2049" s="16" t="s">
        <v>9105</v>
      </c>
      <c r="P2049" s="16" t="str">
        <f>HYPERLINK("https://ceds.ed.gov/cedselementdetails.aspx?termid=28050")</f>
        <v>https://ceds.ed.gov/cedselementdetails.aspx?termid=28050</v>
      </c>
      <c r="Q2049" s="16">
        <v>76217</v>
      </c>
    </row>
    <row r="2050" spans="1:17" ht="100.8" x14ac:dyDescent="0.3">
      <c r="A2050" s="16" t="s">
        <v>7665</v>
      </c>
      <c r="B2050" s="16" t="s">
        <v>7680</v>
      </c>
      <c r="C2050" s="16" t="s">
        <v>9412</v>
      </c>
      <c r="D2050" s="16" t="s">
        <v>7597</v>
      </c>
      <c r="E2050" s="16" t="s">
        <v>9106</v>
      </c>
      <c r="F2050" s="16" t="s">
        <v>9107</v>
      </c>
      <c r="G2050" s="16" t="s">
        <v>32</v>
      </c>
      <c r="H2050" s="16"/>
      <c r="I2050" s="16"/>
      <c r="J2050" s="16" t="s">
        <v>9108</v>
      </c>
      <c r="K2050" s="16"/>
      <c r="L2050" s="16" t="s">
        <v>9089</v>
      </c>
      <c r="M2050" s="19" t="s">
        <v>9109</v>
      </c>
      <c r="N2050" s="16"/>
      <c r="O2050" s="16" t="s">
        <v>9110</v>
      </c>
      <c r="P2050" s="16" t="str">
        <f>HYPERLINK("https://ceds.ed.gov/cedselementdetails.aspx?termid=28051")</f>
        <v>https://ceds.ed.gov/cedselementdetails.aspx?termid=28051</v>
      </c>
      <c r="Q2050" s="16">
        <v>76218</v>
      </c>
    </row>
    <row r="2051" spans="1:17" ht="100.8" x14ac:dyDescent="0.3">
      <c r="A2051" s="16" t="s">
        <v>7665</v>
      </c>
      <c r="B2051" s="16" t="s">
        <v>7680</v>
      </c>
      <c r="C2051" s="16" t="s">
        <v>9412</v>
      </c>
      <c r="D2051" s="16" t="s">
        <v>7597</v>
      </c>
      <c r="E2051" s="16" t="s">
        <v>9111</v>
      </c>
      <c r="F2051" s="16" t="s">
        <v>9112</v>
      </c>
      <c r="G2051" s="16" t="s">
        <v>32</v>
      </c>
      <c r="H2051" s="16"/>
      <c r="I2051" s="16"/>
      <c r="J2051" s="16" t="s">
        <v>9103</v>
      </c>
      <c r="K2051" s="16"/>
      <c r="L2051" s="16" t="s">
        <v>9089</v>
      </c>
      <c r="M2051" s="19" t="s">
        <v>9113</v>
      </c>
      <c r="N2051" s="16"/>
      <c r="O2051" s="16" t="s">
        <v>9114</v>
      </c>
      <c r="P2051" s="16" t="str">
        <f>HYPERLINK("https://ceds.ed.gov/cedselementdetails.aspx?termid=28052")</f>
        <v>https://ceds.ed.gov/cedselementdetails.aspx?termid=28052</v>
      </c>
      <c r="Q2051" s="16">
        <v>76219</v>
      </c>
    </row>
    <row r="2052" spans="1:17" ht="100.8" x14ac:dyDescent="0.3">
      <c r="A2052" s="16" t="s">
        <v>7665</v>
      </c>
      <c r="B2052" s="16" t="s">
        <v>7680</v>
      </c>
      <c r="C2052" s="16" t="s">
        <v>9412</v>
      </c>
      <c r="D2052" s="16" t="s">
        <v>7597</v>
      </c>
      <c r="E2052" s="16" t="s">
        <v>9115</v>
      </c>
      <c r="F2052" s="16" t="s">
        <v>9116</v>
      </c>
      <c r="G2052" s="16" t="s">
        <v>32</v>
      </c>
      <c r="H2052" s="16"/>
      <c r="I2052" s="16"/>
      <c r="J2052" s="16" t="s">
        <v>34</v>
      </c>
      <c r="K2052" s="16"/>
      <c r="L2052" s="16" t="s">
        <v>9089</v>
      </c>
      <c r="M2052" s="19" t="s">
        <v>9117</v>
      </c>
      <c r="N2052" s="16"/>
      <c r="O2052" s="16" t="s">
        <v>9118</v>
      </c>
      <c r="P2052" s="16" t="str">
        <f>HYPERLINK("https://ceds.ed.gov/cedselementdetails.aspx?termid=28053")</f>
        <v>https://ceds.ed.gov/cedselementdetails.aspx?termid=28053</v>
      </c>
      <c r="Q2052" s="16">
        <v>76220</v>
      </c>
    </row>
    <row r="2053" spans="1:17" ht="100.8" x14ac:dyDescent="0.3">
      <c r="A2053" s="16" t="s">
        <v>7665</v>
      </c>
      <c r="B2053" s="16" t="s">
        <v>7680</v>
      </c>
      <c r="C2053" s="16" t="s">
        <v>9412</v>
      </c>
      <c r="D2053" s="16" t="s">
        <v>7597</v>
      </c>
      <c r="E2053" s="16" t="s">
        <v>9119</v>
      </c>
      <c r="F2053" s="16" t="s">
        <v>9120</v>
      </c>
      <c r="G2053" s="16" t="s">
        <v>32</v>
      </c>
      <c r="H2053" s="16"/>
      <c r="I2053" s="16"/>
      <c r="J2053" s="16" t="s">
        <v>9103</v>
      </c>
      <c r="K2053" s="16"/>
      <c r="L2053" s="16" t="s">
        <v>9089</v>
      </c>
      <c r="M2053" s="19" t="s">
        <v>9121</v>
      </c>
      <c r="N2053" s="16"/>
      <c r="O2053" s="16" t="s">
        <v>9122</v>
      </c>
      <c r="P2053" s="16" t="str">
        <f>HYPERLINK("https://ceds.ed.gov/cedselementdetails.aspx?termid=28054")</f>
        <v>https://ceds.ed.gov/cedselementdetails.aspx?termid=28054</v>
      </c>
      <c r="Q2053" s="16">
        <v>76221</v>
      </c>
    </row>
    <row r="2054" spans="1:17" ht="100.8" x14ac:dyDescent="0.3">
      <c r="A2054" s="16" t="s">
        <v>7665</v>
      </c>
      <c r="B2054" s="16" t="s">
        <v>7680</v>
      </c>
      <c r="C2054" s="16" t="s">
        <v>9412</v>
      </c>
      <c r="D2054" s="16" t="s">
        <v>7597</v>
      </c>
      <c r="E2054" s="16" t="s">
        <v>9123</v>
      </c>
      <c r="F2054" s="16" t="s">
        <v>9124</v>
      </c>
      <c r="G2054" s="16" t="s">
        <v>32</v>
      </c>
      <c r="H2054" s="16"/>
      <c r="I2054" s="16"/>
      <c r="J2054" s="16" t="s">
        <v>747</v>
      </c>
      <c r="K2054" s="16"/>
      <c r="L2054" s="16" t="s">
        <v>9089</v>
      </c>
      <c r="M2054" s="19" t="s">
        <v>9125</v>
      </c>
      <c r="N2054" s="16"/>
      <c r="O2054" s="16" t="s">
        <v>9126</v>
      </c>
      <c r="P2054" s="16" t="str">
        <f>HYPERLINK("https://ceds.ed.gov/cedselementdetails.aspx?termid=28055")</f>
        <v>https://ceds.ed.gov/cedselementdetails.aspx?termid=28055</v>
      </c>
      <c r="Q2054" s="16">
        <v>76222</v>
      </c>
    </row>
    <row r="2055" spans="1:17" ht="100.8" x14ac:dyDescent="0.3">
      <c r="A2055" s="16" t="s">
        <v>7665</v>
      </c>
      <c r="B2055" s="16" t="s">
        <v>7680</v>
      </c>
      <c r="C2055" s="16" t="s">
        <v>9412</v>
      </c>
      <c r="D2055" s="16" t="s">
        <v>7597</v>
      </c>
      <c r="E2055" s="16" t="s">
        <v>9127</v>
      </c>
      <c r="F2055" s="16" t="s">
        <v>9128</v>
      </c>
      <c r="G2055" s="16" t="s">
        <v>32</v>
      </c>
      <c r="H2055" s="16"/>
      <c r="I2055" s="16"/>
      <c r="J2055" s="16" t="s">
        <v>34</v>
      </c>
      <c r="K2055" s="16"/>
      <c r="L2055" s="16" t="s">
        <v>9089</v>
      </c>
      <c r="M2055" s="19" t="s">
        <v>9129</v>
      </c>
      <c r="N2055" s="16"/>
      <c r="O2055" s="16" t="s">
        <v>9130</v>
      </c>
      <c r="P2055" s="16" t="str">
        <f>HYPERLINK("https://ceds.ed.gov/cedselementdetails.aspx?termid=28056")</f>
        <v>https://ceds.ed.gov/cedselementdetails.aspx?termid=28056</v>
      </c>
      <c r="Q2055" s="16">
        <v>76223</v>
      </c>
    </row>
    <row r="2056" spans="1:17" ht="144" x14ac:dyDescent="0.3">
      <c r="A2056" s="16" t="s">
        <v>7665</v>
      </c>
      <c r="B2056" s="16" t="s">
        <v>7680</v>
      </c>
      <c r="C2056" s="16" t="s">
        <v>9412</v>
      </c>
      <c r="D2056" s="16" t="s">
        <v>7597</v>
      </c>
      <c r="E2056" s="16" t="s">
        <v>9131</v>
      </c>
      <c r="F2056" s="16" t="s">
        <v>9132</v>
      </c>
      <c r="G2056" s="16" t="s">
        <v>9300</v>
      </c>
      <c r="H2056" s="16"/>
      <c r="I2056" s="16"/>
      <c r="J2056" s="16" t="s">
        <v>2</v>
      </c>
      <c r="K2056" s="16"/>
      <c r="L2056" s="16" t="s">
        <v>9089</v>
      </c>
      <c r="M2056" s="19" t="s">
        <v>9133</v>
      </c>
      <c r="N2056" s="16"/>
      <c r="O2056" s="16" t="s">
        <v>9134</v>
      </c>
      <c r="P2056" s="16" t="str">
        <f>HYPERLINK("https://ceds.ed.gov/cedselementdetails.aspx?termid=28057")</f>
        <v>https://ceds.ed.gov/cedselementdetails.aspx?termid=28057</v>
      </c>
      <c r="Q2056" s="16">
        <v>76224</v>
      </c>
    </row>
    <row r="2057" spans="1:17" ht="158.4" x14ac:dyDescent="0.3">
      <c r="A2057" s="16" t="s">
        <v>7665</v>
      </c>
      <c r="B2057" s="16" t="s">
        <v>7680</v>
      </c>
      <c r="C2057" s="16" t="s">
        <v>9412</v>
      </c>
      <c r="D2057" s="16" t="s">
        <v>7597</v>
      </c>
      <c r="E2057" s="16" t="s">
        <v>9135</v>
      </c>
      <c r="F2057" s="16" t="s">
        <v>9136</v>
      </c>
      <c r="G2057" s="16" t="s">
        <v>9301</v>
      </c>
      <c r="H2057" s="16"/>
      <c r="I2057" s="16"/>
      <c r="J2057" s="16" t="s">
        <v>2</v>
      </c>
      <c r="K2057" s="16"/>
      <c r="L2057" s="16" t="s">
        <v>9089</v>
      </c>
      <c r="M2057" s="19" t="s">
        <v>9137</v>
      </c>
      <c r="N2057" s="16"/>
      <c r="O2057" s="16" t="s">
        <v>9138</v>
      </c>
      <c r="P2057" s="16" t="str">
        <f>HYPERLINK("https://ceds.ed.gov/cedselementdetails.aspx?termid=28058")</f>
        <v>https://ceds.ed.gov/cedselementdetails.aspx?termid=28058</v>
      </c>
      <c r="Q2057" s="16">
        <v>76225</v>
      </c>
    </row>
    <row r="2058" spans="1:17" ht="100.8" x14ac:dyDescent="0.3">
      <c r="A2058" s="16" t="s">
        <v>7665</v>
      </c>
      <c r="B2058" s="16" t="s">
        <v>7680</v>
      </c>
      <c r="C2058" s="16" t="s">
        <v>9412</v>
      </c>
      <c r="D2058" s="16" t="s">
        <v>7597</v>
      </c>
      <c r="E2058" s="16" t="s">
        <v>9139</v>
      </c>
      <c r="F2058" s="16" t="s">
        <v>9140</v>
      </c>
      <c r="G2058" s="16" t="s">
        <v>32</v>
      </c>
      <c r="H2058" s="16"/>
      <c r="I2058" s="16"/>
      <c r="J2058" s="16" t="s">
        <v>34</v>
      </c>
      <c r="K2058" s="16"/>
      <c r="L2058" s="16" t="s">
        <v>9089</v>
      </c>
      <c r="M2058" s="19" t="s">
        <v>9141</v>
      </c>
      <c r="N2058" s="16"/>
      <c r="O2058" s="16" t="s">
        <v>9142</v>
      </c>
      <c r="P2058" s="16" t="str">
        <f>HYPERLINK("https://ceds.ed.gov/cedselementdetails.aspx?termid=28059")</f>
        <v>https://ceds.ed.gov/cedselementdetails.aspx?termid=28059</v>
      </c>
      <c r="Q2058" s="16">
        <v>76226</v>
      </c>
    </row>
    <row r="2059" spans="1:17" ht="100.8" x14ac:dyDescent="0.3">
      <c r="A2059" s="16" t="s">
        <v>7665</v>
      </c>
      <c r="B2059" s="16" t="s">
        <v>7680</v>
      </c>
      <c r="C2059" s="16" t="s">
        <v>9412</v>
      </c>
      <c r="D2059" s="16" t="s">
        <v>7597</v>
      </c>
      <c r="E2059" s="16" t="s">
        <v>9143</v>
      </c>
      <c r="F2059" s="16" t="s">
        <v>9144</v>
      </c>
      <c r="G2059" s="16" t="s">
        <v>32</v>
      </c>
      <c r="H2059" s="16"/>
      <c r="I2059" s="16"/>
      <c r="J2059" s="16" t="s">
        <v>120</v>
      </c>
      <c r="K2059" s="16"/>
      <c r="L2059" s="16" t="s">
        <v>9089</v>
      </c>
      <c r="M2059" s="19" t="s">
        <v>9145</v>
      </c>
      <c r="N2059" s="16"/>
      <c r="O2059" s="16" t="s">
        <v>9146</v>
      </c>
      <c r="P2059" s="16" t="str">
        <f>HYPERLINK("https://ceds.ed.gov/cedselementdetails.aspx?termid=28060")</f>
        <v>https://ceds.ed.gov/cedselementdetails.aspx?termid=28060</v>
      </c>
      <c r="Q2059" s="16">
        <v>76227</v>
      </c>
    </row>
    <row r="2060" spans="1:17" ht="129.6" x14ac:dyDescent="0.3">
      <c r="A2060" s="16" t="s">
        <v>7665</v>
      </c>
      <c r="B2060" s="16" t="s">
        <v>7680</v>
      </c>
      <c r="C2060" s="16" t="s">
        <v>9412</v>
      </c>
      <c r="D2060" s="16" t="s">
        <v>7597</v>
      </c>
      <c r="E2060" s="16" t="s">
        <v>9147</v>
      </c>
      <c r="F2060" s="16" t="s">
        <v>9148</v>
      </c>
      <c r="G2060" s="16" t="s">
        <v>9302</v>
      </c>
      <c r="H2060" s="16"/>
      <c r="I2060" s="16"/>
      <c r="J2060" s="16" t="s">
        <v>2</v>
      </c>
      <c r="K2060" s="16"/>
      <c r="L2060" s="16" t="s">
        <v>9089</v>
      </c>
      <c r="M2060" s="19" t="s">
        <v>9149</v>
      </c>
      <c r="N2060" s="16"/>
      <c r="O2060" s="16" t="s">
        <v>9150</v>
      </c>
      <c r="P2060" s="16" t="str">
        <f>HYPERLINK("https://ceds.ed.gov/cedselementdetails.aspx?termid=28061")</f>
        <v>https://ceds.ed.gov/cedselementdetails.aspx?termid=28061</v>
      </c>
      <c r="Q2060" s="16">
        <v>76228</v>
      </c>
    </row>
    <row r="2061" spans="1:17" ht="115.2" x14ac:dyDescent="0.3">
      <c r="A2061" s="16" t="s">
        <v>7665</v>
      </c>
      <c r="B2061" s="16" t="s">
        <v>7680</v>
      </c>
      <c r="C2061" s="16" t="s">
        <v>9412</v>
      </c>
      <c r="D2061" s="16" t="s">
        <v>7597</v>
      </c>
      <c r="E2061" s="16" t="s">
        <v>9151</v>
      </c>
      <c r="F2061" s="16" t="s">
        <v>9152</v>
      </c>
      <c r="G2061" s="16" t="s">
        <v>9303</v>
      </c>
      <c r="H2061" s="16"/>
      <c r="I2061" s="16"/>
      <c r="J2061" s="16" t="s">
        <v>2</v>
      </c>
      <c r="K2061" s="16"/>
      <c r="L2061" s="16" t="s">
        <v>9089</v>
      </c>
      <c r="M2061" s="19" t="s">
        <v>9153</v>
      </c>
      <c r="N2061" s="16"/>
      <c r="O2061" s="16" t="s">
        <v>9154</v>
      </c>
      <c r="P2061" s="16" t="str">
        <f>HYPERLINK("https://ceds.ed.gov/cedselementdetails.aspx?termid=28062")</f>
        <v>https://ceds.ed.gov/cedselementdetails.aspx?termid=28062</v>
      </c>
      <c r="Q2061" s="16">
        <v>76229</v>
      </c>
    </row>
    <row r="2062" spans="1:17" ht="100.8" x14ac:dyDescent="0.3">
      <c r="A2062" s="16" t="s">
        <v>7665</v>
      </c>
      <c r="B2062" s="16" t="s">
        <v>7680</v>
      </c>
      <c r="C2062" s="16" t="s">
        <v>9412</v>
      </c>
      <c r="D2062" s="16" t="s">
        <v>7597</v>
      </c>
      <c r="E2062" s="16" t="s">
        <v>9155</v>
      </c>
      <c r="F2062" s="16" t="s">
        <v>9156</v>
      </c>
      <c r="G2062" s="16" t="s">
        <v>32</v>
      </c>
      <c r="H2062" s="16"/>
      <c r="I2062" s="16"/>
      <c r="J2062" s="16" t="s">
        <v>120</v>
      </c>
      <c r="K2062" s="16"/>
      <c r="L2062" s="16" t="s">
        <v>9089</v>
      </c>
      <c r="M2062" s="19" t="s">
        <v>9157</v>
      </c>
      <c r="N2062" s="16"/>
      <c r="O2062" s="16" t="s">
        <v>9158</v>
      </c>
      <c r="P2062" s="16" t="str">
        <f>HYPERLINK("https://ceds.ed.gov/cedselementdetails.aspx?termid=28063")</f>
        <v>https://ceds.ed.gov/cedselementdetails.aspx?termid=28063</v>
      </c>
      <c r="Q2062" s="16">
        <v>76230</v>
      </c>
    </row>
    <row r="2063" spans="1:17" ht="100.8" x14ac:dyDescent="0.3">
      <c r="A2063" s="16" t="s">
        <v>7665</v>
      </c>
      <c r="B2063" s="16" t="s">
        <v>7680</v>
      </c>
      <c r="C2063" s="16" t="s">
        <v>9412</v>
      </c>
      <c r="D2063" s="16" t="s">
        <v>7597</v>
      </c>
      <c r="E2063" s="16" t="s">
        <v>9159</v>
      </c>
      <c r="F2063" s="16" t="s">
        <v>9160</v>
      </c>
      <c r="G2063" s="16" t="s">
        <v>32</v>
      </c>
      <c r="H2063" s="16"/>
      <c r="I2063" s="16"/>
      <c r="J2063" s="16" t="s">
        <v>120</v>
      </c>
      <c r="K2063" s="16"/>
      <c r="L2063" s="16" t="s">
        <v>9089</v>
      </c>
      <c r="M2063" s="19" t="s">
        <v>9161</v>
      </c>
      <c r="N2063" s="16"/>
      <c r="O2063" s="16" t="s">
        <v>9162</v>
      </c>
      <c r="P2063" s="16" t="str">
        <f>HYPERLINK("https://ceds.ed.gov/cedselementdetails.aspx?termid=28064")</f>
        <v>https://ceds.ed.gov/cedselementdetails.aspx?termid=28064</v>
      </c>
      <c r="Q2063" s="16">
        <v>76231</v>
      </c>
    </row>
    <row r="2064" spans="1:17" ht="100.8" x14ac:dyDescent="0.3">
      <c r="A2064" s="16" t="s">
        <v>7665</v>
      </c>
      <c r="B2064" s="16" t="s">
        <v>7680</v>
      </c>
      <c r="C2064" s="16" t="s">
        <v>9412</v>
      </c>
      <c r="D2064" s="16" t="s">
        <v>7597</v>
      </c>
      <c r="E2064" s="16" t="s">
        <v>9163</v>
      </c>
      <c r="F2064" s="16" t="s">
        <v>9164</v>
      </c>
      <c r="G2064" s="16" t="s">
        <v>32</v>
      </c>
      <c r="H2064" s="16"/>
      <c r="I2064" s="16"/>
      <c r="J2064" s="16" t="s">
        <v>34</v>
      </c>
      <c r="K2064" s="16"/>
      <c r="L2064" s="16" t="s">
        <v>9089</v>
      </c>
      <c r="M2064" s="19" t="s">
        <v>9165</v>
      </c>
      <c r="N2064" s="16"/>
      <c r="O2064" s="16" t="s">
        <v>9166</v>
      </c>
      <c r="P2064" s="16" t="str">
        <f>HYPERLINK("https://ceds.ed.gov/cedselementdetails.aspx?termid=28065")</f>
        <v>https://ceds.ed.gov/cedselementdetails.aspx?termid=28065</v>
      </c>
      <c r="Q2064" s="16">
        <v>76232</v>
      </c>
    </row>
    <row r="2065" spans="1:17" ht="100.8" x14ac:dyDescent="0.3">
      <c r="A2065" s="16" t="s">
        <v>7665</v>
      </c>
      <c r="B2065" s="16" t="s">
        <v>7680</v>
      </c>
      <c r="C2065" s="16" t="s">
        <v>9412</v>
      </c>
      <c r="D2065" s="16" t="s">
        <v>7597</v>
      </c>
      <c r="E2065" s="16" t="s">
        <v>9167</v>
      </c>
      <c r="F2065" s="16" t="s">
        <v>9168</v>
      </c>
      <c r="G2065" s="16" t="s">
        <v>32</v>
      </c>
      <c r="H2065" s="16"/>
      <c r="I2065" s="16"/>
      <c r="J2065" s="16" t="s">
        <v>120</v>
      </c>
      <c r="K2065" s="16"/>
      <c r="L2065" s="16" t="s">
        <v>9089</v>
      </c>
      <c r="M2065" s="19" t="s">
        <v>9169</v>
      </c>
      <c r="N2065" s="16"/>
      <c r="O2065" s="16" t="s">
        <v>9170</v>
      </c>
      <c r="P2065" s="16" t="str">
        <f>HYPERLINK("https://ceds.ed.gov/cedselementdetails.aspx?termid=28066")</f>
        <v>https://ceds.ed.gov/cedselementdetails.aspx?termid=28066</v>
      </c>
      <c r="Q2065" s="16">
        <v>76233</v>
      </c>
    </row>
    <row r="2066" spans="1:17" ht="259.2" x14ac:dyDescent="0.3">
      <c r="A2066" s="16" t="s">
        <v>7665</v>
      </c>
      <c r="B2066" s="16" t="s">
        <v>7680</v>
      </c>
      <c r="C2066" s="16" t="s">
        <v>9412</v>
      </c>
      <c r="D2066" s="16" t="s">
        <v>7597</v>
      </c>
      <c r="E2066" s="16" t="s">
        <v>9171</v>
      </c>
      <c r="F2066" s="16" t="s">
        <v>9172</v>
      </c>
      <c r="G2066" s="16" t="s">
        <v>32</v>
      </c>
      <c r="H2066" s="16"/>
      <c r="I2066" s="16"/>
      <c r="J2066" s="16" t="s">
        <v>9103</v>
      </c>
      <c r="K2066" s="16"/>
      <c r="L2066" s="16" t="s">
        <v>9173</v>
      </c>
      <c r="M2066" s="19" t="s">
        <v>9174</v>
      </c>
      <c r="N2066" s="16"/>
      <c r="O2066" s="16" t="s">
        <v>9175</v>
      </c>
      <c r="P2066" s="16" t="str">
        <f>HYPERLINK("https://ceds.ed.gov/cedselementdetails.aspx?termid=28067")</f>
        <v>https://ceds.ed.gov/cedselementdetails.aspx?termid=28067</v>
      </c>
      <c r="Q2066" s="16">
        <v>76234</v>
      </c>
    </row>
    <row r="2067" spans="1:17" ht="100.8" x14ac:dyDescent="0.3">
      <c r="A2067" s="16" t="s">
        <v>7665</v>
      </c>
      <c r="B2067" s="16" t="s">
        <v>7680</v>
      </c>
      <c r="C2067" s="16" t="s">
        <v>9412</v>
      </c>
      <c r="D2067" s="16" t="s">
        <v>7597</v>
      </c>
      <c r="E2067" s="16" t="s">
        <v>9176</v>
      </c>
      <c r="F2067" s="16" t="s">
        <v>9177</v>
      </c>
      <c r="G2067" s="16" t="s">
        <v>32</v>
      </c>
      <c r="H2067" s="16"/>
      <c r="I2067" s="16"/>
      <c r="J2067" s="16" t="s">
        <v>34</v>
      </c>
      <c r="K2067" s="16"/>
      <c r="L2067" s="16" t="s">
        <v>9089</v>
      </c>
      <c r="M2067" s="19" t="s">
        <v>9178</v>
      </c>
      <c r="N2067" s="16"/>
      <c r="O2067" s="16" t="s">
        <v>9179</v>
      </c>
      <c r="P2067" s="16" t="str">
        <f>HYPERLINK("https://ceds.ed.gov/cedselementdetails.aspx?termid=28068")</f>
        <v>https://ceds.ed.gov/cedselementdetails.aspx?termid=28068</v>
      </c>
      <c r="Q2067" s="16">
        <v>76235</v>
      </c>
    </row>
    <row r="2068" spans="1:17" ht="100.8" x14ac:dyDescent="0.3">
      <c r="A2068" s="16" t="s">
        <v>7665</v>
      </c>
      <c r="B2068" s="16" t="s">
        <v>7680</v>
      </c>
      <c r="C2068" s="16" t="s">
        <v>9412</v>
      </c>
      <c r="D2068" s="16" t="s">
        <v>7597</v>
      </c>
      <c r="E2068" s="16" t="s">
        <v>9180</v>
      </c>
      <c r="F2068" s="16" t="s">
        <v>9181</v>
      </c>
      <c r="G2068" s="16" t="s">
        <v>32</v>
      </c>
      <c r="H2068" s="16"/>
      <c r="I2068" s="16"/>
      <c r="J2068" s="16" t="s">
        <v>316</v>
      </c>
      <c r="K2068" s="16"/>
      <c r="L2068" s="16" t="s">
        <v>9089</v>
      </c>
      <c r="M2068" s="19" t="s">
        <v>9182</v>
      </c>
      <c r="N2068" s="16"/>
      <c r="O2068" s="16" t="s">
        <v>9183</v>
      </c>
      <c r="P2068" s="16" t="str">
        <f>HYPERLINK("https://ceds.ed.gov/cedselementdetails.aspx?termid=28069")</f>
        <v>https://ceds.ed.gov/cedselementdetails.aspx?termid=28069</v>
      </c>
      <c r="Q2068" s="16">
        <v>76236</v>
      </c>
    </row>
    <row r="2069" spans="1:17" ht="100.8" x14ac:dyDescent="0.3">
      <c r="A2069" s="16" t="s">
        <v>7665</v>
      </c>
      <c r="B2069" s="16" t="s">
        <v>7680</v>
      </c>
      <c r="C2069" s="16" t="s">
        <v>9412</v>
      </c>
      <c r="D2069" s="16" t="s">
        <v>7597</v>
      </c>
      <c r="E2069" s="16" t="s">
        <v>9184</v>
      </c>
      <c r="F2069" s="16" t="s">
        <v>9185</v>
      </c>
      <c r="G2069" s="16" t="s">
        <v>32</v>
      </c>
      <c r="H2069" s="16"/>
      <c r="I2069" s="16"/>
      <c r="J2069" s="16" t="s">
        <v>120</v>
      </c>
      <c r="K2069" s="16"/>
      <c r="L2069" s="16" t="s">
        <v>9186</v>
      </c>
      <c r="M2069" s="19" t="s">
        <v>9187</v>
      </c>
      <c r="N2069" s="16"/>
      <c r="O2069" s="16" t="s">
        <v>9188</v>
      </c>
      <c r="P2069" s="16" t="str">
        <f>HYPERLINK("https://ceds.ed.gov/cedselementdetails.aspx?termid=28070")</f>
        <v>https://ceds.ed.gov/cedselementdetails.aspx?termid=28070</v>
      </c>
      <c r="Q2069" s="16">
        <v>76237</v>
      </c>
    </row>
    <row r="2070" spans="1:17" ht="57.6" x14ac:dyDescent="0.3">
      <c r="A2070" s="16" t="s">
        <v>7665</v>
      </c>
      <c r="B2070" s="16" t="s">
        <v>7680</v>
      </c>
      <c r="C2070" s="16" t="s">
        <v>9412</v>
      </c>
      <c r="D2070" s="16" t="s">
        <v>7597</v>
      </c>
      <c r="E2070" s="16" t="s">
        <v>9320</v>
      </c>
      <c r="F2070" s="16" t="s">
        <v>9321</v>
      </c>
      <c r="G2070" s="16" t="s">
        <v>8730</v>
      </c>
      <c r="H2070" s="16"/>
      <c r="I2070" s="16"/>
      <c r="J2070" s="16"/>
      <c r="K2070" s="16"/>
      <c r="L2070" s="16"/>
      <c r="M2070" s="19" t="s">
        <v>5406</v>
      </c>
      <c r="N2070" s="16"/>
      <c r="O2070" s="16" t="s">
        <v>9322</v>
      </c>
      <c r="P2070" s="16" t="str">
        <f>HYPERLINK("https://ceds.ed.gov/cedselementdetails.aspx?termid=27557")</f>
        <v>https://ceds.ed.gov/cedselementdetails.aspx?termid=27557</v>
      </c>
      <c r="Q2070" s="16">
        <v>76238</v>
      </c>
    </row>
    <row r="2071" spans="1:17" ht="100.8" x14ac:dyDescent="0.3">
      <c r="A2071" s="16" t="s">
        <v>7665</v>
      </c>
      <c r="B2071" s="16" t="s">
        <v>7680</v>
      </c>
      <c r="C2071" s="16" t="s">
        <v>9412</v>
      </c>
      <c r="D2071" s="16" t="s">
        <v>7597</v>
      </c>
      <c r="E2071" s="16" t="s">
        <v>9193</v>
      </c>
      <c r="F2071" s="16" t="s">
        <v>9194</v>
      </c>
      <c r="G2071" s="16" t="s">
        <v>2987</v>
      </c>
      <c r="H2071" s="16"/>
      <c r="I2071" s="16"/>
      <c r="J2071" s="16" t="s">
        <v>2</v>
      </c>
      <c r="K2071" s="16"/>
      <c r="L2071" s="16" t="s">
        <v>9089</v>
      </c>
      <c r="M2071" s="19" t="s">
        <v>9195</v>
      </c>
      <c r="N2071" s="16"/>
      <c r="O2071" s="16" t="s">
        <v>9196</v>
      </c>
      <c r="P2071" s="16" t="str">
        <f>HYPERLINK("https://ceds.ed.gov/cedselementdetails.aspx?termid=28072")</f>
        <v>https://ceds.ed.gov/cedselementdetails.aspx?termid=28072</v>
      </c>
      <c r="Q2071" s="16">
        <v>76239</v>
      </c>
    </row>
    <row r="2072" spans="1:17" ht="100.8" x14ac:dyDescent="0.3">
      <c r="A2072" s="16" t="s">
        <v>7665</v>
      </c>
      <c r="B2072" s="16" t="s">
        <v>7680</v>
      </c>
      <c r="C2072" s="16" t="s">
        <v>9416</v>
      </c>
      <c r="D2072" s="16" t="s">
        <v>7597</v>
      </c>
      <c r="E2072" s="16" t="s">
        <v>9267</v>
      </c>
      <c r="F2072" s="16" t="s">
        <v>9268</v>
      </c>
      <c r="G2072" s="16" t="s">
        <v>9309</v>
      </c>
      <c r="H2072" s="16"/>
      <c r="I2072" s="16"/>
      <c r="J2072" s="16" t="s">
        <v>2</v>
      </c>
      <c r="K2072" s="16"/>
      <c r="L2072" s="16"/>
      <c r="M2072" s="19" t="s">
        <v>9269</v>
      </c>
      <c r="N2072" s="16"/>
      <c r="O2072" s="16" t="s">
        <v>9270</v>
      </c>
      <c r="P2072" s="16" t="str">
        <f>HYPERLINK("https://ceds.ed.gov/cedselementdetails.aspx?termid=28091")</f>
        <v>https://ceds.ed.gov/cedselementdetails.aspx?termid=28091</v>
      </c>
      <c r="Q2072" s="16">
        <v>76242</v>
      </c>
    </row>
    <row r="2073" spans="1:17" ht="72" x14ac:dyDescent="0.3">
      <c r="A2073" s="16" t="s">
        <v>7665</v>
      </c>
      <c r="B2073" s="16" t="s">
        <v>7680</v>
      </c>
      <c r="C2073" s="16" t="s">
        <v>9416</v>
      </c>
      <c r="D2073" s="16" t="s">
        <v>7597</v>
      </c>
      <c r="E2073" s="16" t="s">
        <v>9271</v>
      </c>
      <c r="F2073" s="16" t="s">
        <v>9272</v>
      </c>
      <c r="G2073" s="16" t="s">
        <v>9310</v>
      </c>
      <c r="H2073" s="16"/>
      <c r="I2073" s="16"/>
      <c r="J2073" s="16" t="s">
        <v>2</v>
      </c>
      <c r="K2073" s="16"/>
      <c r="L2073" s="16"/>
      <c r="M2073" s="19" t="s">
        <v>9273</v>
      </c>
      <c r="N2073" s="16"/>
      <c r="O2073" s="16" t="s">
        <v>9274</v>
      </c>
      <c r="P2073" s="16" t="str">
        <f>HYPERLINK("https://ceds.ed.gov/cedselementdetails.aspx?termid=28092")</f>
        <v>https://ceds.ed.gov/cedselementdetails.aspx?termid=28092</v>
      </c>
      <c r="Q2073" s="16">
        <v>76243</v>
      </c>
    </row>
    <row r="2074" spans="1:17" ht="100.8" x14ac:dyDescent="0.3">
      <c r="A2074" s="16" t="s">
        <v>7665</v>
      </c>
      <c r="B2074" s="16" t="s">
        <v>7680</v>
      </c>
      <c r="C2074" s="16" t="s">
        <v>9416</v>
      </c>
      <c r="D2074" s="16" t="s">
        <v>7597</v>
      </c>
      <c r="E2074" s="16" t="s">
        <v>9275</v>
      </c>
      <c r="F2074" s="16" t="s">
        <v>9276</v>
      </c>
      <c r="G2074" s="16" t="s">
        <v>9311</v>
      </c>
      <c r="H2074" s="16"/>
      <c r="I2074" s="16"/>
      <c r="J2074" s="16" t="s">
        <v>2</v>
      </c>
      <c r="K2074" s="16"/>
      <c r="L2074" s="16"/>
      <c r="M2074" s="19" t="s">
        <v>9277</v>
      </c>
      <c r="N2074" s="16"/>
      <c r="O2074" s="16" t="s">
        <v>9278</v>
      </c>
      <c r="P2074" s="16" t="str">
        <f>HYPERLINK("https://ceds.ed.gov/cedselementdetails.aspx?termid=28093")</f>
        <v>https://ceds.ed.gov/cedselementdetails.aspx?termid=28093</v>
      </c>
      <c r="Q2074" s="16">
        <v>76244</v>
      </c>
    </row>
    <row r="2075" spans="1:17" ht="158.4" x14ac:dyDescent="0.3">
      <c r="A2075" s="16" t="s">
        <v>7665</v>
      </c>
      <c r="B2075" s="16" t="s">
        <v>7654</v>
      </c>
      <c r="C2075" s="16" t="s">
        <v>7625</v>
      </c>
      <c r="D2075" s="16" t="s">
        <v>7597</v>
      </c>
      <c r="E2075" s="16" t="s">
        <v>3990</v>
      </c>
      <c r="F2075" s="16" t="s">
        <v>3991</v>
      </c>
      <c r="G2075" s="16" t="s">
        <v>32</v>
      </c>
      <c r="H2075" s="16" t="s">
        <v>3994</v>
      </c>
      <c r="I2075" s="16"/>
      <c r="J2075" s="16" t="s">
        <v>7426</v>
      </c>
      <c r="K2075" s="16"/>
      <c r="L2075" s="16" t="s">
        <v>8047</v>
      </c>
      <c r="M2075" s="19" t="s">
        <v>3992</v>
      </c>
      <c r="N2075" s="16"/>
      <c r="O2075" s="16" t="s">
        <v>3993</v>
      </c>
      <c r="P2075" s="16" t="str">
        <f>HYPERLINK("https://ceds.ed.gov/cedselementdetails.aspx?termid=26115")</f>
        <v>https://ceds.ed.gov/cedselementdetails.aspx?termid=26115</v>
      </c>
      <c r="Q2075" s="16">
        <v>71244</v>
      </c>
    </row>
    <row r="2076" spans="1:17" ht="158.4" x14ac:dyDescent="0.3">
      <c r="A2076" s="16" t="s">
        <v>7665</v>
      </c>
      <c r="B2076" s="16" t="s">
        <v>7654</v>
      </c>
      <c r="C2076" s="16" t="s">
        <v>7625</v>
      </c>
      <c r="D2076" s="16" t="s">
        <v>7597</v>
      </c>
      <c r="E2076" s="16" t="s">
        <v>5328</v>
      </c>
      <c r="F2076" s="16" t="s">
        <v>5329</v>
      </c>
      <c r="G2076" s="16" t="s">
        <v>32</v>
      </c>
      <c r="H2076" s="16" t="s">
        <v>3994</v>
      </c>
      <c r="I2076" s="16"/>
      <c r="J2076" s="16" t="s">
        <v>7426</v>
      </c>
      <c r="K2076" s="16"/>
      <c r="L2076" s="16" t="s">
        <v>8053</v>
      </c>
      <c r="M2076" s="19" t="s">
        <v>5330</v>
      </c>
      <c r="N2076" s="16"/>
      <c r="O2076" s="16" t="s">
        <v>5331</v>
      </c>
      <c r="P2076" s="16" t="str">
        <f>HYPERLINK("https://ceds.ed.gov/cedselementdetails.aspx?termid=26184")</f>
        <v>https://ceds.ed.gov/cedselementdetails.aspx?termid=26184</v>
      </c>
      <c r="Q2076" s="16">
        <v>71247</v>
      </c>
    </row>
    <row r="2077" spans="1:17" ht="158.4" x14ac:dyDescent="0.3">
      <c r="A2077" s="16" t="s">
        <v>7665</v>
      </c>
      <c r="B2077" s="16" t="s">
        <v>7654</v>
      </c>
      <c r="C2077" s="16" t="s">
        <v>7625</v>
      </c>
      <c r="D2077" s="16" t="s">
        <v>7597</v>
      </c>
      <c r="E2077" s="16" t="s">
        <v>4893</v>
      </c>
      <c r="F2077" s="16" t="s">
        <v>4894</v>
      </c>
      <c r="G2077" s="16" t="s">
        <v>32</v>
      </c>
      <c r="H2077" s="16" t="s">
        <v>3994</v>
      </c>
      <c r="I2077" s="16"/>
      <c r="J2077" s="16" t="s">
        <v>7426</v>
      </c>
      <c r="K2077" s="16"/>
      <c r="L2077" s="16" t="s">
        <v>8053</v>
      </c>
      <c r="M2077" s="19" t="s">
        <v>4895</v>
      </c>
      <c r="N2077" s="16" t="s">
        <v>4896</v>
      </c>
      <c r="O2077" s="16" t="s">
        <v>4897</v>
      </c>
      <c r="P2077" s="16" t="str">
        <f>HYPERLINK("https://ceds.ed.gov/cedselementdetails.aspx?termid=26172")</f>
        <v>https://ceds.ed.gov/cedselementdetails.aspx?termid=26172</v>
      </c>
      <c r="Q2077" s="16">
        <v>71246</v>
      </c>
    </row>
    <row r="2078" spans="1:17" ht="129.6" x14ac:dyDescent="0.3">
      <c r="A2078" s="16" t="s">
        <v>7665</v>
      </c>
      <c r="B2078" s="16" t="s">
        <v>7654</v>
      </c>
      <c r="C2078" s="16" t="s">
        <v>7625</v>
      </c>
      <c r="D2078" s="16" t="s">
        <v>7597</v>
      </c>
      <c r="E2078" s="16" t="s">
        <v>4054</v>
      </c>
      <c r="F2078" s="16" t="s">
        <v>4055</v>
      </c>
      <c r="G2078" s="16" t="s">
        <v>32</v>
      </c>
      <c r="H2078" s="16" t="s">
        <v>4059</v>
      </c>
      <c r="I2078" s="16"/>
      <c r="J2078" s="16" t="s">
        <v>2697</v>
      </c>
      <c r="K2078" s="16"/>
      <c r="L2078" s="16" t="s">
        <v>8053</v>
      </c>
      <c r="M2078" s="19" t="s">
        <v>4057</v>
      </c>
      <c r="N2078" s="16"/>
      <c r="O2078" s="16" t="s">
        <v>4058</v>
      </c>
      <c r="P2078" s="16" t="str">
        <f>HYPERLINK("https://ceds.ed.gov/cedselementdetails.aspx?termid=26121")</f>
        <v>https://ceds.ed.gov/cedselementdetails.aspx?termid=26121</v>
      </c>
      <c r="Q2078" s="16">
        <v>71245</v>
      </c>
    </row>
    <row r="2079" spans="1:17" ht="86.4" x14ac:dyDescent="0.3">
      <c r="A2079" s="16" t="s">
        <v>7665</v>
      </c>
      <c r="B2079" s="16" t="s">
        <v>7654</v>
      </c>
      <c r="C2079" s="16" t="s">
        <v>7625</v>
      </c>
      <c r="D2079" s="16" t="s">
        <v>7597</v>
      </c>
      <c r="E2079" s="16" t="s">
        <v>5760</v>
      </c>
      <c r="F2079" s="16" t="s">
        <v>5761</v>
      </c>
      <c r="G2079" s="16" t="s">
        <v>32</v>
      </c>
      <c r="H2079" s="16" t="s">
        <v>5765</v>
      </c>
      <c r="I2079" s="16"/>
      <c r="J2079" s="16" t="s">
        <v>81</v>
      </c>
      <c r="K2079" s="16"/>
      <c r="L2079" s="16"/>
      <c r="M2079" s="19" t="s">
        <v>5762</v>
      </c>
      <c r="N2079" s="16" t="s">
        <v>5763</v>
      </c>
      <c r="O2079" s="16" t="s">
        <v>5764</v>
      </c>
      <c r="P2079" s="16" t="str">
        <f>HYPERLINK("https://ceds.ed.gov/cedselementdetails.aspx?termid=26212")</f>
        <v>https://ceds.ed.gov/cedselementdetails.aspx?termid=26212</v>
      </c>
      <c r="Q2079" s="16">
        <v>71248</v>
      </c>
    </row>
    <row r="2080" spans="1:17" ht="28.8" x14ac:dyDescent="0.3">
      <c r="A2080" s="16" t="s">
        <v>7665</v>
      </c>
      <c r="B2080" s="16" t="s">
        <v>7654</v>
      </c>
      <c r="C2080" s="16" t="s">
        <v>7626</v>
      </c>
      <c r="D2080" s="16" t="s">
        <v>7597</v>
      </c>
      <c r="E2080" s="16" t="s">
        <v>5631</v>
      </c>
      <c r="F2080" s="16" t="s">
        <v>5632</v>
      </c>
      <c r="G2080" s="16" t="s">
        <v>32</v>
      </c>
      <c r="H2080" s="16"/>
      <c r="I2080" s="16"/>
      <c r="J2080" s="16" t="s">
        <v>1266</v>
      </c>
      <c r="K2080" s="16"/>
      <c r="L2080" s="16" t="s">
        <v>5633</v>
      </c>
      <c r="M2080" s="19" t="s">
        <v>5634</v>
      </c>
      <c r="N2080" s="16"/>
      <c r="O2080" s="16" t="s">
        <v>5635</v>
      </c>
      <c r="P2080" s="16" t="str">
        <f>HYPERLINK("https://ceds.ed.gov/cedselementdetails.aspx?termid=27486")</f>
        <v>https://ceds.ed.gov/cedselementdetails.aspx?termid=27486</v>
      </c>
      <c r="Q2080" s="16">
        <v>73631</v>
      </c>
    </row>
    <row r="2081" spans="1:17" ht="28.8" x14ac:dyDescent="0.3">
      <c r="A2081" s="16" t="s">
        <v>7665</v>
      </c>
      <c r="B2081" s="16" t="s">
        <v>7654</v>
      </c>
      <c r="C2081" s="16" t="s">
        <v>7626</v>
      </c>
      <c r="D2081" s="16" t="s">
        <v>7597</v>
      </c>
      <c r="E2081" s="16" t="s">
        <v>5641</v>
      </c>
      <c r="F2081" s="16" t="s">
        <v>5642</v>
      </c>
      <c r="G2081" s="16" t="s">
        <v>32</v>
      </c>
      <c r="H2081" s="16"/>
      <c r="I2081" s="16"/>
      <c r="J2081" s="16" t="s">
        <v>1266</v>
      </c>
      <c r="K2081" s="16"/>
      <c r="L2081" s="16" t="s">
        <v>5643</v>
      </c>
      <c r="M2081" s="19" t="s">
        <v>5644</v>
      </c>
      <c r="N2081" s="16"/>
      <c r="O2081" s="16" t="s">
        <v>5645</v>
      </c>
      <c r="P2081" s="16" t="str">
        <f>HYPERLINK("https://ceds.ed.gov/cedselementdetails.aspx?termid=27487")</f>
        <v>https://ceds.ed.gov/cedselementdetails.aspx?termid=27487</v>
      </c>
      <c r="Q2081" s="16">
        <v>73647</v>
      </c>
    </row>
    <row r="2082" spans="1:17" ht="28.8" x14ac:dyDescent="0.3">
      <c r="A2082" s="16" t="s">
        <v>7665</v>
      </c>
      <c r="B2082" s="16" t="s">
        <v>7654</v>
      </c>
      <c r="C2082" s="16" t="s">
        <v>7626</v>
      </c>
      <c r="D2082" s="16" t="s">
        <v>7597</v>
      </c>
      <c r="E2082" s="16" t="s">
        <v>5636</v>
      </c>
      <c r="F2082" s="16" t="s">
        <v>5637</v>
      </c>
      <c r="G2082" s="16" t="s">
        <v>32</v>
      </c>
      <c r="H2082" s="16"/>
      <c r="I2082" s="16"/>
      <c r="J2082" s="16" t="s">
        <v>1266</v>
      </c>
      <c r="K2082" s="16"/>
      <c r="L2082" s="16" t="s">
        <v>5638</v>
      </c>
      <c r="M2082" s="19" t="s">
        <v>5639</v>
      </c>
      <c r="N2082" s="16"/>
      <c r="O2082" s="16" t="s">
        <v>5640</v>
      </c>
      <c r="P2082" s="16" t="str">
        <f>HYPERLINK("https://ceds.ed.gov/cedselementdetails.aspx?termid=27485")</f>
        <v>https://ceds.ed.gov/cedselementdetails.aspx?termid=27485</v>
      </c>
      <c r="Q2082" s="16">
        <v>73615</v>
      </c>
    </row>
    <row r="2083" spans="1:17" ht="129.6" x14ac:dyDescent="0.3">
      <c r="A2083" s="16" t="s">
        <v>7665</v>
      </c>
      <c r="B2083" s="16" t="s">
        <v>7654</v>
      </c>
      <c r="C2083" s="16" t="s">
        <v>7626</v>
      </c>
      <c r="D2083" s="16" t="s">
        <v>7597</v>
      </c>
      <c r="E2083" s="16" t="s">
        <v>5646</v>
      </c>
      <c r="F2083" s="16" t="s">
        <v>5647</v>
      </c>
      <c r="G2083" s="16" t="s">
        <v>32</v>
      </c>
      <c r="H2083" s="16" t="s">
        <v>4059</v>
      </c>
      <c r="I2083" s="16"/>
      <c r="J2083" s="16" t="s">
        <v>120</v>
      </c>
      <c r="K2083" s="16"/>
      <c r="L2083" s="16"/>
      <c r="M2083" s="19" t="s">
        <v>5648</v>
      </c>
      <c r="N2083" s="16"/>
      <c r="O2083" s="16" t="s">
        <v>5649</v>
      </c>
      <c r="P2083" s="16" t="str">
        <f>HYPERLINK("https://ceds.ed.gov/cedselementdetails.aspx?termid=26206")</f>
        <v>https://ceds.ed.gov/cedselementdetails.aspx?termid=26206</v>
      </c>
      <c r="Q2083" s="16">
        <v>71999</v>
      </c>
    </row>
    <row r="2084" spans="1:17" ht="115.2" x14ac:dyDescent="0.3">
      <c r="A2084" s="16" t="s">
        <v>7665</v>
      </c>
      <c r="B2084" s="16" t="s">
        <v>7654</v>
      </c>
      <c r="C2084" s="16" t="s">
        <v>7626</v>
      </c>
      <c r="D2084" s="16" t="s">
        <v>7597</v>
      </c>
      <c r="E2084" s="16" t="s">
        <v>5650</v>
      </c>
      <c r="F2084" s="16" t="s">
        <v>5651</v>
      </c>
      <c r="G2084" s="16" t="s">
        <v>8746</v>
      </c>
      <c r="H2084" s="16" t="s">
        <v>5654</v>
      </c>
      <c r="I2084" s="16"/>
      <c r="J2084" s="16" t="s">
        <v>81</v>
      </c>
      <c r="K2084" s="16"/>
      <c r="L2084" s="16"/>
      <c r="M2084" s="19" t="s">
        <v>5652</v>
      </c>
      <c r="N2084" s="16"/>
      <c r="O2084" s="16" t="s">
        <v>5653</v>
      </c>
      <c r="P2084" s="16" t="str">
        <f>HYPERLINK("https://ceds.ed.gov/cedselementdetails.aspx?termid=26627")</f>
        <v>https://ceds.ed.gov/cedselementdetails.aspx?termid=26627</v>
      </c>
      <c r="Q2084" s="16">
        <v>72000</v>
      </c>
    </row>
    <row r="2085" spans="1:17" ht="172.8" x14ac:dyDescent="0.3">
      <c r="A2085" s="16" t="s">
        <v>7665</v>
      </c>
      <c r="B2085" s="16" t="s">
        <v>7654</v>
      </c>
      <c r="C2085" s="16" t="s">
        <v>7627</v>
      </c>
      <c r="D2085" s="16" t="s">
        <v>7597</v>
      </c>
      <c r="E2085" s="16" t="s">
        <v>5738</v>
      </c>
      <c r="F2085" s="16" t="s">
        <v>5739</v>
      </c>
      <c r="G2085" s="16" t="s">
        <v>32</v>
      </c>
      <c r="H2085" s="16"/>
      <c r="I2085" s="16"/>
      <c r="J2085" s="16" t="s">
        <v>120</v>
      </c>
      <c r="K2085" s="16"/>
      <c r="L2085" s="16" t="s">
        <v>7905</v>
      </c>
      <c r="M2085" s="19" t="s">
        <v>5740</v>
      </c>
      <c r="N2085" s="16"/>
      <c r="O2085" s="16" t="s">
        <v>5741</v>
      </c>
      <c r="P2085" s="16" t="str">
        <f>HYPERLINK("https://ceds.ed.gov/cedselementdetails.aspx?termid=27551")</f>
        <v>https://ceds.ed.gov/cedselementdetails.aspx?termid=27551</v>
      </c>
      <c r="Q2085" s="16">
        <v>74387</v>
      </c>
    </row>
    <row r="2086" spans="1:17" ht="273.60000000000002" x14ac:dyDescent="0.3">
      <c r="A2086" s="16" t="s">
        <v>7665</v>
      </c>
      <c r="B2086" s="16" t="s">
        <v>7654</v>
      </c>
      <c r="C2086" s="16" t="s">
        <v>7627</v>
      </c>
      <c r="D2086" s="16" t="s">
        <v>7597</v>
      </c>
      <c r="E2086" s="16" t="s">
        <v>5734</v>
      </c>
      <c r="F2086" s="16" t="s">
        <v>5735</v>
      </c>
      <c r="G2086" s="16" t="s">
        <v>9336</v>
      </c>
      <c r="H2086" s="16"/>
      <c r="I2086" s="16"/>
      <c r="J2086" s="16"/>
      <c r="K2086" s="16"/>
      <c r="L2086" s="16"/>
      <c r="M2086" s="19" t="s">
        <v>5736</v>
      </c>
      <c r="N2086" s="16"/>
      <c r="O2086" s="16" t="s">
        <v>5737</v>
      </c>
      <c r="P2086" s="16" t="str">
        <f>HYPERLINK("https://ceds.ed.gov/cedselementdetails.aspx?termid=27550")</f>
        <v>https://ceds.ed.gov/cedselementdetails.aspx?termid=27550</v>
      </c>
      <c r="Q2086" s="16">
        <v>74388</v>
      </c>
    </row>
    <row r="2087" spans="1:17" ht="403.2" x14ac:dyDescent="0.3">
      <c r="A2087" s="16" t="s">
        <v>7665</v>
      </c>
      <c r="B2087" s="16" t="s">
        <v>7654</v>
      </c>
      <c r="C2087" s="16" t="s">
        <v>7627</v>
      </c>
      <c r="D2087" s="16" t="s">
        <v>7597</v>
      </c>
      <c r="E2087" s="16" t="s">
        <v>5756</v>
      </c>
      <c r="F2087" s="16" t="s">
        <v>5757</v>
      </c>
      <c r="G2087" s="16" t="s">
        <v>8252</v>
      </c>
      <c r="H2087" s="16"/>
      <c r="I2087" s="16"/>
      <c r="J2087" s="16"/>
      <c r="K2087" s="16"/>
      <c r="L2087" s="16"/>
      <c r="M2087" s="19" t="s">
        <v>5758</v>
      </c>
      <c r="N2087" s="16"/>
      <c r="O2087" s="16" t="s">
        <v>5759</v>
      </c>
      <c r="P2087" s="16" t="str">
        <f>HYPERLINK("https://ceds.ed.gov/cedselementdetails.aspx?termid=26611")</f>
        <v>https://ceds.ed.gov/cedselementdetails.aspx?termid=26611</v>
      </c>
      <c r="Q2087" s="16">
        <v>72216</v>
      </c>
    </row>
    <row r="2088" spans="1:17" ht="72" x14ac:dyDescent="0.3">
      <c r="A2088" s="16" t="s">
        <v>7665</v>
      </c>
      <c r="B2088" s="16" t="s">
        <v>7654</v>
      </c>
      <c r="C2088" s="16" t="s">
        <v>7627</v>
      </c>
      <c r="D2088" s="16" t="s">
        <v>7597</v>
      </c>
      <c r="E2088" s="16" t="s">
        <v>7508</v>
      </c>
      <c r="F2088" s="16" t="s">
        <v>7509</v>
      </c>
      <c r="G2088" s="16" t="s">
        <v>8251</v>
      </c>
      <c r="H2088" s="16"/>
      <c r="I2088" s="16"/>
      <c r="J2088" s="16"/>
      <c r="K2088" s="16"/>
      <c r="L2088" s="16"/>
      <c r="M2088" s="19" t="s">
        <v>7510</v>
      </c>
      <c r="N2088" s="16"/>
      <c r="O2088" s="16" t="s">
        <v>7511</v>
      </c>
      <c r="P2088" s="16" t="str">
        <f>HYPERLINK("https://ceds.ed.gov/cedselementdetails.aspx?termid=27951")</f>
        <v>https://ceds.ed.gov/cedselementdetails.aspx?termid=27951</v>
      </c>
      <c r="Q2088" s="16">
        <v>75578</v>
      </c>
    </row>
    <row r="2089" spans="1:17" ht="172.8" x14ac:dyDescent="0.3">
      <c r="A2089" s="16" t="s">
        <v>7665</v>
      </c>
      <c r="B2089" s="16" t="s">
        <v>7654</v>
      </c>
      <c r="C2089" s="16" t="s">
        <v>7603</v>
      </c>
      <c r="D2089" s="16" t="s">
        <v>7597</v>
      </c>
      <c r="E2089" s="16" t="s">
        <v>182</v>
      </c>
      <c r="F2089" s="16" t="s">
        <v>183</v>
      </c>
      <c r="G2089" s="16" t="s">
        <v>8293</v>
      </c>
      <c r="H2089" s="16" t="s">
        <v>186</v>
      </c>
      <c r="I2089" s="16"/>
      <c r="J2089" s="16" t="s">
        <v>81</v>
      </c>
      <c r="K2089" s="16"/>
      <c r="L2089" s="16"/>
      <c r="M2089" s="19" t="s">
        <v>184</v>
      </c>
      <c r="N2089" s="16"/>
      <c r="O2089" s="16" t="s">
        <v>185</v>
      </c>
      <c r="P2089" s="16" t="str">
        <f>HYPERLINK("https://ceds.ed.gov/cedselementdetails.aspx?termid=26358")</f>
        <v>https://ceds.ed.gov/cedselementdetails.aspx?termid=26358</v>
      </c>
      <c r="Q2089" s="16">
        <v>72130</v>
      </c>
    </row>
    <row r="2090" spans="1:17" ht="187.2" x14ac:dyDescent="0.3">
      <c r="A2090" s="16" t="s">
        <v>7665</v>
      </c>
      <c r="B2090" s="16" t="s">
        <v>7654</v>
      </c>
      <c r="C2090" s="16" t="s">
        <v>7603</v>
      </c>
      <c r="D2090" s="16" t="s">
        <v>7597</v>
      </c>
      <c r="E2090" s="16" t="s">
        <v>177</v>
      </c>
      <c r="F2090" s="16" t="s">
        <v>178</v>
      </c>
      <c r="G2090" s="16" t="s">
        <v>32</v>
      </c>
      <c r="H2090" s="16" t="s">
        <v>163</v>
      </c>
      <c r="I2090" s="16"/>
      <c r="J2090" s="16" t="s">
        <v>179</v>
      </c>
      <c r="K2090" s="16"/>
      <c r="L2090" s="16"/>
      <c r="M2090" s="19" t="s">
        <v>180</v>
      </c>
      <c r="N2090" s="16"/>
      <c r="O2090" s="16" t="s">
        <v>181</v>
      </c>
      <c r="P2090" s="16" t="str">
        <f>HYPERLINK("https://ceds.ed.gov/cedselementdetails.aspx?termid=26269")</f>
        <v>https://ceds.ed.gov/cedselementdetails.aspx?termid=26269</v>
      </c>
      <c r="Q2090" s="16">
        <v>72001</v>
      </c>
    </row>
    <row r="2091" spans="1:17" ht="187.2" x14ac:dyDescent="0.3">
      <c r="A2091" s="16" t="s">
        <v>7665</v>
      </c>
      <c r="B2091" s="16" t="s">
        <v>7654</v>
      </c>
      <c r="C2091" s="16" t="s">
        <v>7603</v>
      </c>
      <c r="D2091" s="16" t="s">
        <v>7597</v>
      </c>
      <c r="E2091" s="16" t="s">
        <v>158</v>
      </c>
      <c r="F2091" s="16" t="s">
        <v>159</v>
      </c>
      <c r="G2091" s="16" t="s">
        <v>32</v>
      </c>
      <c r="H2091" s="16" t="s">
        <v>163</v>
      </c>
      <c r="I2091" s="16"/>
      <c r="J2091" s="16" t="s">
        <v>145</v>
      </c>
      <c r="K2091" s="16"/>
      <c r="L2091" s="16"/>
      <c r="M2091" s="19" t="s">
        <v>161</v>
      </c>
      <c r="N2091" s="16"/>
      <c r="O2091" s="16" t="s">
        <v>162</v>
      </c>
      <c r="P2091" s="16" t="str">
        <f>HYPERLINK("https://ceds.ed.gov/cedselementdetails.aspx?termid=26019")</f>
        <v>https://ceds.ed.gov/cedselementdetails.aspx?termid=26019</v>
      </c>
      <c r="Q2091" s="16">
        <v>72002</v>
      </c>
    </row>
    <row r="2092" spans="1:17" ht="187.2" x14ac:dyDescent="0.3">
      <c r="A2092" s="16" t="s">
        <v>7665</v>
      </c>
      <c r="B2092" s="16" t="s">
        <v>7654</v>
      </c>
      <c r="C2092" s="16" t="s">
        <v>7603</v>
      </c>
      <c r="D2092" s="16" t="s">
        <v>7597</v>
      </c>
      <c r="E2092" s="16" t="s">
        <v>164</v>
      </c>
      <c r="F2092" s="16" t="s">
        <v>165</v>
      </c>
      <c r="G2092" s="16" t="s">
        <v>32</v>
      </c>
      <c r="H2092" s="16" t="s">
        <v>163</v>
      </c>
      <c r="I2092" s="16"/>
      <c r="J2092" s="16" t="s">
        <v>81</v>
      </c>
      <c r="K2092" s="16"/>
      <c r="L2092" s="16"/>
      <c r="M2092" s="19" t="s">
        <v>166</v>
      </c>
      <c r="N2092" s="16"/>
      <c r="O2092" s="16" t="s">
        <v>167</v>
      </c>
      <c r="P2092" s="16" t="str">
        <f>HYPERLINK("https://ceds.ed.gov/cedselementdetails.aspx?termid=26040")</f>
        <v>https://ceds.ed.gov/cedselementdetails.aspx?termid=26040</v>
      </c>
      <c r="Q2092" s="16">
        <v>72003</v>
      </c>
    </row>
    <row r="2093" spans="1:17" ht="409.6" x14ac:dyDescent="0.3">
      <c r="A2093" s="16" t="s">
        <v>7665</v>
      </c>
      <c r="B2093" s="16" t="s">
        <v>7654</v>
      </c>
      <c r="C2093" s="16" t="s">
        <v>7603</v>
      </c>
      <c r="D2093" s="16" t="s">
        <v>7597</v>
      </c>
      <c r="E2093" s="16" t="s">
        <v>6840</v>
      </c>
      <c r="F2093" s="16" t="s">
        <v>6841</v>
      </c>
      <c r="G2093" s="16" t="s">
        <v>8266</v>
      </c>
      <c r="H2093" s="16" t="s">
        <v>6844</v>
      </c>
      <c r="I2093" s="16"/>
      <c r="J2093" s="16"/>
      <c r="K2093" s="16"/>
      <c r="L2093" s="16"/>
      <c r="M2093" s="19" t="s">
        <v>6842</v>
      </c>
      <c r="N2093" s="16"/>
      <c r="O2093" s="16" t="s">
        <v>6843</v>
      </c>
      <c r="P2093" s="16" t="str">
        <f>HYPERLINK("https://ceds.ed.gov/cedselementdetails.aspx?termid=26267")</f>
        <v>https://ceds.ed.gov/cedselementdetails.aspx?termid=26267</v>
      </c>
      <c r="Q2093" s="16">
        <v>72004</v>
      </c>
    </row>
    <row r="2094" spans="1:17" ht="187.2" x14ac:dyDescent="0.3">
      <c r="A2094" s="16" t="s">
        <v>7665</v>
      </c>
      <c r="B2094" s="16" t="s">
        <v>7654</v>
      </c>
      <c r="C2094" s="16" t="s">
        <v>7603</v>
      </c>
      <c r="D2094" s="16" t="s">
        <v>7597</v>
      </c>
      <c r="E2094" s="16" t="s">
        <v>172</v>
      </c>
      <c r="F2094" s="16" t="s">
        <v>173</v>
      </c>
      <c r="G2094" s="16" t="s">
        <v>32</v>
      </c>
      <c r="H2094" s="16" t="s">
        <v>163</v>
      </c>
      <c r="I2094" s="16"/>
      <c r="J2094" s="16" t="s">
        <v>174</v>
      </c>
      <c r="K2094" s="16"/>
      <c r="L2094" s="16"/>
      <c r="M2094" s="19" t="s">
        <v>175</v>
      </c>
      <c r="N2094" s="16"/>
      <c r="O2094" s="16" t="s">
        <v>176</v>
      </c>
      <c r="P2094" s="16" t="str">
        <f>HYPERLINK("https://ceds.ed.gov/cedselementdetails.aspx?termid=26214")</f>
        <v>https://ceds.ed.gov/cedselementdetails.aspx?termid=26214</v>
      </c>
      <c r="Q2094" s="16">
        <v>72005</v>
      </c>
    </row>
    <row r="2095" spans="1:17" ht="187.2" x14ac:dyDescent="0.3">
      <c r="A2095" s="16" t="s">
        <v>7665</v>
      </c>
      <c r="B2095" s="16" t="s">
        <v>7654</v>
      </c>
      <c r="C2095" s="16" t="s">
        <v>7603</v>
      </c>
      <c r="D2095" s="16" t="s">
        <v>7597</v>
      </c>
      <c r="E2095" s="16" t="s">
        <v>168</v>
      </c>
      <c r="F2095" s="16" t="s">
        <v>169</v>
      </c>
      <c r="G2095" s="16" t="s">
        <v>32</v>
      </c>
      <c r="H2095" s="16" t="s">
        <v>163</v>
      </c>
      <c r="I2095" s="16"/>
      <c r="J2095" s="16" t="s">
        <v>81</v>
      </c>
      <c r="K2095" s="16"/>
      <c r="L2095" s="16"/>
      <c r="M2095" s="19" t="s">
        <v>170</v>
      </c>
      <c r="N2095" s="16"/>
      <c r="O2095" s="16" t="s">
        <v>171</v>
      </c>
      <c r="P2095" s="16" t="str">
        <f>HYPERLINK("https://ceds.ed.gov/cedselementdetails.aspx?termid=26190")</f>
        <v>https://ceds.ed.gov/cedselementdetails.aspx?termid=26190</v>
      </c>
      <c r="Q2095" s="16">
        <v>72006</v>
      </c>
    </row>
    <row r="2096" spans="1:17" ht="409.6" x14ac:dyDescent="0.3">
      <c r="A2096" s="16" t="s">
        <v>7665</v>
      </c>
      <c r="B2096" s="16" t="s">
        <v>7654</v>
      </c>
      <c r="C2096" s="16" t="s">
        <v>7603</v>
      </c>
      <c r="D2096" s="16" t="s">
        <v>7597</v>
      </c>
      <c r="E2096" s="16" t="s">
        <v>2483</v>
      </c>
      <c r="F2096" s="16" t="s">
        <v>2484</v>
      </c>
      <c r="G2096" s="16" t="s">
        <v>8454</v>
      </c>
      <c r="H2096" s="16" t="s">
        <v>2487</v>
      </c>
      <c r="I2096" s="16"/>
      <c r="J2096" s="16"/>
      <c r="K2096" s="16"/>
      <c r="L2096" s="16" t="s">
        <v>7915</v>
      </c>
      <c r="M2096" s="19" t="s">
        <v>2485</v>
      </c>
      <c r="N2096" s="16"/>
      <c r="O2096" s="16" t="s">
        <v>2486</v>
      </c>
      <c r="P2096" s="16" t="str">
        <f>HYPERLINK("https://ceds.ed.gov/cedselementdetails.aspx?termid=26050")</f>
        <v>https://ceds.ed.gov/cedselementdetails.aspx?termid=26050</v>
      </c>
      <c r="Q2096" s="16">
        <v>72131</v>
      </c>
    </row>
    <row r="2097" spans="1:17" ht="57.6" x14ac:dyDescent="0.3">
      <c r="A2097" s="16" t="s">
        <v>7665</v>
      </c>
      <c r="B2097" s="16" t="s">
        <v>7654</v>
      </c>
      <c r="C2097" s="16" t="s">
        <v>7603</v>
      </c>
      <c r="D2097" s="16" t="s">
        <v>7597</v>
      </c>
      <c r="E2097" s="16" t="s">
        <v>4902</v>
      </c>
      <c r="F2097" s="16" t="s">
        <v>4903</v>
      </c>
      <c r="G2097" s="16" t="s">
        <v>32</v>
      </c>
      <c r="H2097" s="16"/>
      <c r="I2097" s="16"/>
      <c r="J2097" s="16" t="s">
        <v>1130</v>
      </c>
      <c r="K2097" s="16"/>
      <c r="L2097" s="16"/>
      <c r="M2097" s="19" t="s">
        <v>4904</v>
      </c>
      <c r="N2097" s="16"/>
      <c r="O2097" s="16" t="s">
        <v>4902</v>
      </c>
      <c r="P2097" s="16" t="str">
        <f>HYPERLINK("https://ceds.ed.gov/cedselementdetails.aspx?termid=26599")</f>
        <v>https://ceds.ed.gov/cedselementdetails.aspx?termid=26599</v>
      </c>
      <c r="Q2097" s="16">
        <v>74261</v>
      </c>
    </row>
    <row r="2098" spans="1:17" ht="57.6" x14ac:dyDescent="0.3">
      <c r="A2098" s="16" t="s">
        <v>7665</v>
      </c>
      <c r="B2098" s="16" t="s">
        <v>7654</v>
      </c>
      <c r="C2098" s="16" t="s">
        <v>7603</v>
      </c>
      <c r="D2098" s="16" t="s">
        <v>7597</v>
      </c>
      <c r="E2098" s="16" t="s">
        <v>5285</v>
      </c>
      <c r="F2098" s="16" t="s">
        <v>5286</v>
      </c>
      <c r="G2098" s="16" t="s">
        <v>32</v>
      </c>
      <c r="H2098" s="16"/>
      <c r="I2098" s="16"/>
      <c r="J2098" s="16" t="s">
        <v>1130</v>
      </c>
      <c r="K2098" s="16"/>
      <c r="L2098" s="16"/>
      <c r="M2098" s="19" t="s">
        <v>5287</v>
      </c>
      <c r="N2098" s="16"/>
      <c r="O2098" s="16" t="s">
        <v>5285</v>
      </c>
      <c r="P2098" s="16" t="str">
        <f>HYPERLINK("https://ceds.ed.gov/cedselementdetails.aspx?termid=26600")</f>
        <v>https://ceds.ed.gov/cedselementdetails.aspx?termid=26600</v>
      </c>
      <c r="Q2098" s="16">
        <v>74284</v>
      </c>
    </row>
    <row r="2099" spans="1:17" ht="158.4" x14ac:dyDescent="0.3">
      <c r="A2099" s="16" t="s">
        <v>7665</v>
      </c>
      <c r="B2099" s="16" t="s">
        <v>7654</v>
      </c>
      <c r="C2099" s="16" t="s">
        <v>7603</v>
      </c>
      <c r="D2099" s="16" t="s">
        <v>7597</v>
      </c>
      <c r="E2099" s="16" t="s">
        <v>2493</v>
      </c>
      <c r="F2099" s="16" t="s">
        <v>2494</v>
      </c>
      <c r="G2099" s="16" t="s">
        <v>32</v>
      </c>
      <c r="H2099" s="16"/>
      <c r="I2099" s="16"/>
      <c r="J2099" s="16" t="s">
        <v>2495</v>
      </c>
      <c r="K2099" s="16"/>
      <c r="L2099" s="16"/>
      <c r="M2099" s="19" t="s">
        <v>2496</v>
      </c>
      <c r="N2099" s="16"/>
      <c r="O2099" s="16" t="s">
        <v>2497</v>
      </c>
      <c r="P2099" s="16" t="str">
        <f>HYPERLINK("https://ceds.ed.gov/cedselementdetails.aspx?termid=27176")</f>
        <v>https://ceds.ed.gov/cedselementdetails.aspx?termid=27176</v>
      </c>
      <c r="Q2099" s="16">
        <v>75365</v>
      </c>
    </row>
    <row r="2100" spans="1:17" ht="57.6" x14ac:dyDescent="0.3">
      <c r="A2100" s="16" t="s">
        <v>7665</v>
      </c>
      <c r="B2100" s="16" t="s">
        <v>7654</v>
      </c>
      <c r="C2100" s="16" t="s">
        <v>7603</v>
      </c>
      <c r="D2100" s="16" t="s">
        <v>7597</v>
      </c>
      <c r="E2100" s="16" t="s">
        <v>3175</v>
      </c>
      <c r="F2100" s="16" t="s">
        <v>3176</v>
      </c>
      <c r="G2100" s="16" t="s">
        <v>2987</v>
      </c>
      <c r="H2100" s="16"/>
      <c r="I2100" s="16"/>
      <c r="J2100" s="16"/>
      <c r="K2100" s="16"/>
      <c r="L2100" s="16"/>
      <c r="M2100" s="19" t="s">
        <v>3177</v>
      </c>
      <c r="N2100" s="16"/>
      <c r="O2100" s="16" t="s">
        <v>3178</v>
      </c>
      <c r="P2100" s="16" t="str">
        <f>HYPERLINK("https://ceds.ed.gov/cedselementdetails.aspx?termid=27905")</f>
        <v>https://ceds.ed.gov/cedselementdetails.aspx?termid=27905</v>
      </c>
      <c r="Q2100" s="16">
        <v>75366</v>
      </c>
    </row>
    <row r="2101" spans="1:17" ht="72" x14ac:dyDescent="0.3">
      <c r="A2101" s="16" t="s">
        <v>7665</v>
      </c>
      <c r="B2101" s="16" t="s">
        <v>7654</v>
      </c>
      <c r="C2101" s="16" t="s">
        <v>7604</v>
      </c>
      <c r="D2101" s="16" t="s">
        <v>7597</v>
      </c>
      <c r="E2101" s="16" t="s">
        <v>7053</v>
      </c>
      <c r="F2101" s="16" t="s">
        <v>7054</v>
      </c>
      <c r="G2101" s="16" t="s">
        <v>32</v>
      </c>
      <c r="H2101" s="16" t="s">
        <v>64</v>
      </c>
      <c r="I2101" s="16"/>
      <c r="J2101" s="16" t="s">
        <v>7055</v>
      </c>
      <c r="K2101" s="16"/>
      <c r="L2101" s="16"/>
      <c r="M2101" s="19" t="s">
        <v>7056</v>
      </c>
      <c r="N2101" s="16"/>
      <c r="O2101" s="16" t="s">
        <v>7057</v>
      </c>
      <c r="P2101" s="16" t="str">
        <f>HYPERLINK("https://ceds.ed.gov/cedselementdetails.aspx?termid=26279")</f>
        <v>https://ceds.ed.gov/cedselementdetails.aspx?termid=26279</v>
      </c>
      <c r="Q2101" s="16">
        <v>72009</v>
      </c>
    </row>
    <row r="2102" spans="1:17" ht="86.4" x14ac:dyDescent="0.3">
      <c r="A2102" s="16" t="s">
        <v>7665</v>
      </c>
      <c r="B2102" s="16" t="s">
        <v>7654</v>
      </c>
      <c r="C2102" s="16" t="s">
        <v>7604</v>
      </c>
      <c r="D2102" s="16" t="s">
        <v>7597</v>
      </c>
      <c r="E2102" s="16" t="s">
        <v>7062</v>
      </c>
      <c r="F2102" s="16" t="s">
        <v>7063</v>
      </c>
      <c r="G2102" s="16" t="s">
        <v>8849</v>
      </c>
      <c r="H2102" s="16" t="s">
        <v>64</v>
      </c>
      <c r="I2102" s="16"/>
      <c r="J2102" s="16" t="s">
        <v>2500</v>
      </c>
      <c r="K2102" s="16"/>
      <c r="L2102" s="16"/>
      <c r="M2102" s="19" t="s">
        <v>7064</v>
      </c>
      <c r="N2102" s="16"/>
      <c r="O2102" s="16" t="s">
        <v>7065</v>
      </c>
      <c r="P2102" s="16" t="str">
        <f>HYPERLINK("https://ceds.ed.gov/cedselementdetails.aspx?termid=26280")</f>
        <v>https://ceds.ed.gov/cedselementdetails.aspx?termid=26280</v>
      </c>
      <c r="Q2102" s="16">
        <v>72007</v>
      </c>
    </row>
    <row r="2103" spans="1:17" ht="72" x14ac:dyDescent="0.3">
      <c r="A2103" s="16" t="s">
        <v>7665</v>
      </c>
      <c r="B2103" s="16" t="s">
        <v>7654</v>
      </c>
      <c r="C2103" s="16" t="s">
        <v>7604</v>
      </c>
      <c r="D2103" s="16" t="s">
        <v>7597</v>
      </c>
      <c r="E2103" s="16" t="s">
        <v>5865</v>
      </c>
      <c r="F2103" s="16" t="s">
        <v>5866</v>
      </c>
      <c r="G2103" s="16" t="s">
        <v>22</v>
      </c>
      <c r="H2103" s="16" t="s">
        <v>64</v>
      </c>
      <c r="I2103" s="16"/>
      <c r="J2103" s="16"/>
      <c r="K2103" s="16"/>
      <c r="L2103" s="16"/>
      <c r="M2103" s="19" t="s">
        <v>5867</v>
      </c>
      <c r="N2103" s="16"/>
      <c r="O2103" s="16" t="s">
        <v>5868</v>
      </c>
      <c r="P2103" s="16" t="str">
        <f>HYPERLINK("https://ceds.ed.gov/cedselementdetails.aspx?termid=26219")</f>
        <v>https://ceds.ed.gov/cedselementdetails.aspx?termid=26219</v>
      </c>
      <c r="Q2103" s="16">
        <v>72008</v>
      </c>
    </row>
    <row r="2104" spans="1:17" ht="57.6" x14ac:dyDescent="0.3">
      <c r="A2104" s="16" t="s">
        <v>7665</v>
      </c>
      <c r="B2104" s="16" t="s">
        <v>7654</v>
      </c>
      <c r="C2104" s="16" t="s">
        <v>7604</v>
      </c>
      <c r="D2104" s="16" t="s">
        <v>7597</v>
      </c>
      <c r="E2104" s="16" t="s">
        <v>3175</v>
      </c>
      <c r="F2104" s="16" t="s">
        <v>3176</v>
      </c>
      <c r="G2104" s="16" t="s">
        <v>2987</v>
      </c>
      <c r="H2104" s="16"/>
      <c r="I2104" s="16"/>
      <c r="J2104" s="16"/>
      <c r="K2104" s="16"/>
      <c r="L2104" s="16"/>
      <c r="M2104" s="19" t="s">
        <v>3177</v>
      </c>
      <c r="N2104" s="16"/>
      <c r="O2104" s="16" t="s">
        <v>3178</v>
      </c>
      <c r="P2104" s="16" t="str">
        <f>HYPERLINK("https://ceds.ed.gov/cedselementdetails.aspx?termid=27905")</f>
        <v>https://ceds.ed.gov/cedselementdetails.aspx?termid=27905</v>
      </c>
      <c r="Q2104" s="16">
        <v>75368</v>
      </c>
    </row>
    <row r="2105" spans="1:17" ht="57.6" x14ac:dyDescent="0.3">
      <c r="A2105" s="16" t="s">
        <v>7665</v>
      </c>
      <c r="B2105" s="16" t="s">
        <v>7654</v>
      </c>
      <c r="C2105" s="16" t="s">
        <v>7604</v>
      </c>
      <c r="D2105" s="16" t="s">
        <v>7597</v>
      </c>
      <c r="E2105" s="16" t="s">
        <v>7058</v>
      </c>
      <c r="F2105" s="16" t="s">
        <v>7059</v>
      </c>
      <c r="G2105" s="16" t="s">
        <v>8848</v>
      </c>
      <c r="H2105" s="16"/>
      <c r="I2105" s="16"/>
      <c r="J2105" s="16"/>
      <c r="K2105" s="16"/>
      <c r="L2105" s="16"/>
      <c r="M2105" s="19" t="s">
        <v>7060</v>
      </c>
      <c r="N2105" s="16"/>
      <c r="O2105" s="16" t="s">
        <v>7061</v>
      </c>
      <c r="P2105" s="16" t="str">
        <f>HYPERLINK("https://ceds.ed.gov/cedselementdetails.aspx?termid=27911")</f>
        <v>https://ceds.ed.gov/cedselementdetails.aspx?termid=27911</v>
      </c>
      <c r="Q2105" s="16">
        <v>75369</v>
      </c>
    </row>
    <row r="2106" spans="1:17" ht="72" x14ac:dyDescent="0.3">
      <c r="A2106" s="16" t="s">
        <v>7665</v>
      </c>
      <c r="B2106" s="16" t="s">
        <v>7654</v>
      </c>
      <c r="C2106" s="16" t="s">
        <v>7605</v>
      </c>
      <c r="D2106" s="16" t="s">
        <v>7597</v>
      </c>
      <c r="E2106" s="16" t="s">
        <v>3406</v>
      </c>
      <c r="F2106" s="16" t="s">
        <v>3407</v>
      </c>
      <c r="G2106" s="16" t="s">
        <v>32</v>
      </c>
      <c r="H2106" s="16" t="s">
        <v>64</v>
      </c>
      <c r="I2106" s="16"/>
      <c r="J2106" s="16" t="s">
        <v>3408</v>
      </c>
      <c r="K2106" s="16"/>
      <c r="L2106" s="16"/>
      <c r="M2106" s="19" t="s">
        <v>3409</v>
      </c>
      <c r="N2106" s="16" t="s">
        <v>3410</v>
      </c>
      <c r="O2106" s="16" t="s">
        <v>3411</v>
      </c>
      <c r="P2106" s="16" t="str">
        <f>HYPERLINK("https://ceds.ed.gov/cedselementdetails.aspx?termid=26088")</f>
        <v>https://ceds.ed.gov/cedselementdetails.aspx?termid=26088</v>
      </c>
      <c r="Q2106" s="16">
        <v>72011</v>
      </c>
    </row>
    <row r="2107" spans="1:17" ht="72" x14ac:dyDescent="0.3">
      <c r="A2107" s="16" t="s">
        <v>7665</v>
      </c>
      <c r="B2107" s="16" t="s">
        <v>7654</v>
      </c>
      <c r="C2107" s="16" t="s">
        <v>7605</v>
      </c>
      <c r="D2107" s="16" t="s">
        <v>7597</v>
      </c>
      <c r="E2107" s="16" t="s">
        <v>3412</v>
      </c>
      <c r="F2107" s="16" t="s">
        <v>3413</v>
      </c>
      <c r="G2107" s="16" t="s">
        <v>9330</v>
      </c>
      <c r="H2107" s="16" t="s">
        <v>64</v>
      </c>
      <c r="I2107" s="16"/>
      <c r="J2107" s="16"/>
      <c r="K2107" s="16"/>
      <c r="L2107" s="16"/>
      <c r="M2107" s="19" t="s">
        <v>3414</v>
      </c>
      <c r="N2107" s="16" t="s">
        <v>3415</v>
      </c>
      <c r="O2107" s="16" t="s">
        <v>3416</v>
      </c>
      <c r="P2107" s="16" t="str">
        <f>HYPERLINK("https://ceds.ed.gov/cedselementdetails.aspx?termid=26089")</f>
        <v>https://ceds.ed.gov/cedselementdetails.aspx?termid=26089</v>
      </c>
      <c r="Q2107" s="16">
        <v>72010</v>
      </c>
    </row>
    <row r="2108" spans="1:17" ht="57.6" x14ac:dyDescent="0.3">
      <c r="A2108" s="16" t="s">
        <v>7665</v>
      </c>
      <c r="B2108" s="16" t="s">
        <v>7654</v>
      </c>
      <c r="C2108" s="16" t="s">
        <v>7605</v>
      </c>
      <c r="D2108" s="16" t="s">
        <v>7597</v>
      </c>
      <c r="E2108" s="16" t="s">
        <v>3175</v>
      </c>
      <c r="F2108" s="16" t="s">
        <v>3176</v>
      </c>
      <c r="G2108" s="16" t="s">
        <v>2987</v>
      </c>
      <c r="H2108" s="16"/>
      <c r="I2108" s="16"/>
      <c r="J2108" s="16"/>
      <c r="K2108" s="16"/>
      <c r="L2108" s="16"/>
      <c r="M2108" s="19" t="s">
        <v>3177</v>
      </c>
      <c r="N2108" s="16"/>
      <c r="O2108" s="16" t="s">
        <v>3178</v>
      </c>
      <c r="P2108" s="16" t="str">
        <f>HYPERLINK("https://ceds.ed.gov/cedselementdetails.aspx?termid=27905")</f>
        <v>https://ceds.ed.gov/cedselementdetails.aspx?termid=27905</v>
      </c>
      <c r="Q2108" s="16">
        <v>75367</v>
      </c>
    </row>
    <row r="2109" spans="1:17" ht="201.6" x14ac:dyDescent="0.3">
      <c r="A2109" s="16" t="s">
        <v>7665</v>
      </c>
      <c r="B2109" s="16" t="s">
        <v>7654</v>
      </c>
      <c r="C2109" s="16" t="s">
        <v>7628</v>
      </c>
      <c r="D2109" s="16" t="s">
        <v>7597</v>
      </c>
      <c r="E2109" s="16" t="s">
        <v>1507</v>
      </c>
      <c r="F2109" s="16" t="s">
        <v>1508</v>
      </c>
      <c r="G2109" s="16" t="s">
        <v>32</v>
      </c>
      <c r="H2109" s="16" t="s">
        <v>1510</v>
      </c>
      <c r="I2109" s="16"/>
      <c r="J2109" s="16" t="s">
        <v>106</v>
      </c>
      <c r="K2109" s="16"/>
      <c r="L2109" s="16"/>
      <c r="M2109" s="19" t="s">
        <v>1509</v>
      </c>
      <c r="N2109" s="16"/>
      <c r="O2109" s="16" t="s">
        <v>1507</v>
      </c>
      <c r="P2109" s="16" t="str">
        <f>HYPERLINK("https://ceds.ed.gov/cedselementdetails.aspx?termid=26033")</f>
        <v>https://ceds.ed.gov/cedselementdetails.aspx?termid=26033</v>
      </c>
      <c r="Q2109" s="16">
        <v>74469</v>
      </c>
    </row>
    <row r="2110" spans="1:17" ht="216" x14ac:dyDescent="0.3">
      <c r="A2110" s="16" t="s">
        <v>7665</v>
      </c>
      <c r="B2110" s="16" t="s">
        <v>7654</v>
      </c>
      <c r="C2110" s="16" t="s">
        <v>7628</v>
      </c>
      <c r="D2110" s="16" t="s">
        <v>7597</v>
      </c>
      <c r="E2110" s="16" t="s">
        <v>6662</v>
      </c>
      <c r="F2110" s="16" t="s">
        <v>6663</v>
      </c>
      <c r="G2110" s="16" t="s">
        <v>8831</v>
      </c>
      <c r="H2110" s="16" t="s">
        <v>6666</v>
      </c>
      <c r="I2110" s="16"/>
      <c r="J2110" s="16"/>
      <c r="K2110" s="16"/>
      <c r="L2110" s="16" t="s">
        <v>6664</v>
      </c>
      <c r="M2110" s="19" t="s">
        <v>6665</v>
      </c>
      <c r="N2110" s="16"/>
      <c r="O2110" s="16" t="s">
        <v>6662</v>
      </c>
      <c r="P2110" s="16" t="str">
        <f>HYPERLINK("https://ceds.ed.gov/cedselementdetails.aspx?termid=26255")</f>
        <v>https://ceds.ed.gov/cedselementdetails.aspx?termid=26255</v>
      </c>
      <c r="Q2110" s="16">
        <v>73419</v>
      </c>
    </row>
    <row r="2111" spans="1:17" ht="115.2" x14ac:dyDescent="0.3">
      <c r="A2111" s="16" t="s">
        <v>7665</v>
      </c>
      <c r="B2111" s="16" t="s">
        <v>7654</v>
      </c>
      <c r="C2111" s="16" t="s">
        <v>7628</v>
      </c>
      <c r="D2111" s="16" t="s">
        <v>7597</v>
      </c>
      <c r="E2111" s="16" t="s">
        <v>6823</v>
      </c>
      <c r="F2111" s="16" t="s">
        <v>8155</v>
      </c>
      <c r="G2111" s="16" t="s">
        <v>32</v>
      </c>
      <c r="H2111" s="16" t="s">
        <v>69</v>
      </c>
      <c r="I2111" s="16"/>
      <c r="J2111" s="16" t="s">
        <v>6824</v>
      </c>
      <c r="K2111" s="16"/>
      <c r="L2111" s="16"/>
      <c r="M2111" s="19" t="s">
        <v>6825</v>
      </c>
      <c r="N2111" s="16"/>
      <c r="O2111" s="16" t="s">
        <v>6826</v>
      </c>
      <c r="P2111" s="16" t="str">
        <f>HYPERLINK("https://ceds.ed.gov/cedselementdetails.aspx?termid=26707")</f>
        <v>https://ceds.ed.gov/cedselementdetails.aspx?termid=26707</v>
      </c>
      <c r="Q2111" s="16">
        <v>74126</v>
      </c>
    </row>
    <row r="2112" spans="1:17" ht="409.6" x14ac:dyDescent="0.3">
      <c r="A2112" s="16" t="s">
        <v>7665</v>
      </c>
      <c r="B2112" s="16" t="s">
        <v>7654</v>
      </c>
      <c r="C2112" s="16" t="s">
        <v>7628</v>
      </c>
      <c r="D2112" s="16" t="s">
        <v>7597</v>
      </c>
      <c r="E2112" s="16" t="s">
        <v>2488</v>
      </c>
      <c r="F2112" s="16" t="s">
        <v>2489</v>
      </c>
      <c r="G2112" s="16" t="s">
        <v>8454</v>
      </c>
      <c r="H2112" s="16" t="s">
        <v>2492</v>
      </c>
      <c r="I2112" s="16"/>
      <c r="J2112" s="16"/>
      <c r="K2112" s="16"/>
      <c r="L2112" s="16" t="s">
        <v>7915</v>
      </c>
      <c r="M2112" s="19" t="s">
        <v>2490</v>
      </c>
      <c r="N2112" s="16"/>
      <c r="O2112" s="16" t="s">
        <v>2491</v>
      </c>
      <c r="P2112" s="16" t="str">
        <f>HYPERLINK("https://ceds.ed.gov/cedselementdetails.aspx?termid=26051")</f>
        <v>https://ceds.ed.gov/cedselementdetails.aspx?termid=26051</v>
      </c>
      <c r="Q2112" s="16">
        <v>75370</v>
      </c>
    </row>
    <row r="2113" spans="1:17" ht="100.8" x14ac:dyDescent="0.3">
      <c r="A2113" s="16" t="s">
        <v>7665</v>
      </c>
      <c r="B2113" s="16" t="s">
        <v>7654</v>
      </c>
      <c r="C2113" s="16" t="s">
        <v>7628</v>
      </c>
      <c r="D2113" s="16" t="s">
        <v>7597</v>
      </c>
      <c r="E2113" s="16" t="s">
        <v>5395</v>
      </c>
      <c r="F2113" s="16" t="s">
        <v>8092</v>
      </c>
      <c r="G2113" s="16" t="s">
        <v>8728</v>
      </c>
      <c r="H2113" s="16"/>
      <c r="I2113" s="16"/>
      <c r="J2113" s="16"/>
      <c r="K2113" s="16"/>
      <c r="L2113" s="16"/>
      <c r="M2113" s="19" t="s">
        <v>5396</v>
      </c>
      <c r="N2113" s="16"/>
      <c r="O2113" s="16" t="s">
        <v>5397</v>
      </c>
      <c r="P2113" s="16" t="str">
        <f>HYPERLINK("https://ceds.ed.gov/cedselementdetails.aspx?termid=27621")</f>
        <v>https://ceds.ed.gov/cedselementdetails.aspx?termid=27621</v>
      </c>
      <c r="Q2113" s="16">
        <v>75371</v>
      </c>
    </row>
    <row r="2114" spans="1:17" ht="57.6" x14ac:dyDescent="0.3">
      <c r="A2114" s="16" t="s">
        <v>7665</v>
      </c>
      <c r="B2114" s="16" t="s">
        <v>7654</v>
      </c>
      <c r="C2114" s="16" t="s">
        <v>7628</v>
      </c>
      <c r="D2114" s="16" t="s">
        <v>7597</v>
      </c>
      <c r="E2114" s="16" t="s">
        <v>7181</v>
      </c>
      <c r="F2114" s="16" t="s">
        <v>7182</v>
      </c>
      <c r="G2114" s="16" t="s">
        <v>7313</v>
      </c>
      <c r="H2114" s="16"/>
      <c r="I2114" s="16"/>
      <c r="J2114" s="16"/>
      <c r="K2114" s="16"/>
      <c r="L2114" s="16"/>
      <c r="M2114" s="19" t="s">
        <v>7183</v>
      </c>
      <c r="N2114" s="16"/>
      <c r="O2114" s="16" t="s">
        <v>7184</v>
      </c>
      <c r="P2114" s="16" t="str">
        <f>HYPERLINK("https://ceds.ed.gov/cedselementdetails.aspx?termid=27638")</f>
        <v>https://ceds.ed.gov/cedselementdetails.aspx?termid=27638</v>
      </c>
      <c r="Q2114" s="16">
        <v>75372</v>
      </c>
    </row>
    <row r="2115" spans="1:17" ht="144" x14ac:dyDescent="0.3">
      <c r="A2115" s="16" t="s">
        <v>7665</v>
      </c>
      <c r="B2115" s="16" t="s">
        <v>7654</v>
      </c>
      <c r="C2115" s="16" t="s">
        <v>7628</v>
      </c>
      <c r="D2115" s="16" t="s">
        <v>7597</v>
      </c>
      <c r="E2115" s="16" t="s">
        <v>7527</v>
      </c>
      <c r="F2115" s="16" t="s">
        <v>7528</v>
      </c>
      <c r="G2115" s="16" t="s">
        <v>8811</v>
      </c>
      <c r="H2115" s="16"/>
      <c r="I2115" s="16"/>
      <c r="J2115" s="16"/>
      <c r="K2115" s="16"/>
      <c r="L2115" s="16" t="s">
        <v>7529</v>
      </c>
      <c r="M2115" s="19" t="s">
        <v>7530</v>
      </c>
      <c r="N2115" s="16"/>
      <c r="O2115" s="16" t="s">
        <v>7527</v>
      </c>
      <c r="P2115" s="16" t="str">
        <f>HYPERLINK("https://ceds.ed.gov/cedselementdetails.aspx?termid=27955")</f>
        <v>https://ceds.ed.gov/cedselementdetails.aspx?termid=27955</v>
      </c>
      <c r="Q2115" s="16">
        <v>75576</v>
      </c>
    </row>
    <row r="2116" spans="1:17" ht="172.8" x14ac:dyDescent="0.3">
      <c r="A2116" s="16" t="s">
        <v>7665</v>
      </c>
      <c r="B2116" s="16" t="s">
        <v>7654</v>
      </c>
      <c r="C2116" s="16" t="s">
        <v>7652</v>
      </c>
      <c r="D2116" s="16" t="s">
        <v>7597</v>
      </c>
      <c r="E2116" s="16" t="s">
        <v>6937</v>
      </c>
      <c r="F2116" s="16" t="s">
        <v>6938</v>
      </c>
      <c r="G2116" s="16" t="s">
        <v>32</v>
      </c>
      <c r="H2116" s="16" t="s">
        <v>6936</v>
      </c>
      <c r="I2116" s="16"/>
      <c r="J2116" s="16" t="s">
        <v>120</v>
      </c>
      <c r="K2116" s="16"/>
      <c r="L2116" s="16" t="s">
        <v>7817</v>
      </c>
      <c r="M2116" s="19" t="s">
        <v>6939</v>
      </c>
      <c r="N2116" s="16"/>
      <c r="O2116" s="16" t="s">
        <v>6940</v>
      </c>
      <c r="P2116" s="16" t="str">
        <f>HYPERLINK("https://ceds.ed.gov/cedselementdetails.aspx?termid=26157")</f>
        <v>https://ceds.ed.gov/cedselementdetails.aspx?termid=26157</v>
      </c>
      <c r="Q2116" s="16">
        <v>74024</v>
      </c>
    </row>
    <row r="2117" spans="1:17" ht="158.4" x14ac:dyDescent="0.3">
      <c r="A2117" s="16" t="s">
        <v>7665</v>
      </c>
      <c r="B2117" s="16" t="s">
        <v>7654</v>
      </c>
      <c r="C2117" s="16" t="s">
        <v>7652</v>
      </c>
      <c r="D2117" s="16" t="s">
        <v>7597</v>
      </c>
      <c r="E2117" s="16" t="s">
        <v>6932</v>
      </c>
      <c r="F2117" s="16" t="s">
        <v>6933</v>
      </c>
      <c r="G2117" s="16" t="s">
        <v>9344</v>
      </c>
      <c r="H2117" s="16" t="s">
        <v>6936</v>
      </c>
      <c r="I2117" s="16"/>
      <c r="J2117" s="16"/>
      <c r="K2117" s="16"/>
      <c r="L2117" s="16"/>
      <c r="M2117" s="19" t="s">
        <v>6934</v>
      </c>
      <c r="N2117" s="16"/>
      <c r="O2117" s="16" t="s">
        <v>6935</v>
      </c>
      <c r="P2117" s="16" t="str">
        <f>HYPERLINK("https://ceds.ed.gov/cedselementdetails.aspx?termid=26163")</f>
        <v>https://ceds.ed.gov/cedselementdetails.aspx?termid=26163</v>
      </c>
      <c r="Q2117" s="16">
        <v>74025</v>
      </c>
    </row>
    <row r="2118" spans="1:17" ht="172.8" x14ac:dyDescent="0.3">
      <c r="A2118" s="16" t="s">
        <v>7665</v>
      </c>
      <c r="B2118" s="16" t="s">
        <v>7654</v>
      </c>
      <c r="C2118" s="16" t="s">
        <v>7652</v>
      </c>
      <c r="D2118" s="16" t="s">
        <v>7597</v>
      </c>
      <c r="E2118" s="16" t="s">
        <v>1983</v>
      </c>
      <c r="F2118" s="16" t="s">
        <v>1984</v>
      </c>
      <c r="G2118" s="16" t="s">
        <v>32</v>
      </c>
      <c r="H2118" s="16" t="s">
        <v>1982</v>
      </c>
      <c r="I2118" s="16"/>
      <c r="J2118" s="16" t="s">
        <v>120</v>
      </c>
      <c r="K2118" s="16"/>
      <c r="L2118" s="16" t="s">
        <v>7817</v>
      </c>
      <c r="M2118" s="19" t="s">
        <v>1985</v>
      </c>
      <c r="N2118" s="16"/>
      <c r="O2118" s="16" t="s">
        <v>1986</v>
      </c>
      <c r="P2118" s="16" t="str">
        <f>HYPERLINK("https://ceds.ed.gov/cedselementdetails.aspx?termid=26781")</f>
        <v>https://ceds.ed.gov/cedselementdetails.aspx?termid=26781</v>
      </c>
      <c r="Q2118" s="16">
        <v>74026</v>
      </c>
    </row>
    <row r="2119" spans="1:17" ht="172.8" x14ac:dyDescent="0.3">
      <c r="A2119" s="16" t="s">
        <v>7665</v>
      </c>
      <c r="B2119" s="16" t="s">
        <v>7654</v>
      </c>
      <c r="C2119" s="16" t="s">
        <v>7652</v>
      </c>
      <c r="D2119" s="16" t="s">
        <v>7597</v>
      </c>
      <c r="E2119" s="16" t="s">
        <v>5738</v>
      </c>
      <c r="F2119" s="16" t="s">
        <v>5739</v>
      </c>
      <c r="G2119" s="16" t="s">
        <v>32</v>
      </c>
      <c r="H2119" s="16"/>
      <c r="I2119" s="16"/>
      <c r="J2119" s="16" t="s">
        <v>120</v>
      </c>
      <c r="K2119" s="16"/>
      <c r="L2119" s="16" t="s">
        <v>7905</v>
      </c>
      <c r="M2119" s="19" t="s">
        <v>5740</v>
      </c>
      <c r="N2119" s="16"/>
      <c r="O2119" s="16" t="s">
        <v>5741</v>
      </c>
      <c r="P2119" s="16" t="str">
        <f>HYPERLINK("https://ceds.ed.gov/cedselementdetails.aspx?termid=27551")</f>
        <v>https://ceds.ed.gov/cedselementdetails.aspx?termid=27551</v>
      </c>
      <c r="Q2119" s="16">
        <v>73909</v>
      </c>
    </row>
    <row r="2120" spans="1:17" ht="273.60000000000002" x14ac:dyDescent="0.3">
      <c r="A2120" s="16" t="s">
        <v>7665</v>
      </c>
      <c r="B2120" s="16" t="s">
        <v>7654</v>
      </c>
      <c r="C2120" s="16" t="s">
        <v>7652</v>
      </c>
      <c r="D2120" s="16" t="s">
        <v>7597</v>
      </c>
      <c r="E2120" s="16" t="s">
        <v>5734</v>
      </c>
      <c r="F2120" s="16" t="s">
        <v>5735</v>
      </c>
      <c r="G2120" s="16" t="s">
        <v>9336</v>
      </c>
      <c r="H2120" s="16"/>
      <c r="I2120" s="16"/>
      <c r="J2120" s="16"/>
      <c r="K2120" s="16"/>
      <c r="L2120" s="16"/>
      <c r="M2120" s="19" t="s">
        <v>5736</v>
      </c>
      <c r="N2120" s="16"/>
      <c r="O2120" s="16" t="s">
        <v>5737</v>
      </c>
      <c r="P2120" s="16" t="str">
        <f>HYPERLINK("https://ceds.ed.gov/cedselementdetails.aspx?termid=27550")</f>
        <v>https://ceds.ed.gov/cedselementdetails.aspx?termid=27550</v>
      </c>
      <c r="Q2120" s="16">
        <v>73904</v>
      </c>
    </row>
    <row r="2121" spans="1:17" ht="409.6" x14ac:dyDescent="0.3">
      <c r="A2121" s="16" t="s">
        <v>7665</v>
      </c>
      <c r="B2121" s="16" t="s">
        <v>7654</v>
      </c>
      <c r="C2121" s="16" t="s">
        <v>7652</v>
      </c>
      <c r="D2121" s="16" t="s">
        <v>7597</v>
      </c>
      <c r="E2121" s="16" t="s">
        <v>5751</v>
      </c>
      <c r="F2121" s="16" t="s">
        <v>5752</v>
      </c>
      <c r="G2121" s="16" t="s">
        <v>8753</v>
      </c>
      <c r="H2121" s="16" t="s">
        <v>1516</v>
      </c>
      <c r="I2121" s="16"/>
      <c r="J2121" s="16"/>
      <c r="K2121" s="16"/>
      <c r="L2121" s="16" t="s">
        <v>5753</v>
      </c>
      <c r="M2121" s="19" t="s">
        <v>5754</v>
      </c>
      <c r="N2121" s="16"/>
      <c r="O2121" s="16" t="s">
        <v>5755</v>
      </c>
      <c r="P2121" s="16" t="str">
        <f>HYPERLINK("https://ceds.ed.gov/cedselementdetails.aspx?termid=26415")</f>
        <v>https://ceds.ed.gov/cedselementdetails.aspx?termid=26415</v>
      </c>
      <c r="Q2121" s="16">
        <v>71249</v>
      </c>
    </row>
    <row r="2122" spans="1:17" ht="86.4" x14ac:dyDescent="0.3">
      <c r="A2122" s="16" t="s">
        <v>7665</v>
      </c>
      <c r="B2122" s="16" t="s">
        <v>7654</v>
      </c>
      <c r="C2122" s="16" t="s">
        <v>7652</v>
      </c>
      <c r="D2122" s="16" t="s">
        <v>7597</v>
      </c>
      <c r="E2122" s="16" t="s">
        <v>5855</v>
      </c>
      <c r="F2122" s="16" t="s">
        <v>5856</v>
      </c>
      <c r="G2122" s="16" t="s">
        <v>22</v>
      </c>
      <c r="H2122" s="16"/>
      <c r="I2122" s="16"/>
      <c r="J2122" s="16"/>
      <c r="K2122" s="16"/>
      <c r="L2122" s="16"/>
      <c r="M2122" s="19" t="s">
        <v>5857</v>
      </c>
      <c r="N2122" s="16"/>
      <c r="O2122" s="16" t="s">
        <v>5858</v>
      </c>
      <c r="P2122" s="16" t="str">
        <f>HYPERLINK("https://ceds.ed.gov/cedselementdetails.aspx?termid=27397")</f>
        <v>https://ceds.ed.gov/cedselementdetails.aspx?termid=27397</v>
      </c>
      <c r="Q2122" s="16">
        <v>73323</v>
      </c>
    </row>
    <row r="2123" spans="1:17" ht="43.2" x14ac:dyDescent="0.3">
      <c r="A2123" s="16" t="s">
        <v>7665</v>
      </c>
      <c r="B2123" s="16" t="s">
        <v>7654</v>
      </c>
      <c r="C2123" s="16" t="s">
        <v>7652</v>
      </c>
      <c r="D2123" s="16" t="s">
        <v>7597</v>
      </c>
      <c r="E2123" s="16" t="s">
        <v>3441</v>
      </c>
      <c r="F2123" s="16" t="s">
        <v>13078</v>
      </c>
      <c r="G2123" s="16" t="s">
        <v>22</v>
      </c>
      <c r="H2123" s="16"/>
      <c r="I2123" s="16" t="s">
        <v>160</v>
      </c>
      <c r="J2123" s="16"/>
      <c r="K2123" s="16" t="s">
        <v>12942</v>
      </c>
      <c r="L2123" s="16"/>
      <c r="M2123" s="19" t="s">
        <v>3443</v>
      </c>
      <c r="N2123" s="16"/>
      <c r="O2123" s="16"/>
      <c r="P2123" s="16" t="str">
        <f>HYPERLINK("https://ceds.ed.gov/cedselementdetails.aspx?termid=27308")</f>
        <v>https://ceds.ed.gov/cedselementdetails.aspx?termid=27308</v>
      </c>
      <c r="Q2123" s="16">
        <v>73151</v>
      </c>
    </row>
    <row r="2124" spans="1:17" ht="43.2" x14ac:dyDescent="0.3">
      <c r="A2124" s="16" t="s">
        <v>7665</v>
      </c>
      <c r="B2124" s="16" t="s">
        <v>7654</v>
      </c>
      <c r="C2124" s="16" t="s">
        <v>7652</v>
      </c>
      <c r="D2124" s="16" t="s">
        <v>7597</v>
      </c>
      <c r="E2124" s="16" t="s">
        <v>5742</v>
      </c>
      <c r="F2124" s="16" t="s">
        <v>5743</v>
      </c>
      <c r="G2124" s="16" t="s">
        <v>32</v>
      </c>
      <c r="H2124" s="16"/>
      <c r="I2124" s="16"/>
      <c r="J2124" s="16" t="s">
        <v>305</v>
      </c>
      <c r="K2124" s="16"/>
      <c r="L2124" s="16"/>
      <c r="M2124" s="19" t="s">
        <v>5744</v>
      </c>
      <c r="N2124" s="16"/>
      <c r="O2124" s="16" t="s">
        <v>5745</v>
      </c>
      <c r="P2124" s="16" t="str">
        <f>HYPERLINK("https://ceds.ed.gov/cedselementdetails.aspx?termid=27392")</f>
        <v>https://ceds.ed.gov/cedselementdetails.aspx?termid=27392</v>
      </c>
      <c r="Q2124" s="16">
        <v>73308</v>
      </c>
    </row>
    <row r="2125" spans="1:17" ht="57.6" x14ac:dyDescent="0.3">
      <c r="A2125" s="16" t="s">
        <v>7665</v>
      </c>
      <c r="B2125" s="16" t="s">
        <v>7654</v>
      </c>
      <c r="C2125" s="16" t="s">
        <v>7652</v>
      </c>
      <c r="D2125" s="16" t="s">
        <v>7597</v>
      </c>
      <c r="E2125" s="16" t="s">
        <v>5746</v>
      </c>
      <c r="F2125" s="16" t="s">
        <v>5747</v>
      </c>
      <c r="G2125" s="16" t="s">
        <v>32</v>
      </c>
      <c r="H2125" s="16"/>
      <c r="I2125" s="16"/>
      <c r="J2125" s="16" t="s">
        <v>316</v>
      </c>
      <c r="K2125" s="16"/>
      <c r="L2125" s="16"/>
      <c r="M2125" s="19" t="s">
        <v>5748</v>
      </c>
      <c r="N2125" s="16"/>
      <c r="O2125" s="16" t="s">
        <v>5749</v>
      </c>
      <c r="P2125" s="16" t="str">
        <f>HYPERLINK("https://ceds.ed.gov/cedselementdetails.aspx?termid=27393")</f>
        <v>https://ceds.ed.gov/cedselementdetails.aspx?termid=27393</v>
      </c>
      <c r="Q2125" s="16">
        <v>73310</v>
      </c>
    </row>
    <row r="2126" spans="1:17" ht="43.2" x14ac:dyDescent="0.3">
      <c r="A2126" s="16" t="s">
        <v>7665</v>
      </c>
      <c r="B2126" s="16" t="s">
        <v>7654</v>
      </c>
      <c r="C2126" s="16" t="s">
        <v>7652</v>
      </c>
      <c r="D2126" s="16" t="s">
        <v>7597</v>
      </c>
      <c r="E2126" s="16" t="s">
        <v>13087</v>
      </c>
      <c r="F2126" s="16" t="s">
        <v>13088</v>
      </c>
      <c r="G2126" s="16" t="s">
        <v>22</v>
      </c>
      <c r="H2126" s="16"/>
      <c r="I2126" s="16" t="s">
        <v>160</v>
      </c>
      <c r="J2126" s="16"/>
      <c r="K2126" s="16" t="s">
        <v>12950</v>
      </c>
      <c r="L2126" s="16"/>
      <c r="M2126" s="19" t="s">
        <v>5750</v>
      </c>
      <c r="N2126" s="16"/>
      <c r="O2126" s="16" t="s">
        <v>13089</v>
      </c>
      <c r="P2126" s="16" t="str">
        <f>HYPERLINK("https://ceds.ed.gov/cedselementdetails.aspx?termid=27394")</f>
        <v>https://ceds.ed.gov/cedselementdetails.aspx?termid=27394</v>
      </c>
      <c r="Q2126" s="16">
        <v>73312</v>
      </c>
    </row>
    <row r="2127" spans="1:17" ht="57.6" x14ac:dyDescent="0.3">
      <c r="A2127" s="16" t="s">
        <v>7665</v>
      </c>
      <c r="B2127" s="16" t="s">
        <v>7654</v>
      </c>
      <c r="C2127" s="16" t="s">
        <v>7652</v>
      </c>
      <c r="D2127" s="16" t="s">
        <v>7597</v>
      </c>
      <c r="E2127" s="16" t="s">
        <v>2985</v>
      </c>
      <c r="F2127" s="16" t="s">
        <v>2986</v>
      </c>
      <c r="G2127" s="16" t="s">
        <v>2987</v>
      </c>
      <c r="H2127" s="16" t="s">
        <v>372</v>
      </c>
      <c r="I2127" s="16"/>
      <c r="J2127" s="16"/>
      <c r="K2127" s="16"/>
      <c r="L2127" s="16"/>
      <c r="M2127" s="19" t="s">
        <v>2988</v>
      </c>
      <c r="N2127" s="16"/>
      <c r="O2127" s="16" t="s">
        <v>2989</v>
      </c>
      <c r="P2127" s="16" t="str">
        <f>HYPERLINK("https://ceds.ed.gov/cedselementdetails.aspx?termid=26328")</f>
        <v>https://ceds.ed.gov/cedselementdetails.aspx?termid=26328</v>
      </c>
      <c r="Q2127" s="16">
        <v>75377</v>
      </c>
    </row>
    <row r="2128" spans="1:17" ht="100.8" x14ac:dyDescent="0.3">
      <c r="A2128" s="16" t="s">
        <v>7665</v>
      </c>
      <c r="B2128" s="16" t="s">
        <v>7654</v>
      </c>
      <c r="C2128" s="16" t="s">
        <v>7640</v>
      </c>
      <c r="D2128" s="16" t="s">
        <v>7597</v>
      </c>
      <c r="E2128" s="16" t="s">
        <v>4849</v>
      </c>
      <c r="F2128" s="16" t="s">
        <v>13082</v>
      </c>
      <c r="G2128" s="16" t="s">
        <v>7313</v>
      </c>
      <c r="H2128" s="16" t="s">
        <v>4851</v>
      </c>
      <c r="I2128" s="16" t="s">
        <v>160</v>
      </c>
      <c r="J2128" s="16"/>
      <c r="K2128" s="16" t="s">
        <v>12946</v>
      </c>
      <c r="L2128" s="16"/>
      <c r="M2128" s="19" t="s">
        <v>4850</v>
      </c>
      <c r="N2128" s="16"/>
      <c r="O2128" s="16"/>
      <c r="P2128" s="16" t="str">
        <f>HYPERLINK("https://ceds.ed.gov/cedselementdetails.aspx?termid=26317")</f>
        <v>https://ceds.ed.gov/cedselementdetails.aspx?termid=26317</v>
      </c>
      <c r="Q2128" s="16">
        <v>75373</v>
      </c>
    </row>
    <row r="2129" spans="1:17" ht="129.6" x14ac:dyDescent="0.3">
      <c r="A2129" s="16" t="s">
        <v>7665</v>
      </c>
      <c r="B2129" s="16" t="s">
        <v>7654</v>
      </c>
      <c r="C2129" s="16" t="s">
        <v>7640</v>
      </c>
      <c r="D2129" s="16" t="s">
        <v>7597</v>
      </c>
      <c r="E2129" s="16" t="s">
        <v>4852</v>
      </c>
      <c r="F2129" s="16" t="s">
        <v>13083</v>
      </c>
      <c r="G2129" s="16" t="s">
        <v>7313</v>
      </c>
      <c r="H2129" s="16"/>
      <c r="I2129" s="16" t="s">
        <v>160</v>
      </c>
      <c r="J2129" s="16"/>
      <c r="K2129" s="16" t="s">
        <v>12947</v>
      </c>
      <c r="L2129" s="16" t="s">
        <v>13084</v>
      </c>
      <c r="M2129" s="19" t="s">
        <v>4853</v>
      </c>
      <c r="N2129" s="16"/>
      <c r="O2129" s="16"/>
      <c r="P2129" s="16" t="str">
        <f>HYPERLINK("https://ceds.ed.gov/cedselementdetails.aspx?termid=27618")</f>
        <v>https://ceds.ed.gov/cedselementdetails.aspx?termid=27618</v>
      </c>
      <c r="Q2129" s="16">
        <v>75374</v>
      </c>
    </row>
    <row r="2130" spans="1:17" ht="409.6" x14ac:dyDescent="0.3">
      <c r="A2130" s="16" t="s">
        <v>7665</v>
      </c>
      <c r="B2130" s="16" t="s">
        <v>7654</v>
      </c>
      <c r="C2130" s="16" t="s">
        <v>7640</v>
      </c>
      <c r="D2130" s="16" t="s">
        <v>7597</v>
      </c>
      <c r="E2130" s="16" t="s">
        <v>4854</v>
      </c>
      <c r="F2130" s="16" t="s">
        <v>13085</v>
      </c>
      <c r="G2130" s="16" t="s">
        <v>8683</v>
      </c>
      <c r="H2130" s="16"/>
      <c r="I2130" s="16" t="s">
        <v>160</v>
      </c>
      <c r="J2130" s="16"/>
      <c r="K2130" s="16" t="s">
        <v>12948</v>
      </c>
      <c r="L2130" s="16" t="s">
        <v>13086</v>
      </c>
      <c r="M2130" s="19" t="s">
        <v>4855</v>
      </c>
      <c r="N2130" s="16"/>
      <c r="O2130" s="16"/>
      <c r="P2130" s="16" t="str">
        <f>HYPERLINK("https://ceds.ed.gov/cedselementdetails.aspx?termid=27619")</f>
        <v>https://ceds.ed.gov/cedselementdetails.aspx?termid=27619</v>
      </c>
      <c r="Q2130" s="16">
        <v>75375</v>
      </c>
    </row>
    <row r="2131" spans="1:17" ht="43.2" x14ac:dyDescent="0.3">
      <c r="A2131" s="16" t="s">
        <v>7665</v>
      </c>
      <c r="B2131" s="16" t="s">
        <v>7654</v>
      </c>
      <c r="C2131" s="16" t="s">
        <v>7640</v>
      </c>
      <c r="D2131" s="16" t="s">
        <v>7597</v>
      </c>
      <c r="E2131" s="16" t="s">
        <v>4886</v>
      </c>
      <c r="F2131" s="16" t="s">
        <v>4887</v>
      </c>
      <c r="G2131" s="16" t="s">
        <v>13005</v>
      </c>
      <c r="H2131" s="16"/>
      <c r="I2131" s="16"/>
      <c r="J2131" s="16"/>
      <c r="K2131" s="16"/>
      <c r="L2131" s="16"/>
      <c r="M2131" s="19"/>
      <c r="N2131" s="16"/>
      <c r="O2131" s="16"/>
      <c r="P2131" s="16"/>
      <c r="Q2131" s="16"/>
    </row>
    <row r="2132" spans="1:17" x14ac:dyDescent="0.3">
      <c r="A2132" s="16"/>
      <c r="B2132" s="16"/>
      <c r="C2132" s="16"/>
      <c r="D2132" s="16"/>
      <c r="E2132" s="16"/>
      <c r="F2132" s="16"/>
      <c r="G2132" s="16"/>
      <c r="H2132" s="16"/>
      <c r="I2132" s="16"/>
      <c r="J2132" s="16"/>
      <c r="K2132" s="16"/>
      <c r="L2132" s="16"/>
      <c r="M2132" s="19"/>
      <c r="N2132" s="16"/>
      <c r="O2132" s="16"/>
      <c r="P2132" s="16"/>
      <c r="Q2132" s="16"/>
    </row>
    <row r="2133" spans="1:17" ht="144" x14ac:dyDescent="0.3">
      <c r="A2133" s="16"/>
      <c r="B2133" s="16" t="s">
        <v>13051</v>
      </c>
      <c r="C2133" s="16" t="s">
        <v>4851</v>
      </c>
      <c r="D2133" s="16"/>
      <c r="E2133" s="16"/>
      <c r="F2133" s="16"/>
      <c r="G2133" s="16"/>
      <c r="H2133" s="16">
        <v>316</v>
      </c>
      <c r="I2133" s="16"/>
      <c r="J2133" s="16" t="s">
        <v>4888</v>
      </c>
      <c r="K2133" s="16" t="str">
        <f>HYPERLINK("https://ceds.ed.gov/cedselementdetails.aspx?termid=26316")</f>
        <v>https://ceds.ed.gov/cedselementdetails.aspx?termid=26316</v>
      </c>
      <c r="L2133" s="16">
        <v>75376</v>
      </c>
      <c r="M2133" s="19"/>
      <c r="N2133" s="16"/>
      <c r="O2133" s="16"/>
      <c r="P2133" s="16"/>
      <c r="Q2133" s="16"/>
    </row>
    <row r="2134" spans="1:17" ht="57.6" x14ac:dyDescent="0.3">
      <c r="A2134" s="16" t="s">
        <v>7665</v>
      </c>
      <c r="B2134" s="16" t="s">
        <v>7654</v>
      </c>
      <c r="C2134" s="16" t="s">
        <v>4</v>
      </c>
      <c r="D2134" s="16" t="s">
        <v>7597</v>
      </c>
      <c r="E2134" s="16" t="s">
        <v>6162</v>
      </c>
      <c r="F2134" s="16" t="s">
        <v>6163</v>
      </c>
      <c r="G2134" s="16" t="s">
        <v>22</v>
      </c>
      <c r="H2134" s="16"/>
      <c r="I2134" s="16"/>
      <c r="J2134" s="16"/>
      <c r="K2134" s="16"/>
      <c r="L2134" s="16"/>
      <c r="M2134" s="19" t="s">
        <v>6164</v>
      </c>
      <c r="N2134" s="16"/>
      <c r="O2134" s="16" t="s">
        <v>6165</v>
      </c>
      <c r="P2134" s="16" t="str">
        <f>HYPERLINK("https://ceds.ed.gov/cedselementdetails.aspx?termid=26760")</f>
        <v>https://ceds.ed.gov/cedselementdetails.aspx?termid=26760</v>
      </c>
      <c r="Q2134" s="16">
        <v>75378</v>
      </c>
    </row>
    <row r="2135" spans="1:17" ht="409.6" x14ac:dyDescent="0.3">
      <c r="A2135" s="16" t="s">
        <v>7665</v>
      </c>
      <c r="B2135" s="16" t="s">
        <v>7654</v>
      </c>
      <c r="C2135" s="16" t="s">
        <v>7655</v>
      </c>
      <c r="D2135" s="16" t="s">
        <v>7597</v>
      </c>
      <c r="E2135" s="16" t="s">
        <v>4268</v>
      </c>
      <c r="F2135" s="16" t="s">
        <v>4269</v>
      </c>
      <c r="G2135" s="16" t="s">
        <v>8445</v>
      </c>
      <c r="H2135" s="16" t="s">
        <v>4272</v>
      </c>
      <c r="I2135" s="16"/>
      <c r="J2135" s="16"/>
      <c r="K2135" s="16"/>
      <c r="L2135" s="16"/>
      <c r="M2135" s="19" t="s">
        <v>4270</v>
      </c>
      <c r="N2135" s="16"/>
      <c r="O2135" s="16" t="s">
        <v>4271</v>
      </c>
      <c r="P2135" s="16" t="str">
        <f>HYPERLINK("https://ceds.ed.gov/cedselementdetails.aspx?termid=26141")</f>
        <v>https://ceds.ed.gov/cedselementdetails.aspx?termid=26141</v>
      </c>
      <c r="Q2135" s="16">
        <v>75577</v>
      </c>
    </row>
    <row r="2136" spans="1:17" ht="72" x14ac:dyDescent="0.3">
      <c r="A2136" s="16" t="s">
        <v>7665</v>
      </c>
      <c r="B2136" s="16" t="s">
        <v>7654</v>
      </c>
      <c r="C2136" s="16" t="s">
        <v>9412</v>
      </c>
      <c r="D2136" s="16" t="s">
        <v>7597</v>
      </c>
      <c r="E2136" s="16" t="s">
        <v>9312</v>
      </c>
      <c r="F2136" s="16" t="s">
        <v>9313</v>
      </c>
      <c r="G2136" s="16" t="s">
        <v>9325</v>
      </c>
      <c r="H2136" s="16"/>
      <c r="I2136" s="16"/>
      <c r="J2136" s="16"/>
      <c r="K2136" s="16"/>
      <c r="L2136" s="16"/>
      <c r="M2136" s="19" t="s">
        <v>5394</v>
      </c>
      <c r="N2136" s="16"/>
      <c r="O2136" s="16" t="s">
        <v>9314</v>
      </c>
      <c r="P2136" s="16" t="str">
        <f>HYPERLINK("https://ceds.ed.gov/cedselementdetails.aspx?termid=27556")</f>
        <v>https://ceds.ed.gov/cedselementdetails.aspx?termid=27556</v>
      </c>
      <c r="Q2136" s="16">
        <v>76282</v>
      </c>
    </row>
    <row r="2137" spans="1:17" ht="144" x14ac:dyDescent="0.3">
      <c r="A2137" s="16" t="s">
        <v>7665</v>
      </c>
      <c r="B2137" s="16" t="s">
        <v>7654</v>
      </c>
      <c r="C2137" s="16" t="s">
        <v>9412</v>
      </c>
      <c r="D2137" s="16" t="s">
        <v>7597</v>
      </c>
      <c r="E2137" s="16" t="s">
        <v>9087</v>
      </c>
      <c r="F2137" s="16" t="s">
        <v>9088</v>
      </c>
      <c r="G2137" s="16" t="s">
        <v>9298</v>
      </c>
      <c r="H2137" s="16"/>
      <c r="I2137" s="16"/>
      <c r="J2137" s="16" t="s">
        <v>2</v>
      </c>
      <c r="K2137" s="16"/>
      <c r="L2137" s="16" t="s">
        <v>9089</v>
      </c>
      <c r="M2137" s="19" t="s">
        <v>9090</v>
      </c>
      <c r="N2137" s="16"/>
      <c r="O2137" s="16" t="s">
        <v>9091</v>
      </c>
      <c r="P2137" s="16" t="str">
        <f>HYPERLINK("https://ceds.ed.gov/cedselementdetails.aspx?termid=28047")</f>
        <v>https://ceds.ed.gov/cedselementdetails.aspx?termid=28047</v>
      </c>
      <c r="Q2137" s="16">
        <v>76283</v>
      </c>
    </row>
    <row r="2138" spans="1:17" ht="409.6" x14ac:dyDescent="0.3">
      <c r="A2138" s="16" t="s">
        <v>7665</v>
      </c>
      <c r="B2138" s="16" t="s">
        <v>7654</v>
      </c>
      <c r="C2138" s="16" t="s">
        <v>9412</v>
      </c>
      <c r="D2138" s="16" t="s">
        <v>7597</v>
      </c>
      <c r="E2138" s="16" t="s">
        <v>9092</v>
      </c>
      <c r="F2138" s="16" t="s">
        <v>9093</v>
      </c>
      <c r="G2138" s="16" t="s">
        <v>9299</v>
      </c>
      <c r="H2138" s="16"/>
      <c r="I2138" s="16"/>
      <c r="J2138" s="16" t="s">
        <v>2</v>
      </c>
      <c r="K2138" s="16"/>
      <c r="L2138" s="16" t="s">
        <v>9094</v>
      </c>
      <c r="M2138" s="19" t="s">
        <v>9095</v>
      </c>
      <c r="N2138" s="16"/>
      <c r="O2138" s="16" t="s">
        <v>9096</v>
      </c>
      <c r="P2138" s="16" t="str">
        <f>HYPERLINK("https://ceds.ed.gov/cedselementdetails.aspx?termid=28048")</f>
        <v>https://ceds.ed.gov/cedselementdetails.aspx?termid=28048</v>
      </c>
      <c r="Q2138" s="16">
        <v>76284</v>
      </c>
    </row>
    <row r="2139" spans="1:17" ht="100.8" x14ac:dyDescent="0.3">
      <c r="A2139" s="16" t="s">
        <v>7665</v>
      </c>
      <c r="B2139" s="16" t="s">
        <v>7654</v>
      </c>
      <c r="C2139" s="16" t="s">
        <v>9412</v>
      </c>
      <c r="D2139" s="16" t="s">
        <v>7597</v>
      </c>
      <c r="E2139" s="16" t="s">
        <v>9097</v>
      </c>
      <c r="F2139" s="16" t="s">
        <v>9098</v>
      </c>
      <c r="G2139" s="16" t="s">
        <v>32</v>
      </c>
      <c r="H2139" s="16"/>
      <c r="I2139" s="16"/>
      <c r="J2139" s="16" t="s">
        <v>120</v>
      </c>
      <c r="K2139" s="16"/>
      <c r="L2139" s="16" t="s">
        <v>9089</v>
      </c>
      <c r="M2139" s="19" t="s">
        <v>9099</v>
      </c>
      <c r="N2139" s="16"/>
      <c r="O2139" s="16" t="s">
        <v>9100</v>
      </c>
      <c r="P2139" s="16" t="str">
        <f>HYPERLINK("https://ceds.ed.gov/cedselementdetails.aspx?termid=28049")</f>
        <v>https://ceds.ed.gov/cedselementdetails.aspx?termid=28049</v>
      </c>
      <c r="Q2139" s="16">
        <v>76285</v>
      </c>
    </row>
    <row r="2140" spans="1:17" ht="100.8" x14ac:dyDescent="0.3">
      <c r="A2140" s="16" t="s">
        <v>7665</v>
      </c>
      <c r="B2140" s="16" t="s">
        <v>7654</v>
      </c>
      <c r="C2140" s="16" t="s">
        <v>9412</v>
      </c>
      <c r="D2140" s="16" t="s">
        <v>7597</v>
      </c>
      <c r="E2140" s="16" t="s">
        <v>9101</v>
      </c>
      <c r="F2140" s="16" t="s">
        <v>9102</v>
      </c>
      <c r="G2140" s="16" t="s">
        <v>32</v>
      </c>
      <c r="H2140" s="16"/>
      <c r="I2140" s="16"/>
      <c r="J2140" s="16" t="s">
        <v>9103</v>
      </c>
      <c r="K2140" s="16"/>
      <c r="L2140" s="16" t="s">
        <v>9089</v>
      </c>
      <c r="M2140" s="19" t="s">
        <v>9104</v>
      </c>
      <c r="N2140" s="16"/>
      <c r="O2140" s="16" t="s">
        <v>9105</v>
      </c>
      <c r="P2140" s="16" t="str">
        <f>HYPERLINK("https://ceds.ed.gov/cedselementdetails.aspx?termid=28050")</f>
        <v>https://ceds.ed.gov/cedselementdetails.aspx?termid=28050</v>
      </c>
      <c r="Q2140" s="16">
        <v>76286</v>
      </c>
    </row>
    <row r="2141" spans="1:17" ht="100.8" x14ac:dyDescent="0.3">
      <c r="A2141" s="16" t="s">
        <v>7665</v>
      </c>
      <c r="B2141" s="16" t="s">
        <v>7654</v>
      </c>
      <c r="C2141" s="16" t="s">
        <v>9412</v>
      </c>
      <c r="D2141" s="16" t="s">
        <v>7597</v>
      </c>
      <c r="E2141" s="16" t="s">
        <v>9106</v>
      </c>
      <c r="F2141" s="16" t="s">
        <v>9107</v>
      </c>
      <c r="G2141" s="16" t="s">
        <v>32</v>
      </c>
      <c r="H2141" s="16"/>
      <c r="I2141" s="16"/>
      <c r="J2141" s="16" t="s">
        <v>9108</v>
      </c>
      <c r="K2141" s="16"/>
      <c r="L2141" s="16" t="s">
        <v>9089</v>
      </c>
      <c r="M2141" s="19" t="s">
        <v>9109</v>
      </c>
      <c r="N2141" s="16"/>
      <c r="O2141" s="16" t="s">
        <v>9110</v>
      </c>
      <c r="P2141" s="16" t="str">
        <f>HYPERLINK("https://ceds.ed.gov/cedselementdetails.aspx?termid=28051")</f>
        <v>https://ceds.ed.gov/cedselementdetails.aspx?termid=28051</v>
      </c>
      <c r="Q2141" s="16">
        <v>76287</v>
      </c>
    </row>
    <row r="2142" spans="1:17" ht="100.8" x14ac:dyDescent="0.3">
      <c r="A2142" s="16" t="s">
        <v>7665</v>
      </c>
      <c r="B2142" s="16" t="s">
        <v>7654</v>
      </c>
      <c r="C2142" s="16" t="s">
        <v>9412</v>
      </c>
      <c r="D2142" s="16" t="s">
        <v>7597</v>
      </c>
      <c r="E2142" s="16" t="s">
        <v>9111</v>
      </c>
      <c r="F2142" s="16" t="s">
        <v>9112</v>
      </c>
      <c r="G2142" s="16" t="s">
        <v>32</v>
      </c>
      <c r="H2142" s="16"/>
      <c r="I2142" s="16"/>
      <c r="J2142" s="16" t="s">
        <v>9103</v>
      </c>
      <c r="K2142" s="16"/>
      <c r="L2142" s="16" t="s">
        <v>9089</v>
      </c>
      <c r="M2142" s="19" t="s">
        <v>9113</v>
      </c>
      <c r="N2142" s="16"/>
      <c r="O2142" s="16" t="s">
        <v>9114</v>
      </c>
      <c r="P2142" s="16" t="str">
        <f>HYPERLINK("https://ceds.ed.gov/cedselementdetails.aspx?termid=28052")</f>
        <v>https://ceds.ed.gov/cedselementdetails.aspx?termid=28052</v>
      </c>
      <c r="Q2142" s="16">
        <v>76288</v>
      </c>
    </row>
    <row r="2143" spans="1:17" ht="100.8" x14ac:dyDescent="0.3">
      <c r="A2143" s="16" t="s">
        <v>7665</v>
      </c>
      <c r="B2143" s="16" t="s">
        <v>7654</v>
      </c>
      <c r="C2143" s="16" t="s">
        <v>9412</v>
      </c>
      <c r="D2143" s="16" t="s">
        <v>7597</v>
      </c>
      <c r="E2143" s="16" t="s">
        <v>9115</v>
      </c>
      <c r="F2143" s="16" t="s">
        <v>9116</v>
      </c>
      <c r="G2143" s="16" t="s">
        <v>32</v>
      </c>
      <c r="H2143" s="16"/>
      <c r="I2143" s="16"/>
      <c r="J2143" s="16" t="s">
        <v>34</v>
      </c>
      <c r="K2143" s="16"/>
      <c r="L2143" s="16" t="s">
        <v>9089</v>
      </c>
      <c r="M2143" s="19" t="s">
        <v>9117</v>
      </c>
      <c r="N2143" s="16"/>
      <c r="O2143" s="16" t="s">
        <v>9118</v>
      </c>
      <c r="P2143" s="16" t="str">
        <f>HYPERLINK("https://ceds.ed.gov/cedselementdetails.aspx?termid=28053")</f>
        <v>https://ceds.ed.gov/cedselementdetails.aspx?termid=28053</v>
      </c>
      <c r="Q2143" s="16">
        <v>76289</v>
      </c>
    </row>
    <row r="2144" spans="1:17" ht="100.8" x14ac:dyDescent="0.3">
      <c r="A2144" s="16" t="s">
        <v>7665</v>
      </c>
      <c r="B2144" s="16" t="s">
        <v>7654</v>
      </c>
      <c r="C2144" s="16" t="s">
        <v>9412</v>
      </c>
      <c r="D2144" s="16" t="s">
        <v>7597</v>
      </c>
      <c r="E2144" s="16" t="s">
        <v>9119</v>
      </c>
      <c r="F2144" s="16" t="s">
        <v>9120</v>
      </c>
      <c r="G2144" s="16" t="s">
        <v>32</v>
      </c>
      <c r="H2144" s="16"/>
      <c r="I2144" s="16"/>
      <c r="J2144" s="16" t="s">
        <v>9103</v>
      </c>
      <c r="K2144" s="16"/>
      <c r="L2144" s="16" t="s">
        <v>9089</v>
      </c>
      <c r="M2144" s="19" t="s">
        <v>9121</v>
      </c>
      <c r="N2144" s="16"/>
      <c r="O2144" s="16" t="s">
        <v>9122</v>
      </c>
      <c r="P2144" s="16" t="str">
        <f>HYPERLINK("https://ceds.ed.gov/cedselementdetails.aspx?termid=28054")</f>
        <v>https://ceds.ed.gov/cedselementdetails.aspx?termid=28054</v>
      </c>
      <c r="Q2144" s="16">
        <v>76290</v>
      </c>
    </row>
    <row r="2145" spans="1:17" ht="100.8" x14ac:dyDescent="0.3">
      <c r="A2145" s="16" t="s">
        <v>7665</v>
      </c>
      <c r="B2145" s="16" t="s">
        <v>7654</v>
      </c>
      <c r="C2145" s="16" t="s">
        <v>9412</v>
      </c>
      <c r="D2145" s="16" t="s">
        <v>7597</v>
      </c>
      <c r="E2145" s="16" t="s">
        <v>9123</v>
      </c>
      <c r="F2145" s="16" t="s">
        <v>9124</v>
      </c>
      <c r="G2145" s="16" t="s">
        <v>32</v>
      </c>
      <c r="H2145" s="16"/>
      <c r="I2145" s="16"/>
      <c r="J2145" s="16" t="s">
        <v>747</v>
      </c>
      <c r="K2145" s="16"/>
      <c r="L2145" s="16" t="s">
        <v>9089</v>
      </c>
      <c r="M2145" s="19" t="s">
        <v>9125</v>
      </c>
      <c r="N2145" s="16"/>
      <c r="O2145" s="16" t="s">
        <v>9126</v>
      </c>
      <c r="P2145" s="16" t="str">
        <f>HYPERLINK("https://ceds.ed.gov/cedselementdetails.aspx?termid=28055")</f>
        <v>https://ceds.ed.gov/cedselementdetails.aspx?termid=28055</v>
      </c>
      <c r="Q2145" s="16">
        <v>76291</v>
      </c>
    </row>
    <row r="2146" spans="1:17" ht="100.8" x14ac:dyDescent="0.3">
      <c r="A2146" s="16" t="s">
        <v>7665</v>
      </c>
      <c r="B2146" s="16" t="s">
        <v>7654</v>
      </c>
      <c r="C2146" s="16" t="s">
        <v>9412</v>
      </c>
      <c r="D2146" s="16" t="s">
        <v>7597</v>
      </c>
      <c r="E2146" s="16" t="s">
        <v>9127</v>
      </c>
      <c r="F2146" s="16" t="s">
        <v>9128</v>
      </c>
      <c r="G2146" s="16" t="s">
        <v>32</v>
      </c>
      <c r="H2146" s="16"/>
      <c r="I2146" s="16"/>
      <c r="J2146" s="16" t="s">
        <v>34</v>
      </c>
      <c r="K2146" s="16"/>
      <c r="L2146" s="16" t="s">
        <v>9089</v>
      </c>
      <c r="M2146" s="19" t="s">
        <v>9129</v>
      </c>
      <c r="N2146" s="16"/>
      <c r="O2146" s="16" t="s">
        <v>9130</v>
      </c>
      <c r="P2146" s="16" t="str">
        <f>HYPERLINK("https://ceds.ed.gov/cedselementdetails.aspx?termid=28056")</f>
        <v>https://ceds.ed.gov/cedselementdetails.aspx?termid=28056</v>
      </c>
      <c r="Q2146" s="16">
        <v>76292</v>
      </c>
    </row>
    <row r="2147" spans="1:17" ht="144" x14ac:dyDescent="0.3">
      <c r="A2147" s="16" t="s">
        <v>7665</v>
      </c>
      <c r="B2147" s="16" t="s">
        <v>7654</v>
      </c>
      <c r="C2147" s="16" t="s">
        <v>9412</v>
      </c>
      <c r="D2147" s="16" t="s">
        <v>7597</v>
      </c>
      <c r="E2147" s="16" t="s">
        <v>9131</v>
      </c>
      <c r="F2147" s="16" t="s">
        <v>9132</v>
      </c>
      <c r="G2147" s="16" t="s">
        <v>9300</v>
      </c>
      <c r="H2147" s="16"/>
      <c r="I2147" s="16"/>
      <c r="J2147" s="16" t="s">
        <v>2</v>
      </c>
      <c r="K2147" s="16"/>
      <c r="L2147" s="16" t="s">
        <v>9089</v>
      </c>
      <c r="M2147" s="19" t="s">
        <v>9133</v>
      </c>
      <c r="N2147" s="16"/>
      <c r="O2147" s="16" t="s">
        <v>9134</v>
      </c>
      <c r="P2147" s="16" t="str">
        <f>HYPERLINK("https://ceds.ed.gov/cedselementdetails.aspx?termid=28057")</f>
        <v>https://ceds.ed.gov/cedselementdetails.aspx?termid=28057</v>
      </c>
      <c r="Q2147" s="16">
        <v>76293</v>
      </c>
    </row>
    <row r="2148" spans="1:17" ht="158.4" x14ac:dyDescent="0.3">
      <c r="A2148" s="16" t="s">
        <v>7665</v>
      </c>
      <c r="B2148" s="16" t="s">
        <v>7654</v>
      </c>
      <c r="C2148" s="16" t="s">
        <v>9412</v>
      </c>
      <c r="D2148" s="16" t="s">
        <v>7597</v>
      </c>
      <c r="E2148" s="16" t="s">
        <v>9135</v>
      </c>
      <c r="F2148" s="16" t="s">
        <v>9136</v>
      </c>
      <c r="G2148" s="16" t="s">
        <v>9301</v>
      </c>
      <c r="H2148" s="16"/>
      <c r="I2148" s="16"/>
      <c r="J2148" s="16" t="s">
        <v>2</v>
      </c>
      <c r="K2148" s="16"/>
      <c r="L2148" s="16" t="s">
        <v>9089</v>
      </c>
      <c r="M2148" s="19" t="s">
        <v>9137</v>
      </c>
      <c r="N2148" s="16"/>
      <c r="O2148" s="16" t="s">
        <v>9138</v>
      </c>
      <c r="P2148" s="16" t="str">
        <f>HYPERLINK("https://ceds.ed.gov/cedselementdetails.aspx?termid=28058")</f>
        <v>https://ceds.ed.gov/cedselementdetails.aspx?termid=28058</v>
      </c>
      <c r="Q2148" s="16">
        <v>76294</v>
      </c>
    </row>
    <row r="2149" spans="1:17" ht="100.8" x14ac:dyDescent="0.3">
      <c r="A2149" s="16" t="s">
        <v>7665</v>
      </c>
      <c r="B2149" s="16" t="s">
        <v>7654</v>
      </c>
      <c r="C2149" s="16" t="s">
        <v>9412</v>
      </c>
      <c r="D2149" s="16" t="s">
        <v>7597</v>
      </c>
      <c r="E2149" s="16" t="s">
        <v>9139</v>
      </c>
      <c r="F2149" s="16" t="s">
        <v>9140</v>
      </c>
      <c r="G2149" s="16" t="s">
        <v>32</v>
      </c>
      <c r="H2149" s="16"/>
      <c r="I2149" s="16"/>
      <c r="J2149" s="16" t="s">
        <v>34</v>
      </c>
      <c r="K2149" s="16"/>
      <c r="L2149" s="16" t="s">
        <v>9089</v>
      </c>
      <c r="M2149" s="19" t="s">
        <v>9141</v>
      </c>
      <c r="N2149" s="16"/>
      <c r="O2149" s="16" t="s">
        <v>9142</v>
      </c>
      <c r="P2149" s="16" t="str">
        <f>HYPERLINK("https://ceds.ed.gov/cedselementdetails.aspx?termid=28059")</f>
        <v>https://ceds.ed.gov/cedselementdetails.aspx?termid=28059</v>
      </c>
      <c r="Q2149" s="16">
        <v>76295</v>
      </c>
    </row>
    <row r="2150" spans="1:17" ht="100.8" x14ac:dyDescent="0.3">
      <c r="A2150" s="16" t="s">
        <v>7665</v>
      </c>
      <c r="B2150" s="16" t="s">
        <v>7654</v>
      </c>
      <c r="C2150" s="16" t="s">
        <v>9412</v>
      </c>
      <c r="D2150" s="16" t="s">
        <v>7597</v>
      </c>
      <c r="E2150" s="16" t="s">
        <v>9143</v>
      </c>
      <c r="F2150" s="16" t="s">
        <v>9144</v>
      </c>
      <c r="G2150" s="16" t="s">
        <v>32</v>
      </c>
      <c r="H2150" s="16"/>
      <c r="I2150" s="16"/>
      <c r="J2150" s="16" t="s">
        <v>120</v>
      </c>
      <c r="K2150" s="16"/>
      <c r="L2150" s="16" t="s">
        <v>9089</v>
      </c>
      <c r="M2150" s="19" t="s">
        <v>9145</v>
      </c>
      <c r="N2150" s="16"/>
      <c r="O2150" s="16" t="s">
        <v>9146</v>
      </c>
      <c r="P2150" s="16" t="str">
        <f>HYPERLINK("https://ceds.ed.gov/cedselementdetails.aspx?termid=28060")</f>
        <v>https://ceds.ed.gov/cedselementdetails.aspx?termid=28060</v>
      </c>
      <c r="Q2150" s="16">
        <v>76296</v>
      </c>
    </row>
    <row r="2151" spans="1:17" ht="129.6" x14ac:dyDescent="0.3">
      <c r="A2151" s="16" t="s">
        <v>7665</v>
      </c>
      <c r="B2151" s="16" t="s">
        <v>7654</v>
      </c>
      <c r="C2151" s="16" t="s">
        <v>9412</v>
      </c>
      <c r="D2151" s="16" t="s">
        <v>7597</v>
      </c>
      <c r="E2151" s="16" t="s">
        <v>9147</v>
      </c>
      <c r="F2151" s="16" t="s">
        <v>9148</v>
      </c>
      <c r="G2151" s="16" t="s">
        <v>9302</v>
      </c>
      <c r="H2151" s="16"/>
      <c r="I2151" s="16"/>
      <c r="J2151" s="16" t="s">
        <v>2</v>
      </c>
      <c r="K2151" s="16"/>
      <c r="L2151" s="16" t="s">
        <v>9089</v>
      </c>
      <c r="M2151" s="19" t="s">
        <v>9149</v>
      </c>
      <c r="N2151" s="16"/>
      <c r="O2151" s="16" t="s">
        <v>9150</v>
      </c>
      <c r="P2151" s="16" t="str">
        <f>HYPERLINK("https://ceds.ed.gov/cedselementdetails.aspx?termid=28061")</f>
        <v>https://ceds.ed.gov/cedselementdetails.aspx?termid=28061</v>
      </c>
      <c r="Q2151" s="16">
        <v>76297</v>
      </c>
    </row>
    <row r="2152" spans="1:17" ht="115.2" x14ac:dyDescent="0.3">
      <c r="A2152" s="16" t="s">
        <v>7665</v>
      </c>
      <c r="B2152" s="16" t="s">
        <v>7654</v>
      </c>
      <c r="C2152" s="16" t="s">
        <v>9412</v>
      </c>
      <c r="D2152" s="16" t="s">
        <v>7597</v>
      </c>
      <c r="E2152" s="16" t="s">
        <v>9151</v>
      </c>
      <c r="F2152" s="16" t="s">
        <v>9152</v>
      </c>
      <c r="G2152" s="16" t="s">
        <v>9303</v>
      </c>
      <c r="H2152" s="16"/>
      <c r="I2152" s="16"/>
      <c r="J2152" s="16" t="s">
        <v>2</v>
      </c>
      <c r="K2152" s="16"/>
      <c r="L2152" s="16" t="s">
        <v>9089</v>
      </c>
      <c r="M2152" s="19" t="s">
        <v>9153</v>
      </c>
      <c r="N2152" s="16"/>
      <c r="O2152" s="16" t="s">
        <v>9154</v>
      </c>
      <c r="P2152" s="16" t="str">
        <f>HYPERLINK("https://ceds.ed.gov/cedselementdetails.aspx?termid=28062")</f>
        <v>https://ceds.ed.gov/cedselementdetails.aspx?termid=28062</v>
      </c>
      <c r="Q2152" s="16">
        <v>76298</v>
      </c>
    </row>
    <row r="2153" spans="1:17" ht="100.8" x14ac:dyDescent="0.3">
      <c r="A2153" s="16" t="s">
        <v>7665</v>
      </c>
      <c r="B2153" s="16" t="s">
        <v>7654</v>
      </c>
      <c r="C2153" s="16" t="s">
        <v>9412</v>
      </c>
      <c r="D2153" s="16" t="s">
        <v>7597</v>
      </c>
      <c r="E2153" s="16" t="s">
        <v>9155</v>
      </c>
      <c r="F2153" s="16" t="s">
        <v>9156</v>
      </c>
      <c r="G2153" s="16" t="s">
        <v>32</v>
      </c>
      <c r="H2153" s="16"/>
      <c r="I2153" s="16"/>
      <c r="J2153" s="16" t="s">
        <v>120</v>
      </c>
      <c r="K2153" s="16"/>
      <c r="L2153" s="16" t="s">
        <v>9089</v>
      </c>
      <c r="M2153" s="19" t="s">
        <v>9157</v>
      </c>
      <c r="N2153" s="16"/>
      <c r="O2153" s="16" t="s">
        <v>9158</v>
      </c>
      <c r="P2153" s="16" t="str">
        <f>HYPERLINK("https://ceds.ed.gov/cedselementdetails.aspx?termid=28063")</f>
        <v>https://ceds.ed.gov/cedselementdetails.aspx?termid=28063</v>
      </c>
      <c r="Q2153" s="16">
        <v>76299</v>
      </c>
    </row>
    <row r="2154" spans="1:17" ht="100.8" x14ac:dyDescent="0.3">
      <c r="A2154" s="16" t="s">
        <v>7665</v>
      </c>
      <c r="B2154" s="16" t="s">
        <v>7654</v>
      </c>
      <c r="C2154" s="16" t="s">
        <v>9412</v>
      </c>
      <c r="D2154" s="16" t="s">
        <v>7597</v>
      </c>
      <c r="E2154" s="16" t="s">
        <v>9159</v>
      </c>
      <c r="F2154" s="16" t="s">
        <v>9160</v>
      </c>
      <c r="G2154" s="16" t="s">
        <v>32</v>
      </c>
      <c r="H2154" s="16"/>
      <c r="I2154" s="16"/>
      <c r="J2154" s="16" t="s">
        <v>120</v>
      </c>
      <c r="K2154" s="16"/>
      <c r="L2154" s="16" t="s">
        <v>9089</v>
      </c>
      <c r="M2154" s="19" t="s">
        <v>9161</v>
      </c>
      <c r="N2154" s="16"/>
      <c r="O2154" s="16" t="s">
        <v>9162</v>
      </c>
      <c r="P2154" s="16" t="str">
        <f>HYPERLINK("https://ceds.ed.gov/cedselementdetails.aspx?termid=28064")</f>
        <v>https://ceds.ed.gov/cedselementdetails.aspx?termid=28064</v>
      </c>
      <c r="Q2154" s="16">
        <v>76300</v>
      </c>
    </row>
    <row r="2155" spans="1:17" ht="100.8" x14ac:dyDescent="0.3">
      <c r="A2155" s="16" t="s">
        <v>7665</v>
      </c>
      <c r="B2155" s="16" t="s">
        <v>7654</v>
      </c>
      <c r="C2155" s="16" t="s">
        <v>9412</v>
      </c>
      <c r="D2155" s="16" t="s">
        <v>7597</v>
      </c>
      <c r="E2155" s="16" t="s">
        <v>9163</v>
      </c>
      <c r="F2155" s="16" t="s">
        <v>9164</v>
      </c>
      <c r="G2155" s="16" t="s">
        <v>32</v>
      </c>
      <c r="H2155" s="16"/>
      <c r="I2155" s="16"/>
      <c r="J2155" s="16" t="s">
        <v>34</v>
      </c>
      <c r="K2155" s="16"/>
      <c r="L2155" s="16" t="s">
        <v>9089</v>
      </c>
      <c r="M2155" s="19" t="s">
        <v>9165</v>
      </c>
      <c r="N2155" s="16"/>
      <c r="O2155" s="16" t="s">
        <v>9166</v>
      </c>
      <c r="P2155" s="16" t="str">
        <f>HYPERLINK("https://ceds.ed.gov/cedselementdetails.aspx?termid=28065")</f>
        <v>https://ceds.ed.gov/cedselementdetails.aspx?termid=28065</v>
      </c>
      <c r="Q2155" s="16">
        <v>76301</v>
      </c>
    </row>
    <row r="2156" spans="1:17" ht="100.8" x14ac:dyDescent="0.3">
      <c r="A2156" s="16" t="s">
        <v>7665</v>
      </c>
      <c r="B2156" s="16" t="s">
        <v>7654</v>
      </c>
      <c r="C2156" s="16" t="s">
        <v>9412</v>
      </c>
      <c r="D2156" s="16" t="s">
        <v>7597</v>
      </c>
      <c r="E2156" s="16" t="s">
        <v>9167</v>
      </c>
      <c r="F2156" s="16" t="s">
        <v>9168</v>
      </c>
      <c r="G2156" s="16" t="s">
        <v>32</v>
      </c>
      <c r="H2156" s="16"/>
      <c r="I2156" s="16"/>
      <c r="J2156" s="16" t="s">
        <v>120</v>
      </c>
      <c r="K2156" s="16"/>
      <c r="L2156" s="16" t="s">
        <v>9089</v>
      </c>
      <c r="M2156" s="19" t="s">
        <v>9169</v>
      </c>
      <c r="N2156" s="16"/>
      <c r="O2156" s="16" t="s">
        <v>9170</v>
      </c>
      <c r="P2156" s="16" t="str">
        <f>HYPERLINK("https://ceds.ed.gov/cedselementdetails.aspx?termid=28066")</f>
        <v>https://ceds.ed.gov/cedselementdetails.aspx?termid=28066</v>
      </c>
      <c r="Q2156" s="16">
        <v>76302</v>
      </c>
    </row>
    <row r="2157" spans="1:17" ht="259.2" x14ac:dyDescent="0.3">
      <c r="A2157" s="16" t="s">
        <v>7665</v>
      </c>
      <c r="B2157" s="16" t="s">
        <v>7654</v>
      </c>
      <c r="C2157" s="16" t="s">
        <v>9412</v>
      </c>
      <c r="D2157" s="16" t="s">
        <v>7597</v>
      </c>
      <c r="E2157" s="16" t="s">
        <v>9171</v>
      </c>
      <c r="F2157" s="16" t="s">
        <v>9172</v>
      </c>
      <c r="G2157" s="16" t="s">
        <v>32</v>
      </c>
      <c r="H2157" s="16"/>
      <c r="I2157" s="16"/>
      <c r="J2157" s="16" t="s">
        <v>9103</v>
      </c>
      <c r="K2157" s="16"/>
      <c r="L2157" s="16" t="s">
        <v>9173</v>
      </c>
      <c r="M2157" s="19" t="s">
        <v>9174</v>
      </c>
      <c r="N2157" s="16"/>
      <c r="O2157" s="16" t="s">
        <v>9175</v>
      </c>
      <c r="P2157" s="16" t="str">
        <f>HYPERLINK("https://ceds.ed.gov/cedselementdetails.aspx?termid=28067")</f>
        <v>https://ceds.ed.gov/cedselementdetails.aspx?termid=28067</v>
      </c>
      <c r="Q2157" s="16">
        <v>76303</v>
      </c>
    </row>
    <row r="2158" spans="1:17" ht="100.8" x14ac:dyDescent="0.3">
      <c r="A2158" s="16" t="s">
        <v>7665</v>
      </c>
      <c r="B2158" s="16" t="s">
        <v>7654</v>
      </c>
      <c r="C2158" s="16" t="s">
        <v>9412</v>
      </c>
      <c r="D2158" s="16" t="s">
        <v>7597</v>
      </c>
      <c r="E2158" s="16" t="s">
        <v>9176</v>
      </c>
      <c r="F2158" s="16" t="s">
        <v>9177</v>
      </c>
      <c r="G2158" s="16" t="s">
        <v>32</v>
      </c>
      <c r="H2158" s="16"/>
      <c r="I2158" s="16"/>
      <c r="J2158" s="16" t="s">
        <v>34</v>
      </c>
      <c r="K2158" s="16"/>
      <c r="L2158" s="16" t="s">
        <v>9089</v>
      </c>
      <c r="M2158" s="19" t="s">
        <v>9178</v>
      </c>
      <c r="N2158" s="16"/>
      <c r="O2158" s="16" t="s">
        <v>9179</v>
      </c>
      <c r="P2158" s="16" t="str">
        <f>HYPERLINK("https://ceds.ed.gov/cedselementdetails.aspx?termid=28068")</f>
        <v>https://ceds.ed.gov/cedselementdetails.aspx?termid=28068</v>
      </c>
      <c r="Q2158" s="16">
        <v>76304</v>
      </c>
    </row>
    <row r="2159" spans="1:17" ht="100.8" x14ac:dyDescent="0.3">
      <c r="A2159" s="16" t="s">
        <v>7665</v>
      </c>
      <c r="B2159" s="16" t="s">
        <v>7654</v>
      </c>
      <c r="C2159" s="16" t="s">
        <v>9412</v>
      </c>
      <c r="D2159" s="16" t="s">
        <v>7597</v>
      </c>
      <c r="E2159" s="16" t="s">
        <v>9180</v>
      </c>
      <c r="F2159" s="16" t="s">
        <v>9181</v>
      </c>
      <c r="G2159" s="16" t="s">
        <v>32</v>
      </c>
      <c r="H2159" s="16"/>
      <c r="I2159" s="16"/>
      <c r="J2159" s="16" t="s">
        <v>316</v>
      </c>
      <c r="K2159" s="16"/>
      <c r="L2159" s="16" t="s">
        <v>9089</v>
      </c>
      <c r="M2159" s="19" t="s">
        <v>9182</v>
      </c>
      <c r="N2159" s="16"/>
      <c r="O2159" s="16" t="s">
        <v>9183</v>
      </c>
      <c r="P2159" s="16" t="str">
        <f>HYPERLINK("https://ceds.ed.gov/cedselementdetails.aspx?termid=28069")</f>
        <v>https://ceds.ed.gov/cedselementdetails.aspx?termid=28069</v>
      </c>
      <c r="Q2159" s="16">
        <v>76305</v>
      </c>
    </row>
    <row r="2160" spans="1:17" ht="100.8" x14ac:dyDescent="0.3">
      <c r="A2160" s="16" t="s">
        <v>7665</v>
      </c>
      <c r="B2160" s="16" t="s">
        <v>7654</v>
      </c>
      <c r="C2160" s="16" t="s">
        <v>9412</v>
      </c>
      <c r="D2160" s="16" t="s">
        <v>7597</v>
      </c>
      <c r="E2160" s="16" t="s">
        <v>9184</v>
      </c>
      <c r="F2160" s="16" t="s">
        <v>9185</v>
      </c>
      <c r="G2160" s="16" t="s">
        <v>32</v>
      </c>
      <c r="H2160" s="16"/>
      <c r="I2160" s="16"/>
      <c r="J2160" s="16" t="s">
        <v>120</v>
      </c>
      <c r="K2160" s="16"/>
      <c r="L2160" s="16" t="s">
        <v>9186</v>
      </c>
      <c r="M2160" s="19" t="s">
        <v>9187</v>
      </c>
      <c r="N2160" s="16"/>
      <c r="O2160" s="16" t="s">
        <v>9188</v>
      </c>
      <c r="P2160" s="16" t="str">
        <f>HYPERLINK("https://ceds.ed.gov/cedselementdetails.aspx?termid=28070")</f>
        <v>https://ceds.ed.gov/cedselementdetails.aspx?termid=28070</v>
      </c>
      <c r="Q2160" s="16">
        <v>76306</v>
      </c>
    </row>
    <row r="2161" spans="1:17" ht="57.6" x14ac:dyDescent="0.3">
      <c r="A2161" s="16" t="s">
        <v>7665</v>
      </c>
      <c r="B2161" s="16" t="s">
        <v>7654</v>
      </c>
      <c r="C2161" s="16" t="s">
        <v>9412</v>
      </c>
      <c r="D2161" s="16" t="s">
        <v>7597</v>
      </c>
      <c r="E2161" s="16" t="s">
        <v>9320</v>
      </c>
      <c r="F2161" s="16" t="s">
        <v>9321</v>
      </c>
      <c r="G2161" s="16" t="s">
        <v>8730</v>
      </c>
      <c r="H2161" s="16"/>
      <c r="I2161" s="16"/>
      <c r="J2161" s="16"/>
      <c r="K2161" s="16"/>
      <c r="L2161" s="16"/>
      <c r="M2161" s="19" t="s">
        <v>5406</v>
      </c>
      <c r="N2161" s="16"/>
      <c r="O2161" s="16" t="s">
        <v>9322</v>
      </c>
      <c r="P2161" s="16" t="str">
        <f>HYPERLINK("https://ceds.ed.gov/cedselementdetails.aspx?termid=27557")</f>
        <v>https://ceds.ed.gov/cedselementdetails.aspx?termid=27557</v>
      </c>
      <c r="Q2161" s="16">
        <v>76307</v>
      </c>
    </row>
    <row r="2162" spans="1:17" ht="100.8" x14ac:dyDescent="0.3">
      <c r="A2162" s="16" t="s">
        <v>7665</v>
      </c>
      <c r="B2162" s="16" t="s">
        <v>7654</v>
      </c>
      <c r="C2162" s="16" t="s">
        <v>9412</v>
      </c>
      <c r="D2162" s="16" t="s">
        <v>7597</v>
      </c>
      <c r="E2162" s="16" t="s">
        <v>9193</v>
      </c>
      <c r="F2162" s="16" t="s">
        <v>9194</v>
      </c>
      <c r="G2162" s="16" t="s">
        <v>2987</v>
      </c>
      <c r="H2162" s="16"/>
      <c r="I2162" s="16"/>
      <c r="J2162" s="16" t="s">
        <v>2</v>
      </c>
      <c r="K2162" s="16"/>
      <c r="L2162" s="16" t="s">
        <v>9089</v>
      </c>
      <c r="M2162" s="19" t="s">
        <v>9195</v>
      </c>
      <c r="N2162" s="16"/>
      <c r="O2162" s="16" t="s">
        <v>9196</v>
      </c>
      <c r="P2162" s="16" t="str">
        <f>HYPERLINK("https://ceds.ed.gov/cedselementdetails.aspx?termid=28072")</f>
        <v>https://ceds.ed.gov/cedselementdetails.aspx?termid=28072</v>
      </c>
      <c r="Q2162" s="16">
        <v>76308</v>
      </c>
    </row>
    <row r="2163" spans="1:17" ht="158.4" x14ac:dyDescent="0.3">
      <c r="A2163" s="16" t="s">
        <v>7665</v>
      </c>
      <c r="B2163" s="16" t="s">
        <v>7712</v>
      </c>
      <c r="C2163" s="16" t="s">
        <v>7625</v>
      </c>
      <c r="D2163" s="16" t="s">
        <v>7597</v>
      </c>
      <c r="E2163" s="16" t="s">
        <v>3990</v>
      </c>
      <c r="F2163" s="16" t="s">
        <v>3991</v>
      </c>
      <c r="G2163" s="16" t="s">
        <v>32</v>
      </c>
      <c r="H2163" s="16" t="s">
        <v>3994</v>
      </c>
      <c r="I2163" s="16"/>
      <c r="J2163" s="16" t="s">
        <v>7426</v>
      </c>
      <c r="K2163" s="16"/>
      <c r="L2163" s="16" t="s">
        <v>8047</v>
      </c>
      <c r="M2163" s="19" t="s">
        <v>3992</v>
      </c>
      <c r="N2163" s="16"/>
      <c r="O2163" s="16" t="s">
        <v>3993</v>
      </c>
      <c r="P2163" s="16" t="str">
        <f>HYPERLINK("https://ceds.ed.gov/cedselementdetails.aspx?termid=26115")</f>
        <v>https://ceds.ed.gov/cedselementdetails.aspx?termid=26115</v>
      </c>
      <c r="Q2163" s="16">
        <v>71085</v>
      </c>
    </row>
    <row r="2164" spans="1:17" ht="158.4" x14ac:dyDescent="0.3">
      <c r="A2164" s="16" t="s">
        <v>7665</v>
      </c>
      <c r="B2164" s="16" t="s">
        <v>7712</v>
      </c>
      <c r="C2164" s="16" t="s">
        <v>7625</v>
      </c>
      <c r="D2164" s="16" t="s">
        <v>7597</v>
      </c>
      <c r="E2164" s="16" t="s">
        <v>5328</v>
      </c>
      <c r="F2164" s="16" t="s">
        <v>5329</v>
      </c>
      <c r="G2164" s="16" t="s">
        <v>32</v>
      </c>
      <c r="H2164" s="16" t="s">
        <v>3994</v>
      </c>
      <c r="I2164" s="16"/>
      <c r="J2164" s="16" t="s">
        <v>7426</v>
      </c>
      <c r="K2164" s="16"/>
      <c r="L2164" s="16" t="s">
        <v>8053</v>
      </c>
      <c r="M2164" s="19" t="s">
        <v>5330</v>
      </c>
      <c r="N2164" s="16"/>
      <c r="O2164" s="16" t="s">
        <v>5331</v>
      </c>
      <c r="P2164" s="16" t="str">
        <f>HYPERLINK("https://ceds.ed.gov/cedselementdetails.aspx?termid=26184")</f>
        <v>https://ceds.ed.gov/cedselementdetails.aspx?termid=26184</v>
      </c>
      <c r="Q2164" s="16">
        <v>71100</v>
      </c>
    </row>
    <row r="2165" spans="1:17" ht="158.4" x14ac:dyDescent="0.3">
      <c r="A2165" s="16" t="s">
        <v>7665</v>
      </c>
      <c r="B2165" s="16" t="s">
        <v>7712</v>
      </c>
      <c r="C2165" s="16" t="s">
        <v>7625</v>
      </c>
      <c r="D2165" s="16" t="s">
        <v>7597</v>
      </c>
      <c r="E2165" s="16" t="s">
        <v>4893</v>
      </c>
      <c r="F2165" s="16" t="s">
        <v>4894</v>
      </c>
      <c r="G2165" s="16" t="s">
        <v>32</v>
      </c>
      <c r="H2165" s="16" t="s">
        <v>3994</v>
      </c>
      <c r="I2165" s="16"/>
      <c r="J2165" s="16" t="s">
        <v>7426</v>
      </c>
      <c r="K2165" s="16"/>
      <c r="L2165" s="16" t="s">
        <v>8053</v>
      </c>
      <c r="M2165" s="19" t="s">
        <v>4895</v>
      </c>
      <c r="N2165" s="16" t="s">
        <v>4896</v>
      </c>
      <c r="O2165" s="16" t="s">
        <v>4897</v>
      </c>
      <c r="P2165" s="16" t="str">
        <f>HYPERLINK("https://ceds.ed.gov/cedselementdetails.aspx?termid=26172")</f>
        <v>https://ceds.ed.gov/cedselementdetails.aspx?termid=26172</v>
      </c>
      <c r="Q2165" s="16">
        <v>71099</v>
      </c>
    </row>
    <row r="2166" spans="1:17" ht="129.6" x14ac:dyDescent="0.3">
      <c r="A2166" s="16" t="s">
        <v>7665</v>
      </c>
      <c r="B2166" s="16" t="s">
        <v>7712</v>
      </c>
      <c r="C2166" s="16" t="s">
        <v>7625</v>
      </c>
      <c r="D2166" s="16" t="s">
        <v>7597</v>
      </c>
      <c r="E2166" s="16" t="s">
        <v>4054</v>
      </c>
      <c r="F2166" s="16" t="s">
        <v>4055</v>
      </c>
      <c r="G2166" s="16" t="s">
        <v>32</v>
      </c>
      <c r="H2166" s="16" t="s">
        <v>4059</v>
      </c>
      <c r="I2166" s="16"/>
      <c r="J2166" s="16" t="s">
        <v>2697</v>
      </c>
      <c r="K2166" s="16"/>
      <c r="L2166" s="16" t="s">
        <v>8053</v>
      </c>
      <c r="M2166" s="19" t="s">
        <v>4057</v>
      </c>
      <c r="N2166" s="16"/>
      <c r="O2166" s="16" t="s">
        <v>4058</v>
      </c>
      <c r="P2166" s="16" t="str">
        <f>HYPERLINK("https://ceds.ed.gov/cedselementdetails.aspx?termid=26121")</f>
        <v>https://ceds.ed.gov/cedselementdetails.aspx?termid=26121</v>
      </c>
      <c r="Q2166" s="16">
        <v>71087</v>
      </c>
    </row>
    <row r="2167" spans="1:17" ht="86.4" x14ac:dyDescent="0.3">
      <c r="A2167" s="16" t="s">
        <v>7665</v>
      </c>
      <c r="B2167" s="16" t="s">
        <v>7712</v>
      </c>
      <c r="C2167" s="16" t="s">
        <v>7625</v>
      </c>
      <c r="D2167" s="16" t="s">
        <v>7597</v>
      </c>
      <c r="E2167" s="16" t="s">
        <v>5760</v>
      </c>
      <c r="F2167" s="16" t="s">
        <v>5761</v>
      </c>
      <c r="G2167" s="16" t="s">
        <v>32</v>
      </c>
      <c r="H2167" s="16" t="s">
        <v>5765</v>
      </c>
      <c r="I2167" s="16"/>
      <c r="J2167" s="16" t="s">
        <v>81</v>
      </c>
      <c r="K2167" s="16"/>
      <c r="L2167" s="16"/>
      <c r="M2167" s="19" t="s">
        <v>5762</v>
      </c>
      <c r="N2167" s="16" t="s">
        <v>5763</v>
      </c>
      <c r="O2167" s="16" t="s">
        <v>5764</v>
      </c>
      <c r="P2167" s="16" t="str">
        <f>HYPERLINK("https://ceds.ed.gov/cedselementdetails.aspx?termid=26212")</f>
        <v>https://ceds.ed.gov/cedselementdetails.aspx?termid=26212</v>
      </c>
      <c r="Q2167" s="16">
        <v>71105</v>
      </c>
    </row>
    <row r="2168" spans="1:17" ht="28.8" x14ac:dyDescent="0.3">
      <c r="A2168" s="16" t="s">
        <v>7665</v>
      </c>
      <c r="B2168" s="16" t="s">
        <v>7712</v>
      </c>
      <c r="C2168" s="16" t="s">
        <v>7626</v>
      </c>
      <c r="D2168" s="16" t="s">
        <v>7597</v>
      </c>
      <c r="E2168" s="16" t="s">
        <v>5631</v>
      </c>
      <c r="F2168" s="16" t="s">
        <v>5632</v>
      </c>
      <c r="G2168" s="16" t="s">
        <v>32</v>
      </c>
      <c r="H2168" s="16"/>
      <c r="I2168" s="16"/>
      <c r="J2168" s="16" t="s">
        <v>1266</v>
      </c>
      <c r="K2168" s="16"/>
      <c r="L2168" s="16" t="s">
        <v>5633</v>
      </c>
      <c r="M2168" s="19" t="s">
        <v>5634</v>
      </c>
      <c r="N2168" s="16"/>
      <c r="O2168" s="16" t="s">
        <v>5635</v>
      </c>
      <c r="P2168" s="16" t="str">
        <f>HYPERLINK("https://ceds.ed.gov/cedselementdetails.aspx?termid=27486")</f>
        <v>https://ceds.ed.gov/cedselementdetails.aspx?termid=27486</v>
      </c>
      <c r="Q2168" s="16">
        <v>73632</v>
      </c>
    </row>
    <row r="2169" spans="1:17" ht="28.8" x14ac:dyDescent="0.3">
      <c r="A2169" s="16" t="s">
        <v>7665</v>
      </c>
      <c r="B2169" s="16" t="s">
        <v>7712</v>
      </c>
      <c r="C2169" s="16" t="s">
        <v>7626</v>
      </c>
      <c r="D2169" s="16" t="s">
        <v>7597</v>
      </c>
      <c r="E2169" s="16" t="s">
        <v>5641</v>
      </c>
      <c r="F2169" s="16" t="s">
        <v>5642</v>
      </c>
      <c r="G2169" s="16" t="s">
        <v>32</v>
      </c>
      <c r="H2169" s="16"/>
      <c r="I2169" s="16"/>
      <c r="J2169" s="16" t="s">
        <v>1266</v>
      </c>
      <c r="K2169" s="16"/>
      <c r="L2169" s="16" t="s">
        <v>5643</v>
      </c>
      <c r="M2169" s="19" t="s">
        <v>5644</v>
      </c>
      <c r="N2169" s="16"/>
      <c r="O2169" s="16" t="s">
        <v>5645</v>
      </c>
      <c r="P2169" s="16" t="str">
        <f>HYPERLINK("https://ceds.ed.gov/cedselementdetails.aspx?termid=27487")</f>
        <v>https://ceds.ed.gov/cedselementdetails.aspx?termid=27487</v>
      </c>
      <c r="Q2169" s="16">
        <v>73648</v>
      </c>
    </row>
    <row r="2170" spans="1:17" ht="28.8" x14ac:dyDescent="0.3">
      <c r="A2170" s="16" t="s">
        <v>7665</v>
      </c>
      <c r="B2170" s="16" t="s">
        <v>7712</v>
      </c>
      <c r="C2170" s="16" t="s">
        <v>7626</v>
      </c>
      <c r="D2170" s="16" t="s">
        <v>7597</v>
      </c>
      <c r="E2170" s="16" t="s">
        <v>5636</v>
      </c>
      <c r="F2170" s="16" t="s">
        <v>5637</v>
      </c>
      <c r="G2170" s="16" t="s">
        <v>32</v>
      </c>
      <c r="H2170" s="16"/>
      <c r="I2170" s="16"/>
      <c r="J2170" s="16" t="s">
        <v>1266</v>
      </c>
      <c r="K2170" s="16"/>
      <c r="L2170" s="16" t="s">
        <v>5638</v>
      </c>
      <c r="M2170" s="19" t="s">
        <v>5639</v>
      </c>
      <c r="N2170" s="16"/>
      <c r="O2170" s="16" t="s">
        <v>5640</v>
      </c>
      <c r="P2170" s="16" t="str">
        <f>HYPERLINK("https://ceds.ed.gov/cedselementdetails.aspx?termid=27485")</f>
        <v>https://ceds.ed.gov/cedselementdetails.aspx?termid=27485</v>
      </c>
      <c r="Q2170" s="16">
        <v>73616</v>
      </c>
    </row>
    <row r="2171" spans="1:17" ht="129.6" x14ac:dyDescent="0.3">
      <c r="A2171" s="16" t="s">
        <v>7665</v>
      </c>
      <c r="B2171" s="16" t="s">
        <v>7712</v>
      </c>
      <c r="C2171" s="16" t="s">
        <v>7626</v>
      </c>
      <c r="D2171" s="16" t="s">
        <v>7597</v>
      </c>
      <c r="E2171" s="16" t="s">
        <v>5646</v>
      </c>
      <c r="F2171" s="16" t="s">
        <v>5647</v>
      </c>
      <c r="G2171" s="16" t="s">
        <v>32</v>
      </c>
      <c r="H2171" s="16" t="s">
        <v>4059</v>
      </c>
      <c r="I2171" s="16"/>
      <c r="J2171" s="16" t="s">
        <v>120</v>
      </c>
      <c r="K2171" s="16"/>
      <c r="L2171" s="16"/>
      <c r="M2171" s="19" t="s">
        <v>5648</v>
      </c>
      <c r="N2171" s="16"/>
      <c r="O2171" s="16" t="s">
        <v>5649</v>
      </c>
      <c r="P2171" s="16" t="str">
        <f>HYPERLINK("https://ceds.ed.gov/cedselementdetails.aspx?termid=26206")</f>
        <v>https://ceds.ed.gov/cedselementdetails.aspx?termid=26206</v>
      </c>
      <c r="Q2171" s="16">
        <v>71103</v>
      </c>
    </row>
    <row r="2172" spans="1:17" ht="115.2" x14ac:dyDescent="0.3">
      <c r="A2172" s="16" t="s">
        <v>7665</v>
      </c>
      <c r="B2172" s="16" t="s">
        <v>7712</v>
      </c>
      <c r="C2172" s="16" t="s">
        <v>7626</v>
      </c>
      <c r="D2172" s="16" t="s">
        <v>7597</v>
      </c>
      <c r="E2172" s="16" t="s">
        <v>5650</v>
      </c>
      <c r="F2172" s="16" t="s">
        <v>5651</v>
      </c>
      <c r="G2172" s="16" t="s">
        <v>8746</v>
      </c>
      <c r="H2172" s="16" t="s">
        <v>5654</v>
      </c>
      <c r="I2172" s="16"/>
      <c r="J2172" s="16" t="s">
        <v>81</v>
      </c>
      <c r="K2172" s="16"/>
      <c r="L2172" s="16"/>
      <c r="M2172" s="19" t="s">
        <v>5652</v>
      </c>
      <c r="N2172" s="16"/>
      <c r="O2172" s="16" t="s">
        <v>5653</v>
      </c>
      <c r="P2172" s="16" t="str">
        <f>HYPERLINK("https://ceds.ed.gov/cedselementdetails.aspx?termid=26627")</f>
        <v>https://ceds.ed.gov/cedselementdetails.aspx?termid=26627</v>
      </c>
      <c r="Q2172" s="16">
        <v>71140</v>
      </c>
    </row>
    <row r="2173" spans="1:17" ht="172.8" x14ac:dyDescent="0.3">
      <c r="A2173" s="16" t="s">
        <v>7665</v>
      </c>
      <c r="B2173" s="16" t="s">
        <v>7712</v>
      </c>
      <c r="C2173" s="16" t="s">
        <v>7627</v>
      </c>
      <c r="D2173" s="16" t="s">
        <v>7597</v>
      </c>
      <c r="E2173" s="16" t="s">
        <v>6810</v>
      </c>
      <c r="F2173" s="16" t="s">
        <v>6811</v>
      </c>
      <c r="G2173" s="16" t="s">
        <v>32</v>
      </c>
      <c r="H2173" s="16" t="s">
        <v>6814</v>
      </c>
      <c r="I2173" s="16"/>
      <c r="J2173" s="16" t="s">
        <v>120</v>
      </c>
      <c r="K2173" s="16"/>
      <c r="L2173" s="16" t="s">
        <v>7817</v>
      </c>
      <c r="M2173" s="19" t="s">
        <v>6812</v>
      </c>
      <c r="N2173" s="16"/>
      <c r="O2173" s="16" t="s">
        <v>6813</v>
      </c>
      <c r="P2173" s="16" t="str">
        <f>HYPERLINK("https://ceds.ed.gov/cedselementdetails.aspx?termid=26156")</f>
        <v>https://ceds.ed.gov/cedselementdetails.aspx?termid=26156</v>
      </c>
      <c r="Q2173" s="16">
        <v>71095</v>
      </c>
    </row>
    <row r="2174" spans="1:17" ht="259.2" x14ac:dyDescent="0.3">
      <c r="A2174" s="16" t="s">
        <v>7665</v>
      </c>
      <c r="B2174" s="16" t="s">
        <v>7712</v>
      </c>
      <c r="C2174" s="16" t="s">
        <v>7627</v>
      </c>
      <c r="D2174" s="16" t="s">
        <v>7597</v>
      </c>
      <c r="E2174" s="16" t="s">
        <v>6805</v>
      </c>
      <c r="F2174" s="16" t="s">
        <v>6806</v>
      </c>
      <c r="G2174" s="16" t="s">
        <v>9342</v>
      </c>
      <c r="H2174" s="16" t="s">
        <v>6809</v>
      </c>
      <c r="I2174" s="16"/>
      <c r="J2174" s="16"/>
      <c r="K2174" s="16"/>
      <c r="L2174" s="16"/>
      <c r="M2174" s="19" t="s">
        <v>6807</v>
      </c>
      <c r="N2174" s="16"/>
      <c r="O2174" s="16" t="s">
        <v>6808</v>
      </c>
      <c r="P2174" s="16" t="str">
        <f>HYPERLINK("https://ceds.ed.gov/cedselementdetails.aspx?termid=26162")</f>
        <v>https://ceds.ed.gov/cedselementdetails.aspx?termid=26162</v>
      </c>
      <c r="Q2174" s="16">
        <v>71098</v>
      </c>
    </row>
    <row r="2175" spans="1:17" ht="403.2" x14ac:dyDescent="0.3">
      <c r="A2175" s="16" t="s">
        <v>7665</v>
      </c>
      <c r="B2175" s="16" t="s">
        <v>7712</v>
      </c>
      <c r="C2175" s="16" t="s">
        <v>7627</v>
      </c>
      <c r="D2175" s="16" t="s">
        <v>7597</v>
      </c>
      <c r="E2175" s="16" t="s">
        <v>5756</v>
      </c>
      <c r="F2175" s="16" t="s">
        <v>5757</v>
      </c>
      <c r="G2175" s="16" t="s">
        <v>8252</v>
      </c>
      <c r="H2175" s="16"/>
      <c r="I2175" s="16"/>
      <c r="J2175" s="16"/>
      <c r="K2175" s="16"/>
      <c r="L2175" s="16"/>
      <c r="M2175" s="19" t="s">
        <v>5758</v>
      </c>
      <c r="N2175" s="16"/>
      <c r="O2175" s="16" t="s">
        <v>5759</v>
      </c>
      <c r="P2175" s="16" t="str">
        <f>HYPERLINK("https://ceds.ed.gov/cedselementdetails.aspx?termid=26611")</f>
        <v>https://ceds.ed.gov/cedselementdetails.aspx?termid=26611</v>
      </c>
      <c r="Q2175" s="16">
        <v>71135</v>
      </c>
    </row>
    <row r="2176" spans="1:17" ht="72" x14ac:dyDescent="0.3">
      <c r="A2176" s="16" t="s">
        <v>7665</v>
      </c>
      <c r="B2176" s="16" t="s">
        <v>7712</v>
      </c>
      <c r="C2176" s="16" t="s">
        <v>7627</v>
      </c>
      <c r="D2176" s="16" t="s">
        <v>7597</v>
      </c>
      <c r="E2176" s="16" t="s">
        <v>7508</v>
      </c>
      <c r="F2176" s="16" t="s">
        <v>7509</v>
      </c>
      <c r="G2176" s="16" t="s">
        <v>8251</v>
      </c>
      <c r="H2176" s="16"/>
      <c r="I2176" s="16"/>
      <c r="J2176" s="16"/>
      <c r="K2176" s="16"/>
      <c r="L2176" s="16"/>
      <c r="M2176" s="19" t="s">
        <v>7510</v>
      </c>
      <c r="N2176" s="16"/>
      <c r="O2176" s="16" t="s">
        <v>7511</v>
      </c>
      <c r="P2176" s="16" t="str">
        <f>HYPERLINK("https://ceds.ed.gov/cedselementdetails.aspx?termid=27951")</f>
        <v>https://ceds.ed.gov/cedselementdetails.aspx?termid=27951</v>
      </c>
      <c r="Q2176" s="16">
        <v>75541</v>
      </c>
    </row>
    <row r="2177" spans="1:17" ht="100.8" x14ac:dyDescent="0.3">
      <c r="A2177" s="16" t="s">
        <v>7665</v>
      </c>
      <c r="B2177" s="16" t="s">
        <v>7712</v>
      </c>
      <c r="C2177" s="16" t="s">
        <v>7603</v>
      </c>
      <c r="D2177" s="16" t="s">
        <v>7597</v>
      </c>
      <c r="E2177" s="16" t="s">
        <v>191</v>
      </c>
      <c r="F2177" s="16" t="s">
        <v>192</v>
      </c>
      <c r="G2177" s="16" t="s">
        <v>8295</v>
      </c>
      <c r="H2177" s="16" t="s">
        <v>195</v>
      </c>
      <c r="I2177" s="16"/>
      <c r="J2177" s="16" t="s">
        <v>81</v>
      </c>
      <c r="K2177" s="16"/>
      <c r="L2177" s="16"/>
      <c r="M2177" s="19" t="s">
        <v>193</v>
      </c>
      <c r="N2177" s="16"/>
      <c r="O2177" s="16" t="s">
        <v>194</v>
      </c>
      <c r="P2177" s="16" t="str">
        <f>HYPERLINK("https://ceds.ed.gov/cedselementdetails.aspx?termid=26698")</f>
        <v>https://ceds.ed.gov/cedselementdetails.aspx?termid=26698</v>
      </c>
      <c r="Q2177" s="16">
        <v>71149</v>
      </c>
    </row>
    <row r="2178" spans="1:17" ht="187.2" x14ac:dyDescent="0.3">
      <c r="A2178" s="16" t="s">
        <v>7665</v>
      </c>
      <c r="B2178" s="16" t="s">
        <v>7712</v>
      </c>
      <c r="C2178" s="16" t="s">
        <v>7603</v>
      </c>
      <c r="D2178" s="16" t="s">
        <v>7597</v>
      </c>
      <c r="E2178" s="16" t="s">
        <v>177</v>
      </c>
      <c r="F2178" s="16" t="s">
        <v>178</v>
      </c>
      <c r="G2178" s="16" t="s">
        <v>32</v>
      </c>
      <c r="H2178" s="16" t="s">
        <v>163</v>
      </c>
      <c r="I2178" s="16"/>
      <c r="J2178" s="16" t="s">
        <v>179</v>
      </c>
      <c r="K2178" s="16"/>
      <c r="L2178" s="16"/>
      <c r="M2178" s="19" t="s">
        <v>180</v>
      </c>
      <c r="N2178" s="16"/>
      <c r="O2178" s="16" t="s">
        <v>181</v>
      </c>
      <c r="P2178" s="16" t="str">
        <f>HYPERLINK("https://ceds.ed.gov/cedselementdetails.aspx?termid=26269")</f>
        <v>https://ceds.ed.gov/cedselementdetails.aspx?termid=26269</v>
      </c>
      <c r="Q2178" s="16">
        <v>71117</v>
      </c>
    </row>
    <row r="2179" spans="1:17" ht="187.2" x14ac:dyDescent="0.3">
      <c r="A2179" s="16" t="s">
        <v>7665</v>
      </c>
      <c r="B2179" s="16" t="s">
        <v>7712</v>
      </c>
      <c r="C2179" s="16" t="s">
        <v>7603</v>
      </c>
      <c r="D2179" s="16" t="s">
        <v>7597</v>
      </c>
      <c r="E2179" s="16" t="s">
        <v>158</v>
      </c>
      <c r="F2179" s="16" t="s">
        <v>159</v>
      </c>
      <c r="G2179" s="16" t="s">
        <v>32</v>
      </c>
      <c r="H2179" s="16" t="s">
        <v>163</v>
      </c>
      <c r="I2179" s="16"/>
      <c r="J2179" s="16" t="s">
        <v>145</v>
      </c>
      <c r="K2179" s="16"/>
      <c r="L2179" s="16"/>
      <c r="M2179" s="19" t="s">
        <v>161</v>
      </c>
      <c r="N2179" s="16"/>
      <c r="O2179" s="16" t="s">
        <v>162</v>
      </c>
      <c r="P2179" s="16" t="str">
        <f>HYPERLINK("https://ceds.ed.gov/cedselementdetails.aspx?termid=26019")</f>
        <v>https://ceds.ed.gov/cedselementdetails.aspx?termid=26019</v>
      </c>
      <c r="Q2179" s="16">
        <v>71072</v>
      </c>
    </row>
    <row r="2180" spans="1:17" ht="187.2" x14ac:dyDescent="0.3">
      <c r="A2180" s="16" t="s">
        <v>7665</v>
      </c>
      <c r="B2180" s="16" t="s">
        <v>7712</v>
      </c>
      <c r="C2180" s="16" t="s">
        <v>7603</v>
      </c>
      <c r="D2180" s="16" t="s">
        <v>7597</v>
      </c>
      <c r="E2180" s="16" t="s">
        <v>164</v>
      </c>
      <c r="F2180" s="16" t="s">
        <v>165</v>
      </c>
      <c r="G2180" s="16" t="s">
        <v>32</v>
      </c>
      <c r="H2180" s="16" t="s">
        <v>163</v>
      </c>
      <c r="I2180" s="16"/>
      <c r="J2180" s="16" t="s">
        <v>81</v>
      </c>
      <c r="K2180" s="16"/>
      <c r="L2180" s="16"/>
      <c r="M2180" s="19" t="s">
        <v>166</v>
      </c>
      <c r="N2180" s="16"/>
      <c r="O2180" s="16" t="s">
        <v>167</v>
      </c>
      <c r="P2180" s="16" t="str">
        <f>HYPERLINK("https://ceds.ed.gov/cedselementdetails.aspx?termid=26040")</f>
        <v>https://ceds.ed.gov/cedselementdetails.aspx?termid=26040</v>
      </c>
      <c r="Q2180" s="16">
        <v>71075</v>
      </c>
    </row>
    <row r="2181" spans="1:17" ht="409.6" x14ac:dyDescent="0.3">
      <c r="A2181" s="16" t="s">
        <v>7665</v>
      </c>
      <c r="B2181" s="16" t="s">
        <v>7712</v>
      </c>
      <c r="C2181" s="16" t="s">
        <v>7603</v>
      </c>
      <c r="D2181" s="16" t="s">
        <v>7597</v>
      </c>
      <c r="E2181" s="16" t="s">
        <v>6840</v>
      </c>
      <c r="F2181" s="16" t="s">
        <v>6841</v>
      </c>
      <c r="G2181" s="16" t="s">
        <v>8266</v>
      </c>
      <c r="H2181" s="16" t="s">
        <v>6844</v>
      </c>
      <c r="I2181" s="16"/>
      <c r="J2181" s="16"/>
      <c r="K2181" s="16"/>
      <c r="L2181" s="16"/>
      <c r="M2181" s="19" t="s">
        <v>6842</v>
      </c>
      <c r="N2181" s="16"/>
      <c r="O2181" s="16" t="s">
        <v>6843</v>
      </c>
      <c r="P2181" s="16" t="str">
        <f>HYPERLINK("https://ceds.ed.gov/cedselementdetails.aspx?termid=26267")</f>
        <v>https://ceds.ed.gov/cedselementdetails.aspx?termid=26267</v>
      </c>
      <c r="Q2181" s="16">
        <v>71116</v>
      </c>
    </row>
    <row r="2182" spans="1:17" ht="187.2" x14ac:dyDescent="0.3">
      <c r="A2182" s="16" t="s">
        <v>7665</v>
      </c>
      <c r="B2182" s="16" t="s">
        <v>7712</v>
      </c>
      <c r="C2182" s="16" t="s">
        <v>7603</v>
      </c>
      <c r="D2182" s="16" t="s">
        <v>7597</v>
      </c>
      <c r="E2182" s="16" t="s">
        <v>172</v>
      </c>
      <c r="F2182" s="16" t="s">
        <v>173</v>
      </c>
      <c r="G2182" s="16" t="s">
        <v>32</v>
      </c>
      <c r="H2182" s="16" t="s">
        <v>163</v>
      </c>
      <c r="I2182" s="16"/>
      <c r="J2182" s="16" t="s">
        <v>174</v>
      </c>
      <c r="K2182" s="16"/>
      <c r="L2182" s="16"/>
      <c r="M2182" s="19" t="s">
        <v>175</v>
      </c>
      <c r="N2182" s="16"/>
      <c r="O2182" s="16" t="s">
        <v>176</v>
      </c>
      <c r="P2182" s="16" t="str">
        <f>HYPERLINK("https://ceds.ed.gov/cedselementdetails.aspx?termid=26214")</f>
        <v>https://ceds.ed.gov/cedselementdetails.aspx?termid=26214</v>
      </c>
      <c r="Q2182" s="16">
        <v>71107</v>
      </c>
    </row>
    <row r="2183" spans="1:17" ht="187.2" x14ac:dyDescent="0.3">
      <c r="A2183" s="16" t="s">
        <v>7665</v>
      </c>
      <c r="B2183" s="16" t="s">
        <v>7712</v>
      </c>
      <c r="C2183" s="16" t="s">
        <v>7603</v>
      </c>
      <c r="D2183" s="16" t="s">
        <v>7597</v>
      </c>
      <c r="E2183" s="16" t="s">
        <v>168</v>
      </c>
      <c r="F2183" s="16" t="s">
        <v>169</v>
      </c>
      <c r="G2183" s="16" t="s">
        <v>32</v>
      </c>
      <c r="H2183" s="16" t="s">
        <v>163</v>
      </c>
      <c r="I2183" s="16"/>
      <c r="J2183" s="16" t="s">
        <v>81</v>
      </c>
      <c r="K2183" s="16"/>
      <c r="L2183" s="16"/>
      <c r="M2183" s="19" t="s">
        <v>170</v>
      </c>
      <c r="N2183" s="16"/>
      <c r="O2183" s="16" t="s">
        <v>171</v>
      </c>
      <c r="P2183" s="16" t="str">
        <f>HYPERLINK("https://ceds.ed.gov/cedselementdetails.aspx?termid=26190")</f>
        <v>https://ceds.ed.gov/cedselementdetails.aspx?termid=26190</v>
      </c>
      <c r="Q2183" s="16">
        <v>72133</v>
      </c>
    </row>
    <row r="2184" spans="1:17" ht="409.6" x14ac:dyDescent="0.3">
      <c r="A2184" s="16" t="s">
        <v>7665</v>
      </c>
      <c r="B2184" s="16" t="s">
        <v>7712</v>
      </c>
      <c r="C2184" s="16" t="s">
        <v>7603</v>
      </c>
      <c r="D2184" s="16" t="s">
        <v>7597</v>
      </c>
      <c r="E2184" s="16" t="s">
        <v>2483</v>
      </c>
      <c r="F2184" s="16" t="s">
        <v>2484</v>
      </c>
      <c r="G2184" s="16" t="s">
        <v>8454</v>
      </c>
      <c r="H2184" s="16" t="s">
        <v>2487</v>
      </c>
      <c r="I2184" s="16"/>
      <c r="J2184" s="16"/>
      <c r="K2184" s="16"/>
      <c r="L2184" s="16" t="s">
        <v>7915</v>
      </c>
      <c r="M2184" s="19" t="s">
        <v>2485</v>
      </c>
      <c r="N2184" s="16"/>
      <c r="O2184" s="16" t="s">
        <v>2486</v>
      </c>
      <c r="P2184" s="16" t="str">
        <f>HYPERLINK("https://ceds.ed.gov/cedselementdetails.aspx?termid=26050")</f>
        <v>https://ceds.ed.gov/cedselementdetails.aspx?termid=26050</v>
      </c>
      <c r="Q2184" s="16">
        <v>72132</v>
      </c>
    </row>
    <row r="2185" spans="1:17" ht="57.6" x14ac:dyDescent="0.3">
      <c r="A2185" s="16" t="s">
        <v>7665</v>
      </c>
      <c r="B2185" s="16" t="s">
        <v>7712</v>
      </c>
      <c r="C2185" s="16" t="s">
        <v>7603</v>
      </c>
      <c r="D2185" s="16" t="s">
        <v>7597</v>
      </c>
      <c r="E2185" s="16" t="s">
        <v>4902</v>
      </c>
      <c r="F2185" s="16" t="s">
        <v>4903</v>
      </c>
      <c r="G2185" s="16" t="s">
        <v>32</v>
      </c>
      <c r="H2185" s="16"/>
      <c r="I2185" s="16"/>
      <c r="J2185" s="16" t="s">
        <v>1130</v>
      </c>
      <c r="K2185" s="16"/>
      <c r="L2185" s="16"/>
      <c r="M2185" s="19" t="s">
        <v>4904</v>
      </c>
      <c r="N2185" s="16"/>
      <c r="O2185" s="16" t="s">
        <v>4902</v>
      </c>
      <c r="P2185" s="16" t="str">
        <f>HYPERLINK("https://ceds.ed.gov/cedselementdetails.aspx?termid=26599")</f>
        <v>https://ceds.ed.gov/cedselementdetails.aspx?termid=26599</v>
      </c>
      <c r="Q2185" s="16">
        <v>74262</v>
      </c>
    </row>
    <row r="2186" spans="1:17" ht="57.6" x14ac:dyDescent="0.3">
      <c r="A2186" s="16" t="s">
        <v>7665</v>
      </c>
      <c r="B2186" s="16" t="s">
        <v>7712</v>
      </c>
      <c r="C2186" s="16" t="s">
        <v>7603</v>
      </c>
      <c r="D2186" s="16" t="s">
        <v>7597</v>
      </c>
      <c r="E2186" s="16" t="s">
        <v>5285</v>
      </c>
      <c r="F2186" s="16" t="s">
        <v>5286</v>
      </c>
      <c r="G2186" s="16" t="s">
        <v>32</v>
      </c>
      <c r="H2186" s="16"/>
      <c r="I2186" s="16"/>
      <c r="J2186" s="16" t="s">
        <v>1130</v>
      </c>
      <c r="K2186" s="16"/>
      <c r="L2186" s="16"/>
      <c r="M2186" s="19" t="s">
        <v>5287</v>
      </c>
      <c r="N2186" s="16"/>
      <c r="O2186" s="16" t="s">
        <v>5285</v>
      </c>
      <c r="P2186" s="16" t="str">
        <f>HYPERLINK("https://ceds.ed.gov/cedselementdetails.aspx?termid=26600")</f>
        <v>https://ceds.ed.gov/cedselementdetails.aspx?termid=26600</v>
      </c>
      <c r="Q2186" s="16">
        <v>74285</v>
      </c>
    </row>
    <row r="2187" spans="1:17" ht="158.4" x14ac:dyDescent="0.3">
      <c r="A2187" s="16" t="s">
        <v>7665</v>
      </c>
      <c r="B2187" s="16" t="s">
        <v>7712</v>
      </c>
      <c r="C2187" s="16" t="s">
        <v>7603</v>
      </c>
      <c r="D2187" s="16" t="s">
        <v>7597</v>
      </c>
      <c r="E2187" s="16" t="s">
        <v>2493</v>
      </c>
      <c r="F2187" s="16" t="s">
        <v>2494</v>
      </c>
      <c r="G2187" s="16" t="s">
        <v>32</v>
      </c>
      <c r="H2187" s="16"/>
      <c r="I2187" s="16"/>
      <c r="J2187" s="16" t="s">
        <v>2495</v>
      </c>
      <c r="K2187" s="16"/>
      <c r="L2187" s="16"/>
      <c r="M2187" s="19" t="s">
        <v>2496</v>
      </c>
      <c r="N2187" s="16"/>
      <c r="O2187" s="16" t="s">
        <v>2497</v>
      </c>
      <c r="P2187" s="16" t="str">
        <f>HYPERLINK("https://ceds.ed.gov/cedselementdetails.aspx?termid=27176")</f>
        <v>https://ceds.ed.gov/cedselementdetails.aspx?termid=27176</v>
      </c>
      <c r="Q2187" s="16">
        <v>75318</v>
      </c>
    </row>
    <row r="2188" spans="1:17" ht="57.6" x14ac:dyDescent="0.3">
      <c r="A2188" s="16" t="s">
        <v>7665</v>
      </c>
      <c r="B2188" s="16" t="s">
        <v>7712</v>
      </c>
      <c r="C2188" s="16" t="s">
        <v>7603</v>
      </c>
      <c r="D2188" s="16" t="s">
        <v>7597</v>
      </c>
      <c r="E2188" s="16" t="s">
        <v>3175</v>
      </c>
      <c r="F2188" s="16" t="s">
        <v>3176</v>
      </c>
      <c r="G2188" s="16" t="s">
        <v>2987</v>
      </c>
      <c r="H2188" s="16"/>
      <c r="I2188" s="16"/>
      <c r="J2188" s="16"/>
      <c r="K2188" s="16"/>
      <c r="L2188" s="16"/>
      <c r="M2188" s="19" t="s">
        <v>3177</v>
      </c>
      <c r="N2188" s="16"/>
      <c r="O2188" s="16" t="s">
        <v>3178</v>
      </c>
      <c r="P2188" s="16" t="str">
        <f>HYPERLINK("https://ceds.ed.gov/cedselementdetails.aspx?termid=27905")</f>
        <v>https://ceds.ed.gov/cedselementdetails.aspx?termid=27905</v>
      </c>
      <c r="Q2188" s="16">
        <v>75319</v>
      </c>
    </row>
    <row r="2189" spans="1:17" ht="72" x14ac:dyDescent="0.3">
      <c r="A2189" s="16" t="s">
        <v>7665</v>
      </c>
      <c r="B2189" s="16" t="s">
        <v>7712</v>
      </c>
      <c r="C2189" s="16" t="s">
        <v>7604</v>
      </c>
      <c r="D2189" s="16" t="s">
        <v>7597</v>
      </c>
      <c r="E2189" s="16" t="s">
        <v>7053</v>
      </c>
      <c r="F2189" s="16" t="s">
        <v>7054</v>
      </c>
      <c r="G2189" s="16" t="s">
        <v>32</v>
      </c>
      <c r="H2189" s="16" t="s">
        <v>64</v>
      </c>
      <c r="I2189" s="16"/>
      <c r="J2189" s="16" t="s">
        <v>7055</v>
      </c>
      <c r="K2189" s="16"/>
      <c r="L2189" s="16"/>
      <c r="M2189" s="19" t="s">
        <v>7056</v>
      </c>
      <c r="N2189" s="16"/>
      <c r="O2189" s="16" t="s">
        <v>7057</v>
      </c>
      <c r="P2189" s="16" t="str">
        <f>HYPERLINK("https://ceds.ed.gov/cedselementdetails.aspx?termid=26279")</f>
        <v>https://ceds.ed.gov/cedselementdetails.aspx?termid=26279</v>
      </c>
      <c r="Q2189" s="16">
        <v>72014</v>
      </c>
    </row>
    <row r="2190" spans="1:17" ht="86.4" x14ac:dyDescent="0.3">
      <c r="A2190" s="16" t="s">
        <v>7665</v>
      </c>
      <c r="B2190" s="16" t="s">
        <v>7712</v>
      </c>
      <c r="C2190" s="16" t="s">
        <v>7604</v>
      </c>
      <c r="D2190" s="16" t="s">
        <v>7597</v>
      </c>
      <c r="E2190" s="16" t="s">
        <v>7062</v>
      </c>
      <c r="F2190" s="16" t="s">
        <v>7063</v>
      </c>
      <c r="G2190" s="16" t="s">
        <v>8849</v>
      </c>
      <c r="H2190" s="16" t="s">
        <v>64</v>
      </c>
      <c r="I2190" s="16"/>
      <c r="J2190" s="16" t="s">
        <v>2500</v>
      </c>
      <c r="K2190" s="16"/>
      <c r="L2190" s="16"/>
      <c r="M2190" s="19" t="s">
        <v>7064</v>
      </c>
      <c r="N2190" s="16"/>
      <c r="O2190" s="16" t="s">
        <v>7065</v>
      </c>
      <c r="P2190" s="16" t="str">
        <f>HYPERLINK("https://ceds.ed.gov/cedselementdetails.aspx?termid=26280")</f>
        <v>https://ceds.ed.gov/cedselementdetails.aspx?termid=26280</v>
      </c>
      <c r="Q2190" s="16">
        <v>72012</v>
      </c>
    </row>
    <row r="2191" spans="1:17" ht="72" x14ac:dyDescent="0.3">
      <c r="A2191" s="16" t="s">
        <v>7665</v>
      </c>
      <c r="B2191" s="16" t="s">
        <v>7712</v>
      </c>
      <c r="C2191" s="16" t="s">
        <v>7604</v>
      </c>
      <c r="D2191" s="16" t="s">
        <v>7597</v>
      </c>
      <c r="E2191" s="16" t="s">
        <v>5865</v>
      </c>
      <c r="F2191" s="16" t="s">
        <v>5866</v>
      </c>
      <c r="G2191" s="16" t="s">
        <v>22</v>
      </c>
      <c r="H2191" s="16" t="s">
        <v>64</v>
      </c>
      <c r="I2191" s="16"/>
      <c r="J2191" s="16"/>
      <c r="K2191" s="16"/>
      <c r="L2191" s="16"/>
      <c r="M2191" s="19" t="s">
        <v>5867</v>
      </c>
      <c r="N2191" s="16"/>
      <c r="O2191" s="16" t="s">
        <v>5868</v>
      </c>
      <c r="P2191" s="16" t="str">
        <f>HYPERLINK("https://ceds.ed.gov/cedselementdetails.aspx?termid=26219")</f>
        <v>https://ceds.ed.gov/cedselementdetails.aspx?termid=26219</v>
      </c>
      <c r="Q2191" s="16">
        <v>72013</v>
      </c>
    </row>
    <row r="2192" spans="1:17" ht="57.6" x14ac:dyDescent="0.3">
      <c r="A2192" s="16" t="s">
        <v>7665</v>
      </c>
      <c r="B2192" s="16" t="s">
        <v>7712</v>
      </c>
      <c r="C2192" s="16" t="s">
        <v>7604</v>
      </c>
      <c r="D2192" s="16" t="s">
        <v>7597</v>
      </c>
      <c r="E2192" s="16" t="s">
        <v>3175</v>
      </c>
      <c r="F2192" s="16" t="s">
        <v>3176</v>
      </c>
      <c r="G2192" s="16" t="s">
        <v>2987</v>
      </c>
      <c r="H2192" s="16"/>
      <c r="I2192" s="16"/>
      <c r="J2192" s="16"/>
      <c r="K2192" s="16"/>
      <c r="L2192" s="16"/>
      <c r="M2192" s="19" t="s">
        <v>3177</v>
      </c>
      <c r="N2192" s="16"/>
      <c r="O2192" s="16" t="s">
        <v>3178</v>
      </c>
      <c r="P2192" s="16" t="str">
        <f>HYPERLINK("https://ceds.ed.gov/cedselementdetails.aspx?termid=27905")</f>
        <v>https://ceds.ed.gov/cedselementdetails.aspx?termid=27905</v>
      </c>
      <c r="Q2192" s="16">
        <v>75321</v>
      </c>
    </row>
    <row r="2193" spans="1:17" ht="57.6" x14ac:dyDescent="0.3">
      <c r="A2193" s="16" t="s">
        <v>7665</v>
      </c>
      <c r="B2193" s="16" t="s">
        <v>7712</v>
      </c>
      <c r="C2193" s="16" t="s">
        <v>7604</v>
      </c>
      <c r="D2193" s="16" t="s">
        <v>7597</v>
      </c>
      <c r="E2193" s="16" t="s">
        <v>7058</v>
      </c>
      <c r="F2193" s="16" t="s">
        <v>7059</v>
      </c>
      <c r="G2193" s="16" t="s">
        <v>8848</v>
      </c>
      <c r="H2193" s="16"/>
      <c r="I2193" s="16"/>
      <c r="J2193" s="16"/>
      <c r="K2193" s="16"/>
      <c r="L2193" s="16"/>
      <c r="M2193" s="19" t="s">
        <v>7060</v>
      </c>
      <c r="N2193" s="16"/>
      <c r="O2193" s="16" t="s">
        <v>7061</v>
      </c>
      <c r="P2193" s="16" t="str">
        <f>HYPERLINK("https://ceds.ed.gov/cedselementdetails.aspx?termid=27911")</f>
        <v>https://ceds.ed.gov/cedselementdetails.aspx?termid=27911</v>
      </c>
      <c r="Q2193" s="16">
        <v>75322</v>
      </c>
    </row>
    <row r="2194" spans="1:17" ht="72" x14ac:dyDescent="0.3">
      <c r="A2194" s="16" t="s">
        <v>7665</v>
      </c>
      <c r="B2194" s="16" t="s">
        <v>7712</v>
      </c>
      <c r="C2194" s="16" t="s">
        <v>7605</v>
      </c>
      <c r="D2194" s="16" t="s">
        <v>7597</v>
      </c>
      <c r="E2194" s="16" t="s">
        <v>3406</v>
      </c>
      <c r="F2194" s="16" t="s">
        <v>3407</v>
      </c>
      <c r="G2194" s="16" t="s">
        <v>32</v>
      </c>
      <c r="H2194" s="16" t="s">
        <v>64</v>
      </c>
      <c r="I2194" s="16"/>
      <c r="J2194" s="16" t="s">
        <v>3408</v>
      </c>
      <c r="K2194" s="16"/>
      <c r="L2194" s="16"/>
      <c r="M2194" s="19" t="s">
        <v>3409</v>
      </c>
      <c r="N2194" s="16" t="s">
        <v>3410</v>
      </c>
      <c r="O2194" s="16" t="s">
        <v>3411</v>
      </c>
      <c r="P2194" s="16" t="str">
        <f>HYPERLINK("https://ceds.ed.gov/cedselementdetails.aspx?termid=26088")</f>
        <v>https://ceds.ed.gov/cedselementdetails.aspx?termid=26088</v>
      </c>
      <c r="Q2194" s="16">
        <v>72016</v>
      </c>
    </row>
    <row r="2195" spans="1:17" ht="72" x14ac:dyDescent="0.3">
      <c r="A2195" s="16" t="s">
        <v>7665</v>
      </c>
      <c r="B2195" s="16" t="s">
        <v>7712</v>
      </c>
      <c r="C2195" s="16" t="s">
        <v>7605</v>
      </c>
      <c r="D2195" s="16" t="s">
        <v>7597</v>
      </c>
      <c r="E2195" s="16" t="s">
        <v>3412</v>
      </c>
      <c r="F2195" s="16" t="s">
        <v>3413</v>
      </c>
      <c r="G2195" s="16" t="s">
        <v>9330</v>
      </c>
      <c r="H2195" s="16" t="s">
        <v>64</v>
      </c>
      <c r="I2195" s="16"/>
      <c r="J2195" s="16"/>
      <c r="K2195" s="16"/>
      <c r="L2195" s="16"/>
      <c r="M2195" s="19" t="s">
        <v>3414</v>
      </c>
      <c r="N2195" s="16" t="s">
        <v>3415</v>
      </c>
      <c r="O2195" s="16" t="s">
        <v>3416</v>
      </c>
      <c r="P2195" s="16" t="str">
        <f>HYPERLINK("https://ceds.ed.gov/cedselementdetails.aspx?termid=26089")</f>
        <v>https://ceds.ed.gov/cedselementdetails.aspx?termid=26089</v>
      </c>
      <c r="Q2195" s="16">
        <v>72015</v>
      </c>
    </row>
    <row r="2196" spans="1:17" ht="57.6" x14ac:dyDescent="0.3">
      <c r="A2196" s="16" t="s">
        <v>7665</v>
      </c>
      <c r="B2196" s="16" t="s">
        <v>7712</v>
      </c>
      <c r="C2196" s="16" t="s">
        <v>7605</v>
      </c>
      <c r="D2196" s="16" t="s">
        <v>7597</v>
      </c>
      <c r="E2196" s="16" t="s">
        <v>3175</v>
      </c>
      <c r="F2196" s="16" t="s">
        <v>3176</v>
      </c>
      <c r="G2196" s="16" t="s">
        <v>2987</v>
      </c>
      <c r="H2196" s="16"/>
      <c r="I2196" s="16"/>
      <c r="J2196" s="16"/>
      <c r="K2196" s="16"/>
      <c r="L2196" s="16"/>
      <c r="M2196" s="19" t="s">
        <v>3177</v>
      </c>
      <c r="N2196" s="16"/>
      <c r="O2196" s="16" t="s">
        <v>3178</v>
      </c>
      <c r="P2196" s="16" t="str">
        <f>HYPERLINK("https://ceds.ed.gov/cedselementdetails.aspx?termid=27905")</f>
        <v>https://ceds.ed.gov/cedselementdetails.aspx?termid=27905</v>
      </c>
      <c r="Q2196" s="16">
        <v>75320</v>
      </c>
    </row>
    <row r="2197" spans="1:17" ht="201.6" x14ac:dyDescent="0.3">
      <c r="A2197" s="16" t="s">
        <v>7665</v>
      </c>
      <c r="B2197" s="16" t="s">
        <v>7712</v>
      </c>
      <c r="C2197" s="16" t="s">
        <v>7628</v>
      </c>
      <c r="D2197" s="16" t="s">
        <v>7597</v>
      </c>
      <c r="E2197" s="16" t="s">
        <v>1507</v>
      </c>
      <c r="F2197" s="16" t="s">
        <v>1508</v>
      </c>
      <c r="G2197" s="16" t="s">
        <v>32</v>
      </c>
      <c r="H2197" s="16" t="s">
        <v>1510</v>
      </c>
      <c r="I2197" s="16"/>
      <c r="J2197" s="16" t="s">
        <v>106</v>
      </c>
      <c r="K2197" s="16"/>
      <c r="L2197" s="16"/>
      <c r="M2197" s="19" t="s">
        <v>1509</v>
      </c>
      <c r="N2197" s="16"/>
      <c r="O2197" s="16" t="s">
        <v>1507</v>
      </c>
      <c r="P2197" s="16" t="str">
        <f>HYPERLINK("https://ceds.ed.gov/cedselementdetails.aspx?termid=26033")</f>
        <v>https://ceds.ed.gov/cedselementdetails.aspx?termid=26033</v>
      </c>
      <c r="Q2197" s="16">
        <v>71074</v>
      </c>
    </row>
    <row r="2198" spans="1:17" ht="216" x14ac:dyDescent="0.3">
      <c r="A2198" s="16" t="s">
        <v>7665</v>
      </c>
      <c r="B2198" s="16" t="s">
        <v>7712</v>
      </c>
      <c r="C2198" s="16" t="s">
        <v>7628</v>
      </c>
      <c r="D2198" s="16" t="s">
        <v>7597</v>
      </c>
      <c r="E2198" s="16" t="s">
        <v>6662</v>
      </c>
      <c r="F2198" s="16" t="s">
        <v>6663</v>
      </c>
      <c r="G2198" s="16" t="s">
        <v>8831</v>
      </c>
      <c r="H2198" s="16" t="s">
        <v>6666</v>
      </c>
      <c r="I2198" s="16"/>
      <c r="J2198" s="16"/>
      <c r="K2198" s="16"/>
      <c r="L2198" s="16" t="s">
        <v>6664</v>
      </c>
      <c r="M2198" s="19" t="s">
        <v>6665</v>
      </c>
      <c r="N2198" s="16"/>
      <c r="O2198" s="16" t="s">
        <v>6662</v>
      </c>
      <c r="P2198" s="16" t="str">
        <f>HYPERLINK("https://ceds.ed.gov/cedselementdetails.aspx?termid=26255")</f>
        <v>https://ceds.ed.gov/cedselementdetails.aspx?termid=26255</v>
      </c>
      <c r="Q2198" s="16">
        <v>71111</v>
      </c>
    </row>
    <row r="2199" spans="1:17" ht="201.6" x14ac:dyDescent="0.3">
      <c r="A2199" s="16" t="s">
        <v>7665</v>
      </c>
      <c r="B2199" s="16" t="s">
        <v>7712</v>
      </c>
      <c r="C2199" s="16" t="s">
        <v>7628</v>
      </c>
      <c r="D2199" s="16" t="s">
        <v>7597</v>
      </c>
      <c r="E2199" s="16" t="s">
        <v>348</v>
      </c>
      <c r="F2199" s="16" t="s">
        <v>349</v>
      </c>
      <c r="G2199" s="16" t="s">
        <v>8319</v>
      </c>
      <c r="H2199" s="16" t="s">
        <v>353</v>
      </c>
      <c r="I2199" s="16"/>
      <c r="J2199" s="16"/>
      <c r="K2199" s="16"/>
      <c r="L2199" s="16" t="s">
        <v>7828</v>
      </c>
      <c r="M2199" s="19" t="s">
        <v>350</v>
      </c>
      <c r="N2199" s="16" t="s">
        <v>351</v>
      </c>
      <c r="O2199" s="16" t="s">
        <v>352</v>
      </c>
      <c r="P2199" s="16" t="str">
        <f>HYPERLINK("https://ceds.ed.gov/cedselementdetails.aspx?termid=26655")</f>
        <v>https://ceds.ed.gov/cedselementdetails.aspx?termid=26655</v>
      </c>
      <c r="Q2199" s="16">
        <v>71143</v>
      </c>
    </row>
    <row r="2200" spans="1:17" ht="201.6" x14ac:dyDescent="0.3">
      <c r="A2200" s="16" t="s">
        <v>7665</v>
      </c>
      <c r="B2200" s="16" t="s">
        <v>7712</v>
      </c>
      <c r="C2200" s="16" t="s">
        <v>7628</v>
      </c>
      <c r="D2200" s="16" t="s">
        <v>7597</v>
      </c>
      <c r="E2200" s="16" t="s">
        <v>373</v>
      </c>
      <c r="F2200" s="16" t="s">
        <v>374</v>
      </c>
      <c r="G2200" s="16" t="s">
        <v>8319</v>
      </c>
      <c r="H2200" s="16" t="s">
        <v>353</v>
      </c>
      <c r="I2200" s="16"/>
      <c r="J2200" s="16"/>
      <c r="K2200" s="16"/>
      <c r="L2200" s="16" t="s">
        <v>7828</v>
      </c>
      <c r="M2200" s="19" t="s">
        <v>375</v>
      </c>
      <c r="N2200" s="16" t="s">
        <v>376</v>
      </c>
      <c r="O2200" s="16" t="s">
        <v>373</v>
      </c>
      <c r="P2200" s="16" t="str">
        <f>HYPERLINK("https://ceds.ed.gov/cedselementdetails.aspx?termid=26656")</f>
        <v>https://ceds.ed.gov/cedselementdetails.aspx?termid=26656</v>
      </c>
      <c r="Q2200" s="16">
        <v>71144</v>
      </c>
    </row>
    <row r="2201" spans="1:17" ht="201.6" x14ac:dyDescent="0.3">
      <c r="A2201" s="16" t="s">
        <v>7665</v>
      </c>
      <c r="B2201" s="16" t="s">
        <v>7712</v>
      </c>
      <c r="C2201" s="16" t="s">
        <v>7628</v>
      </c>
      <c r="D2201" s="16" t="s">
        <v>7597</v>
      </c>
      <c r="E2201" s="16" t="s">
        <v>1517</v>
      </c>
      <c r="F2201" s="16" t="s">
        <v>1518</v>
      </c>
      <c r="G2201" s="16" t="s">
        <v>8319</v>
      </c>
      <c r="H2201" s="16" t="s">
        <v>353</v>
      </c>
      <c r="I2201" s="16"/>
      <c r="J2201" s="16"/>
      <c r="K2201" s="16"/>
      <c r="L2201" s="16" t="s">
        <v>7828</v>
      </c>
      <c r="M2201" s="19" t="s">
        <v>1519</v>
      </c>
      <c r="N2201" s="16" t="s">
        <v>1520</v>
      </c>
      <c r="O2201" s="16" t="s">
        <v>1521</v>
      </c>
      <c r="P2201" s="16" t="str">
        <f>HYPERLINK("https://ceds.ed.gov/cedselementdetails.aspx?termid=26657")</f>
        <v>https://ceds.ed.gov/cedselementdetails.aspx?termid=26657</v>
      </c>
      <c r="Q2201" s="16">
        <v>71145</v>
      </c>
    </row>
    <row r="2202" spans="1:17" ht="201.6" x14ac:dyDescent="0.3">
      <c r="A2202" s="16" t="s">
        <v>7665</v>
      </c>
      <c r="B2202" s="16" t="s">
        <v>7712</v>
      </c>
      <c r="C2202" s="16" t="s">
        <v>7628</v>
      </c>
      <c r="D2202" s="16" t="s">
        <v>7597</v>
      </c>
      <c r="E2202" s="16" t="s">
        <v>5454</v>
      </c>
      <c r="F2202" s="16" t="s">
        <v>5455</v>
      </c>
      <c r="G2202" s="16" t="s">
        <v>8319</v>
      </c>
      <c r="H2202" s="16" t="s">
        <v>353</v>
      </c>
      <c r="I2202" s="16"/>
      <c r="J2202" s="16"/>
      <c r="K2202" s="16"/>
      <c r="L2202" s="16" t="s">
        <v>7828</v>
      </c>
      <c r="M2202" s="19" t="s">
        <v>5456</v>
      </c>
      <c r="N2202" s="16" t="s">
        <v>5457</v>
      </c>
      <c r="O2202" s="16" t="s">
        <v>5458</v>
      </c>
      <c r="P2202" s="16" t="str">
        <f>HYPERLINK("https://ceds.ed.gov/cedselementdetails.aspx?termid=26658")</f>
        <v>https://ceds.ed.gov/cedselementdetails.aspx?termid=26658</v>
      </c>
      <c r="Q2202" s="16">
        <v>71146</v>
      </c>
    </row>
    <row r="2203" spans="1:17" ht="201.6" x14ac:dyDescent="0.3">
      <c r="A2203" s="16" t="s">
        <v>7665</v>
      </c>
      <c r="B2203" s="16" t="s">
        <v>7712</v>
      </c>
      <c r="C2203" s="16" t="s">
        <v>7628</v>
      </c>
      <c r="D2203" s="16" t="s">
        <v>7597</v>
      </c>
      <c r="E2203" s="16" t="s">
        <v>7282</v>
      </c>
      <c r="F2203" s="16" t="s">
        <v>7283</v>
      </c>
      <c r="G2203" s="16" t="s">
        <v>8319</v>
      </c>
      <c r="H2203" s="16" t="s">
        <v>353</v>
      </c>
      <c r="I2203" s="16"/>
      <c r="J2203" s="16"/>
      <c r="K2203" s="16"/>
      <c r="L2203" s="16" t="s">
        <v>7828</v>
      </c>
      <c r="M2203" s="19" t="s">
        <v>7284</v>
      </c>
      <c r="N2203" s="16" t="s">
        <v>7285</v>
      </c>
      <c r="O2203" s="16" t="s">
        <v>7282</v>
      </c>
      <c r="P2203" s="16" t="str">
        <f>HYPERLINK("https://ceds.ed.gov/cedselementdetails.aspx?termid=26659")</f>
        <v>https://ceds.ed.gov/cedselementdetails.aspx?termid=26659</v>
      </c>
      <c r="Q2203" s="16">
        <v>71147</v>
      </c>
    </row>
    <row r="2204" spans="1:17" ht="201.6" x14ac:dyDescent="0.3">
      <c r="A2204" s="16" t="s">
        <v>7665</v>
      </c>
      <c r="B2204" s="16" t="s">
        <v>7712</v>
      </c>
      <c r="C2204" s="16" t="s">
        <v>7628</v>
      </c>
      <c r="D2204" s="16" t="s">
        <v>7597</v>
      </c>
      <c r="E2204" s="16" t="s">
        <v>4283</v>
      </c>
      <c r="F2204" s="16" t="s">
        <v>4284</v>
      </c>
      <c r="G2204" s="16" t="s">
        <v>8319</v>
      </c>
      <c r="H2204" s="16" t="s">
        <v>353</v>
      </c>
      <c r="I2204" s="16"/>
      <c r="J2204" s="16"/>
      <c r="K2204" s="16"/>
      <c r="L2204" s="16" t="s">
        <v>7828</v>
      </c>
      <c r="M2204" s="19" t="s">
        <v>4285</v>
      </c>
      <c r="N2204" s="16"/>
      <c r="O2204" s="16" t="s">
        <v>4286</v>
      </c>
      <c r="P2204" s="16" t="str">
        <f>HYPERLINK("https://ceds.ed.gov/cedselementdetails.aspx?termid=26144")</f>
        <v>https://ceds.ed.gov/cedselementdetails.aspx?termid=26144</v>
      </c>
      <c r="Q2204" s="16">
        <v>71092</v>
      </c>
    </row>
    <row r="2205" spans="1:17" ht="72" x14ac:dyDescent="0.3">
      <c r="A2205" s="16" t="s">
        <v>7665</v>
      </c>
      <c r="B2205" s="16" t="s">
        <v>7712</v>
      </c>
      <c r="C2205" s="16" t="s">
        <v>7628</v>
      </c>
      <c r="D2205" s="16" t="s">
        <v>7597</v>
      </c>
      <c r="E2205" s="16" t="s">
        <v>3038</v>
      </c>
      <c r="F2205" s="16" t="s">
        <v>3039</v>
      </c>
      <c r="G2205" s="16" t="s">
        <v>22</v>
      </c>
      <c r="H2205" s="16"/>
      <c r="I2205" s="16"/>
      <c r="J2205" s="16"/>
      <c r="K2205" s="16"/>
      <c r="L2205" s="16" t="s">
        <v>3040</v>
      </c>
      <c r="M2205" s="19" t="s">
        <v>3041</v>
      </c>
      <c r="N2205" s="16"/>
      <c r="O2205" s="16" t="s">
        <v>3042</v>
      </c>
      <c r="P2205" s="16" t="str">
        <f>HYPERLINK("https://ceds.ed.gov/cedselementdetails.aspx?termid=26974")</f>
        <v>https://ceds.ed.gov/cedselementdetails.aspx?termid=26974</v>
      </c>
      <c r="Q2205" s="16">
        <v>75170</v>
      </c>
    </row>
    <row r="2206" spans="1:17" ht="409.6" x14ac:dyDescent="0.3">
      <c r="A2206" s="16" t="s">
        <v>7665</v>
      </c>
      <c r="B2206" s="16" t="s">
        <v>7712</v>
      </c>
      <c r="C2206" s="16" t="s">
        <v>7628</v>
      </c>
      <c r="D2206" s="16" t="s">
        <v>7597</v>
      </c>
      <c r="E2206" s="16" t="s">
        <v>2488</v>
      </c>
      <c r="F2206" s="16" t="s">
        <v>2489</v>
      </c>
      <c r="G2206" s="16" t="s">
        <v>8454</v>
      </c>
      <c r="H2206" s="16" t="s">
        <v>2492</v>
      </c>
      <c r="I2206" s="16"/>
      <c r="J2206" s="16"/>
      <c r="K2206" s="16"/>
      <c r="L2206" s="16" t="s">
        <v>7915</v>
      </c>
      <c r="M2206" s="19" t="s">
        <v>2490</v>
      </c>
      <c r="N2206" s="16"/>
      <c r="O2206" s="16" t="s">
        <v>2491</v>
      </c>
      <c r="P2206" s="16" t="str">
        <f>HYPERLINK("https://ceds.ed.gov/cedselementdetails.aspx?termid=26051")</f>
        <v>https://ceds.ed.gov/cedselementdetails.aspx?termid=26051</v>
      </c>
      <c r="Q2206" s="16">
        <v>75323</v>
      </c>
    </row>
    <row r="2207" spans="1:17" ht="100.8" x14ac:dyDescent="0.3">
      <c r="A2207" s="16" t="s">
        <v>7665</v>
      </c>
      <c r="B2207" s="16" t="s">
        <v>7712</v>
      </c>
      <c r="C2207" s="16" t="s">
        <v>7628</v>
      </c>
      <c r="D2207" s="16" t="s">
        <v>7597</v>
      </c>
      <c r="E2207" s="16" t="s">
        <v>5395</v>
      </c>
      <c r="F2207" s="16" t="s">
        <v>8092</v>
      </c>
      <c r="G2207" s="16" t="s">
        <v>8728</v>
      </c>
      <c r="H2207" s="16"/>
      <c r="I2207" s="16"/>
      <c r="J2207" s="16"/>
      <c r="K2207" s="16"/>
      <c r="L2207" s="16"/>
      <c r="M2207" s="19" t="s">
        <v>5396</v>
      </c>
      <c r="N2207" s="16"/>
      <c r="O2207" s="16" t="s">
        <v>5397</v>
      </c>
      <c r="P2207" s="16" t="str">
        <f>HYPERLINK("https://ceds.ed.gov/cedselementdetails.aspx?termid=27621")</f>
        <v>https://ceds.ed.gov/cedselementdetails.aspx?termid=27621</v>
      </c>
      <c r="Q2207" s="16">
        <v>75324</v>
      </c>
    </row>
    <row r="2208" spans="1:17" ht="57.6" x14ac:dyDescent="0.3">
      <c r="A2208" s="16" t="s">
        <v>7665</v>
      </c>
      <c r="B2208" s="16" t="s">
        <v>7712</v>
      </c>
      <c r="C2208" s="16" t="s">
        <v>7628</v>
      </c>
      <c r="D2208" s="16" t="s">
        <v>7597</v>
      </c>
      <c r="E2208" s="16" t="s">
        <v>7181</v>
      </c>
      <c r="F2208" s="16" t="s">
        <v>7182</v>
      </c>
      <c r="G2208" s="16" t="s">
        <v>7313</v>
      </c>
      <c r="H2208" s="16"/>
      <c r="I2208" s="16"/>
      <c r="J2208" s="16"/>
      <c r="K2208" s="16"/>
      <c r="L2208" s="16"/>
      <c r="M2208" s="19" t="s">
        <v>7183</v>
      </c>
      <c r="N2208" s="16"/>
      <c r="O2208" s="16" t="s">
        <v>7184</v>
      </c>
      <c r="P2208" s="16" t="str">
        <f>HYPERLINK("https://ceds.ed.gov/cedselementdetails.aspx?termid=27638")</f>
        <v>https://ceds.ed.gov/cedselementdetails.aspx?termid=27638</v>
      </c>
      <c r="Q2208" s="16">
        <v>75325</v>
      </c>
    </row>
    <row r="2209" spans="1:17" ht="57.6" x14ac:dyDescent="0.3">
      <c r="A2209" s="16" t="s">
        <v>7665</v>
      </c>
      <c r="B2209" s="16" t="s">
        <v>7712</v>
      </c>
      <c r="C2209" s="16" t="s">
        <v>7628</v>
      </c>
      <c r="D2209" s="16" t="s">
        <v>7597</v>
      </c>
      <c r="E2209" s="16" t="s">
        <v>7418</v>
      </c>
      <c r="F2209" s="16" t="s">
        <v>7419</v>
      </c>
      <c r="G2209" s="16" t="s">
        <v>22</v>
      </c>
      <c r="H2209" s="16"/>
      <c r="I2209" s="16"/>
      <c r="J2209" s="16"/>
      <c r="K2209" s="16"/>
      <c r="L2209" s="16"/>
      <c r="M2209" s="19" t="s">
        <v>7420</v>
      </c>
      <c r="N2209" s="16"/>
      <c r="O2209" s="16" t="s">
        <v>7421</v>
      </c>
      <c r="P2209" s="16" t="str">
        <f>HYPERLINK("https://ceds.ed.gov/cedselementdetails.aspx?termid=27932")</f>
        <v>https://ceds.ed.gov/cedselementdetails.aspx?termid=27932</v>
      </c>
      <c r="Q2209" s="16">
        <v>75534</v>
      </c>
    </row>
    <row r="2210" spans="1:17" ht="115.2" x14ac:dyDescent="0.3">
      <c r="A2210" s="16" t="s">
        <v>7665</v>
      </c>
      <c r="B2210" s="16" t="s">
        <v>7712</v>
      </c>
      <c r="C2210" s="16" t="s">
        <v>7628</v>
      </c>
      <c r="D2210" s="16" t="s">
        <v>7597</v>
      </c>
      <c r="E2210" s="16" t="s">
        <v>7422</v>
      </c>
      <c r="F2210" s="16" t="s">
        <v>7423</v>
      </c>
      <c r="G2210" s="16" t="s">
        <v>2987</v>
      </c>
      <c r="H2210" s="16"/>
      <c r="I2210" s="16"/>
      <c r="J2210" s="16"/>
      <c r="K2210" s="16"/>
      <c r="L2210" s="16"/>
      <c r="M2210" s="19" t="s">
        <v>7424</v>
      </c>
      <c r="N2210" s="16"/>
      <c r="O2210" s="16" t="s">
        <v>7425</v>
      </c>
      <c r="P2210" s="16" t="str">
        <f>HYPERLINK("https://ceds.ed.gov/cedselementdetails.aspx?termid=27933")</f>
        <v>https://ceds.ed.gov/cedselementdetails.aspx?termid=27933</v>
      </c>
      <c r="Q2210" s="16">
        <v>75535</v>
      </c>
    </row>
    <row r="2211" spans="1:17" ht="144" x14ac:dyDescent="0.3">
      <c r="A2211" s="16" t="s">
        <v>7665</v>
      </c>
      <c r="B2211" s="16" t="s">
        <v>7712</v>
      </c>
      <c r="C2211" s="16" t="s">
        <v>7628</v>
      </c>
      <c r="D2211" s="16" t="s">
        <v>7597</v>
      </c>
      <c r="E2211" s="16" t="s">
        <v>7527</v>
      </c>
      <c r="F2211" s="16" t="s">
        <v>7528</v>
      </c>
      <c r="G2211" s="16" t="s">
        <v>8811</v>
      </c>
      <c r="H2211" s="16"/>
      <c r="I2211" s="16"/>
      <c r="J2211" s="16"/>
      <c r="K2211" s="16"/>
      <c r="L2211" s="16" t="s">
        <v>7529</v>
      </c>
      <c r="M2211" s="19" t="s">
        <v>7530</v>
      </c>
      <c r="N2211" s="16"/>
      <c r="O2211" s="16" t="s">
        <v>7527</v>
      </c>
      <c r="P2211" s="16" t="str">
        <f>HYPERLINK("https://ceds.ed.gov/cedselementdetails.aspx?termid=27955")</f>
        <v>https://ceds.ed.gov/cedselementdetails.aspx?termid=27955</v>
      </c>
      <c r="Q2211" s="16">
        <v>75536</v>
      </c>
    </row>
    <row r="2212" spans="1:17" ht="172.8" x14ac:dyDescent="0.3">
      <c r="A2212" s="16" t="s">
        <v>7665</v>
      </c>
      <c r="B2212" s="16" t="s">
        <v>7712</v>
      </c>
      <c r="C2212" s="16" t="s">
        <v>7713</v>
      </c>
      <c r="D2212" s="16" t="s">
        <v>7597</v>
      </c>
      <c r="E2212" s="16" t="s">
        <v>5257</v>
      </c>
      <c r="F2212" s="16" t="s">
        <v>5258</v>
      </c>
      <c r="G2212" s="16" t="s">
        <v>32</v>
      </c>
      <c r="H2212" s="16" t="s">
        <v>5256</v>
      </c>
      <c r="I2212" s="16"/>
      <c r="J2212" s="16" t="s">
        <v>120</v>
      </c>
      <c r="K2212" s="16"/>
      <c r="L2212" s="16" t="s">
        <v>7905</v>
      </c>
      <c r="M2212" s="19" t="s">
        <v>5259</v>
      </c>
      <c r="N2212" s="16" t="s">
        <v>5260</v>
      </c>
      <c r="O2212" s="16" t="s">
        <v>5261</v>
      </c>
      <c r="P2212" s="16" t="str">
        <f>HYPERLINK("https://ceds.ed.gov/cedselementdetails.aspx?termid=26153")</f>
        <v>https://ceds.ed.gov/cedselementdetails.aspx?termid=26153</v>
      </c>
      <c r="Q2212" s="16">
        <v>71093</v>
      </c>
    </row>
    <row r="2213" spans="1:17" ht="172.8" x14ac:dyDescent="0.3">
      <c r="A2213" s="16" t="s">
        <v>7665</v>
      </c>
      <c r="B2213" s="16" t="s">
        <v>7712</v>
      </c>
      <c r="C2213" s="16" t="s">
        <v>7713</v>
      </c>
      <c r="D2213" s="16" t="s">
        <v>7597</v>
      </c>
      <c r="E2213" s="16" t="s">
        <v>5251</v>
      </c>
      <c r="F2213" s="16" t="s">
        <v>5252</v>
      </c>
      <c r="G2213" s="16" t="s">
        <v>8242</v>
      </c>
      <c r="H2213" s="16" t="s">
        <v>5256</v>
      </c>
      <c r="I2213" s="16"/>
      <c r="J2213" s="16"/>
      <c r="K2213" s="16"/>
      <c r="L2213" s="16"/>
      <c r="M2213" s="19" t="s">
        <v>5253</v>
      </c>
      <c r="N2213" s="16" t="s">
        <v>5254</v>
      </c>
      <c r="O2213" s="16" t="s">
        <v>5255</v>
      </c>
      <c r="P2213" s="16" t="str">
        <f>HYPERLINK("https://ceds.ed.gov/cedselementdetails.aspx?termid=26159")</f>
        <v>https://ceds.ed.gov/cedselementdetails.aspx?termid=26159</v>
      </c>
      <c r="Q2213" s="16">
        <v>71096</v>
      </c>
    </row>
    <row r="2214" spans="1:17" ht="172.8" x14ac:dyDescent="0.3">
      <c r="A2214" s="16" t="s">
        <v>7665</v>
      </c>
      <c r="B2214" s="16" t="s">
        <v>7712</v>
      </c>
      <c r="C2214" s="16" t="s">
        <v>7713</v>
      </c>
      <c r="D2214" s="16" t="s">
        <v>7597</v>
      </c>
      <c r="E2214" s="16" t="s">
        <v>6524</v>
      </c>
      <c r="F2214" s="16" t="s">
        <v>268</v>
      </c>
      <c r="G2214" s="16" t="s">
        <v>32</v>
      </c>
      <c r="H2214" s="16" t="s">
        <v>6523</v>
      </c>
      <c r="I2214" s="16"/>
      <c r="J2214" s="16" t="s">
        <v>120</v>
      </c>
      <c r="K2214" s="16"/>
      <c r="L2214" s="16" t="s">
        <v>7817</v>
      </c>
      <c r="M2214" s="19" t="s">
        <v>6525</v>
      </c>
      <c r="N2214" s="16"/>
      <c r="O2214" s="16" t="s">
        <v>6526</v>
      </c>
      <c r="P2214" s="16" t="str">
        <f>HYPERLINK("https://ceds.ed.gov/cedselementdetails.aspx?termid=26155")</f>
        <v>https://ceds.ed.gov/cedselementdetails.aspx?termid=26155</v>
      </c>
      <c r="Q2214" s="16">
        <v>71094</v>
      </c>
    </row>
    <row r="2215" spans="1:17" ht="187.2" x14ac:dyDescent="0.3">
      <c r="A2215" s="16" t="s">
        <v>7665</v>
      </c>
      <c r="B2215" s="16" t="s">
        <v>7712</v>
      </c>
      <c r="C2215" s="16" t="s">
        <v>7713</v>
      </c>
      <c r="D2215" s="16" t="s">
        <v>7597</v>
      </c>
      <c r="E2215" s="16" t="s">
        <v>6520</v>
      </c>
      <c r="F2215" s="16" t="s">
        <v>263</v>
      </c>
      <c r="G2215" s="16" t="s">
        <v>8261</v>
      </c>
      <c r="H2215" s="16" t="s">
        <v>6523</v>
      </c>
      <c r="I2215" s="16"/>
      <c r="J2215" s="16"/>
      <c r="K2215" s="16"/>
      <c r="L2215" s="16"/>
      <c r="M2215" s="19" t="s">
        <v>6521</v>
      </c>
      <c r="N2215" s="16"/>
      <c r="O2215" s="16" t="s">
        <v>6522</v>
      </c>
      <c r="P2215" s="16" t="str">
        <f>HYPERLINK("https://ceds.ed.gov/cedselementdetails.aspx?termid=26161")</f>
        <v>https://ceds.ed.gov/cedselementdetails.aspx?termid=26161</v>
      </c>
      <c r="Q2215" s="16">
        <v>71097</v>
      </c>
    </row>
    <row r="2216" spans="1:17" ht="28.8" x14ac:dyDescent="0.3">
      <c r="A2216" s="16" t="s">
        <v>7665</v>
      </c>
      <c r="B2216" s="16" t="s">
        <v>7712</v>
      </c>
      <c r="C2216" s="16" t="s">
        <v>7713</v>
      </c>
      <c r="D2216" s="16" t="s">
        <v>7597</v>
      </c>
      <c r="E2216" s="16" t="s">
        <v>1406</v>
      </c>
      <c r="F2216" s="16" t="s">
        <v>1407</v>
      </c>
      <c r="G2216" s="16" t="s">
        <v>32</v>
      </c>
      <c r="H2216" s="16"/>
      <c r="I2216" s="16"/>
      <c r="J2216" s="16" t="s">
        <v>106</v>
      </c>
      <c r="K2216" s="16"/>
      <c r="L2216" s="16"/>
      <c r="M2216" s="19" t="s">
        <v>1408</v>
      </c>
      <c r="N2216" s="16"/>
      <c r="O2216" s="16" t="s">
        <v>1409</v>
      </c>
      <c r="P2216" s="16" t="str">
        <f>HYPERLINK("https://ceds.ed.gov/cedselementdetails.aspx?termid=26517")</f>
        <v>https://ceds.ed.gov/cedselementdetails.aspx?termid=26517</v>
      </c>
      <c r="Q2216" s="16">
        <v>71126</v>
      </c>
    </row>
    <row r="2217" spans="1:17" ht="57.6" x14ac:dyDescent="0.3">
      <c r="A2217" s="16" t="s">
        <v>7665</v>
      </c>
      <c r="B2217" s="16" t="s">
        <v>7712</v>
      </c>
      <c r="C2217" s="16" t="s">
        <v>7713</v>
      </c>
      <c r="D2217" s="16" t="s">
        <v>7597</v>
      </c>
      <c r="E2217" s="16" t="s">
        <v>1402</v>
      </c>
      <c r="F2217" s="16" t="s">
        <v>1403</v>
      </c>
      <c r="G2217" s="16" t="s">
        <v>32</v>
      </c>
      <c r="H2217" s="16"/>
      <c r="I2217" s="16"/>
      <c r="J2217" s="16" t="s">
        <v>106</v>
      </c>
      <c r="K2217" s="16"/>
      <c r="L2217" s="16" t="s">
        <v>131</v>
      </c>
      <c r="M2217" s="19" t="s">
        <v>1404</v>
      </c>
      <c r="N2217" s="16"/>
      <c r="O2217" s="16" t="s">
        <v>1405</v>
      </c>
      <c r="P2217" s="16" t="str">
        <f>HYPERLINK("https://ceds.ed.gov/cedselementdetails.aspx?termid=26518")</f>
        <v>https://ceds.ed.gov/cedselementdetails.aspx?termid=26518</v>
      </c>
      <c r="Q2217" s="16">
        <v>71127</v>
      </c>
    </row>
    <row r="2218" spans="1:17" ht="28.8" x14ac:dyDescent="0.3">
      <c r="A2218" s="16" t="s">
        <v>7665</v>
      </c>
      <c r="B2218" s="16" t="s">
        <v>7712</v>
      </c>
      <c r="C2218" s="16" t="s">
        <v>7713</v>
      </c>
      <c r="D2218" s="16" t="s">
        <v>7597</v>
      </c>
      <c r="E2218" s="16" t="s">
        <v>7021</v>
      </c>
      <c r="F2218" s="16" t="s">
        <v>7022</v>
      </c>
      <c r="G2218" s="16" t="s">
        <v>32</v>
      </c>
      <c r="H2218" s="16" t="s">
        <v>6997</v>
      </c>
      <c r="I2218" s="16"/>
      <c r="J2218" s="16" t="s">
        <v>106</v>
      </c>
      <c r="K2218" s="16"/>
      <c r="L2218" s="16"/>
      <c r="M2218" s="19" t="s">
        <v>7023</v>
      </c>
      <c r="N2218" s="16"/>
      <c r="O2218" s="16" t="s">
        <v>7024</v>
      </c>
      <c r="P2218" s="16" t="str">
        <f>HYPERLINK("https://ceds.ed.gov/cedselementdetails.aspx?termid=26647")</f>
        <v>https://ceds.ed.gov/cedselementdetails.aspx?termid=26647</v>
      </c>
      <c r="Q2218" s="16">
        <v>71141</v>
      </c>
    </row>
    <row r="2219" spans="1:17" ht="57.6" x14ac:dyDescent="0.3">
      <c r="A2219" s="16" t="s">
        <v>7665</v>
      </c>
      <c r="B2219" s="16" t="s">
        <v>7712</v>
      </c>
      <c r="C2219" s="16" t="s">
        <v>7713</v>
      </c>
      <c r="D2219" s="16" t="s">
        <v>7597</v>
      </c>
      <c r="E2219" s="16" t="s">
        <v>7013</v>
      </c>
      <c r="F2219" s="16" t="s">
        <v>7014</v>
      </c>
      <c r="G2219" s="16" t="s">
        <v>32</v>
      </c>
      <c r="H2219" s="16" t="s">
        <v>6997</v>
      </c>
      <c r="I2219" s="16"/>
      <c r="J2219" s="16" t="s">
        <v>106</v>
      </c>
      <c r="K2219" s="16"/>
      <c r="L2219" s="16" t="s">
        <v>7015</v>
      </c>
      <c r="M2219" s="19" t="s">
        <v>7016</v>
      </c>
      <c r="N2219" s="16"/>
      <c r="O2219" s="16" t="s">
        <v>7017</v>
      </c>
      <c r="P2219" s="16" t="str">
        <f>HYPERLINK("https://ceds.ed.gov/cedselementdetails.aspx?termid=26648")</f>
        <v>https://ceds.ed.gov/cedselementdetails.aspx?termid=26648</v>
      </c>
      <c r="Q2219" s="16">
        <v>71142</v>
      </c>
    </row>
    <row r="2220" spans="1:17" ht="57.6" x14ac:dyDescent="0.3">
      <c r="A2220" s="16" t="s">
        <v>7665</v>
      </c>
      <c r="B2220" s="16" t="s">
        <v>7712</v>
      </c>
      <c r="C2220" s="16" t="s">
        <v>7713</v>
      </c>
      <c r="D2220" s="16" t="s">
        <v>7597</v>
      </c>
      <c r="E2220" s="16" t="s">
        <v>6799</v>
      </c>
      <c r="F2220" s="16" t="s">
        <v>6800</v>
      </c>
      <c r="G2220" s="16" t="s">
        <v>32</v>
      </c>
      <c r="H2220" s="16" t="s">
        <v>6804</v>
      </c>
      <c r="I2220" s="16"/>
      <c r="J2220" s="16" t="s">
        <v>4081</v>
      </c>
      <c r="K2220" s="16"/>
      <c r="L2220" s="16"/>
      <c r="M2220" s="19" t="s">
        <v>6801</v>
      </c>
      <c r="N2220" s="16" t="s">
        <v>6802</v>
      </c>
      <c r="O2220" s="16" t="s">
        <v>6803</v>
      </c>
      <c r="P2220" s="16" t="str">
        <f>HYPERLINK("https://ceds.ed.gov/cedselementdetails.aspx?termid=26118")</f>
        <v>https://ceds.ed.gov/cedselementdetails.aspx?termid=26118</v>
      </c>
      <c r="Q2220" s="16">
        <v>71086</v>
      </c>
    </row>
    <row r="2221" spans="1:17" ht="43.2" x14ac:dyDescent="0.3">
      <c r="A2221" s="16" t="s">
        <v>7665</v>
      </c>
      <c r="B2221" s="16" t="s">
        <v>7712</v>
      </c>
      <c r="C2221" s="16" t="s">
        <v>7713</v>
      </c>
      <c r="D2221" s="16" t="s">
        <v>7597</v>
      </c>
      <c r="E2221" s="16" t="s">
        <v>5852</v>
      </c>
      <c r="F2221" s="16" t="s">
        <v>7311</v>
      </c>
      <c r="G2221" s="16" t="s">
        <v>22</v>
      </c>
      <c r="H2221" s="16"/>
      <c r="I2221" s="16"/>
      <c r="J2221" s="16"/>
      <c r="K2221" s="16"/>
      <c r="L2221" s="16"/>
      <c r="M2221" s="19" t="s">
        <v>5853</v>
      </c>
      <c r="N2221" s="16"/>
      <c r="O2221" s="16" t="s">
        <v>5854</v>
      </c>
      <c r="P2221" s="16" t="str">
        <f>HYPERLINK("https://ceds.ed.gov/cedselementdetails.aspx?termid=26516")</f>
        <v>https://ceds.ed.gov/cedselementdetails.aspx?termid=26516</v>
      </c>
      <c r="Q2221" s="16">
        <v>71125</v>
      </c>
    </row>
    <row r="2222" spans="1:17" ht="409.6" x14ac:dyDescent="0.3">
      <c r="A2222" s="16" t="s">
        <v>7665</v>
      </c>
      <c r="B2222" s="16" t="s">
        <v>7712</v>
      </c>
      <c r="C2222" s="16" t="s">
        <v>7713</v>
      </c>
      <c r="D2222" s="16" t="s">
        <v>7597</v>
      </c>
      <c r="E2222" s="16" t="s">
        <v>4870</v>
      </c>
      <c r="F2222" s="16" t="s">
        <v>4871</v>
      </c>
      <c r="G2222" s="16" t="s">
        <v>13092</v>
      </c>
      <c r="H2222" s="16" t="s">
        <v>4874</v>
      </c>
      <c r="I2222" s="16" t="s">
        <v>160</v>
      </c>
      <c r="J2222" s="16"/>
      <c r="K2222" s="16" t="s">
        <v>12949</v>
      </c>
      <c r="L2222" s="16"/>
      <c r="M2222" s="19" t="s">
        <v>4872</v>
      </c>
      <c r="N2222" s="16"/>
      <c r="O2222" s="16" t="s">
        <v>4873</v>
      </c>
      <c r="P2222" s="16" t="str">
        <f>HYPERLINK("https://ceds.ed.gov/cedselementdetails.aspx?termid=26087")</f>
        <v>https://ceds.ed.gov/cedselementdetails.aspx?termid=26087</v>
      </c>
      <c r="Q2222" s="16">
        <v>71080</v>
      </c>
    </row>
    <row r="2223" spans="1:17" ht="244.8" x14ac:dyDescent="0.3">
      <c r="A2223" s="16" t="s">
        <v>7665</v>
      </c>
      <c r="B2223" s="16" t="s">
        <v>7712</v>
      </c>
      <c r="C2223" s="16" t="s">
        <v>7713</v>
      </c>
      <c r="D2223" s="16" t="s">
        <v>7597</v>
      </c>
      <c r="E2223" s="16" t="s">
        <v>2064</v>
      </c>
      <c r="F2223" s="16" t="s">
        <v>2065</v>
      </c>
      <c r="G2223" s="16" t="s">
        <v>8213</v>
      </c>
      <c r="H2223" s="16"/>
      <c r="I2223" s="16"/>
      <c r="J2223" s="16"/>
      <c r="K2223" s="16"/>
      <c r="L2223" s="16"/>
      <c r="M2223" s="19" t="s">
        <v>2066</v>
      </c>
      <c r="N2223" s="16"/>
      <c r="O2223" s="16" t="s">
        <v>2067</v>
      </c>
      <c r="P2223" s="16" t="str">
        <f>HYPERLINK("https://ceds.ed.gov/cedselementdetails.aspx?termid=26615")</f>
        <v>https://ceds.ed.gov/cedselementdetails.aspx?termid=26615</v>
      </c>
      <c r="Q2223" s="16">
        <v>71138</v>
      </c>
    </row>
    <row r="2224" spans="1:17" ht="43.2" x14ac:dyDescent="0.3">
      <c r="A2224" s="16" t="s">
        <v>7665</v>
      </c>
      <c r="B2224" s="16" t="s">
        <v>7712</v>
      </c>
      <c r="C2224" s="16" t="s">
        <v>7713</v>
      </c>
      <c r="D2224" s="16" t="s">
        <v>7597</v>
      </c>
      <c r="E2224" s="16" t="s">
        <v>4860</v>
      </c>
      <c r="F2224" s="16" t="s">
        <v>4861</v>
      </c>
      <c r="G2224" s="16" t="s">
        <v>22</v>
      </c>
      <c r="H2224" s="16"/>
      <c r="I2224" s="16"/>
      <c r="J2224" s="16"/>
      <c r="K2224" s="16"/>
      <c r="L2224" s="16"/>
      <c r="M2224" s="19" t="s">
        <v>4863</v>
      </c>
      <c r="N2224" s="16"/>
      <c r="O2224" s="16" t="s">
        <v>4864</v>
      </c>
      <c r="P2224" s="16" t="str">
        <f>HYPERLINK("https://ceds.ed.gov/cedselementdetails.aspx?termid=26519")</f>
        <v>https://ceds.ed.gov/cedselementdetails.aspx?termid=26519</v>
      </c>
      <c r="Q2224" s="16">
        <v>71128</v>
      </c>
    </row>
    <row r="2225" spans="1:17" ht="100.8" x14ac:dyDescent="0.3">
      <c r="A2225" s="16" t="s">
        <v>7665</v>
      </c>
      <c r="B2225" s="16" t="s">
        <v>7712</v>
      </c>
      <c r="C2225" s="16" t="s">
        <v>7713</v>
      </c>
      <c r="D2225" s="16" t="s">
        <v>7597</v>
      </c>
      <c r="E2225" s="16" t="s">
        <v>5377</v>
      </c>
      <c r="F2225" s="16" t="s">
        <v>5378</v>
      </c>
      <c r="G2225" s="16" t="s">
        <v>8726</v>
      </c>
      <c r="H2225" s="16" t="s">
        <v>214</v>
      </c>
      <c r="I2225" s="16"/>
      <c r="J2225" s="16"/>
      <c r="K2225" s="16"/>
      <c r="L2225" s="16" t="s">
        <v>5379</v>
      </c>
      <c r="M2225" s="19" t="s">
        <v>5380</v>
      </c>
      <c r="N2225" s="16" t="s">
        <v>5381</v>
      </c>
      <c r="O2225" s="16" t="s">
        <v>5382</v>
      </c>
      <c r="P2225" s="16" t="str">
        <f>HYPERLINK("https://ceds.ed.gov/cedselementdetails.aspx?termid=26188")</f>
        <v>https://ceds.ed.gov/cedselementdetails.aspx?termid=26188</v>
      </c>
      <c r="Q2225" s="16">
        <v>71101</v>
      </c>
    </row>
    <row r="2226" spans="1:17" ht="86.4" x14ac:dyDescent="0.3">
      <c r="A2226" s="16" t="s">
        <v>7665</v>
      </c>
      <c r="B2226" s="16" t="s">
        <v>7712</v>
      </c>
      <c r="C2226" s="16" t="s">
        <v>7713</v>
      </c>
      <c r="D2226" s="16" t="s">
        <v>7597</v>
      </c>
      <c r="E2226" s="16" t="s">
        <v>7090</v>
      </c>
      <c r="F2226" s="16" t="s">
        <v>7091</v>
      </c>
      <c r="G2226" s="16" t="s">
        <v>8275</v>
      </c>
      <c r="H2226" s="16" t="s">
        <v>214</v>
      </c>
      <c r="I2226" s="16"/>
      <c r="J2226" s="16"/>
      <c r="K2226" s="16"/>
      <c r="L2226" s="16"/>
      <c r="M2226" s="19" t="s">
        <v>7092</v>
      </c>
      <c r="N2226" s="16"/>
      <c r="O2226" s="16" t="s">
        <v>7093</v>
      </c>
      <c r="P2226" s="16" t="str">
        <f>HYPERLINK("https://ceds.ed.gov/cedselementdetails.aspx?termid=26283")</f>
        <v>https://ceds.ed.gov/cedselementdetails.aspx?termid=26283</v>
      </c>
      <c r="Q2226" s="16">
        <v>71120</v>
      </c>
    </row>
    <row r="2227" spans="1:17" ht="57.6" x14ac:dyDescent="0.3">
      <c r="A2227" s="16" t="s">
        <v>7665</v>
      </c>
      <c r="B2227" s="16" t="s">
        <v>7712</v>
      </c>
      <c r="C2227" s="16" t="s">
        <v>7713</v>
      </c>
      <c r="D2227" s="16" t="s">
        <v>7597</v>
      </c>
      <c r="E2227" s="16" t="s">
        <v>6739</v>
      </c>
      <c r="F2227" s="16" t="s">
        <v>6740</v>
      </c>
      <c r="G2227" s="16" t="s">
        <v>22</v>
      </c>
      <c r="H2227" s="16" t="s">
        <v>214</v>
      </c>
      <c r="I2227" s="16"/>
      <c r="J2227" s="16"/>
      <c r="K2227" s="16"/>
      <c r="L2227" s="16"/>
      <c r="M2227" s="19" t="s">
        <v>6741</v>
      </c>
      <c r="N2227" s="16"/>
      <c r="O2227" s="16" t="s">
        <v>6742</v>
      </c>
      <c r="P2227" s="16" t="str">
        <f>HYPERLINK("https://ceds.ed.gov/cedselementdetails.aspx?termid=26264")</f>
        <v>https://ceds.ed.gov/cedselementdetails.aspx?termid=26264</v>
      </c>
      <c r="Q2227" s="16">
        <v>71115</v>
      </c>
    </row>
    <row r="2228" spans="1:17" ht="43.2" x14ac:dyDescent="0.3">
      <c r="A2228" s="16" t="s">
        <v>7665</v>
      </c>
      <c r="B2228" s="16" t="s">
        <v>7712</v>
      </c>
      <c r="C2228" s="16" t="s">
        <v>7713</v>
      </c>
      <c r="D2228" s="16" t="s">
        <v>7597</v>
      </c>
      <c r="E2228" s="16" t="s">
        <v>6709</v>
      </c>
      <c r="F2228" s="16" t="s">
        <v>6710</v>
      </c>
      <c r="G2228" s="16" t="s">
        <v>8264</v>
      </c>
      <c r="H2228" s="16" t="s">
        <v>214</v>
      </c>
      <c r="I2228" s="16"/>
      <c r="J2228" s="16"/>
      <c r="K2228" s="16"/>
      <c r="L2228" s="16"/>
      <c r="M2228" s="19" t="s">
        <v>6711</v>
      </c>
      <c r="N2228" s="16"/>
      <c r="O2228" s="16" t="s">
        <v>6712</v>
      </c>
      <c r="P2228" s="16" t="str">
        <f>HYPERLINK("https://ceds.ed.gov/cedselementdetails.aspx?termid=26556")</f>
        <v>https://ceds.ed.gov/cedselementdetails.aspx?termid=26556</v>
      </c>
      <c r="Q2228" s="16">
        <v>71133</v>
      </c>
    </row>
    <row r="2229" spans="1:17" ht="57.6" x14ac:dyDescent="0.3">
      <c r="A2229" s="16" t="s">
        <v>7665</v>
      </c>
      <c r="B2229" s="16" t="s">
        <v>7712</v>
      </c>
      <c r="C2229" s="16" t="s">
        <v>7713</v>
      </c>
      <c r="D2229" s="16" t="s">
        <v>7597</v>
      </c>
      <c r="E2229" s="16" t="s">
        <v>6722</v>
      </c>
      <c r="F2229" s="16" t="s">
        <v>6723</v>
      </c>
      <c r="G2229" s="16" t="s">
        <v>22</v>
      </c>
      <c r="H2229" s="16" t="s">
        <v>214</v>
      </c>
      <c r="I2229" s="16"/>
      <c r="J2229" s="16"/>
      <c r="K2229" s="16"/>
      <c r="L2229" s="16"/>
      <c r="M2229" s="19" t="s">
        <v>6724</v>
      </c>
      <c r="N2229" s="16"/>
      <c r="O2229" s="16" t="s">
        <v>6725</v>
      </c>
      <c r="P2229" s="16" t="str">
        <f>HYPERLINK("https://ceds.ed.gov/cedselementdetails.aspx?termid=26261")</f>
        <v>https://ceds.ed.gov/cedselementdetails.aspx?termid=26261</v>
      </c>
      <c r="Q2229" s="16">
        <v>71113</v>
      </c>
    </row>
    <row r="2230" spans="1:17" ht="57.6" x14ac:dyDescent="0.3">
      <c r="A2230" s="16" t="s">
        <v>7665</v>
      </c>
      <c r="B2230" s="16" t="s">
        <v>7712</v>
      </c>
      <c r="C2230" s="16" t="s">
        <v>7713</v>
      </c>
      <c r="D2230" s="16" t="s">
        <v>7597</v>
      </c>
      <c r="E2230" s="16" t="s">
        <v>6726</v>
      </c>
      <c r="F2230" s="16" t="s">
        <v>6727</v>
      </c>
      <c r="G2230" s="16" t="s">
        <v>22</v>
      </c>
      <c r="H2230" s="16" t="s">
        <v>214</v>
      </c>
      <c r="I2230" s="16"/>
      <c r="J2230" s="16"/>
      <c r="K2230" s="16"/>
      <c r="L2230" s="16"/>
      <c r="M2230" s="19" t="s">
        <v>6728</v>
      </c>
      <c r="N2230" s="16"/>
      <c r="O2230" s="16" t="s">
        <v>6729</v>
      </c>
      <c r="P2230" s="16" t="str">
        <f>HYPERLINK("https://ceds.ed.gov/cedselementdetails.aspx?termid=26262")</f>
        <v>https://ceds.ed.gov/cedselementdetails.aspx?termid=26262</v>
      </c>
      <c r="Q2230" s="16">
        <v>71114</v>
      </c>
    </row>
    <row r="2231" spans="1:17" ht="187.2" x14ac:dyDescent="0.3">
      <c r="A2231" s="16" t="s">
        <v>7665</v>
      </c>
      <c r="B2231" s="16" t="s">
        <v>7712</v>
      </c>
      <c r="C2231" s="16" t="s">
        <v>7713</v>
      </c>
      <c r="D2231" s="16" t="s">
        <v>7597</v>
      </c>
      <c r="E2231" s="16" t="s">
        <v>6735</v>
      </c>
      <c r="F2231" s="16" t="s">
        <v>6736</v>
      </c>
      <c r="G2231" s="16" t="s">
        <v>8265</v>
      </c>
      <c r="H2231" s="16" t="s">
        <v>214</v>
      </c>
      <c r="I2231" s="16"/>
      <c r="J2231" s="16"/>
      <c r="K2231" s="16"/>
      <c r="L2231" s="16"/>
      <c r="M2231" s="19" t="s">
        <v>6737</v>
      </c>
      <c r="N2231" s="16"/>
      <c r="O2231" s="16" t="s">
        <v>6738</v>
      </c>
      <c r="P2231" s="16" t="str">
        <f>HYPERLINK("https://ceds.ed.gov/cedselementdetails.aspx?termid=26549")</f>
        <v>https://ceds.ed.gov/cedselementdetails.aspx?termid=26549</v>
      </c>
      <c r="Q2231" s="16">
        <v>71132</v>
      </c>
    </row>
    <row r="2232" spans="1:17" ht="216" x14ac:dyDescent="0.3">
      <c r="A2232" s="16" t="s">
        <v>7665</v>
      </c>
      <c r="B2232" s="16" t="s">
        <v>7712</v>
      </c>
      <c r="C2232" s="16" t="s">
        <v>7713</v>
      </c>
      <c r="D2232" s="16" t="s">
        <v>7597</v>
      </c>
      <c r="E2232" s="16" t="s">
        <v>6030</v>
      </c>
      <c r="F2232" s="16" t="s">
        <v>6031</v>
      </c>
      <c r="G2232" s="16" t="s">
        <v>8254</v>
      </c>
      <c r="H2232" s="16"/>
      <c r="I2232" s="16"/>
      <c r="J2232" s="16"/>
      <c r="K2232" s="16"/>
      <c r="L2232" s="16"/>
      <c r="M2232" s="19" t="s">
        <v>6032</v>
      </c>
      <c r="N2232" s="16"/>
      <c r="O2232" s="16" t="s">
        <v>6033</v>
      </c>
      <c r="P2232" s="16" t="str">
        <f>HYPERLINK("https://ceds.ed.gov/cedselementdetails.aspx?termid=26220")</f>
        <v>https://ceds.ed.gov/cedselementdetails.aspx?termid=26220</v>
      </c>
      <c r="Q2232" s="16">
        <v>71108</v>
      </c>
    </row>
    <row r="2233" spans="1:17" ht="129.6" x14ac:dyDescent="0.3">
      <c r="A2233" s="16" t="s">
        <v>7665</v>
      </c>
      <c r="B2233" s="16" t="s">
        <v>7712</v>
      </c>
      <c r="C2233" s="16" t="s">
        <v>7659</v>
      </c>
      <c r="D2233" s="16" t="s">
        <v>7597</v>
      </c>
      <c r="E2233" s="16" t="s">
        <v>2910</v>
      </c>
      <c r="F2233" s="16" t="s">
        <v>2911</v>
      </c>
      <c r="G2233" s="16" t="s">
        <v>13481</v>
      </c>
      <c r="H2233" s="16"/>
      <c r="I2233" s="16" t="s">
        <v>160</v>
      </c>
      <c r="J2233" s="16"/>
      <c r="K2233" s="16" t="s">
        <v>12934</v>
      </c>
      <c r="L2233" s="16"/>
      <c r="M2233" s="19" t="s">
        <v>2912</v>
      </c>
      <c r="N2233" s="16"/>
      <c r="O2233" s="16" t="s">
        <v>2913</v>
      </c>
      <c r="P2233" s="16" t="str">
        <f>HYPERLINK("https://ceds.ed.gov/cedselementdetails.aspx?termid=26071")</f>
        <v>https://ceds.ed.gov/cedselementdetails.aspx?termid=26071</v>
      </c>
      <c r="Q2233" s="16">
        <v>71079</v>
      </c>
    </row>
    <row r="2234" spans="1:17" ht="216" x14ac:dyDescent="0.3">
      <c r="A2234" s="16" t="s">
        <v>7665</v>
      </c>
      <c r="B2234" s="16" t="s">
        <v>7712</v>
      </c>
      <c r="C2234" s="16" t="s">
        <v>7659</v>
      </c>
      <c r="D2234" s="16" t="s">
        <v>7597</v>
      </c>
      <c r="E2234" s="16" t="s">
        <v>7029</v>
      </c>
      <c r="F2234" s="16" t="s">
        <v>7030</v>
      </c>
      <c r="G2234" s="16" t="s">
        <v>8845</v>
      </c>
      <c r="H2234" s="16" t="s">
        <v>343</v>
      </c>
      <c r="I2234" s="16"/>
      <c r="J2234" s="16"/>
      <c r="K2234" s="16"/>
      <c r="L2234" s="16"/>
      <c r="M2234" s="19" t="s">
        <v>7031</v>
      </c>
      <c r="N2234" s="16"/>
      <c r="O2234" s="16" t="s">
        <v>7032</v>
      </c>
      <c r="P2234" s="16" t="str">
        <f>HYPERLINK("https://ceds.ed.gov/cedselementdetails.aspx?termid=26278")</f>
        <v>https://ceds.ed.gov/cedselementdetails.aspx?termid=26278</v>
      </c>
      <c r="Q2234" s="16">
        <v>71119</v>
      </c>
    </row>
    <row r="2235" spans="1:17" ht="187.2" x14ac:dyDescent="0.3">
      <c r="A2235" s="16" t="s">
        <v>7665</v>
      </c>
      <c r="B2235" s="16" t="s">
        <v>7712</v>
      </c>
      <c r="C2235" s="16" t="s">
        <v>7659</v>
      </c>
      <c r="D2235" s="16" t="s">
        <v>7597</v>
      </c>
      <c r="E2235" s="16" t="s">
        <v>7025</v>
      </c>
      <c r="F2235" s="16" t="s">
        <v>7026</v>
      </c>
      <c r="G2235" s="16" t="s">
        <v>8844</v>
      </c>
      <c r="H2235" s="16" t="s">
        <v>343</v>
      </c>
      <c r="I2235" s="16"/>
      <c r="J2235" s="16"/>
      <c r="K2235" s="16"/>
      <c r="L2235" s="16"/>
      <c r="M2235" s="19" t="s">
        <v>7027</v>
      </c>
      <c r="N2235" s="16"/>
      <c r="O2235" s="16" t="s">
        <v>7028</v>
      </c>
      <c r="P2235" s="16" t="str">
        <f>HYPERLINK("https://ceds.ed.gov/cedselementdetails.aspx?termid=26277")</f>
        <v>https://ceds.ed.gov/cedselementdetails.aspx?termid=26277</v>
      </c>
      <c r="Q2235" s="16">
        <v>71118</v>
      </c>
    </row>
    <row r="2236" spans="1:17" x14ac:dyDescent="0.3">
      <c r="A2236" s="16" t="s">
        <v>7665</v>
      </c>
      <c r="B2236" s="16" t="s">
        <v>7712</v>
      </c>
      <c r="C2236" s="16" t="s">
        <v>7659</v>
      </c>
      <c r="D2236" s="16" t="s">
        <v>7597</v>
      </c>
      <c r="E2236" s="16" t="s">
        <v>2879</v>
      </c>
      <c r="F2236" s="16"/>
      <c r="G2236" s="16" t="s">
        <v>32</v>
      </c>
      <c r="H2236" s="16" t="s">
        <v>195</v>
      </c>
      <c r="I2236" s="16" t="s">
        <v>160</v>
      </c>
      <c r="J2236" s="16"/>
      <c r="K2236" s="16" t="s">
        <v>12941</v>
      </c>
      <c r="L2236" s="16"/>
      <c r="M2236" s="19" t="s">
        <v>2880</v>
      </c>
      <c r="N2236" s="16"/>
      <c r="O2236" s="16"/>
      <c r="P2236" s="16" t="str">
        <f>HYPERLINK("https://ceds.ed.gov/cedselementdetails.aspx?termid=26070")</f>
        <v>https://ceds.ed.gov/cedselementdetails.aspx?termid=26070</v>
      </c>
      <c r="Q2236" s="16">
        <v>71078</v>
      </c>
    </row>
    <row r="2237" spans="1:17" ht="43.2" x14ac:dyDescent="0.3">
      <c r="A2237" s="16" t="s">
        <v>7665</v>
      </c>
      <c r="B2237" s="16" t="s">
        <v>7712</v>
      </c>
      <c r="C2237" s="16" t="s">
        <v>7659</v>
      </c>
      <c r="D2237" s="16" t="s">
        <v>7597</v>
      </c>
      <c r="E2237" s="16" t="s">
        <v>2871</v>
      </c>
      <c r="F2237" s="16" t="s">
        <v>2872</v>
      </c>
      <c r="G2237" s="16" t="s">
        <v>32</v>
      </c>
      <c r="H2237" s="16" t="s">
        <v>195</v>
      </c>
      <c r="I2237" s="16"/>
      <c r="J2237" s="16" t="s">
        <v>106</v>
      </c>
      <c r="K2237" s="16"/>
      <c r="L2237" s="16"/>
      <c r="M2237" s="19" t="s">
        <v>2873</v>
      </c>
      <c r="N2237" s="16"/>
      <c r="O2237" s="16" t="s">
        <v>2874</v>
      </c>
      <c r="P2237" s="16" t="str">
        <f>HYPERLINK("https://ceds.ed.gov/cedselementdetails.aspx?termid=26069")</f>
        <v>https://ceds.ed.gov/cedselementdetails.aspx?termid=26069</v>
      </c>
      <c r="Q2237" s="16">
        <v>71077</v>
      </c>
    </row>
    <row r="2238" spans="1:17" ht="57.6" x14ac:dyDescent="0.3">
      <c r="A2238" s="16" t="s">
        <v>7665</v>
      </c>
      <c r="B2238" s="16" t="s">
        <v>7712</v>
      </c>
      <c r="C2238" s="16" t="s">
        <v>7659</v>
      </c>
      <c r="D2238" s="16" t="s">
        <v>7597</v>
      </c>
      <c r="E2238" s="16" t="s">
        <v>7307</v>
      </c>
      <c r="F2238" s="16" t="s">
        <v>7308</v>
      </c>
      <c r="G2238" s="16" t="s">
        <v>32</v>
      </c>
      <c r="H2238" s="16" t="s">
        <v>2450</v>
      </c>
      <c r="I2238" s="16"/>
      <c r="J2238" s="16" t="s">
        <v>1481</v>
      </c>
      <c r="K2238" s="16"/>
      <c r="L2238" s="16"/>
      <c r="M2238" s="19" t="s">
        <v>7309</v>
      </c>
      <c r="N2238" s="16"/>
      <c r="O2238" s="16" t="s">
        <v>7310</v>
      </c>
      <c r="P2238" s="16" t="str">
        <f>HYPERLINK("https://ceds.ed.gov/cedselementdetails.aspx?termid=26302")</f>
        <v>https://ceds.ed.gov/cedselementdetails.aspx?termid=26302</v>
      </c>
      <c r="Q2238" s="16">
        <v>71123</v>
      </c>
    </row>
    <row r="2239" spans="1:17" ht="409.6" x14ac:dyDescent="0.3">
      <c r="A2239" s="16" t="s">
        <v>7665</v>
      </c>
      <c r="B2239" s="16" t="s">
        <v>7712</v>
      </c>
      <c r="C2239" s="16" t="s">
        <v>7659</v>
      </c>
      <c r="D2239" s="16" t="s">
        <v>7597</v>
      </c>
      <c r="E2239" s="16" t="s">
        <v>4268</v>
      </c>
      <c r="F2239" s="16" t="s">
        <v>4269</v>
      </c>
      <c r="G2239" s="16" t="s">
        <v>8445</v>
      </c>
      <c r="H2239" s="16" t="s">
        <v>4272</v>
      </c>
      <c r="I2239" s="16"/>
      <c r="J2239" s="16"/>
      <c r="K2239" s="16"/>
      <c r="L2239" s="16"/>
      <c r="M2239" s="19" t="s">
        <v>4270</v>
      </c>
      <c r="N2239" s="16"/>
      <c r="O2239" s="16" t="s">
        <v>4271</v>
      </c>
      <c r="P2239" s="16" t="str">
        <f>HYPERLINK("https://ceds.ed.gov/cedselementdetails.aspx?termid=26141")</f>
        <v>https://ceds.ed.gov/cedselementdetails.aspx?termid=26141</v>
      </c>
      <c r="Q2239" s="16">
        <v>71089</v>
      </c>
    </row>
    <row r="2240" spans="1:17" ht="43.2" x14ac:dyDescent="0.3">
      <c r="A2240" s="16" t="s">
        <v>7665</v>
      </c>
      <c r="B2240" s="16" t="s">
        <v>7712</v>
      </c>
      <c r="C2240" s="16" t="s">
        <v>7659</v>
      </c>
      <c r="D2240" s="16" t="s">
        <v>7597</v>
      </c>
      <c r="E2240" s="16" t="s">
        <v>4273</v>
      </c>
      <c r="F2240" s="16" t="s">
        <v>4274</v>
      </c>
      <c r="G2240" s="16" t="s">
        <v>8623</v>
      </c>
      <c r="H2240" s="16" t="s">
        <v>214</v>
      </c>
      <c r="I2240" s="16"/>
      <c r="J2240" s="16"/>
      <c r="K2240" s="16"/>
      <c r="L2240" s="16"/>
      <c r="M2240" s="19" t="s">
        <v>4276</v>
      </c>
      <c r="N2240" s="16"/>
      <c r="O2240" s="16" t="s">
        <v>4277</v>
      </c>
      <c r="P2240" s="16" t="str">
        <f>HYPERLINK("https://ceds.ed.gov/cedselementdetails.aspx?termid=26142")</f>
        <v>https://ceds.ed.gov/cedselementdetails.aspx?termid=26142</v>
      </c>
      <c r="Q2240" s="16">
        <v>71090</v>
      </c>
    </row>
    <row r="2241" spans="1:17" ht="43.2" x14ac:dyDescent="0.3">
      <c r="A2241" s="16" t="s">
        <v>7665</v>
      </c>
      <c r="B2241" s="16" t="s">
        <v>7712</v>
      </c>
      <c r="C2241" s="16" t="s">
        <v>7659</v>
      </c>
      <c r="D2241" s="16" t="s">
        <v>7597</v>
      </c>
      <c r="E2241" s="16" t="s">
        <v>5672</v>
      </c>
      <c r="F2241" s="16" t="s">
        <v>5673</v>
      </c>
      <c r="G2241" s="16" t="s">
        <v>8748</v>
      </c>
      <c r="H2241" s="16" t="s">
        <v>214</v>
      </c>
      <c r="I2241" s="16"/>
      <c r="J2241" s="16"/>
      <c r="K2241" s="16"/>
      <c r="L2241" s="16"/>
      <c r="M2241" s="19" t="s">
        <v>5674</v>
      </c>
      <c r="N2241" s="16"/>
      <c r="O2241" s="16" t="s">
        <v>5675</v>
      </c>
      <c r="P2241" s="16" t="str">
        <f>HYPERLINK("https://ceds.ed.gov/cedselementdetails.aspx?termid=26207")</f>
        <v>https://ceds.ed.gov/cedselementdetails.aspx?termid=26207</v>
      </c>
      <c r="Q2241" s="16">
        <v>71104</v>
      </c>
    </row>
    <row r="2242" spans="1:17" ht="201.6" x14ac:dyDescent="0.3">
      <c r="A2242" s="16" t="s">
        <v>7665</v>
      </c>
      <c r="B2242" s="16" t="s">
        <v>7712</v>
      </c>
      <c r="C2242" s="16" t="s">
        <v>7659</v>
      </c>
      <c r="D2242" s="16" t="s">
        <v>7597</v>
      </c>
      <c r="E2242" s="16" t="s">
        <v>6122</v>
      </c>
      <c r="F2242" s="16" t="s">
        <v>6123</v>
      </c>
      <c r="G2242" s="16" t="s">
        <v>8255</v>
      </c>
      <c r="H2242" s="16"/>
      <c r="I2242" s="16"/>
      <c r="J2242" s="16"/>
      <c r="K2242" s="16"/>
      <c r="L2242" s="16"/>
      <c r="M2242" s="19" t="s">
        <v>6124</v>
      </c>
      <c r="N2242" s="16"/>
      <c r="O2242" s="16" t="s">
        <v>6125</v>
      </c>
      <c r="P2242" s="16" t="str">
        <f>HYPERLINK("https://ceds.ed.gov/cedselementdetails.aspx?termid=26692")</f>
        <v>https://ceds.ed.gov/cedselementdetails.aspx?termid=26692</v>
      </c>
      <c r="Q2242" s="16">
        <v>71148</v>
      </c>
    </row>
    <row r="2243" spans="1:17" ht="57.6" x14ac:dyDescent="0.3">
      <c r="A2243" s="16" t="s">
        <v>7665</v>
      </c>
      <c r="B2243" s="16" t="s">
        <v>7712</v>
      </c>
      <c r="C2243" s="16" t="s">
        <v>7659</v>
      </c>
      <c r="D2243" s="16" t="s">
        <v>7597</v>
      </c>
      <c r="E2243" s="16" t="s">
        <v>1870</v>
      </c>
      <c r="F2243" s="16" t="s">
        <v>1871</v>
      </c>
      <c r="G2243" s="16" t="s">
        <v>22</v>
      </c>
      <c r="H2243" s="16"/>
      <c r="I2243" s="16"/>
      <c r="J2243" s="16"/>
      <c r="K2243" s="16"/>
      <c r="L2243" s="16"/>
      <c r="M2243" s="19" t="s">
        <v>1873</v>
      </c>
      <c r="N2243" s="16" t="s">
        <v>1874</v>
      </c>
      <c r="O2243" s="16" t="s">
        <v>1875</v>
      </c>
      <c r="P2243" s="16" t="str">
        <f>HYPERLINK("https://ceds.ed.gov/cedselementdetails.aspx?termid=27284")</f>
        <v>https://ceds.ed.gov/cedselementdetails.aspx?termid=27284</v>
      </c>
      <c r="Q2243" s="16">
        <v>73122</v>
      </c>
    </row>
    <row r="2244" spans="1:17" ht="28.8" x14ac:dyDescent="0.3">
      <c r="A2244" s="16" t="s">
        <v>7665</v>
      </c>
      <c r="B2244" s="16" t="s">
        <v>7712</v>
      </c>
      <c r="C2244" s="16" t="s">
        <v>7659</v>
      </c>
      <c r="D2244" s="16" t="s">
        <v>7597</v>
      </c>
      <c r="E2244" s="16" t="s">
        <v>2894</v>
      </c>
      <c r="F2244" s="16" t="s">
        <v>2895</v>
      </c>
      <c r="G2244" s="16" t="s">
        <v>32</v>
      </c>
      <c r="H2244" s="16"/>
      <c r="I2244" s="16"/>
      <c r="J2244" s="16" t="s">
        <v>145</v>
      </c>
      <c r="K2244" s="16"/>
      <c r="L2244" s="16"/>
      <c r="M2244" s="19" t="s">
        <v>2896</v>
      </c>
      <c r="N2244" s="16"/>
      <c r="O2244" s="16" t="s">
        <v>2897</v>
      </c>
      <c r="P2244" s="16" t="str">
        <f>HYPERLINK("https://ceds.ed.gov/cedselementdetails.aspx?termid=27566")</f>
        <v>https://ceds.ed.gov/cedselementdetails.aspx?termid=27566</v>
      </c>
      <c r="Q2244" s="16">
        <v>74757</v>
      </c>
    </row>
    <row r="2245" spans="1:17" ht="28.8" x14ac:dyDescent="0.3">
      <c r="A2245" s="16" t="s">
        <v>7665</v>
      </c>
      <c r="B2245" s="16" t="s">
        <v>7712</v>
      </c>
      <c r="C2245" s="16" t="s">
        <v>7659</v>
      </c>
      <c r="D2245" s="16" t="s">
        <v>7597</v>
      </c>
      <c r="E2245" s="16" t="s">
        <v>5436</v>
      </c>
      <c r="F2245" s="16" t="s">
        <v>5437</v>
      </c>
      <c r="G2245" s="16" t="s">
        <v>32</v>
      </c>
      <c r="H2245" s="16" t="s">
        <v>195</v>
      </c>
      <c r="I2245" s="16"/>
      <c r="J2245" s="16" t="s">
        <v>145</v>
      </c>
      <c r="K2245" s="16"/>
      <c r="L2245" s="16"/>
      <c r="M2245" s="19" t="s">
        <v>5438</v>
      </c>
      <c r="N2245" s="16"/>
      <c r="O2245" s="16" t="s">
        <v>5439</v>
      </c>
      <c r="P2245" s="16" t="str">
        <f>HYPERLINK("https://ceds.ed.gov/cedselementdetails.aspx?termid=27064")</f>
        <v>https://ceds.ed.gov/cedselementdetails.aspx?termid=27064</v>
      </c>
      <c r="Q2245" s="16">
        <v>74756</v>
      </c>
    </row>
    <row r="2246" spans="1:17" ht="409.6" x14ac:dyDescent="0.3">
      <c r="A2246" s="16" t="s">
        <v>7665</v>
      </c>
      <c r="B2246" s="16" t="s">
        <v>7712</v>
      </c>
      <c r="C2246" s="16" t="s">
        <v>7659</v>
      </c>
      <c r="D2246" s="16" t="s">
        <v>7597</v>
      </c>
      <c r="E2246" s="16" t="s">
        <v>6878</v>
      </c>
      <c r="F2246" s="16" t="s">
        <v>6879</v>
      </c>
      <c r="G2246" s="16" t="s">
        <v>8270</v>
      </c>
      <c r="H2246" s="16" t="s">
        <v>195</v>
      </c>
      <c r="I2246" s="16"/>
      <c r="J2246" s="16"/>
      <c r="K2246" s="16"/>
      <c r="L2246" s="16"/>
      <c r="M2246" s="19" t="s">
        <v>6880</v>
      </c>
      <c r="N2246" s="16"/>
      <c r="O2246" s="16" t="s">
        <v>6881</v>
      </c>
      <c r="P2246" s="16" t="str">
        <f>HYPERLINK("https://ceds.ed.gov/cedselementdetails.aspx?termid=26804")</f>
        <v>https://ceds.ed.gov/cedselementdetails.aspx?termid=26804</v>
      </c>
      <c r="Q2246" s="16">
        <v>74755</v>
      </c>
    </row>
    <row r="2247" spans="1:17" ht="43.2" x14ac:dyDescent="0.3">
      <c r="A2247" s="16" t="s">
        <v>7665</v>
      </c>
      <c r="B2247" s="16" t="s">
        <v>7712</v>
      </c>
      <c r="C2247" s="16" t="s">
        <v>7659</v>
      </c>
      <c r="D2247" s="16" t="s">
        <v>7597</v>
      </c>
      <c r="E2247" s="16" t="s">
        <v>7405</v>
      </c>
      <c r="F2247" s="16" t="s">
        <v>7406</v>
      </c>
      <c r="G2247" s="16" t="s">
        <v>8543</v>
      </c>
      <c r="H2247" s="16"/>
      <c r="I2247" s="16"/>
      <c r="J2247" s="16"/>
      <c r="K2247" s="16"/>
      <c r="L2247" s="16" t="s">
        <v>7407</v>
      </c>
      <c r="M2247" s="19" t="s">
        <v>7408</v>
      </c>
      <c r="N2247" s="16"/>
      <c r="O2247" s="16" t="s">
        <v>7409</v>
      </c>
      <c r="P2247" s="16" t="str">
        <f>HYPERLINK("https://ceds.ed.gov/cedselementdetails.aspx?termid=27929")</f>
        <v>https://ceds.ed.gov/cedselementdetails.aspx?termid=27929</v>
      </c>
      <c r="Q2247" s="16">
        <v>75532</v>
      </c>
    </row>
    <row r="2248" spans="1:17" ht="57.6" x14ac:dyDescent="0.3">
      <c r="A2248" s="16" t="s">
        <v>7665</v>
      </c>
      <c r="B2248" s="16" t="s">
        <v>7712</v>
      </c>
      <c r="C2248" s="16" t="s">
        <v>7659</v>
      </c>
      <c r="D2248" s="16" t="s">
        <v>7597</v>
      </c>
      <c r="E2248" s="16" t="s">
        <v>7410</v>
      </c>
      <c r="F2248" s="16" t="s">
        <v>7411</v>
      </c>
      <c r="G2248" s="16" t="s">
        <v>8544</v>
      </c>
      <c r="H2248" s="16"/>
      <c r="I2248" s="16"/>
      <c r="J2248" s="16"/>
      <c r="K2248" s="16"/>
      <c r="L2248" s="16" t="s">
        <v>7407</v>
      </c>
      <c r="M2248" s="19" t="s">
        <v>7412</v>
      </c>
      <c r="N2248" s="16"/>
      <c r="O2248" s="16" t="s">
        <v>7413</v>
      </c>
      <c r="P2248" s="16" t="str">
        <f>HYPERLINK("https://ceds.ed.gov/cedselementdetails.aspx?termid=27930")</f>
        <v>https://ceds.ed.gov/cedselementdetails.aspx?termid=27930</v>
      </c>
      <c r="Q2248" s="16">
        <v>75533</v>
      </c>
    </row>
    <row r="2249" spans="1:17" ht="43.2" x14ac:dyDescent="0.3">
      <c r="A2249" s="16" t="s">
        <v>7665</v>
      </c>
      <c r="B2249" s="16" t="s">
        <v>7712</v>
      </c>
      <c r="C2249" s="16" t="s">
        <v>7659</v>
      </c>
      <c r="D2249" s="16" t="s">
        <v>7597</v>
      </c>
      <c r="E2249" s="16" t="s">
        <v>7961</v>
      </c>
      <c r="F2249" s="16" t="s">
        <v>7962</v>
      </c>
      <c r="G2249" s="16" t="s">
        <v>8199</v>
      </c>
      <c r="H2249" s="16"/>
      <c r="I2249" s="16"/>
      <c r="J2249" s="16" t="s">
        <v>2</v>
      </c>
      <c r="K2249" s="16"/>
      <c r="L2249" s="16"/>
      <c r="M2249" s="19" t="s">
        <v>8180</v>
      </c>
      <c r="N2249" s="16"/>
      <c r="O2249" s="16" t="s">
        <v>7963</v>
      </c>
      <c r="P2249" s="16" t="str">
        <f>HYPERLINK("https://ceds.ed.gov/cedselementdetails.aspx?termid=27978")</f>
        <v>https://ceds.ed.gov/cedselementdetails.aspx?termid=27978</v>
      </c>
      <c r="Q2249" s="16">
        <v>75909</v>
      </c>
    </row>
    <row r="2250" spans="1:17" ht="43.2" x14ac:dyDescent="0.3">
      <c r="A2250" s="16" t="s">
        <v>7665</v>
      </c>
      <c r="B2250" s="16" t="s">
        <v>7712</v>
      </c>
      <c r="C2250" s="16" t="s">
        <v>7659</v>
      </c>
      <c r="D2250" s="16" t="s">
        <v>7597</v>
      </c>
      <c r="E2250" s="16" t="s">
        <v>8147</v>
      </c>
      <c r="F2250" s="16" t="s">
        <v>8148</v>
      </c>
      <c r="G2250" s="16" t="s">
        <v>8203</v>
      </c>
      <c r="H2250" s="16"/>
      <c r="I2250" s="16"/>
      <c r="J2250" s="16" t="s">
        <v>2</v>
      </c>
      <c r="K2250" s="16"/>
      <c r="L2250" s="16"/>
      <c r="M2250" s="19" t="s">
        <v>8195</v>
      </c>
      <c r="N2250" s="16"/>
      <c r="O2250" s="16" t="s">
        <v>8149</v>
      </c>
      <c r="P2250" s="16" t="str">
        <f>HYPERLINK("https://ceds.ed.gov/cedselementdetails.aspx?termid=27993")</f>
        <v>https://ceds.ed.gov/cedselementdetails.aspx?termid=27993</v>
      </c>
      <c r="Q2250" s="16">
        <v>75910</v>
      </c>
    </row>
    <row r="2251" spans="1:17" ht="72" x14ac:dyDescent="0.3">
      <c r="A2251" s="16" t="s">
        <v>7665</v>
      </c>
      <c r="B2251" s="16" t="s">
        <v>7712</v>
      </c>
      <c r="C2251" s="16" t="s">
        <v>7659</v>
      </c>
      <c r="D2251" s="16" t="s">
        <v>7597</v>
      </c>
      <c r="E2251" s="16" t="s">
        <v>9279</v>
      </c>
      <c r="F2251" s="16" t="s">
        <v>9280</v>
      </c>
      <c r="G2251" s="16" t="s">
        <v>32</v>
      </c>
      <c r="H2251" s="16"/>
      <c r="I2251" s="16"/>
      <c r="J2251" s="16" t="s">
        <v>1481</v>
      </c>
      <c r="K2251" s="16"/>
      <c r="L2251" s="16"/>
      <c r="M2251" s="19" t="s">
        <v>9281</v>
      </c>
      <c r="N2251" s="16"/>
      <c r="O2251" s="16" t="s">
        <v>9282</v>
      </c>
      <c r="P2251" s="16" t="str">
        <f>HYPERLINK("https://ceds.ed.gov/cedselementdetails.aspx?termid=28094")</f>
        <v>https://ceds.ed.gov/cedselementdetails.aspx?termid=28094</v>
      </c>
      <c r="Q2251" s="16">
        <v>76164</v>
      </c>
    </row>
    <row r="2252" spans="1:17" ht="43.2" x14ac:dyDescent="0.3">
      <c r="A2252" s="16" t="s">
        <v>7665</v>
      </c>
      <c r="B2252" s="16" t="s">
        <v>7712</v>
      </c>
      <c r="C2252" s="16" t="s">
        <v>7659</v>
      </c>
      <c r="D2252" s="16" t="s">
        <v>7597</v>
      </c>
      <c r="E2252" s="16" t="s">
        <v>9283</v>
      </c>
      <c r="F2252" s="16" t="s">
        <v>9284</v>
      </c>
      <c r="G2252" s="16" t="s">
        <v>32</v>
      </c>
      <c r="H2252" s="16"/>
      <c r="I2252" s="16"/>
      <c r="J2252" s="16" t="s">
        <v>1481</v>
      </c>
      <c r="K2252" s="16"/>
      <c r="L2252" s="16"/>
      <c r="M2252" s="19" t="s">
        <v>9285</v>
      </c>
      <c r="N2252" s="16"/>
      <c r="O2252" s="16" t="s">
        <v>9286</v>
      </c>
      <c r="P2252" s="16" t="str">
        <f>HYPERLINK("https://ceds.ed.gov/cedselementdetails.aspx?termid=28095")</f>
        <v>https://ceds.ed.gov/cedselementdetails.aspx?termid=28095</v>
      </c>
      <c r="Q2252" s="16">
        <v>76165</v>
      </c>
    </row>
    <row r="2253" spans="1:17" ht="72" x14ac:dyDescent="0.3">
      <c r="A2253" s="16" t="s">
        <v>7665</v>
      </c>
      <c r="B2253" s="16" t="s">
        <v>7712</v>
      </c>
      <c r="C2253" s="16" t="s">
        <v>7658</v>
      </c>
      <c r="D2253" s="16" t="s">
        <v>7597</v>
      </c>
      <c r="E2253" s="16" t="s">
        <v>5773</v>
      </c>
      <c r="F2253" s="16" t="s">
        <v>5774</v>
      </c>
      <c r="G2253" s="16" t="s">
        <v>32</v>
      </c>
      <c r="H2253" s="16" t="s">
        <v>64</v>
      </c>
      <c r="I2253" s="16"/>
      <c r="J2253" s="16" t="s">
        <v>1304</v>
      </c>
      <c r="K2253" s="16"/>
      <c r="L2253" s="16"/>
      <c r="M2253" s="19" t="s">
        <v>5775</v>
      </c>
      <c r="N2253" s="16"/>
      <c r="O2253" s="16" t="s">
        <v>5776</v>
      </c>
      <c r="P2253" s="16" t="str">
        <f>HYPERLINK("https://ceds.ed.gov/cedselementdetails.aspx?termid=26213")</f>
        <v>https://ceds.ed.gov/cedselementdetails.aspx?termid=26213</v>
      </c>
      <c r="Q2253" s="16">
        <v>71106</v>
      </c>
    </row>
    <row r="2254" spans="1:17" ht="158.4" x14ac:dyDescent="0.3">
      <c r="A2254" s="16" t="s">
        <v>7665</v>
      </c>
      <c r="B2254" s="16" t="s">
        <v>7712</v>
      </c>
      <c r="C2254" s="16" t="s">
        <v>7658</v>
      </c>
      <c r="D2254" s="16" t="s">
        <v>7597</v>
      </c>
      <c r="E2254" s="16" t="s">
        <v>4278</v>
      </c>
      <c r="F2254" s="16" t="s">
        <v>4279</v>
      </c>
      <c r="G2254" s="16" t="s">
        <v>32</v>
      </c>
      <c r="H2254" s="16" t="s">
        <v>4282</v>
      </c>
      <c r="I2254" s="16"/>
      <c r="J2254" s="16" t="s">
        <v>106</v>
      </c>
      <c r="K2254" s="16"/>
      <c r="L2254" s="16" t="s">
        <v>8057</v>
      </c>
      <c r="M2254" s="19" t="s">
        <v>4280</v>
      </c>
      <c r="N2254" s="16"/>
      <c r="O2254" s="16" t="s">
        <v>4281</v>
      </c>
      <c r="P2254" s="16" t="str">
        <f>HYPERLINK("https://ceds.ed.gov/cedselementdetails.aspx?termid=26143")</f>
        <v>https://ceds.ed.gov/cedselementdetails.aspx?termid=26143</v>
      </c>
      <c r="Q2254" s="16">
        <v>71091</v>
      </c>
    </row>
    <row r="2255" spans="1:17" ht="57.6" x14ac:dyDescent="0.3">
      <c r="A2255" s="16" t="s">
        <v>7665</v>
      </c>
      <c r="B2255" s="16" t="s">
        <v>7712</v>
      </c>
      <c r="C2255" s="16" t="s">
        <v>7658</v>
      </c>
      <c r="D2255" s="16" t="s">
        <v>7597</v>
      </c>
      <c r="E2255" s="16" t="s">
        <v>3498</v>
      </c>
      <c r="F2255" s="16" t="s">
        <v>3499</v>
      </c>
      <c r="G2255" s="16" t="s">
        <v>32</v>
      </c>
      <c r="H2255" s="16" t="s">
        <v>3502</v>
      </c>
      <c r="I2255" s="16"/>
      <c r="J2255" s="16" t="s">
        <v>106</v>
      </c>
      <c r="K2255" s="16"/>
      <c r="L2255" s="16"/>
      <c r="M2255" s="19" t="s">
        <v>3500</v>
      </c>
      <c r="N2255" s="16"/>
      <c r="O2255" s="16" t="s">
        <v>3501</v>
      </c>
      <c r="P2255" s="16" t="str">
        <f>HYPERLINK("https://ceds.ed.gov/cedselementdetails.aspx?termid=26345")</f>
        <v>https://ceds.ed.gov/cedselementdetails.aspx?termid=26345</v>
      </c>
      <c r="Q2255" s="16">
        <v>73704</v>
      </c>
    </row>
    <row r="2256" spans="1:17" ht="57.6" x14ac:dyDescent="0.3">
      <c r="A2256" s="16" t="s">
        <v>7665</v>
      </c>
      <c r="B2256" s="16" t="s">
        <v>7712</v>
      </c>
      <c r="C2256" s="16" t="s">
        <v>7658</v>
      </c>
      <c r="D2256" s="16" t="s">
        <v>7597</v>
      </c>
      <c r="E2256" s="16" t="s">
        <v>3462</v>
      </c>
      <c r="F2256" s="16" t="s">
        <v>3463</v>
      </c>
      <c r="G2256" s="16" t="s">
        <v>32</v>
      </c>
      <c r="H2256" s="16" t="s">
        <v>195</v>
      </c>
      <c r="I2256" s="16"/>
      <c r="J2256" s="16" t="s">
        <v>106</v>
      </c>
      <c r="K2256" s="16"/>
      <c r="L2256" s="16" t="s">
        <v>131</v>
      </c>
      <c r="M2256" s="19" t="s">
        <v>3464</v>
      </c>
      <c r="N2256" s="16"/>
      <c r="O2256" s="16" t="s">
        <v>3465</v>
      </c>
      <c r="P2256" s="16" t="str">
        <f>HYPERLINK("https://ceds.ed.gov/cedselementdetails.aspx?termid=26794")</f>
        <v>https://ceds.ed.gov/cedselementdetails.aspx?termid=26794</v>
      </c>
      <c r="Q2256" s="16">
        <v>73699</v>
      </c>
    </row>
    <row r="2257" spans="1:17" ht="172.8" x14ac:dyDescent="0.3">
      <c r="A2257" s="16" t="s">
        <v>7665</v>
      </c>
      <c r="B2257" s="16" t="s">
        <v>7712</v>
      </c>
      <c r="C2257" s="16" t="s">
        <v>7658</v>
      </c>
      <c r="D2257" s="16" t="s">
        <v>7597</v>
      </c>
      <c r="E2257" s="16" t="s">
        <v>3503</v>
      </c>
      <c r="F2257" s="16" t="s">
        <v>282</v>
      </c>
      <c r="G2257" s="16" t="s">
        <v>8555</v>
      </c>
      <c r="H2257" s="16" t="s">
        <v>3025</v>
      </c>
      <c r="I2257" s="16"/>
      <c r="J2257" s="16"/>
      <c r="K2257" s="16"/>
      <c r="L2257" s="16"/>
      <c r="M2257" s="19" t="s">
        <v>3504</v>
      </c>
      <c r="N2257" s="16"/>
      <c r="O2257" s="16" t="s">
        <v>3505</v>
      </c>
      <c r="P2257" s="16" t="str">
        <f>HYPERLINK("https://ceds.ed.gov/cedselementdetails.aspx?termid=26346")</f>
        <v>https://ceds.ed.gov/cedselementdetails.aspx?termid=26346</v>
      </c>
      <c r="Q2257" s="16">
        <v>71124</v>
      </c>
    </row>
    <row r="2258" spans="1:17" ht="409.6" x14ac:dyDescent="0.3">
      <c r="A2258" s="16" t="s">
        <v>7665</v>
      </c>
      <c r="B2258" s="16" t="s">
        <v>7712</v>
      </c>
      <c r="C2258" s="16" t="s">
        <v>7658</v>
      </c>
      <c r="D2258" s="16" t="s">
        <v>7597</v>
      </c>
      <c r="E2258" s="16" t="s">
        <v>3491</v>
      </c>
      <c r="F2258" s="16" t="s">
        <v>3267</v>
      </c>
      <c r="G2258" s="16" t="s">
        <v>8552</v>
      </c>
      <c r="H2258" s="16"/>
      <c r="I2258" s="16"/>
      <c r="J2258" s="16"/>
      <c r="K2258" s="16"/>
      <c r="L2258" s="16"/>
      <c r="M2258" s="19" t="s">
        <v>3492</v>
      </c>
      <c r="N2258" s="16"/>
      <c r="O2258" s="16" t="s">
        <v>3493</v>
      </c>
      <c r="P2258" s="16" t="str">
        <f>HYPERLINK("https://ceds.ed.gov/cedselementdetails.aspx?termid=26613")</f>
        <v>https://ceds.ed.gov/cedselementdetails.aspx?termid=26613</v>
      </c>
      <c r="Q2258" s="16">
        <v>71136</v>
      </c>
    </row>
    <row r="2259" spans="1:17" ht="72" x14ac:dyDescent="0.3">
      <c r="A2259" s="16" t="s">
        <v>7665</v>
      </c>
      <c r="B2259" s="16" t="s">
        <v>7712</v>
      </c>
      <c r="C2259" s="16" t="s">
        <v>7658</v>
      </c>
      <c r="D2259" s="16" t="s">
        <v>7597</v>
      </c>
      <c r="E2259" s="16" t="s">
        <v>3494</v>
      </c>
      <c r="F2259" s="16" t="s">
        <v>3495</v>
      </c>
      <c r="G2259" s="16" t="s">
        <v>8553</v>
      </c>
      <c r="H2259" s="16"/>
      <c r="I2259" s="16"/>
      <c r="J2259" s="16"/>
      <c r="K2259" s="16"/>
      <c r="L2259" s="16"/>
      <c r="M2259" s="19" t="s">
        <v>3496</v>
      </c>
      <c r="N2259" s="16"/>
      <c r="O2259" s="16" t="s">
        <v>3497</v>
      </c>
      <c r="P2259" s="16" t="str">
        <f>HYPERLINK("https://ceds.ed.gov/cedselementdetails.aspx?termid=26614")</f>
        <v>https://ceds.ed.gov/cedselementdetails.aspx?termid=26614</v>
      </c>
      <c r="Q2259" s="16">
        <v>71137</v>
      </c>
    </row>
    <row r="2260" spans="1:17" ht="43.2" x14ac:dyDescent="0.3">
      <c r="A2260" s="16" t="s">
        <v>7665</v>
      </c>
      <c r="B2260" s="16" t="s">
        <v>7712</v>
      </c>
      <c r="C2260" s="16" t="s">
        <v>7658</v>
      </c>
      <c r="D2260" s="16" t="s">
        <v>7597</v>
      </c>
      <c r="E2260" s="16" t="s">
        <v>2445</v>
      </c>
      <c r="F2260" s="16" t="s">
        <v>2446</v>
      </c>
      <c r="G2260" s="16" t="s">
        <v>32</v>
      </c>
      <c r="H2260" s="16" t="s">
        <v>2450</v>
      </c>
      <c r="I2260" s="16"/>
      <c r="J2260" s="16" t="s">
        <v>1481</v>
      </c>
      <c r="K2260" s="16"/>
      <c r="L2260" s="16"/>
      <c r="M2260" s="19" t="s">
        <v>2448</v>
      </c>
      <c r="N2260" s="16"/>
      <c r="O2260" s="16" t="s">
        <v>2449</v>
      </c>
      <c r="P2260" s="16" t="str">
        <f>HYPERLINK("https://ceds.ed.gov/cedselementdetails.aspx?termid=26047")</f>
        <v>https://ceds.ed.gov/cedselementdetails.aspx?termid=26047</v>
      </c>
      <c r="Q2260" s="16">
        <v>71076</v>
      </c>
    </row>
    <row r="2261" spans="1:17" ht="201.6" x14ac:dyDescent="0.3">
      <c r="A2261" s="16" t="s">
        <v>7665</v>
      </c>
      <c r="B2261" s="16" t="s">
        <v>7712</v>
      </c>
      <c r="C2261" s="16" t="s">
        <v>7658</v>
      </c>
      <c r="D2261" s="16" t="s">
        <v>7597</v>
      </c>
      <c r="E2261" s="16" t="s">
        <v>6754</v>
      </c>
      <c r="F2261" s="16" t="s">
        <v>6755</v>
      </c>
      <c r="G2261" s="16" t="s">
        <v>32</v>
      </c>
      <c r="H2261" s="16" t="s">
        <v>2450</v>
      </c>
      <c r="I2261" s="16"/>
      <c r="J2261" s="16" t="s">
        <v>1481</v>
      </c>
      <c r="K2261" s="16"/>
      <c r="L2261" s="16" t="s">
        <v>8152</v>
      </c>
      <c r="M2261" s="19" t="s">
        <v>6756</v>
      </c>
      <c r="N2261" s="16"/>
      <c r="O2261" s="16" t="s">
        <v>6757</v>
      </c>
      <c r="P2261" s="16" t="str">
        <f>HYPERLINK("https://ceds.ed.gov/cedselementdetails.aspx?termid=26032")</f>
        <v>https://ceds.ed.gov/cedselementdetails.aspx?termid=26032</v>
      </c>
      <c r="Q2261" s="16">
        <v>71073</v>
      </c>
    </row>
    <row r="2262" spans="1:17" ht="43.2" x14ac:dyDescent="0.3">
      <c r="A2262" s="16" t="s">
        <v>7665</v>
      </c>
      <c r="B2262" s="16" t="s">
        <v>7712</v>
      </c>
      <c r="C2262" s="16" t="s">
        <v>7658</v>
      </c>
      <c r="D2262" s="16" t="s">
        <v>7597</v>
      </c>
      <c r="E2262" s="16" t="s">
        <v>6468</v>
      </c>
      <c r="F2262" s="16" t="s">
        <v>6469</v>
      </c>
      <c r="G2262" s="16" t="s">
        <v>22</v>
      </c>
      <c r="H2262" s="16" t="s">
        <v>2450</v>
      </c>
      <c r="I2262" s="16"/>
      <c r="J2262" s="16"/>
      <c r="K2262" s="16"/>
      <c r="L2262" s="16"/>
      <c r="M2262" s="19" t="s">
        <v>6470</v>
      </c>
      <c r="N2262" s="16"/>
      <c r="O2262" s="16" t="s">
        <v>6471</v>
      </c>
      <c r="P2262" s="16" t="str">
        <f>HYPERLINK("https://ceds.ed.gov/cedselementdetails.aspx?termid=26234")</f>
        <v>https://ceds.ed.gov/cedselementdetails.aspx?termid=26234</v>
      </c>
      <c r="Q2262" s="16">
        <v>71110</v>
      </c>
    </row>
    <row r="2263" spans="1:17" ht="115.2" x14ac:dyDescent="0.3">
      <c r="A2263" s="16" t="s">
        <v>7665</v>
      </c>
      <c r="B2263" s="16" t="s">
        <v>7712</v>
      </c>
      <c r="C2263" s="16" t="s">
        <v>7658</v>
      </c>
      <c r="D2263" s="16" t="s">
        <v>7597</v>
      </c>
      <c r="E2263" s="16" t="s">
        <v>6758</v>
      </c>
      <c r="F2263" s="16" t="s">
        <v>6759</v>
      </c>
      <c r="G2263" s="16" t="s">
        <v>32</v>
      </c>
      <c r="H2263" s="16" t="s">
        <v>2450</v>
      </c>
      <c r="I2263" s="16"/>
      <c r="J2263" s="16" t="s">
        <v>1481</v>
      </c>
      <c r="K2263" s="16"/>
      <c r="L2263" s="16"/>
      <c r="M2263" s="19" t="s">
        <v>6760</v>
      </c>
      <c r="N2263" s="16"/>
      <c r="O2263" s="16" t="s">
        <v>6761</v>
      </c>
      <c r="P2263" s="16" t="str">
        <f>HYPERLINK("https://ceds.ed.gov/cedselementdetails.aspx?termid=26136")</f>
        <v>https://ceds.ed.gov/cedselementdetails.aspx?termid=26136</v>
      </c>
      <c r="Q2263" s="16">
        <v>71088</v>
      </c>
    </row>
    <row r="2264" spans="1:17" ht="115.2" x14ac:dyDescent="0.3">
      <c r="A2264" s="16" t="s">
        <v>7665</v>
      </c>
      <c r="B2264" s="16" t="s">
        <v>7712</v>
      </c>
      <c r="C2264" s="16" t="s">
        <v>7658</v>
      </c>
      <c r="D2264" s="16" t="s">
        <v>7597</v>
      </c>
      <c r="E2264" s="16" t="s">
        <v>6766</v>
      </c>
      <c r="F2264" s="16" t="s">
        <v>6767</v>
      </c>
      <c r="G2264" s="16" t="s">
        <v>32</v>
      </c>
      <c r="H2264" s="16" t="s">
        <v>2450</v>
      </c>
      <c r="I2264" s="16"/>
      <c r="J2264" s="16" t="s">
        <v>1481</v>
      </c>
      <c r="K2264" s="16"/>
      <c r="L2264" s="16"/>
      <c r="M2264" s="19" t="s">
        <v>6768</v>
      </c>
      <c r="N2264" s="16"/>
      <c r="O2264" s="16" t="s">
        <v>6769</v>
      </c>
      <c r="P2264" s="16" t="str">
        <f>HYPERLINK("https://ceds.ed.gov/cedselementdetails.aspx?termid=26233")</f>
        <v>https://ceds.ed.gov/cedselementdetails.aspx?termid=26233</v>
      </c>
      <c r="Q2264" s="16">
        <v>71109</v>
      </c>
    </row>
    <row r="2265" spans="1:17" ht="129.6" x14ac:dyDescent="0.3">
      <c r="A2265" s="16" t="s">
        <v>7665</v>
      </c>
      <c r="B2265" s="16" t="s">
        <v>7712</v>
      </c>
      <c r="C2265" s="16" t="s">
        <v>7658</v>
      </c>
      <c r="D2265" s="16" t="s">
        <v>7597</v>
      </c>
      <c r="E2265" s="16" t="s">
        <v>6762</v>
      </c>
      <c r="F2265" s="16" t="s">
        <v>6763</v>
      </c>
      <c r="G2265" s="16" t="s">
        <v>32</v>
      </c>
      <c r="H2265" s="16" t="s">
        <v>2450</v>
      </c>
      <c r="I2265" s="16"/>
      <c r="J2265" s="16" t="s">
        <v>1481</v>
      </c>
      <c r="K2265" s="16"/>
      <c r="L2265" s="16"/>
      <c r="M2265" s="19" t="s">
        <v>6764</v>
      </c>
      <c r="N2265" s="16"/>
      <c r="O2265" s="16" t="s">
        <v>6765</v>
      </c>
      <c r="P2265" s="16" t="str">
        <f>HYPERLINK("https://ceds.ed.gov/cedselementdetails.aspx?termid=26205")</f>
        <v>https://ceds.ed.gov/cedselementdetails.aspx?termid=26205</v>
      </c>
      <c r="Q2265" s="16">
        <v>71102</v>
      </c>
    </row>
    <row r="2266" spans="1:17" ht="144" x14ac:dyDescent="0.3">
      <c r="A2266" s="16" t="s">
        <v>7665</v>
      </c>
      <c r="B2266" s="16" t="s">
        <v>7712</v>
      </c>
      <c r="C2266" s="16" t="s">
        <v>7658</v>
      </c>
      <c r="D2266" s="16" t="s">
        <v>7597</v>
      </c>
      <c r="E2266" s="16" t="s">
        <v>6770</v>
      </c>
      <c r="F2266" s="16" t="s">
        <v>6771</v>
      </c>
      <c r="G2266" s="16" t="s">
        <v>32</v>
      </c>
      <c r="H2266" s="16" t="s">
        <v>2450</v>
      </c>
      <c r="I2266" s="16"/>
      <c r="J2266" s="16" t="s">
        <v>1481</v>
      </c>
      <c r="K2266" s="16"/>
      <c r="L2266" s="16"/>
      <c r="M2266" s="19" t="s">
        <v>6772</v>
      </c>
      <c r="N2266" s="16"/>
      <c r="O2266" s="16" t="s">
        <v>6773</v>
      </c>
      <c r="P2266" s="16" t="str">
        <f>HYPERLINK("https://ceds.ed.gov/cedselementdetails.aspx?termid=26293")</f>
        <v>https://ceds.ed.gov/cedselementdetails.aspx?termid=26293</v>
      </c>
      <c r="Q2266" s="16">
        <v>71121</v>
      </c>
    </row>
    <row r="2267" spans="1:17" ht="57.6" x14ac:dyDescent="0.3">
      <c r="A2267" s="16" t="s">
        <v>7665</v>
      </c>
      <c r="B2267" s="16" t="s">
        <v>7712</v>
      </c>
      <c r="C2267" s="16" t="s">
        <v>7658</v>
      </c>
      <c r="D2267" s="16" t="s">
        <v>7597</v>
      </c>
      <c r="E2267" s="16" t="s">
        <v>6774</v>
      </c>
      <c r="F2267" s="16" t="s">
        <v>8153</v>
      </c>
      <c r="G2267" s="16" t="s">
        <v>32</v>
      </c>
      <c r="H2267" s="16" t="s">
        <v>2450</v>
      </c>
      <c r="I2267" s="16"/>
      <c r="J2267" s="16" t="s">
        <v>1481</v>
      </c>
      <c r="K2267" s="16"/>
      <c r="L2267" s="16"/>
      <c r="M2267" s="19" t="s">
        <v>6775</v>
      </c>
      <c r="N2267" s="16"/>
      <c r="O2267" s="16" t="s">
        <v>6776</v>
      </c>
      <c r="P2267" s="16" t="str">
        <f>HYPERLINK("https://ceds.ed.gov/cedselementdetails.aspx?termid=26295")</f>
        <v>https://ceds.ed.gov/cedselementdetails.aspx?termid=26295</v>
      </c>
      <c r="Q2267" s="16">
        <v>71122</v>
      </c>
    </row>
    <row r="2268" spans="1:17" ht="57.6" x14ac:dyDescent="0.3">
      <c r="A2268" s="16" t="s">
        <v>7665</v>
      </c>
      <c r="B2268" s="16" t="s">
        <v>7712</v>
      </c>
      <c r="C2268" s="16" t="s">
        <v>7658</v>
      </c>
      <c r="D2268" s="16" t="s">
        <v>7597</v>
      </c>
      <c r="E2268" s="16" t="s">
        <v>5352</v>
      </c>
      <c r="F2268" s="16" t="s">
        <v>5353</v>
      </c>
      <c r="G2268" s="16" t="s">
        <v>22</v>
      </c>
      <c r="H2268" s="16" t="s">
        <v>214</v>
      </c>
      <c r="I2268" s="16"/>
      <c r="J2268" s="16"/>
      <c r="K2268" s="16"/>
      <c r="L2268" s="16"/>
      <c r="M2268" s="19" t="s">
        <v>5354</v>
      </c>
      <c r="N2268" s="16" t="s">
        <v>5355</v>
      </c>
      <c r="O2268" s="16" t="s">
        <v>5356</v>
      </c>
      <c r="P2268" s="16" t="str">
        <f>HYPERLINK("https://ceds.ed.gov/cedselementdetails.aspx?termid=26534")</f>
        <v>https://ceds.ed.gov/cedselementdetails.aspx?termid=26534</v>
      </c>
      <c r="Q2268" s="16">
        <v>71129</v>
      </c>
    </row>
    <row r="2269" spans="1:17" ht="57.6" x14ac:dyDescent="0.3">
      <c r="A2269" s="16" t="s">
        <v>7665</v>
      </c>
      <c r="B2269" s="16" t="s">
        <v>7712</v>
      </c>
      <c r="C2269" s="16" t="s">
        <v>7658</v>
      </c>
      <c r="D2269" s="16" t="s">
        <v>7597</v>
      </c>
      <c r="E2269" s="16" t="s">
        <v>7126</v>
      </c>
      <c r="F2269" s="16" t="s">
        <v>7127</v>
      </c>
      <c r="G2269" s="16" t="s">
        <v>22</v>
      </c>
      <c r="H2269" s="16"/>
      <c r="I2269" s="16"/>
      <c r="J2269" s="16"/>
      <c r="K2269" s="16"/>
      <c r="L2269" s="16"/>
      <c r="M2269" s="19" t="s">
        <v>7128</v>
      </c>
      <c r="N2269" s="16"/>
      <c r="O2269" s="16" t="s">
        <v>7129</v>
      </c>
      <c r="P2269" s="16" t="str">
        <f>HYPERLINK("https://ceds.ed.gov/cedselementdetails.aspx?termid=26543")</f>
        <v>https://ceds.ed.gov/cedselementdetails.aspx?termid=26543</v>
      </c>
      <c r="Q2269" s="16">
        <v>71131</v>
      </c>
    </row>
    <row r="2270" spans="1:17" ht="115.2" x14ac:dyDescent="0.3">
      <c r="A2270" s="16" t="s">
        <v>7665</v>
      </c>
      <c r="B2270" s="16" t="s">
        <v>7712</v>
      </c>
      <c r="C2270" s="16" t="s">
        <v>7658</v>
      </c>
      <c r="D2270" s="16" t="s">
        <v>7597</v>
      </c>
      <c r="E2270" s="16" t="s">
        <v>6823</v>
      </c>
      <c r="F2270" s="16" t="s">
        <v>8155</v>
      </c>
      <c r="G2270" s="16" t="s">
        <v>32</v>
      </c>
      <c r="H2270" s="16" t="s">
        <v>69</v>
      </c>
      <c r="I2270" s="16"/>
      <c r="J2270" s="16" t="s">
        <v>6824</v>
      </c>
      <c r="K2270" s="16"/>
      <c r="L2270" s="16"/>
      <c r="M2270" s="19" t="s">
        <v>6825</v>
      </c>
      <c r="N2270" s="16"/>
      <c r="O2270" s="16" t="s">
        <v>6826</v>
      </c>
      <c r="P2270" s="16" t="str">
        <f>HYPERLINK("https://ceds.ed.gov/cedselementdetails.aspx?termid=26707")</f>
        <v>https://ceds.ed.gov/cedselementdetails.aspx?termid=26707</v>
      </c>
      <c r="Q2270" s="16">
        <v>75326</v>
      </c>
    </row>
    <row r="2271" spans="1:17" ht="230.4" x14ac:dyDescent="0.3">
      <c r="A2271" s="16" t="s">
        <v>7665</v>
      </c>
      <c r="B2271" s="16" t="s">
        <v>7712</v>
      </c>
      <c r="C2271" s="16" t="s">
        <v>7658</v>
      </c>
      <c r="D2271" s="16" t="s">
        <v>7597</v>
      </c>
      <c r="E2271" s="16" t="s">
        <v>7543</v>
      </c>
      <c r="F2271" s="16" t="s">
        <v>7544</v>
      </c>
      <c r="G2271" s="16" t="s">
        <v>13093</v>
      </c>
      <c r="H2271" s="16"/>
      <c r="I2271" s="16" t="s">
        <v>160</v>
      </c>
      <c r="J2271" s="16"/>
      <c r="K2271" s="16" t="s">
        <v>12951</v>
      </c>
      <c r="L2271" s="16"/>
      <c r="M2271" s="19" t="s">
        <v>7545</v>
      </c>
      <c r="N2271" s="16"/>
      <c r="O2271" s="16" t="s">
        <v>7543</v>
      </c>
      <c r="P2271" s="16" t="str">
        <f>HYPERLINK("https://ceds.ed.gov/cedselementdetails.aspx?termid=27959")</f>
        <v>https://ceds.ed.gov/cedselementdetails.aspx?termid=27959</v>
      </c>
      <c r="Q2271" s="16">
        <v>75537</v>
      </c>
    </row>
    <row r="2272" spans="1:17" ht="28.8" x14ac:dyDescent="0.3">
      <c r="A2272" s="16" t="s">
        <v>7665</v>
      </c>
      <c r="B2272" s="16" t="s">
        <v>7712</v>
      </c>
      <c r="C2272" s="16" t="s">
        <v>7658</v>
      </c>
      <c r="D2272" s="16" t="s">
        <v>7597</v>
      </c>
      <c r="E2272" s="16" t="s">
        <v>7554</v>
      </c>
      <c r="F2272" s="16" t="s">
        <v>7555</v>
      </c>
      <c r="G2272" s="16" t="s">
        <v>32</v>
      </c>
      <c r="H2272" s="16"/>
      <c r="I2272" s="16"/>
      <c r="J2272" s="16" t="s">
        <v>1481</v>
      </c>
      <c r="K2272" s="16"/>
      <c r="L2272" s="16"/>
      <c r="M2272" s="19" t="s">
        <v>7556</v>
      </c>
      <c r="N2272" s="16"/>
      <c r="O2272" s="16" t="s">
        <v>7557</v>
      </c>
      <c r="P2272" s="16" t="str">
        <f>HYPERLINK("https://ceds.ed.gov/cedselementdetails.aspx?termid=27962")</f>
        <v>https://ceds.ed.gov/cedselementdetails.aspx?termid=27962</v>
      </c>
      <c r="Q2272" s="16">
        <v>75538</v>
      </c>
    </row>
    <row r="2273" spans="1:17" ht="28.8" x14ac:dyDescent="0.3">
      <c r="A2273" s="16" t="s">
        <v>7665</v>
      </c>
      <c r="B2273" s="16" t="s">
        <v>7712</v>
      </c>
      <c r="C2273" s="16" t="s">
        <v>7658</v>
      </c>
      <c r="D2273" s="16" t="s">
        <v>7597</v>
      </c>
      <c r="E2273" s="16" t="s">
        <v>7558</v>
      </c>
      <c r="F2273" s="16" t="s">
        <v>7559</v>
      </c>
      <c r="G2273" s="16" t="s">
        <v>32</v>
      </c>
      <c r="H2273" s="16"/>
      <c r="I2273" s="16"/>
      <c r="J2273" s="16" t="s">
        <v>1481</v>
      </c>
      <c r="K2273" s="16"/>
      <c r="L2273" s="16"/>
      <c r="M2273" s="19" t="s">
        <v>7560</v>
      </c>
      <c r="N2273" s="16"/>
      <c r="O2273" s="16" t="s">
        <v>7561</v>
      </c>
      <c r="P2273" s="16" t="str">
        <f>HYPERLINK("https://ceds.ed.gov/cedselementdetails.aspx?termid=27963")</f>
        <v>https://ceds.ed.gov/cedselementdetails.aspx?termid=27963</v>
      </c>
      <c r="Q2273" s="16">
        <v>75539</v>
      </c>
    </row>
    <row r="2274" spans="1:17" ht="57.6" x14ac:dyDescent="0.3">
      <c r="A2274" s="16" t="s">
        <v>7665</v>
      </c>
      <c r="B2274" s="16" t="s">
        <v>7712</v>
      </c>
      <c r="C2274" s="16" t="s">
        <v>7658</v>
      </c>
      <c r="D2274" s="16" t="s">
        <v>7597</v>
      </c>
      <c r="E2274" s="16" t="s">
        <v>7562</v>
      </c>
      <c r="F2274" s="16" t="s">
        <v>7563</v>
      </c>
      <c r="G2274" s="16" t="s">
        <v>8837</v>
      </c>
      <c r="H2274" s="16"/>
      <c r="I2274" s="16"/>
      <c r="J2274" s="16"/>
      <c r="K2274" s="16"/>
      <c r="L2274" s="16"/>
      <c r="M2274" s="19" t="s">
        <v>7564</v>
      </c>
      <c r="N2274" s="16"/>
      <c r="O2274" s="16" t="s">
        <v>7565</v>
      </c>
      <c r="P2274" s="16" t="str">
        <f>HYPERLINK("https://ceds.ed.gov/cedselementdetails.aspx?termid=27964")</f>
        <v>https://ceds.ed.gov/cedselementdetails.aspx?termid=27964</v>
      </c>
      <c r="Q2274" s="16">
        <v>75540</v>
      </c>
    </row>
    <row r="2275" spans="1:17" ht="72" x14ac:dyDescent="0.3">
      <c r="A2275" s="16" t="s">
        <v>7665</v>
      </c>
      <c r="B2275" s="16" t="s">
        <v>7712</v>
      </c>
      <c r="C2275" s="16" t="s">
        <v>7658</v>
      </c>
      <c r="D2275" s="16" t="s">
        <v>7597</v>
      </c>
      <c r="E2275" s="16" t="s">
        <v>8974</v>
      </c>
      <c r="F2275" s="16" t="s">
        <v>8975</v>
      </c>
      <c r="G2275" s="16" t="s">
        <v>32</v>
      </c>
      <c r="H2275" s="16"/>
      <c r="I2275" s="16"/>
      <c r="J2275" s="16" t="s">
        <v>120</v>
      </c>
      <c r="K2275" s="16"/>
      <c r="L2275" s="16" t="s">
        <v>8976</v>
      </c>
      <c r="M2275" s="19" t="s">
        <v>8977</v>
      </c>
      <c r="N2275" s="16"/>
      <c r="O2275" s="16" t="s">
        <v>8978</v>
      </c>
      <c r="P2275" s="16" t="str">
        <f>HYPERLINK("https://ceds.ed.gov/cedselementdetails.aspx?termid=28020")</f>
        <v>https://ceds.ed.gov/cedselementdetails.aspx?termid=28020</v>
      </c>
      <c r="Q2275" s="16">
        <v>76166</v>
      </c>
    </row>
    <row r="2276" spans="1:17" ht="72" x14ac:dyDescent="0.3">
      <c r="A2276" s="16" t="s">
        <v>7665</v>
      </c>
      <c r="B2276" s="16" t="s">
        <v>7712</v>
      </c>
      <c r="C2276" s="16" t="s">
        <v>7658</v>
      </c>
      <c r="D2276" s="16" t="s">
        <v>7597</v>
      </c>
      <c r="E2276" s="16" t="s">
        <v>8979</v>
      </c>
      <c r="F2276" s="16" t="s">
        <v>8980</v>
      </c>
      <c r="G2276" s="16" t="s">
        <v>32</v>
      </c>
      <c r="H2276" s="16"/>
      <c r="I2276" s="16"/>
      <c r="J2276" s="16" t="s">
        <v>1481</v>
      </c>
      <c r="K2276" s="16"/>
      <c r="L2276" s="16" t="s">
        <v>8976</v>
      </c>
      <c r="M2276" s="19" t="s">
        <v>8981</v>
      </c>
      <c r="N2276" s="16"/>
      <c r="O2276" s="16" t="s">
        <v>8982</v>
      </c>
      <c r="P2276" s="16" t="str">
        <f>HYPERLINK("https://ceds.ed.gov/cedselementdetails.aspx?termid=28021")</f>
        <v>https://ceds.ed.gov/cedselementdetails.aspx?termid=28021</v>
      </c>
      <c r="Q2276" s="16">
        <v>76167</v>
      </c>
    </row>
    <row r="2277" spans="1:17" ht="28.8" x14ac:dyDescent="0.3">
      <c r="A2277" s="16" t="s">
        <v>7665</v>
      </c>
      <c r="B2277" s="16" t="s">
        <v>7712</v>
      </c>
      <c r="C2277" s="16" t="s">
        <v>7658</v>
      </c>
      <c r="D2277" s="16" t="s">
        <v>7597</v>
      </c>
      <c r="E2277" s="16" t="s">
        <v>9254</v>
      </c>
      <c r="F2277" s="16" t="s">
        <v>9255</v>
      </c>
      <c r="G2277" s="16" t="s">
        <v>32</v>
      </c>
      <c r="H2277" s="16"/>
      <c r="I2277" s="16"/>
      <c r="J2277" s="16" t="s">
        <v>101</v>
      </c>
      <c r="K2277" s="16"/>
      <c r="L2277" s="16" t="s">
        <v>9256</v>
      </c>
      <c r="M2277" s="19" t="s">
        <v>9257</v>
      </c>
      <c r="N2277" s="16"/>
      <c r="O2277" s="16" t="s">
        <v>9258</v>
      </c>
      <c r="P2277" s="16" t="str">
        <f>HYPERLINK("https://ceds.ed.gov/cedselementdetails.aspx?termid=28087")</f>
        <v>https://ceds.ed.gov/cedselementdetails.aspx?termid=28087</v>
      </c>
      <c r="Q2277" s="16">
        <v>76168</v>
      </c>
    </row>
    <row r="2278" spans="1:17" ht="43.2" x14ac:dyDescent="0.3">
      <c r="A2278" s="16" t="s">
        <v>7665</v>
      </c>
      <c r="B2278" s="16" t="s">
        <v>7712</v>
      </c>
      <c r="C2278" s="16" t="s">
        <v>7619</v>
      </c>
      <c r="D2278" s="16" t="s">
        <v>7597</v>
      </c>
      <c r="E2278" s="16" t="s">
        <v>1891</v>
      </c>
      <c r="F2278" s="16" t="s">
        <v>1892</v>
      </c>
      <c r="G2278" s="16" t="s">
        <v>32</v>
      </c>
      <c r="H2278" s="16"/>
      <c r="I2278" s="16"/>
      <c r="J2278" s="16" t="s">
        <v>106</v>
      </c>
      <c r="K2278" s="16"/>
      <c r="L2278" s="16"/>
      <c r="M2278" s="19" t="s">
        <v>1893</v>
      </c>
      <c r="N2278" s="16"/>
      <c r="O2278" s="16" t="s">
        <v>1894</v>
      </c>
      <c r="P2278" s="16" t="str">
        <f>HYPERLINK("https://ceds.ed.gov/cedselementdetails.aspx?termid=27255")</f>
        <v>https://ceds.ed.gov/cedselementdetails.aspx?termid=27255</v>
      </c>
      <c r="Q2278" s="16">
        <v>73080</v>
      </c>
    </row>
    <row r="2279" spans="1:17" ht="72" x14ac:dyDescent="0.3">
      <c r="A2279" s="16" t="s">
        <v>7665</v>
      </c>
      <c r="B2279" s="16" t="s">
        <v>7712</v>
      </c>
      <c r="C2279" s="16" t="s">
        <v>7619</v>
      </c>
      <c r="D2279" s="16" t="s">
        <v>7597</v>
      </c>
      <c r="E2279" s="16" t="s">
        <v>1895</v>
      </c>
      <c r="F2279" s="16" t="s">
        <v>1896</v>
      </c>
      <c r="G2279" s="16" t="s">
        <v>8426</v>
      </c>
      <c r="H2279" s="16"/>
      <c r="I2279" s="16"/>
      <c r="J2279" s="16"/>
      <c r="K2279" s="16"/>
      <c r="L2279" s="16"/>
      <c r="M2279" s="19" t="s">
        <v>1897</v>
      </c>
      <c r="N2279" s="16"/>
      <c r="O2279" s="16" t="s">
        <v>1898</v>
      </c>
      <c r="P2279" s="16" t="str">
        <f>HYPERLINK("https://ceds.ed.gov/cedselementdetails.aspx?termid=27256")</f>
        <v>https://ceds.ed.gov/cedselementdetails.aspx?termid=27256</v>
      </c>
      <c r="Q2279" s="16">
        <v>73083</v>
      </c>
    </row>
    <row r="2280" spans="1:17" ht="28.8" x14ac:dyDescent="0.3">
      <c r="A2280" s="16" t="s">
        <v>7665</v>
      </c>
      <c r="B2280" s="16" t="s">
        <v>7712</v>
      </c>
      <c r="C2280" s="16" t="s">
        <v>7619</v>
      </c>
      <c r="D2280" s="16" t="s">
        <v>7597</v>
      </c>
      <c r="E2280" s="16" t="s">
        <v>6785</v>
      </c>
      <c r="F2280" s="16" t="s">
        <v>6786</v>
      </c>
      <c r="G2280" s="16" t="s">
        <v>32</v>
      </c>
      <c r="H2280" s="16"/>
      <c r="I2280" s="16"/>
      <c r="J2280" s="16" t="s">
        <v>55</v>
      </c>
      <c r="K2280" s="16"/>
      <c r="L2280" s="16"/>
      <c r="M2280" s="19" t="s">
        <v>6787</v>
      </c>
      <c r="N2280" s="16"/>
      <c r="O2280" s="16" t="s">
        <v>6788</v>
      </c>
      <c r="P2280" s="16" t="str">
        <f>HYPERLINK("https://ceds.ed.gov/cedselementdetails.aspx?termid=26102")</f>
        <v>https://ceds.ed.gov/cedselementdetails.aspx?termid=26102</v>
      </c>
      <c r="Q2280" s="16">
        <v>71081</v>
      </c>
    </row>
    <row r="2281" spans="1:17" ht="57.6" x14ac:dyDescent="0.3">
      <c r="A2281" s="16" t="s">
        <v>7665</v>
      </c>
      <c r="B2281" s="16" t="s">
        <v>7712</v>
      </c>
      <c r="C2281" s="16" t="s">
        <v>7619</v>
      </c>
      <c r="D2281" s="16" t="s">
        <v>7597</v>
      </c>
      <c r="E2281" s="16" t="s">
        <v>6789</v>
      </c>
      <c r="F2281" s="16" t="s">
        <v>7577</v>
      </c>
      <c r="G2281" s="16" t="s">
        <v>32</v>
      </c>
      <c r="H2281" s="16"/>
      <c r="I2281" s="16"/>
      <c r="J2281" s="16" t="s">
        <v>55</v>
      </c>
      <c r="K2281" s="16"/>
      <c r="L2281" s="16"/>
      <c r="M2281" s="19" t="s">
        <v>6790</v>
      </c>
      <c r="N2281" s="16"/>
      <c r="O2281" s="16" t="s">
        <v>6791</v>
      </c>
      <c r="P2281" s="16" t="str">
        <f>HYPERLINK("https://ceds.ed.gov/cedselementdetails.aspx?termid=26103")</f>
        <v>https://ceds.ed.gov/cedselementdetails.aspx?termid=26103</v>
      </c>
      <c r="Q2281" s="16">
        <v>71082</v>
      </c>
    </row>
    <row r="2282" spans="1:17" ht="43.2" x14ac:dyDescent="0.3">
      <c r="A2282" s="16" t="s">
        <v>7665</v>
      </c>
      <c r="B2282" s="16" t="s">
        <v>7712</v>
      </c>
      <c r="C2282" s="16" t="s">
        <v>7619</v>
      </c>
      <c r="D2282" s="16" t="s">
        <v>7597</v>
      </c>
      <c r="E2282" s="16" t="s">
        <v>6792</v>
      </c>
      <c r="F2282" s="16" t="s">
        <v>7578</v>
      </c>
      <c r="G2282" s="16" t="s">
        <v>32</v>
      </c>
      <c r="H2282" s="16"/>
      <c r="I2282" s="16"/>
      <c r="J2282" s="16" t="s">
        <v>145</v>
      </c>
      <c r="K2282" s="16"/>
      <c r="L2282" s="16"/>
      <c r="M2282" s="19" t="s">
        <v>6793</v>
      </c>
      <c r="N2282" s="16"/>
      <c r="O2282" s="16" t="s">
        <v>6794</v>
      </c>
      <c r="P2282" s="16" t="str">
        <f>HYPERLINK("https://ceds.ed.gov/cedselementdetails.aspx?termid=26104")</f>
        <v>https://ceds.ed.gov/cedselementdetails.aspx?termid=26104</v>
      </c>
      <c r="Q2282" s="16">
        <v>71083</v>
      </c>
    </row>
    <row r="2283" spans="1:17" ht="43.2" x14ac:dyDescent="0.3">
      <c r="A2283" s="16" t="s">
        <v>7665</v>
      </c>
      <c r="B2283" s="16" t="s">
        <v>7712</v>
      </c>
      <c r="C2283" s="16" t="s">
        <v>7619</v>
      </c>
      <c r="D2283" s="16" t="s">
        <v>7597</v>
      </c>
      <c r="E2283" s="16" t="s">
        <v>6795</v>
      </c>
      <c r="F2283" s="16" t="s">
        <v>6796</v>
      </c>
      <c r="G2283" s="16" t="s">
        <v>32</v>
      </c>
      <c r="H2283" s="16"/>
      <c r="I2283" s="16"/>
      <c r="J2283" s="16" t="s">
        <v>145</v>
      </c>
      <c r="K2283" s="16"/>
      <c r="L2283" s="16"/>
      <c r="M2283" s="19" t="s">
        <v>6797</v>
      </c>
      <c r="N2283" s="16"/>
      <c r="O2283" s="16" t="s">
        <v>6798</v>
      </c>
      <c r="P2283" s="16" t="str">
        <f>HYPERLINK("https://ceds.ed.gov/cedselementdetails.aspx?termid=26105")</f>
        <v>https://ceds.ed.gov/cedselementdetails.aspx?termid=26105</v>
      </c>
      <c r="Q2283" s="16">
        <v>71084</v>
      </c>
    </row>
    <row r="2284" spans="1:17" ht="115.2" x14ac:dyDescent="0.3">
      <c r="A2284" s="16" t="s">
        <v>7665</v>
      </c>
      <c r="B2284" s="16" t="s">
        <v>7712</v>
      </c>
      <c r="C2284" s="16" t="s">
        <v>7619</v>
      </c>
      <c r="D2284" s="16" t="s">
        <v>7597</v>
      </c>
      <c r="E2284" s="16" t="s">
        <v>3833</v>
      </c>
      <c r="F2284" s="16" t="s">
        <v>3834</v>
      </c>
      <c r="G2284" s="16" t="s">
        <v>8595</v>
      </c>
      <c r="H2284" s="16" t="s">
        <v>476</v>
      </c>
      <c r="I2284" s="16"/>
      <c r="J2284" s="16"/>
      <c r="K2284" s="16"/>
      <c r="L2284" s="16"/>
      <c r="M2284" s="19" t="s">
        <v>3836</v>
      </c>
      <c r="N2284" s="16"/>
      <c r="O2284" s="16" t="s">
        <v>3837</v>
      </c>
      <c r="P2284" s="16" t="str">
        <f>HYPERLINK("https://ceds.ed.gov/cedselementdetails.aspx?termid=26582")</f>
        <v>https://ceds.ed.gov/cedselementdetails.aspx?termid=26582</v>
      </c>
      <c r="Q2284" s="16">
        <v>71134</v>
      </c>
    </row>
    <row r="2285" spans="1:17" ht="57.6" x14ac:dyDescent="0.3">
      <c r="A2285" s="16" t="s">
        <v>7665</v>
      </c>
      <c r="B2285" s="16" t="s">
        <v>7712</v>
      </c>
      <c r="C2285" s="16" t="s">
        <v>7619</v>
      </c>
      <c r="D2285" s="16" t="s">
        <v>7597</v>
      </c>
      <c r="E2285" s="16" t="s">
        <v>7049</v>
      </c>
      <c r="F2285" s="16" t="s">
        <v>7050</v>
      </c>
      <c r="G2285" s="16" t="s">
        <v>22</v>
      </c>
      <c r="H2285" s="16" t="s">
        <v>214</v>
      </c>
      <c r="I2285" s="16"/>
      <c r="J2285" s="16"/>
      <c r="K2285" s="16"/>
      <c r="L2285" s="16"/>
      <c r="M2285" s="19" t="s">
        <v>7051</v>
      </c>
      <c r="N2285" s="16"/>
      <c r="O2285" s="16" t="s">
        <v>7052</v>
      </c>
      <c r="P2285" s="16" t="str">
        <f>HYPERLINK("https://ceds.ed.gov/cedselementdetails.aspx?termid=26537")</f>
        <v>https://ceds.ed.gov/cedselementdetails.aspx?termid=26537</v>
      </c>
      <c r="Q2285" s="16">
        <v>71130</v>
      </c>
    </row>
    <row r="2286" spans="1:17" ht="57.6" x14ac:dyDescent="0.3">
      <c r="A2286" s="16" t="s">
        <v>7665</v>
      </c>
      <c r="B2286" s="16" t="s">
        <v>7712</v>
      </c>
      <c r="C2286" s="16" t="s">
        <v>7619</v>
      </c>
      <c r="D2286" s="16" t="s">
        <v>7597</v>
      </c>
      <c r="E2286" s="16" t="s">
        <v>7197</v>
      </c>
      <c r="F2286" s="16" t="s">
        <v>7198</v>
      </c>
      <c r="G2286" s="16" t="s">
        <v>22</v>
      </c>
      <c r="H2286" s="16"/>
      <c r="I2286" s="16"/>
      <c r="J2286" s="16"/>
      <c r="K2286" s="16"/>
      <c r="L2286" s="16" t="s">
        <v>7199</v>
      </c>
      <c r="M2286" s="19" t="s">
        <v>7200</v>
      </c>
      <c r="N2286" s="16"/>
      <c r="O2286" s="16" t="s">
        <v>7201</v>
      </c>
      <c r="P2286" s="16" t="str">
        <f>HYPERLINK("https://ceds.ed.gov/cedselementdetails.aspx?termid=27554")</f>
        <v>https://ceds.ed.gov/cedselementdetails.aspx?termid=27554</v>
      </c>
      <c r="Q2286" s="16">
        <v>73930</v>
      </c>
    </row>
    <row r="2287" spans="1:17" ht="28.8" x14ac:dyDescent="0.3">
      <c r="A2287" s="16" t="s">
        <v>7665</v>
      </c>
      <c r="B2287" s="16" t="s">
        <v>7712</v>
      </c>
      <c r="C2287" s="16" t="s">
        <v>7619</v>
      </c>
      <c r="D2287" s="16" t="s">
        <v>7597</v>
      </c>
      <c r="E2287" s="16" t="s">
        <v>7566</v>
      </c>
      <c r="F2287" s="16" t="s">
        <v>7567</v>
      </c>
      <c r="G2287" s="16" t="s">
        <v>32</v>
      </c>
      <c r="H2287" s="16"/>
      <c r="I2287" s="16"/>
      <c r="J2287" s="16" t="s">
        <v>145</v>
      </c>
      <c r="K2287" s="16"/>
      <c r="L2287" s="16"/>
      <c r="M2287" s="19" t="s">
        <v>7568</v>
      </c>
      <c r="N2287" s="16"/>
      <c r="O2287" s="16" t="s">
        <v>7569</v>
      </c>
      <c r="P2287" s="16" t="str">
        <f>HYPERLINK("https://ceds.ed.gov/cedselementdetails.aspx?termid=27965")</f>
        <v>https://ceds.ed.gov/cedselementdetails.aspx?termid=27965</v>
      </c>
      <c r="Q2287" s="16">
        <v>75542</v>
      </c>
    </row>
    <row r="2288" spans="1:17" ht="57.6" x14ac:dyDescent="0.3">
      <c r="A2288" s="16" t="s">
        <v>7665</v>
      </c>
      <c r="B2288" s="16" t="s">
        <v>7712</v>
      </c>
      <c r="C2288" s="16" t="s">
        <v>7619</v>
      </c>
      <c r="D2288" s="16" t="s">
        <v>7597</v>
      </c>
      <c r="E2288" s="16" t="s">
        <v>7570</v>
      </c>
      <c r="F2288" s="16" t="s">
        <v>7571</v>
      </c>
      <c r="G2288" s="16" t="s">
        <v>32</v>
      </c>
      <c r="H2288" s="16"/>
      <c r="I2288" s="16"/>
      <c r="J2288" s="16" t="s">
        <v>55</v>
      </c>
      <c r="K2288" s="16"/>
      <c r="L2288" s="16"/>
      <c r="M2288" s="19" t="s">
        <v>7572</v>
      </c>
      <c r="N2288" s="16"/>
      <c r="O2288" s="16" t="s">
        <v>7573</v>
      </c>
      <c r="P2288" s="16" t="str">
        <f>HYPERLINK("https://ceds.ed.gov/cedselementdetails.aspx?termid=27966")</f>
        <v>https://ceds.ed.gov/cedselementdetails.aspx?termid=27966</v>
      </c>
      <c r="Q2288" s="16">
        <v>75543</v>
      </c>
    </row>
    <row r="2289" spans="1:17" ht="43.2" x14ac:dyDescent="0.3">
      <c r="A2289" s="16" t="s">
        <v>7665</v>
      </c>
      <c r="B2289" s="16" t="s">
        <v>7712</v>
      </c>
      <c r="C2289" s="16" t="s">
        <v>7619</v>
      </c>
      <c r="D2289" s="16" t="s">
        <v>7597</v>
      </c>
      <c r="E2289" s="16" t="s">
        <v>7574</v>
      </c>
      <c r="F2289" s="16" t="s">
        <v>8154</v>
      </c>
      <c r="G2289" s="16" t="s">
        <v>32</v>
      </c>
      <c r="H2289" s="16"/>
      <c r="I2289" s="16"/>
      <c r="J2289" s="16" t="s">
        <v>145</v>
      </c>
      <c r="K2289" s="16"/>
      <c r="L2289" s="16"/>
      <c r="M2289" s="19" t="s">
        <v>7575</v>
      </c>
      <c r="N2289" s="16"/>
      <c r="O2289" s="16" t="s">
        <v>7576</v>
      </c>
      <c r="P2289" s="16" t="str">
        <f>HYPERLINK("https://ceds.ed.gov/cedselementdetails.aspx?termid=27967")</f>
        <v>https://ceds.ed.gov/cedselementdetails.aspx?termid=27967</v>
      </c>
      <c r="Q2289" s="16">
        <v>75544</v>
      </c>
    </row>
    <row r="2290" spans="1:17" ht="172.8" x14ac:dyDescent="0.3">
      <c r="A2290" s="16" t="s">
        <v>7665</v>
      </c>
      <c r="B2290" s="16" t="s">
        <v>7712</v>
      </c>
      <c r="C2290" s="16" t="s">
        <v>7660</v>
      </c>
      <c r="D2290" s="16" t="s">
        <v>7597</v>
      </c>
      <c r="E2290" s="16" t="s">
        <v>6810</v>
      </c>
      <c r="F2290" s="16" t="s">
        <v>6811</v>
      </c>
      <c r="G2290" s="16" t="s">
        <v>32</v>
      </c>
      <c r="H2290" s="16" t="s">
        <v>6814</v>
      </c>
      <c r="I2290" s="16"/>
      <c r="J2290" s="16" t="s">
        <v>120</v>
      </c>
      <c r="K2290" s="16"/>
      <c r="L2290" s="16" t="s">
        <v>7817</v>
      </c>
      <c r="M2290" s="19" t="s">
        <v>6812</v>
      </c>
      <c r="N2290" s="16"/>
      <c r="O2290" s="16" t="s">
        <v>6813</v>
      </c>
      <c r="P2290" s="16" t="str">
        <f>HYPERLINK("https://ceds.ed.gov/cedselementdetails.aspx?termid=26156")</f>
        <v>https://ceds.ed.gov/cedselementdetails.aspx?termid=26156</v>
      </c>
      <c r="Q2290" s="16">
        <v>74356</v>
      </c>
    </row>
    <row r="2291" spans="1:17" ht="259.2" x14ac:dyDescent="0.3">
      <c r="A2291" s="16" t="s">
        <v>7665</v>
      </c>
      <c r="B2291" s="16" t="s">
        <v>7712</v>
      </c>
      <c r="C2291" s="16" t="s">
        <v>7660</v>
      </c>
      <c r="D2291" s="16" t="s">
        <v>7597</v>
      </c>
      <c r="E2291" s="16" t="s">
        <v>6805</v>
      </c>
      <c r="F2291" s="16" t="s">
        <v>6806</v>
      </c>
      <c r="G2291" s="16" t="s">
        <v>9342</v>
      </c>
      <c r="H2291" s="16" t="s">
        <v>6809</v>
      </c>
      <c r="I2291" s="16"/>
      <c r="J2291" s="16"/>
      <c r="K2291" s="16"/>
      <c r="L2291" s="16"/>
      <c r="M2291" s="19" t="s">
        <v>6807</v>
      </c>
      <c r="N2291" s="16"/>
      <c r="O2291" s="16" t="s">
        <v>6808</v>
      </c>
      <c r="P2291" s="16" t="str">
        <f>HYPERLINK("https://ceds.ed.gov/cedselementdetails.aspx?termid=26162")</f>
        <v>https://ceds.ed.gov/cedselementdetails.aspx?termid=26162</v>
      </c>
      <c r="Q2291" s="16">
        <v>74357</v>
      </c>
    </row>
    <row r="2292" spans="1:17" ht="72" x14ac:dyDescent="0.3">
      <c r="A2292" s="16" t="s">
        <v>7665</v>
      </c>
      <c r="B2292" s="16" t="s">
        <v>7712</v>
      </c>
      <c r="C2292" s="16" t="s">
        <v>7660</v>
      </c>
      <c r="D2292" s="16" t="s">
        <v>7597</v>
      </c>
      <c r="E2292" s="16" t="s">
        <v>5773</v>
      </c>
      <c r="F2292" s="16" t="s">
        <v>5774</v>
      </c>
      <c r="G2292" s="16" t="s">
        <v>32</v>
      </c>
      <c r="H2292" s="16" t="s">
        <v>64</v>
      </c>
      <c r="I2292" s="16"/>
      <c r="J2292" s="16" t="s">
        <v>1304</v>
      </c>
      <c r="K2292" s="16"/>
      <c r="L2292" s="16"/>
      <c r="M2292" s="19" t="s">
        <v>5775</v>
      </c>
      <c r="N2292" s="16"/>
      <c r="O2292" s="16" t="s">
        <v>5776</v>
      </c>
      <c r="P2292" s="16" t="str">
        <f>HYPERLINK("https://ceds.ed.gov/cedselementdetails.aspx?termid=26213")</f>
        <v>https://ceds.ed.gov/cedselementdetails.aspx?termid=26213</v>
      </c>
      <c r="Q2292" s="16">
        <v>74365</v>
      </c>
    </row>
    <row r="2293" spans="1:17" ht="158.4" x14ac:dyDescent="0.3">
      <c r="A2293" s="16" t="s">
        <v>7665</v>
      </c>
      <c r="B2293" s="16" t="s">
        <v>7712</v>
      </c>
      <c r="C2293" s="16" t="s">
        <v>7660</v>
      </c>
      <c r="D2293" s="16" t="s">
        <v>7597</v>
      </c>
      <c r="E2293" s="16" t="s">
        <v>3990</v>
      </c>
      <c r="F2293" s="16" t="s">
        <v>3991</v>
      </c>
      <c r="G2293" s="16" t="s">
        <v>32</v>
      </c>
      <c r="H2293" s="16" t="s">
        <v>3994</v>
      </c>
      <c r="I2293" s="16"/>
      <c r="J2293" s="16" t="s">
        <v>7426</v>
      </c>
      <c r="K2293" s="16"/>
      <c r="L2293" s="16" t="s">
        <v>8047</v>
      </c>
      <c r="M2293" s="19" t="s">
        <v>3992</v>
      </c>
      <c r="N2293" s="16"/>
      <c r="O2293" s="16" t="s">
        <v>3993</v>
      </c>
      <c r="P2293" s="16" t="str">
        <f>HYPERLINK("https://ceds.ed.gov/cedselementdetails.aspx?termid=26115")</f>
        <v>https://ceds.ed.gov/cedselementdetails.aspx?termid=26115</v>
      </c>
      <c r="Q2293" s="16">
        <v>74360</v>
      </c>
    </row>
    <row r="2294" spans="1:17" ht="158.4" x14ac:dyDescent="0.3">
      <c r="A2294" s="16" t="s">
        <v>7665</v>
      </c>
      <c r="B2294" s="16" t="s">
        <v>7712</v>
      </c>
      <c r="C2294" s="16" t="s">
        <v>7660</v>
      </c>
      <c r="D2294" s="16" t="s">
        <v>7597</v>
      </c>
      <c r="E2294" s="16" t="s">
        <v>5328</v>
      </c>
      <c r="F2294" s="16" t="s">
        <v>5329</v>
      </c>
      <c r="G2294" s="16" t="s">
        <v>32</v>
      </c>
      <c r="H2294" s="16" t="s">
        <v>3994</v>
      </c>
      <c r="I2294" s="16"/>
      <c r="J2294" s="16" t="s">
        <v>7426</v>
      </c>
      <c r="K2294" s="16"/>
      <c r="L2294" s="16" t="s">
        <v>8053</v>
      </c>
      <c r="M2294" s="19" t="s">
        <v>5330</v>
      </c>
      <c r="N2294" s="16"/>
      <c r="O2294" s="16" t="s">
        <v>5331</v>
      </c>
      <c r="P2294" s="16" t="str">
        <f>HYPERLINK("https://ceds.ed.gov/cedselementdetails.aspx?termid=26184")</f>
        <v>https://ceds.ed.gov/cedselementdetails.aspx?termid=26184</v>
      </c>
      <c r="Q2294" s="16">
        <v>74363</v>
      </c>
    </row>
    <row r="2295" spans="1:17" ht="158.4" x14ac:dyDescent="0.3">
      <c r="A2295" s="16" t="s">
        <v>7665</v>
      </c>
      <c r="B2295" s="16" t="s">
        <v>7712</v>
      </c>
      <c r="C2295" s="16" t="s">
        <v>7660</v>
      </c>
      <c r="D2295" s="16" t="s">
        <v>7597</v>
      </c>
      <c r="E2295" s="16" t="s">
        <v>4893</v>
      </c>
      <c r="F2295" s="16" t="s">
        <v>4894</v>
      </c>
      <c r="G2295" s="16" t="s">
        <v>32</v>
      </c>
      <c r="H2295" s="16" t="s">
        <v>3994</v>
      </c>
      <c r="I2295" s="16"/>
      <c r="J2295" s="16" t="s">
        <v>7426</v>
      </c>
      <c r="K2295" s="16"/>
      <c r="L2295" s="16" t="s">
        <v>8053</v>
      </c>
      <c r="M2295" s="19" t="s">
        <v>4895</v>
      </c>
      <c r="N2295" s="16" t="s">
        <v>4896</v>
      </c>
      <c r="O2295" s="16" t="s">
        <v>4897</v>
      </c>
      <c r="P2295" s="16" t="str">
        <f>HYPERLINK("https://ceds.ed.gov/cedselementdetails.aspx?termid=26172")</f>
        <v>https://ceds.ed.gov/cedselementdetails.aspx?termid=26172</v>
      </c>
      <c r="Q2295" s="16">
        <v>74362</v>
      </c>
    </row>
    <row r="2296" spans="1:17" ht="86.4" x14ac:dyDescent="0.3">
      <c r="A2296" s="16" t="s">
        <v>7665</v>
      </c>
      <c r="B2296" s="16" t="s">
        <v>7712</v>
      </c>
      <c r="C2296" s="16" t="s">
        <v>7660</v>
      </c>
      <c r="D2296" s="16" t="s">
        <v>7597</v>
      </c>
      <c r="E2296" s="16" t="s">
        <v>5760</v>
      </c>
      <c r="F2296" s="16" t="s">
        <v>5761</v>
      </c>
      <c r="G2296" s="16" t="s">
        <v>32</v>
      </c>
      <c r="H2296" s="16" t="s">
        <v>5765</v>
      </c>
      <c r="I2296" s="16"/>
      <c r="J2296" s="16" t="s">
        <v>81</v>
      </c>
      <c r="K2296" s="16"/>
      <c r="L2296" s="16"/>
      <c r="M2296" s="19" t="s">
        <v>5762</v>
      </c>
      <c r="N2296" s="16" t="s">
        <v>5763</v>
      </c>
      <c r="O2296" s="16" t="s">
        <v>5764</v>
      </c>
      <c r="P2296" s="16" t="str">
        <f>HYPERLINK("https://ceds.ed.gov/cedselementdetails.aspx?termid=26212")</f>
        <v>https://ceds.ed.gov/cedselementdetails.aspx?termid=26212</v>
      </c>
      <c r="Q2296" s="16">
        <v>74364</v>
      </c>
    </row>
    <row r="2297" spans="1:17" ht="129.6" x14ac:dyDescent="0.3">
      <c r="A2297" s="16" t="s">
        <v>7665</v>
      </c>
      <c r="B2297" s="16" t="s">
        <v>7712</v>
      </c>
      <c r="C2297" s="16" t="s">
        <v>7660</v>
      </c>
      <c r="D2297" s="16" t="s">
        <v>7597</v>
      </c>
      <c r="E2297" s="16" t="s">
        <v>4054</v>
      </c>
      <c r="F2297" s="16" t="s">
        <v>4055</v>
      </c>
      <c r="G2297" s="16" t="s">
        <v>32</v>
      </c>
      <c r="H2297" s="16" t="s">
        <v>4059</v>
      </c>
      <c r="I2297" s="16"/>
      <c r="J2297" s="16" t="s">
        <v>2697</v>
      </c>
      <c r="K2297" s="16"/>
      <c r="L2297" s="16" t="s">
        <v>8053</v>
      </c>
      <c r="M2297" s="19" t="s">
        <v>4057</v>
      </c>
      <c r="N2297" s="16"/>
      <c r="O2297" s="16" t="s">
        <v>4058</v>
      </c>
      <c r="P2297" s="16" t="str">
        <f>HYPERLINK("https://ceds.ed.gov/cedselementdetails.aspx?termid=26121")</f>
        <v>https://ceds.ed.gov/cedselementdetails.aspx?termid=26121</v>
      </c>
      <c r="Q2297" s="16">
        <v>74361</v>
      </c>
    </row>
    <row r="2298" spans="1:17" ht="100.8" x14ac:dyDescent="0.3">
      <c r="A2298" s="16" t="s">
        <v>7665</v>
      </c>
      <c r="B2298" s="16" t="s">
        <v>7712</v>
      </c>
      <c r="C2298" s="16" t="s">
        <v>7660</v>
      </c>
      <c r="D2298" s="16" t="s">
        <v>7597</v>
      </c>
      <c r="E2298" s="16" t="s">
        <v>191</v>
      </c>
      <c r="F2298" s="16" t="s">
        <v>192</v>
      </c>
      <c r="G2298" s="16" t="s">
        <v>8295</v>
      </c>
      <c r="H2298" s="16" t="s">
        <v>195</v>
      </c>
      <c r="I2298" s="16"/>
      <c r="J2298" s="16" t="s">
        <v>81</v>
      </c>
      <c r="K2298" s="16"/>
      <c r="L2298" s="16"/>
      <c r="M2298" s="19" t="s">
        <v>193</v>
      </c>
      <c r="N2298" s="16"/>
      <c r="O2298" s="16" t="s">
        <v>194</v>
      </c>
      <c r="P2298" s="16" t="str">
        <f>HYPERLINK("https://ceds.ed.gov/cedselementdetails.aspx?termid=26698")</f>
        <v>https://ceds.ed.gov/cedselementdetails.aspx?termid=26698</v>
      </c>
      <c r="Q2298" s="16">
        <v>74372</v>
      </c>
    </row>
    <row r="2299" spans="1:17" ht="187.2" x14ac:dyDescent="0.3">
      <c r="A2299" s="16" t="s">
        <v>7665</v>
      </c>
      <c r="B2299" s="16" t="s">
        <v>7712</v>
      </c>
      <c r="C2299" s="16" t="s">
        <v>7660</v>
      </c>
      <c r="D2299" s="16" t="s">
        <v>7597</v>
      </c>
      <c r="E2299" s="16" t="s">
        <v>177</v>
      </c>
      <c r="F2299" s="16" t="s">
        <v>178</v>
      </c>
      <c r="G2299" s="16" t="s">
        <v>32</v>
      </c>
      <c r="H2299" s="16" t="s">
        <v>163</v>
      </c>
      <c r="I2299" s="16"/>
      <c r="J2299" s="16" t="s">
        <v>179</v>
      </c>
      <c r="K2299" s="16"/>
      <c r="L2299" s="16"/>
      <c r="M2299" s="19" t="s">
        <v>180</v>
      </c>
      <c r="N2299" s="16"/>
      <c r="O2299" s="16" t="s">
        <v>181</v>
      </c>
      <c r="P2299" s="16" t="str">
        <f>HYPERLINK("https://ceds.ed.gov/cedselementdetails.aspx?termid=26269")</f>
        <v>https://ceds.ed.gov/cedselementdetails.aspx?termid=26269</v>
      </c>
      <c r="Q2299" s="16">
        <v>74369</v>
      </c>
    </row>
    <row r="2300" spans="1:17" ht="187.2" x14ac:dyDescent="0.3">
      <c r="A2300" s="16" t="s">
        <v>7665</v>
      </c>
      <c r="B2300" s="16" t="s">
        <v>7712</v>
      </c>
      <c r="C2300" s="16" t="s">
        <v>7660</v>
      </c>
      <c r="D2300" s="16" t="s">
        <v>7597</v>
      </c>
      <c r="E2300" s="16" t="s">
        <v>158</v>
      </c>
      <c r="F2300" s="16" t="s">
        <v>159</v>
      </c>
      <c r="G2300" s="16" t="s">
        <v>32</v>
      </c>
      <c r="H2300" s="16" t="s">
        <v>163</v>
      </c>
      <c r="I2300" s="16"/>
      <c r="J2300" s="16" t="s">
        <v>145</v>
      </c>
      <c r="K2300" s="16"/>
      <c r="L2300" s="16"/>
      <c r="M2300" s="19" t="s">
        <v>161</v>
      </c>
      <c r="N2300" s="16"/>
      <c r="O2300" s="16" t="s">
        <v>162</v>
      </c>
      <c r="P2300" s="16" t="str">
        <f>HYPERLINK("https://ceds.ed.gov/cedselementdetails.aspx?termid=26019")</f>
        <v>https://ceds.ed.gov/cedselementdetails.aspx?termid=26019</v>
      </c>
      <c r="Q2300" s="16">
        <v>74358</v>
      </c>
    </row>
    <row r="2301" spans="1:17" ht="187.2" x14ac:dyDescent="0.3">
      <c r="A2301" s="16" t="s">
        <v>7665</v>
      </c>
      <c r="B2301" s="16" t="s">
        <v>7712</v>
      </c>
      <c r="C2301" s="16" t="s">
        <v>7660</v>
      </c>
      <c r="D2301" s="16" t="s">
        <v>7597</v>
      </c>
      <c r="E2301" s="16" t="s">
        <v>164</v>
      </c>
      <c r="F2301" s="16" t="s">
        <v>165</v>
      </c>
      <c r="G2301" s="16" t="s">
        <v>32</v>
      </c>
      <c r="H2301" s="16" t="s">
        <v>163</v>
      </c>
      <c r="I2301" s="16"/>
      <c r="J2301" s="16" t="s">
        <v>81</v>
      </c>
      <c r="K2301" s="16"/>
      <c r="L2301" s="16"/>
      <c r="M2301" s="19" t="s">
        <v>166</v>
      </c>
      <c r="N2301" s="16"/>
      <c r="O2301" s="16" t="s">
        <v>167</v>
      </c>
      <c r="P2301" s="16" t="str">
        <f>HYPERLINK("https://ceds.ed.gov/cedselementdetails.aspx?termid=26040")</f>
        <v>https://ceds.ed.gov/cedselementdetails.aspx?termid=26040</v>
      </c>
      <c r="Q2301" s="16">
        <v>74359</v>
      </c>
    </row>
    <row r="2302" spans="1:17" ht="409.6" x14ac:dyDescent="0.3">
      <c r="A2302" s="16" t="s">
        <v>7665</v>
      </c>
      <c r="B2302" s="16" t="s">
        <v>7712</v>
      </c>
      <c r="C2302" s="16" t="s">
        <v>7660</v>
      </c>
      <c r="D2302" s="16" t="s">
        <v>7597</v>
      </c>
      <c r="E2302" s="16" t="s">
        <v>6840</v>
      </c>
      <c r="F2302" s="16" t="s">
        <v>6841</v>
      </c>
      <c r="G2302" s="16" t="s">
        <v>8266</v>
      </c>
      <c r="H2302" s="16" t="s">
        <v>6844</v>
      </c>
      <c r="I2302" s="16"/>
      <c r="J2302" s="16"/>
      <c r="K2302" s="16"/>
      <c r="L2302" s="16"/>
      <c r="M2302" s="19" t="s">
        <v>6842</v>
      </c>
      <c r="N2302" s="16"/>
      <c r="O2302" s="16" t="s">
        <v>6843</v>
      </c>
      <c r="P2302" s="16" t="str">
        <f>HYPERLINK("https://ceds.ed.gov/cedselementdetails.aspx?termid=26267")</f>
        <v>https://ceds.ed.gov/cedselementdetails.aspx?termid=26267</v>
      </c>
      <c r="Q2302" s="16">
        <v>74368</v>
      </c>
    </row>
    <row r="2303" spans="1:17" ht="187.2" x14ac:dyDescent="0.3">
      <c r="A2303" s="16" t="s">
        <v>7665</v>
      </c>
      <c r="B2303" s="16" t="s">
        <v>7712</v>
      </c>
      <c r="C2303" s="16" t="s">
        <v>7660</v>
      </c>
      <c r="D2303" s="16" t="s">
        <v>7597</v>
      </c>
      <c r="E2303" s="16" t="s">
        <v>172</v>
      </c>
      <c r="F2303" s="16" t="s">
        <v>173</v>
      </c>
      <c r="G2303" s="16" t="s">
        <v>32</v>
      </c>
      <c r="H2303" s="16" t="s">
        <v>163</v>
      </c>
      <c r="I2303" s="16"/>
      <c r="J2303" s="16" t="s">
        <v>174</v>
      </c>
      <c r="K2303" s="16"/>
      <c r="L2303" s="16"/>
      <c r="M2303" s="19" t="s">
        <v>175</v>
      </c>
      <c r="N2303" s="16"/>
      <c r="O2303" s="16" t="s">
        <v>176</v>
      </c>
      <c r="P2303" s="16" t="str">
        <f>HYPERLINK("https://ceds.ed.gov/cedselementdetails.aspx?termid=26214")</f>
        <v>https://ceds.ed.gov/cedselementdetails.aspx?termid=26214</v>
      </c>
      <c r="Q2303" s="16">
        <v>74366</v>
      </c>
    </row>
    <row r="2304" spans="1:17" ht="86.4" x14ac:dyDescent="0.3">
      <c r="A2304" s="16" t="s">
        <v>7665</v>
      </c>
      <c r="B2304" s="16" t="s">
        <v>7712</v>
      </c>
      <c r="C2304" s="16" t="s">
        <v>7660</v>
      </c>
      <c r="D2304" s="16" t="s">
        <v>7597</v>
      </c>
      <c r="E2304" s="16" t="s">
        <v>7062</v>
      </c>
      <c r="F2304" s="16" t="s">
        <v>7063</v>
      </c>
      <c r="G2304" s="16" t="s">
        <v>8849</v>
      </c>
      <c r="H2304" s="16" t="s">
        <v>64</v>
      </c>
      <c r="I2304" s="16"/>
      <c r="J2304" s="16" t="s">
        <v>2500</v>
      </c>
      <c r="K2304" s="16"/>
      <c r="L2304" s="16"/>
      <c r="M2304" s="19" t="s">
        <v>7064</v>
      </c>
      <c r="N2304" s="16"/>
      <c r="O2304" s="16" t="s">
        <v>7065</v>
      </c>
      <c r="P2304" s="16" t="str">
        <f>HYPERLINK("https://ceds.ed.gov/cedselementdetails.aspx?termid=26280")</f>
        <v>https://ceds.ed.gov/cedselementdetails.aspx?termid=26280</v>
      </c>
      <c r="Q2304" s="16">
        <v>74371</v>
      </c>
    </row>
    <row r="2305" spans="1:17" ht="72" x14ac:dyDescent="0.3">
      <c r="A2305" s="16" t="s">
        <v>7665</v>
      </c>
      <c r="B2305" s="16" t="s">
        <v>7712</v>
      </c>
      <c r="C2305" s="16" t="s">
        <v>7660</v>
      </c>
      <c r="D2305" s="16" t="s">
        <v>7597</v>
      </c>
      <c r="E2305" s="16" t="s">
        <v>5865</v>
      </c>
      <c r="F2305" s="16" t="s">
        <v>5866</v>
      </c>
      <c r="G2305" s="16" t="s">
        <v>22</v>
      </c>
      <c r="H2305" s="16" t="s">
        <v>64</v>
      </c>
      <c r="I2305" s="16"/>
      <c r="J2305" s="16"/>
      <c r="K2305" s="16"/>
      <c r="L2305" s="16"/>
      <c r="M2305" s="19" t="s">
        <v>5867</v>
      </c>
      <c r="N2305" s="16"/>
      <c r="O2305" s="16" t="s">
        <v>5868</v>
      </c>
      <c r="P2305" s="16" t="str">
        <f>HYPERLINK("https://ceds.ed.gov/cedselementdetails.aspx?termid=26219")</f>
        <v>https://ceds.ed.gov/cedselementdetails.aspx?termid=26219</v>
      </c>
      <c r="Q2305" s="16">
        <v>74367</v>
      </c>
    </row>
    <row r="2306" spans="1:17" ht="72" x14ac:dyDescent="0.3">
      <c r="A2306" s="16" t="s">
        <v>7665</v>
      </c>
      <c r="B2306" s="16" t="s">
        <v>7712</v>
      </c>
      <c r="C2306" s="16" t="s">
        <v>7660</v>
      </c>
      <c r="D2306" s="16" t="s">
        <v>7597</v>
      </c>
      <c r="E2306" s="16" t="s">
        <v>7053</v>
      </c>
      <c r="F2306" s="16" t="s">
        <v>7054</v>
      </c>
      <c r="G2306" s="16" t="s">
        <v>32</v>
      </c>
      <c r="H2306" s="16" t="s">
        <v>64</v>
      </c>
      <c r="I2306" s="16"/>
      <c r="J2306" s="16" t="s">
        <v>7055</v>
      </c>
      <c r="K2306" s="16"/>
      <c r="L2306" s="16"/>
      <c r="M2306" s="19" t="s">
        <v>7056</v>
      </c>
      <c r="N2306" s="16"/>
      <c r="O2306" s="16" t="s">
        <v>7057</v>
      </c>
      <c r="P2306" s="16" t="str">
        <f>HYPERLINK("https://ceds.ed.gov/cedselementdetails.aspx?termid=26279")</f>
        <v>https://ceds.ed.gov/cedselementdetails.aspx?termid=26279</v>
      </c>
      <c r="Q2306" s="16">
        <v>74370</v>
      </c>
    </row>
    <row r="2307" spans="1:17" ht="129.6" x14ac:dyDescent="0.3">
      <c r="A2307" s="16" t="s">
        <v>7665</v>
      </c>
      <c r="B2307" s="16" t="s">
        <v>7712</v>
      </c>
      <c r="C2307" s="16" t="s">
        <v>7660</v>
      </c>
      <c r="D2307" s="16" t="s">
        <v>7597</v>
      </c>
      <c r="E2307" s="16" t="s">
        <v>3380</v>
      </c>
      <c r="F2307" s="16" t="s">
        <v>3381</v>
      </c>
      <c r="G2307" s="16" t="s">
        <v>8537</v>
      </c>
      <c r="H2307" s="16"/>
      <c r="I2307" s="16"/>
      <c r="J2307" s="16"/>
      <c r="K2307" s="16"/>
      <c r="L2307" s="16"/>
      <c r="M2307" s="19" t="s">
        <v>3382</v>
      </c>
      <c r="N2307" s="16"/>
      <c r="O2307" s="16" t="s">
        <v>3383</v>
      </c>
      <c r="P2307" s="16" t="str">
        <f>HYPERLINK("https://ceds.ed.gov/cedselementdetails.aspx?termid=27585")</f>
        <v>https://ceds.ed.gov/cedselementdetails.aspx?termid=27585</v>
      </c>
      <c r="Q2307" s="16">
        <v>74373</v>
      </c>
    </row>
    <row r="2308" spans="1:17" ht="115.2" x14ac:dyDescent="0.3">
      <c r="A2308" s="16" t="s">
        <v>7665</v>
      </c>
      <c r="B2308" s="16" t="s">
        <v>7712</v>
      </c>
      <c r="C2308" s="16" t="s">
        <v>7660</v>
      </c>
      <c r="D2308" s="16" t="s">
        <v>7597</v>
      </c>
      <c r="E2308" s="16" t="s">
        <v>7161</v>
      </c>
      <c r="F2308" s="16" t="s">
        <v>7162</v>
      </c>
      <c r="G2308" s="16" t="s">
        <v>32</v>
      </c>
      <c r="H2308" s="16"/>
      <c r="I2308" s="16"/>
      <c r="J2308" s="16" t="s">
        <v>747</v>
      </c>
      <c r="K2308" s="16"/>
      <c r="L2308" s="16" t="s">
        <v>8157</v>
      </c>
      <c r="M2308" s="19" t="s">
        <v>7163</v>
      </c>
      <c r="N2308" s="16"/>
      <c r="O2308" s="16" t="s">
        <v>7164</v>
      </c>
      <c r="P2308" s="16" t="str">
        <f>HYPERLINK("https://ceds.ed.gov/cedselementdetails.aspx?termid=27609")</f>
        <v>https://ceds.ed.gov/cedselementdetails.aspx?termid=27609</v>
      </c>
      <c r="Q2308" s="16">
        <v>74374</v>
      </c>
    </row>
    <row r="2309" spans="1:17" ht="158.4" x14ac:dyDescent="0.3">
      <c r="A2309" s="16" t="s">
        <v>7665</v>
      </c>
      <c r="B2309" s="16" t="s">
        <v>7712</v>
      </c>
      <c r="C2309" s="16" t="s">
        <v>7660</v>
      </c>
      <c r="D2309" s="16" t="s">
        <v>7597</v>
      </c>
      <c r="E2309" s="16" t="s">
        <v>2493</v>
      </c>
      <c r="F2309" s="16" t="s">
        <v>2494</v>
      </c>
      <c r="G2309" s="16" t="s">
        <v>32</v>
      </c>
      <c r="H2309" s="16"/>
      <c r="I2309" s="16"/>
      <c r="J2309" s="16" t="s">
        <v>2495</v>
      </c>
      <c r="K2309" s="16"/>
      <c r="L2309" s="16"/>
      <c r="M2309" s="19" t="s">
        <v>2496</v>
      </c>
      <c r="N2309" s="16"/>
      <c r="O2309" s="16" t="s">
        <v>2497</v>
      </c>
      <c r="P2309" s="16" t="str">
        <f>HYPERLINK("https://ceds.ed.gov/cedselementdetails.aspx?termid=27176")</f>
        <v>https://ceds.ed.gov/cedselementdetails.aspx?termid=27176</v>
      </c>
      <c r="Q2309" s="16">
        <v>75331</v>
      </c>
    </row>
    <row r="2310" spans="1:17" ht="57.6" x14ac:dyDescent="0.3">
      <c r="A2310" s="16" t="s">
        <v>7665</v>
      </c>
      <c r="B2310" s="16" t="s">
        <v>7712</v>
      </c>
      <c r="C2310" s="16" t="s">
        <v>7660</v>
      </c>
      <c r="D2310" s="16" t="s">
        <v>7597</v>
      </c>
      <c r="E2310" s="16" t="s">
        <v>3175</v>
      </c>
      <c r="F2310" s="16" t="s">
        <v>3176</v>
      </c>
      <c r="G2310" s="16" t="s">
        <v>2987</v>
      </c>
      <c r="H2310" s="16"/>
      <c r="I2310" s="16"/>
      <c r="J2310" s="16"/>
      <c r="K2310" s="16"/>
      <c r="L2310" s="16"/>
      <c r="M2310" s="19" t="s">
        <v>3177</v>
      </c>
      <c r="N2310" s="16"/>
      <c r="O2310" s="16" t="s">
        <v>3178</v>
      </c>
      <c r="P2310" s="16" t="str">
        <f>HYPERLINK("https://ceds.ed.gov/cedselementdetails.aspx?termid=27905")</f>
        <v>https://ceds.ed.gov/cedselementdetails.aspx?termid=27905</v>
      </c>
      <c r="Q2310" s="16">
        <v>75332</v>
      </c>
    </row>
    <row r="2311" spans="1:17" ht="57.6" x14ac:dyDescent="0.3">
      <c r="A2311" s="16" t="s">
        <v>7665</v>
      </c>
      <c r="B2311" s="16" t="s">
        <v>7712</v>
      </c>
      <c r="C2311" s="16" t="s">
        <v>7660</v>
      </c>
      <c r="D2311" s="16" t="s">
        <v>7597</v>
      </c>
      <c r="E2311" s="16" t="s">
        <v>7058</v>
      </c>
      <c r="F2311" s="16" t="s">
        <v>7059</v>
      </c>
      <c r="G2311" s="16" t="s">
        <v>8848</v>
      </c>
      <c r="H2311" s="16"/>
      <c r="I2311" s="16"/>
      <c r="J2311" s="16"/>
      <c r="K2311" s="16"/>
      <c r="L2311" s="16"/>
      <c r="M2311" s="19" t="s">
        <v>7060</v>
      </c>
      <c r="N2311" s="16"/>
      <c r="O2311" s="16" t="s">
        <v>7061</v>
      </c>
      <c r="P2311" s="16" t="str">
        <f>HYPERLINK("https://ceds.ed.gov/cedselementdetails.aspx?termid=27911")</f>
        <v>https://ceds.ed.gov/cedselementdetails.aspx?termid=27911</v>
      </c>
      <c r="Q2311" s="16">
        <v>75333</v>
      </c>
    </row>
    <row r="2312" spans="1:17" ht="100.8" x14ac:dyDescent="0.3">
      <c r="A2312" s="16" t="s">
        <v>7665</v>
      </c>
      <c r="B2312" s="16" t="s">
        <v>7712</v>
      </c>
      <c r="C2312" s="16" t="s">
        <v>7661</v>
      </c>
      <c r="D2312" s="16" t="s">
        <v>7597</v>
      </c>
      <c r="E2312" s="16" t="s">
        <v>5918</v>
      </c>
      <c r="F2312" s="16" t="s">
        <v>5919</v>
      </c>
      <c r="G2312" s="16" t="s">
        <v>32</v>
      </c>
      <c r="H2312" s="16" t="s">
        <v>195</v>
      </c>
      <c r="I2312" s="16"/>
      <c r="J2312" s="16" t="s">
        <v>120</v>
      </c>
      <c r="K2312" s="16"/>
      <c r="L2312" s="16" t="s">
        <v>121</v>
      </c>
      <c r="M2312" s="19" t="s">
        <v>5920</v>
      </c>
      <c r="N2312" s="16"/>
      <c r="O2312" s="16" t="s">
        <v>5921</v>
      </c>
      <c r="P2312" s="16" t="str">
        <f>HYPERLINK("https://ceds.ed.gov/cedselementdetails.aspx?termid=26808")</f>
        <v>https://ceds.ed.gov/cedselementdetails.aspx?termid=26808</v>
      </c>
      <c r="Q2312" s="16">
        <v>73915</v>
      </c>
    </row>
    <row r="2313" spans="1:17" ht="43.2" x14ac:dyDescent="0.3">
      <c r="A2313" s="16" t="s">
        <v>7665</v>
      </c>
      <c r="B2313" s="16" t="s">
        <v>7712</v>
      </c>
      <c r="C2313" s="16" t="s">
        <v>7661</v>
      </c>
      <c r="D2313" s="16" t="s">
        <v>7597</v>
      </c>
      <c r="E2313" s="16" t="s">
        <v>5938</v>
      </c>
      <c r="F2313" s="16" t="s">
        <v>5939</v>
      </c>
      <c r="G2313" s="16" t="s">
        <v>32</v>
      </c>
      <c r="H2313" s="16" t="s">
        <v>195</v>
      </c>
      <c r="I2313" s="16"/>
      <c r="J2313" s="16" t="s">
        <v>145</v>
      </c>
      <c r="K2313" s="16"/>
      <c r="L2313" s="16"/>
      <c r="M2313" s="19" t="s">
        <v>5940</v>
      </c>
      <c r="N2313" s="16"/>
      <c r="O2313" s="16" t="s">
        <v>5941</v>
      </c>
      <c r="P2313" s="16" t="str">
        <f>HYPERLINK("https://ceds.ed.gov/cedselementdetails.aspx?termid=26809")</f>
        <v>https://ceds.ed.gov/cedselementdetails.aspx?termid=26809</v>
      </c>
      <c r="Q2313" s="16">
        <v>73578</v>
      </c>
    </row>
    <row r="2314" spans="1:17" ht="158.4" x14ac:dyDescent="0.3">
      <c r="A2314" s="16" t="s">
        <v>7665</v>
      </c>
      <c r="B2314" s="16" t="s">
        <v>7712</v>
      </c>
      <c r="C2314" s="16" t="s">
        <v>7661</v>
      </c>
      <c r="D2314" s="16" t="s">
        <v>7597</v>
      </c>
      <c r="E2314" s="16" t="s">
        <v>5942</v>
      </c>
      <c r="F2314" s="16" t="s">
        <v>5943</v>
      </c>
      <c r="G2314" s="16" t="s">
        <v>8784</v>
      </c>
      <c r="H2314" s="16"/>
      <c r="I2314" s="16"/>
      <c r="J2314" s="16"/>
      <c r="K2314" s="16"/>
      <c r="L2314" s="16" t="s">
        <v>5944</v>
      </c>
      <c r="M2314" s="19" t="s">
        <v>5945</v>
      </c>
      <c r="N2314" s="16"/>
      <c r="O2314" s="16" t="s">
        <v>5946</v>
      </c>
      <c r="P2314" s="16" t="str">
        <f>HYPERLINK("https://ceds.ed.gov/cedselementdetails.aspx?termid=27412")</f>
        <v>https://ceds.ed.gov/cedselementdetails.aspx?termid=27412</v>
      </c>
      <c r="Q2314" s="16">
        <v>73579</v>
      </c>
    </row>
    <row r="2315" spans="1:17" ht="28.8" x14ac:dyDescent="0.3">
      <c r="A2315" s="16" t="s">
        <v>7665</v>
      </c>
      <c r="B2315" s="16" t="s">
        <v>7712</v>
      </c>
      <c r="C2315" s="16" t="s">
        <v>7661</v>
      </c>
      <c r="D2315" s="16" t="s">
        <v>7597</v>
      </c>
      <c r="E2315" s="16" t="s">
        <v>5905</v>
      </c>
      <c r="F2315" s="16" t="s">
        <v>5906</v>
      </c>
      <c r="G2315" s="16" t="s">
        <v>32</v>
      </c>
      <c r="H2315" s="16"/>
      <c r="I2315" s="16"/>
      <c r="J2315" s="16" t="s">
        <v>316</v>
      </c>
      <c r="K2315" s="16"/>
      <c r="L2315" s="16"/>
      <c r="M2315" s="19" t="s">
        <v>5907</v>
      </c>
      <c r="N2315" s="16"/>
      <c r="O2315" s="16" t="s">
        <v>5908</v>
      </c>
      <c r="P2315" s="16" t="str">
        <f>HYPERLINK("https://ceds.ed.gov/cedselementdetails.aspx?termid=27408")</f>
        <v>https://ceds.ed.gov/cedselementdetails.aspx?termid=27408</v>
      </c>
      <c r="Q2315" s="16">
        <v>73575</v>
      </c>
    </row>
    <row r="2316" spans="1:17" ht="409.6" x14ac:dyDescent="0.3">
      <c r="A2316" s="16" t="s">
        <v>7665</v>
      </c>
      <c r="B2316" s="16" t="s">
        <v>7712</v>
      </c>
      <c r="C2316" s="16" t="s">
        <v>7661</v>
      </c>
      <c r="D2316" s="16" t="s">
        <v>7597</v>
      </c>
      <c r="E2316" s="16" t="s">
        <v>5909</v>
      </c>
      <c r="F2316" s="16" t="s">
        <v>5910</v>
      </c>
      <c r="G2316" s="16" t="s">
        <v>8780</v>
      </c>
      <c r="H2316" s="16"/>
      <c r="I2316" s="16"/>
      <c r="J2316" s="16"/>
      <c r="K2316" s="16"/>
      <c r="L2316" s="16" t="s">
        <v>5911</v>
      </c>
      <c r="M2316" s="19" t="s">
        <v>5912</v>
      </c>
      <c r="N2316" s="16"/>
      <c r="O2316" s="16" t="s">
        <v>5913</v>
      </c>
      <c r="P2316" s="16" t="str">
        <f>HYPERLINK("https://ceds.ed.gov/cedselementdetails.aspx?termid=27245")</f>
        <v>https://ceds.ed.gov/cedselementdetails.aspx?termid=27245</v>
      </c>
      <c r="Q2316" s="16">
        <v>73913</v>
      </c>
    </row>
    <row r="2317" spans="1:17" ht="28.8" x14ac:dyDescent="0.3">
      <c r="A2317" s="16" t="s">
        <v>7665</v>
      </c>
      <c r="B2317" s="16" t="s">
        <v>7712</v>
      </c>
      <c r="C2317" s="16" t="s">
        <v>7661</v>
      </c>
      <c r="D2317" s="16" t="s">
        <v>7597</v>
      </c>
      <c r="E2317" s="16" t="s">
        <v>5926</v>
      </c>
      <c r="F2317" s="16" t="s">
        <v>5927</v>
      </c>
      <c r="G2317" s="16" t="s">
        <v>32</v>
      </c>
      <c r="H2317" s="16"/>
      <c r="I2317" s="16"/>
      <c r="J2317" s="16" t="s">
        <v>316</v>
      </c>
      <c r="K2317" s="16"/>
      <c r="L2317" s="16"/>
      <c r="M2317" s="19" t="s">
        <v>5928</v>
      </c>
      <c r="N2317" s="16"/>
      <c r="O2317" s="16" t="s">
        <v>5929</v>
      </c>
      <c r="P2317" s="16" t="str">
        <f>HYPERLINK("https://ceds.ed.gov/cedselementdetails.aspx?termid=27410")</f>
        <v>https://ceds.ed.gov/cedselementdetails.aspx?termid=27410</v>
      </c>
      <c r="Q2317" s="16">
        <v>73577</v>
      </c>
    </row>
    <row r="2318" spans="1:17" ht="57.6" x14ac:dyDescent="0.3">
      <c r="A2318" s="16" t="s">
        <v>7665</v>
      </c>
      <c r="B2318" s="16" t="s">
        <v>7712</v>
      </c>
      <c r="C2318" s="16" t="s">
        <v>7661</v>
      </c>
      <c r="D2318" s="16" t="s">
        <v>7597</v>
      </c>
      <c r="E2318" s="16" t="s">
        <v>5922</v>
      </c>
      <c r="F2318" s="16" t="s">
        <v>5923</v>
      </c>
      <c r="G2318" s="16" t="s">
        <v>8781</v>
      </c>
      <c r="H2318" s="16"/>
      <c r="I2318" s="16"/>
      <c r="J2318" s="16"/>
      <c r="K2318" s="16"/>
      <c r="L2318" s="16"/>
      <c r="M2318" s="19" t="s">
        <v>5924</v>
      </c>
      <c r="N2318" s="16"/>
      <c r="O2318" s="16" t="s">
        <v>5925</v>
      </c>
      <c r="P2318" s="16" t="str">
        <f>HYPERLINK("https://ceds.ed.gov/cedselementdetails.aspx?termid=27409")</f>
        <v>https://ceds.ed.gov/cedselementdetails.aspx?termid=27409</v>
      </c>
      <c r="Q2318" s="16">
        <v>73576</v>
      </c>
    </row>
    <row r="2319" spans="1:17" ht="72" x14ac:dyDescent="0.3">
      <c r="A2319" s="16" t="s">
        <v>7665</v>
      </c>
      <c r="B2319" s="16" t="s">
        <v>7712</v>
      </c>
      <c r="C2319" s="16" t="s">
        <v>7661</v>
      </c>
      <c r="D2319" s="16" t="s">
        <v>7597</v>
      </c>
      <c r="E2319" s="16" t="s">
        <v>5897</v>
      </c>
      <c r="F2319" s="16" t="s">
        <v>5898</v>
      </c>
      <c r="G2319" s="16" t="s">
        <v>8778</v>
      </c>
      <c r="H2319" s="16"/>
      <c r="I2319" s="16"/>
      <c r="J2319" s="16"/>
      <c r="K2319" s="16"/>
      <c r="L2319" s="16"/>
      <c r="M2319" s="19" t="s">
        <v>5899</v>
      </c>
      <c r="N2319" s="16"/>
      <c r="O2319" s="16" t="s">
        <v>5900</v>
      </c>
      <c r="P2319" s="16" t="str">
        <f>HYPERLINK("https://ceds.ed.gov/cedselementdetails.aspx?termid=27406")</f>
        <v>https://ceds.ed.gov/cedselementdetails.aspx?termid=27406</v>
      </c>
      <c r="Q2319" s="16">
        <v>73573</v>
      </c>
    </row>
    <row r="2320" spans="1:17" ht="28.8" x14ac:dyDescent="0.3">
      <c r="A2320" s="16" t="s">
        <v>7665</v>
      </c>
      <c r="B2320" s="16" t="s">
        <v>7712</v>
      </c>
      <c r="C2320" s="16" t="s">
        <v>7661</v>
      </c>
      <c r="D2320" s="16" t="s">
        <v>7597</v>
      </c>
      <c r="E2320" s="16" t="s">
        <v>5901</v>
      </c>
      <c r="F2320" s="16" t="s">
        <v>5902</v>
      </c>
      <c r="G2320" s="16" t="s">
        <v>32</v>
      </c>
      <c r="H2320" s="16"/>
      <c r="I2320" s="16"/>
      <c r="J2320" s="16" t="s">
        <v>1481</v>
      </c>
      <c r="K2320" s="16"/>
      <c r="L2320" s="16"/>
      <c r="M2320" s="19" t="s">
        <v>5903</v>
      </c>
      <c r="N2320" s="16"/>
      <c r="O2320" s="16" t="s">
        <v>5904</v>
      </c>
      <c r="P2320" s="16" t="str">
        <f>HYPERLINK("https://ceds.ed.gov/cedselementdetails.aspx?termid=27407")</f>
        <v>https://ceds.ed.gov/cedselementdetails.aspx?termid=27407</v>
      </c>
      <c r="Q2320" s="16">
        <v>73574</v>
      </c>
    </row>
    <row r="2321" spans="1:17" ht="403.2" x14ac:dyDescent="0.3">
      <c r="A2321" s="16" t="s">
        <v>7665</v>
      </c>
      <c r="B2321" s="16" t="s">
        <v>7712</v>
      </c>
      <c r="C2321" s="16" t="s">
        <v>7661</v>
      </c>
      <c r="D2321" s="16" t="s">
        <v>7597</v>
      </c>
      <c r="E2321" s="16" t="s">
        <v>5934</v>
      </c>
      <c r="F2321" s="16" t="s">
        <v>5935</v>
      </c>
      <c r="G2321" s="16" t="s">
        <v>8783</v>
      </c>
      <c r="H2321" s="16"/>
      <c r="I2321" s="16"/>
      <c r="J2321" s="16"/>
      <c r="K2321" s="16"/>
      <c r="L2321" s="16"/>
      <c r="M2321" s="19" t="s">
        <v>5936</v>
      </c>
      <c r="N2321" s="16"/>
      <c r="O2321" s="16" t="s">
        <v>5937</v>
      </c>
      <c r="P2321" s="16" t="str">
        <f>HYPERLINK("https://ceds.ed.gov/cedselementdetails.aspx?termid=27464")</f>
        <v>https://ceds.ed.gov/cedselementdetails.aspx?termid=27464</v>
      </c>
      <c r="Q2321" s="16">
        <v>73687</v>
      </c>
    </row>
    <row r="2322" spans="1:17" ht="115.2" x14ac:dyDescent="0.3">
      <c r="A2322" s="16" t="s">
        <v>7665</v>
      </c>
      <c r="B2322" s="16" t="s">
        <v>7712</v>
      </c>
      <c r="C2322" s="16" t="s">
        <v>7661</v>
      </c>
      <c r="D2322" s="16" t="s">
        <v>7597</v>
      </c>
      <c r="E2322" s="16" t="s">
        <v>6010</v>
      </c>
      <c r="F2322" s="16" t="s">
        <v>6011</v>
      </c>
      <c r="G2322" s="16" t="s">
        <v>7313</v>
      </c>
      <c r="H2322" s="16"/>
      <c r="I2322" s="16"/>
      <c r="J2322" s="16"/>
      <c r="K2322" s="16"/>
      <c r="L2322" s="16" t="s">
        <v>7859</v>
      </c>
      <c r="M2322" s="19" t="s">
        <v>6012</v>
      </c>
      <c r="N2322" s="16"/>
      <c r="O2322" s="16" t="s">
        <v>6013</v>
      </c>
      <c r="P2322" s="16" t="str">
        <f>HYPERLINK("https://ceds.ed.gov/cedselementdetails.aspx?termid=27357")</f>
        <v>https://ceds.ed.gov/cedselementdetails.aspx?termid=27357</v>
      </c>
      <c r="Q2322" s="16">
        <v>73862</v>
      </c>
    </row>
    <row r="2323" spans="1:17" ht="43.2" x14ac:dyDescent="0.3">
      <c r="A2323" s="16" t="s">
        <v>7665</v>
      </c>
      <c r="B2323" s="16" t="s">
        <v>7712</v>
      </c>
      <c r="C2323" s="16" t="s">
        <v>7661</v>
      </c>
      <c r="D2323" s="16" t="s">
        <v>7597</v>
      </c>
      <c r="E2323" s="16" t="s">
        <v>5914</v>
      </c>
      <c r="F2323" s="16" t="s">
        <v>5915</v>
      </c>
      <c r="G2323" s="16" t="s">
        <v>32</v>
      </c>
      <c r="H2323" s="16"/>
      <c r="I2323" s="16"/>
      <c r="J2323" s="16" t="s">
        <v>106</v>
      </c>
      <c r="K2323" s="16"/>
      <c r="L2323" s="16"/>
      <c r="M2323" s="19" t="s">
        <v>5916</v>
      </c>
      <c r="N2323" s="16"/>
      <c r="O2323" s="16" t="s">
        <v>5917</v>
      </c>
      <c r="P2323" s="16" t="str">
        <f>HYPERLINK("https://ceds.ed.gov/cedselementdetails.aspx?termid=27421")</f>
        <v>https://ceds.ed.gov/cedselementdetails.aspx?termid=27421</v>
      </c>
      <c r="Q2323" s="16">
        <v>73586</v>
      </c>
    </row>
    <row r="2324" spans="1:17" ht="72" x14ac:dyDescent="0.3">
      <c r="A2324" s="16" t="s">
        <v>7665</v>
      </c>
      <c r="B2324" s="16" t="s">
        <v>7712</v>
      </c>
      <c r="C2324" s="16" t="s">
        <v>7661</v>
      </c>
      <c r="D2324" s="16" t="s">
        <v>7597</v>
      </c>
      <c r="E2324" s="16" t="s">
        <v>5885</v>
      </c>
      <c r="F2324" s="16" t="s">
        <v>5886</v>
      </c>
      <c r="G2324" s="16" t="s">
        <v>8776</v>
      </c>
      <c r="H2324" s="16"/>
      <c r="I2324" s="16"/>
      <c r="J2324" s="16"/>
      <c r="K2324" s="16"/>
      <c r="L2324" s="16"/>
      <c r="M2324" s="19" t="s">
        <v>5887</v>
      </c>
      <c r="N2324" s="16"/>
      <c r="O2324" s="16" t="s">
        <v>5888</v>
      </c>
      <c r="P2324" s="16" t="str">
        <f>HYPERLINK("https://ceds.ed.gov/cedselementdetails.aspx?termid=27403")</f>
        <v>https://ceds.ed.gov/cedselementdetails.aspx?termid=27403</v>
      </c>
      <c r="Q2324" s="16">
        <v>73570</v>
      </c>
    </row>
    <row r="2325" spans="1:17" ht="43.2" x14ac:dyDescent="0.3">
      <c r="A2325" s="16" t="s">
        <v>7665</v>
      </c>
      <c r="B2325" s="16" t="s">
        <v>7712</v>
      </c>
      <c r="C2325" s="16" t="s">
        <v>7661</v>
      </c>
      <c r="D2325" s="16" t="s">
        <v>7597</v>
      </c>
      <c r="E2325" s="16" t="s">
        <v>5881</v>
      </c>
      <c r="F2325" s="16" t="s">
        <v>5882</v>
      </c>
      <c r="G2325" s="16" t="s">
        <v>32</v>
      </c>
      <c r="H2325" s="16"/>
      <c r="I2325" s="16"/>
      <c r="J2325" s="16" t="s">
        <v>81</v>
      </c>
      <c r="K2325" s="16"/>
      <c r="L2325" s="16"/>
      <c r="M2325" s="19" t="s">
        <v>5883</v>
      </c>
      <c r="N2325" s="16"/>
      <c r="O2325" s="16" t="s">
        <v>5884</v>
      </c>
      <c r="P2325" s="16" t="str">
        <f>HYPERLINK("https://ceds.ed.gov/cedselementdetails.aspx?termid=27402")</f>
        <v>https://ceds.ed.gov/cedselementdetails.aspx?termid=27402</v>
      </c>
      <c r="Q2325" s="16">
        <v>73569</v>
      </c>
    </row>
    <row r="2326" spans="1:17" ht="57.6" x14ac:dyDescent="0.3">
      <c r="A2326" s="16" t="s">
        <v>7665</v>
      </c>
      <c r="B2326" s="16" t="s">
        <v>7712</v>
      </c>
      <c r="C2326" s="16" t="s">
        <v>7661</v>
      </c>
      <c r="D2326" s="16" t="s">
        <v>7597</v>
      </c>
      <c r="E2326" s="16" t="s">
        <v>5889</v>
      </c>
      <c r="F2326" s="16" t="s">
        <v>5890</v>
      </c>
      <c r="G2326" s="16" t="s">
        <v>32</v>
      </c>
      <c r="H2326" s="16"/>
      <c r="I2326" s="16"/>
      <c r="J2326" s="16" t="s">
        <v>81</v>
      </c>
      <c r="K2326" s="16"/>
      <c r="L2326" s="16"/>
      <c r="M2326" s="19" t="s">
        <v>5891</v>
      </c>
      <c r="N2326" s="16"/>
      <c r="O2326" s="16" t="s">
        <v>5892</v>
      </c>
      <c r="P2326" s="16" t="str">
        <f>HYPERLINK("https://ceds.ed.gov/cedselementdetails.aspx?termid=27404")</f>
        <v>https://ceds.ed.gov/cedselementdetails.aspx?termid=27404</v>
      </c>
      <c r="Q2326" s="16">
        <v>73571</v>
      </c>
    </row>
    <row r="2327" spans="1:17" ht="28.8" x14ac:dyDescent="0.3">
      <c r="A2327" s="16" t="s">
        <v>7665</v>
      </c>
      <c r="B2327" s="16" t="s">
        <v>7712</v>
      </c>
      <c r="C2327" s="16" t="s">
        <v>7661</v>
      </c>
      <c r="D2327" s="16" t="s">
        <v>7597</v>
      </c>
      <c r="E2327" s="16" t="s">
        <v>5893</v>
      </c>
      <c r="F2327" s="16" t="s">
        <v>5894</v>
      </c>
      <c r="G2327" s="16" t="s">
        <v>32</v>
      </c>
      <c r="H2327" s="16"/>
      <c r="I2327" s="16"/>
      <c r="J2327" s="16" t="s">
        <v>1481</v>
      </c>
      <c r="K2327" s="16"/>
      <c r="L2327" s="16"/>
      <c r="M2327" s="19" t="s">
        <v>5895</v>
      </c>
      <c r="N2327" s="16"/>
      <c r="O2327" s="16" t="s">
        <v>5896</v>
      </c>
      <c r="P2327" s="16" t="str">
        <f>HYPERLINK("https://ceds.ed.gov/cedselementdetails.aspx?termid=27405")</f>
        <v>https://ceds.ed.gov/cedselementdetails.aspx?termid=27405</v>
      </c>
      <c r="Q2327" s="16">
        <v>73572</v>
      </c>
    </row>
    <row r="2328" spans="1:17" ht="172.8" x14ac:dyDescent="0.3">
      <c r="A2328" s="16" t="s">
        <v>7665</v>
      </c>
      <c r="B2328" s="16" t="s">
        <v>7712</v>
      </c>
      <c r="C2328" s="16" t="s">
        <v>7662</v>
      </c>
      <c r="D2328" s="16" t="s">
        <v>7597</v>
      </c>
      <c r="E2328" s="16" t="s">
        <v>6007</v>
      </c>
      <c r="F2328" s="16" t="s">
        <v>8112</v>
      </c>
      <c r="G2328" s="16" t="s">
        <v>32</v>
      </c>
      <c r="H2328" s="16"/>
      <c r="I2328" s="16"/>
      <c r="J2328" s="16" t="s">
        <v>120</v>
      </c>
      <c r="K2328" s="16"/>
      <c r="L2328" s="16" t="s">
        <v>7817</v>
      </c>
      <c r="M2328" s="19" t="s">
        <v>6008</v>
      </c>
      <c r="N2328" s="16"/>
      <c r="O2328" s="16" t="s">
        <v>6009</v>
      </c>
      <c r="P2328" s="16" t="str">
        <f>HYPERLINK("https://ceds.ed.gov/cedselementdetails.aspx?termid=27422")</f>
        <v>https://ceds.ed.gov/cedselementdetails.aspx?termid=27422</v>
      </c>
      <c r="Q2328" s="16">
        <v>73587</v>
      </c>
    </row>
    <row r="2329" spans="1:17" ht="28.8" x14ac:dyDescent="0.3">
      <c r="A2329" s="16" t="s">
        <v>7665</v>
      </c>
      <c r="B2329" s="16" t="s">
        <v>7712</v>
      </c>
      <c r="C2329" s="16" t="s">
        <v>7662</v>
      </c>
      <c r="D2329" s="16" t="s">
        <v>7597</v>
      </c>
      <c r="E2329" s="16" t="s">
        <v>6018</v>
      </c>
      <c r="F2329" s="16" t="s">
        <v>6019</v>
      </c>
      <c r="G2329" s="16" t="s">
        <v>32</v>
      </c>
      <c r="H2329" s="16"/>
      <c r="I2329" s="16"/>
      <c r="J2329" s="16" t="s">
        <v>106</v>
      </c>
      <c r="K2329" s="16"/>
      <c r="L2329" s="16"/>
      <c r="M2329" s="19" t="s">
        <v>6020</v>
      </c>
      <c r="N2329" s="16"/>
      <c r="O2329" s="16" t="s">
        <v>6021</v>
      </c>
      <c r="P2329" s="16" t="str">
        <f>HYPERLINK("https://ceds.ed.gov/cedselementdetails.aspx?termid=27426")</f>
        <v>https://ceds.ed.gov/cedselementdetails.aspx?termid=27426</v>
      </c>
      <c r="Q2329" s="16">
        <v>73588</v>
      </c>
    </row>
    <row r="2330" spans="1:17" ht="57.6" x14ac:dyDescent="0.3">
      <c r="A2330" s="16" t="s">
        <v>7665</v>
      </c>
      <c r="B2330" s="16" t="s">
        <v>7712</v>
      </c>
      <c r="C2330" s="16" t="s">
        <v>7662</v>
      </c>
      <c r="D2330" s="16" t="s">
        <v>7597</v>
      </c>
      <c r="E2330" s="16" t="s">
        <v>5991</v>
      </c>
      <c r="F2330" s="16" t="s">
        <v>5992</v>
      </c>
      <c r="G2330" s="16" t="s">
        <v>32</v>
      </c>
      <c r="H2330" s="16"/>
      <c r="I2330" s="16"/>
      <c r="J2330" s="16" t="s">
        <v>106</v>
      </c>
      <c r="K2330" s="16"/>
      <c r="L2330" s="16" t="s">
        <v>131</v>
      </c>
      <c r="M2330" s="19" t="s">
        <v>5993</v>
      </c>
      <c r="N2330" s="16"/>
      <c r="O2330" s="16" t="s">
        <v>5994</v>
      </c>
      <c r="P2330" s="16" t="str">
        <f>HYPERLINK("https://ceds.ed.gov/cedselementdetails.aspx?termid=27417")</f>
        <v>https://ceds.ed.gov/cedselementdetails.aspx?termid=27417</v>
      </c>
      <c r="Q2330" s="16">
        <v>73582</v>
      </c>
    </row>
    <row r="2331" spans="1:17" ht="28.8" x14ac:dyDescent="0.3">
      <c r="A2331" s="16" t="s">
        <v>7665</v>
      </c>
      <c r="B2331" s="16" t="s">
        <v>7712</v>
      </c>
      <c r="C2331" s="16" t="s">
        <v>7662</v>
      </c>
      <c r="D2331" s="16" t="s">
        <v>7597</v>
      </c>
      <c r="E2331" s="16" t="s">
        <v>6022</v>
      </c>
      <c r="F2331" s="16" t="s">
        <v>6023</v>
      </c>
      <c r="G2331" s="16" t="s">
        <v>32</v>
      </c>
      <c r="H2331" s="16"/>
      <c r="I2331" s="16"/>
      <c r="J2331" s="16" t="s">
        <v>2788</v>
      </c>
      <c r="K2331" s="16"/>
      <c r="L2331" s="16"/>
      <c r="M2331" s="19" t="s">
        <v>6024</v>
      </c>
      <c r="N2331" s="16"/>
      <c r="O2331" s="16" t="s">
        <v>6025</v>
      </c>
      <c r="P2331" s="16" t="str">
        <f>HYPERLINK("https://ceds.ed.gov/cedselementdetails.aspx?termid=27427")</f>
        <v>https://ceds.ed.gov/cedselementdetails.aspx?termid=27427</v>
      </c>
      <c r="Q2331" s="16">
        <v>73589</v>
      </c>
    </row>
    <row r="2332" spans="1:17" ht="28.8" x14ac:dyDescent="0.3">
      <c r="A2332" s="16" t="s">
        <v>7665</v>
      </c>
      <c r="B2332" s="16" t="s">
        <v>7712</v>
      </c>
      <c r="C2332" s="16" t="s">
        <v>7662</v>
      </c>
      <c r="D2332" s="16" t="s">
        <v>7597</v>
      </c>
      <c r="E2332" s="16" t="s">
        <v>5995</v>
      </c>
      <c r="F2332" s="16" t="s">
        <v>5996</v>
      </c>
      <c r="G2332" s="16" t="s">
        <v>32</v>
      </c>
      <c r="H2332" s="16"/>
      <c r="I2332" s="16"/>
      <c r="J2332" s="16" t="s">
        <v>2788</v>
      </c>
      <c r="K2332" s="16"/>
      <c r="L2332" s="16"/>
      <c r="M2332" s="19" t="s">
        <v>5997</v>
      </c>
      <c r="N2332" s="16"/>
      <c r="O2332" s="16" t="s">
        <v>5998</v>
      </c>
      <c r="P2332" s="16" t="str">
        <f>HYPERLINK("https://ceds.ed.gov/cedselementdetails.aspx?termid=27418")</f>
        <v>https://ceds.ed.gov/cedselementdetails.aspx?termid=27418</v>
      </c>
      <c r="Q2332" s="16">
        <v>73583</v>
      </c>
    </row>
    <row r="2333" spans="1:17" ht="43.2" x14ac:dyDescent="0.3">
      <c r="A2333" s="16" t="s">
        <v>7665</v>
      </c>
      <c r="B2333" s="16" t="s">
        <v>7712</v>
      </c>
      <c r="C2333" s="16" t="s">
        <v>7662</v>
      </c>
      <c r="D2333" s="16" t="s">
        <v>7597</v>
      </c>
      <c r="E2333" s="16" t="s">
        <v>5987</v>
      </c>
      <c r="F2333" s="16" t="s">
        <v>5988</v>
      </c>
      <c r="G2333" s="16" t="s">
        <v>32</v>
      </c>
      <c r="H2333" s="16"/>
      <c r="I2333" s="16"/>
      <c r="J2333" s="16" t="s">
        <v>305</v>
      </c>
      <c r="K2333" s="16"/>
      <c r="L2333" s="16"/>
      <c r="M2333" s="19" t="s">
        <v>5989</v>
      </c>
      <c r="N2333" s="16"/>
      <c r="O2333" s="16" t="s">
        <v>5990</v>
      </c>
      <c r="P2333" s="16" t="str">
        <f>HYPERLINK("https://ceds.ed.gov/cedselementdetails.aspx?termid=27416")</f>
        <v>https://ceds.ed.gov/cedselementdetails.aspx?termid=27416</v>
      </c>
      <c r="Q2333" s="16">
        <v>73581</v>
      </c>
    </row>
    <row r="2334" spans="1:17" ht="72" x14ac:dyDescent="0.3">
      <c r="A2334" s="16" t="s">
        <v>7665</v>
      </c>
      <c r="B2334" s="16" t="s">
        <v>7712</v>
      </c>
      <c r="C2334" s="16" t="s">
        <v>7662</v>
      </c>
      <c r="D2334" s="16" t="s">
        <v>7597</v>
      </c>
      <c r="E2334" s="16" t="s">
        <v>5951</v>
      </c>
      <c r="F2334" s="16" t="s">
        <v>5952</v>
      </c>
      <c r="G2334" s="16" t="s">
        <v>8274</v>
      </c>
      <c r="H2334" s="16"/>
      <c r="I2334" s="16"/>
      <c r="J2334" s="16"/>
      <c r="K2334" s="16"/>
      <c r="L2334" s="16"/>
      <c r="M2334" s="19" t="s">
        <v>5953</v>
      </c>
      <c r="N2334" s="16"/>
      <c r="O2334" s="16" t="s">
        <v>5954</v>
      </c>
      <c r="P2334" s="16" t="str">
        <f>HYPERLINK("https://ceds.ed.gov/cedselementdetails.aspx?termid=27401")</f>
        <v>https://ceds.ed.gov/cedselementdetails.aspx?termid=27401</v>
      </c>
      <c r="Q2334" s="16">
        <v>73568</v>
      </c>
    </row>
    <row r="2335" spans="1:17" ht="158.4" x14ac:dyDescent="0.3">
      <c r="A2335" s="16" t="s">
        <v>7665</v>
      </c>
      <c r="B2335" s="16" t="s">
        <v>7712</v>
      </c>
      <c r="C2335" s="16" t="s">
        <v>7662</v>
      </c>
      <c r="D2335" s="16" t="s">
        <v>7597</v>
      </c>
      <c r="E2335" s="16" t="s">
        <v>5963</v>
      </c>
      <c r="F2335" s="16" t="s">
        <v>5964</v>
      </c>
      <c r="G2335" s="16" t="s">
        <v>8790</v>
      </c>
      <c r="H2335" s="16"/>
      <c r="I2335" s="16"/>
      <c r="J2335" s="16"/>
      <c r="K2335" s="16"/>
      <c r="L2335" s="16"/>
      <c r="M2335" s="19" t="s">
        <v>5965</v>
      </c>
      <c r="N2335" s="16"/>
      <c r="O2335" s="16" t="s">
        <v>5966</v>
      </c>
      <c r="P2335" s="16" t="str">
        <f>HYPERLINK("https://ceds.ed.gov/cedselementdetails.aspx?termid=27429")</f>
        <v>https://ceds.ed.gov/cedselementdetails.aspx?termid=27429</v>
      </c>
      <c r="Q2335" s="16">
        <v>73685</v>
      </c>
    </row>
    <row r="2336" spans="1:17" ht="28.8" x14ac:dyDescent="0.3">
      <c r="A2336" s="16" t="s">
        <v>7665</v>
      </c>
      <c r="B2336" s="16" t="s">
        <v>7712</v>
      </c>
      <c r="C2336" s="16" t="s">
        <v>7662</v>
      </c>
      <c r="D2336" s="16" t="s">
        <v>7597</v>
      </c>
      <c r="E2336" s="16" t="s">
        <v>6746</v>
      </c>
      <c r="F2336" s="16" t="s">
        <v>6747</v>
      </c>
      <c r="G2336" s="16" t="s">
        <v>32</v>
      </c>
      <c r="H2336" s="16"/>
      <c r="I2336" s="16"/>
      <c r="J2336" s="16" t="s">
        <v>145</v>
      </c>
      <c r="K2336" s="16"/>
      <c r="L2336" s="16"/>
      <c r="M2336" s="19" t="s">
        <v>6748</v>
      </c>
      <c r="N2336" s="16"/>
      <c r="O2336" s="16" t="s">
        <v>6749</v>
      </c>
      <c r="P2336" s="16" t="str">
        <f>HYPERLINK("https://ceds.ed.gov/cedselementdetails.aspx?termid=27461")</f>
        <v>https://ceds.ed.gov/cedselementdetails.aspx?termid=27461</v>
      </c>
      <c r="Q2336" s="16">
        <v>73686</v>
      </c>
    </row>
    <row r="2337" spans="1:17" ht="172.8" x14ac:dyDescent="0.3">
      <c r="A2337" s="16" t="s">
        <v>7665</v>
      </c>
      <c r="B2337" s="16" t="s">
        <v>7712</v>
      </c>
      <c r="C2337" s="16" t="s">
        <v>7662</v>
      </c>
      <c r="D2337" s="16" t="s">
        <v>7597</v>
      </c>
      <c r="E2337" s="16" t="s">
        <v>5967</v>
      </c>
      <c r="F2337" s="16" t="s">
        <v>5968</v>
      </c>
      <c r="G2337" s="16" t="s">
        <v>32</v>
      </c>
      <c r="H2337" s="16"/>
      <c r="I2337" s="16"/>
      <c r="J2337" s="16" t="s">
        <v>120</v>
      </c>
      <c r="K2337" s="16"/>
      <c r="L2337" s="16" t="s">
        <v>7817</v>
      </c>
      <c r="M2337" s="19" t="s">
        <v>5969</v>
      </c>
      <c r="N2337" s="16"/>
      <c r="O2337" s="16" t="s">
        <v>5970</v>
      </c>
      <c r="P2337" s="16" t="str">
        <f>HYPERLINK("https://ceds.ed.gov/cedselementdetails.aspx?termid=27414")</f>
        <v>https://ceds.ed.gov/cedselementdetails.aspx?termid=27414</v>
      </c>
      <c r="Q2337" s="16">
        <v>73678</v>
      </c>
    </row>
    <row r="2338" spans="1:17" ht="28.8" x14ac:dyDescent="0.3">
      <c r="A2338" s="16" t="s">
        <v>7665</v>
      </c>
      <c r="B2338" s="16" t="s">
        <v>7712</v>
      </c>
      <c r="C2338" s="16" t="s">
        <v>7662</v>
      </c>
      <c r="D2338" s="16" t="s">
        <v>7597</v>
      </c>
      <c r="E2338" s="16" t="s">
        <v>5959</v>
      </c>
      <c r="F2338" s="16" t="s">
        <v>5960</v>
      </c>
      <c r="G2338" s="16" t="s">
        <v>32</v>
      </c>
      <c r="H2338" s="16"/>
      <c r="I2338" s="16"/>
      <c r="J2338" s="16" t="s">
        <v>81</v>
      </c>
      <c r="K2338" s="16"/>
      <c r="L2338" s="16"/>
      <c r="M2338" s="19" t="s">
        <v>5961</v>
      </c>
      <c r="N2338" s="16"/>
      <c r="O2338" s="16" t="s">
        <v>5962</v>
      </c>
      <c r="P2338" s="16" t="str">
        <f>HYPERLINK("https://ceds.ed.gov/cedselementdetails.aspx?termid=27413")</f>
        <v>https://ceds.ed.gov/cedselementdetails.aspx?termid=27413</v>
      </c>
      <c r="Q2338" s="16">
        <v>73580</v>
      </c>
    </row>
    <row r="2339" spans="1:17" ht="28.8" x14ac:dyDescent="0.3">
      <c r="A2339" s="16" t="s">
        <v>7665</v>
      </c>
      <c r="B2339" s="16" t="s">
        <v>7712</v>
      </c>
      <c r="C2339" s="16" t="s">
        <v>7662</v>
      </c>
      <c r="D2339" s="16" t="s">
        <v>7597</v>
      </c>
      <c r="E2339" s="16" t="s">
        <v>5999</v>
      </c>
      <c r="F2339" s="16" t="s">
        <v>6000</v>
      </c>
      <c r="G2339" s="16" t="s">
        <v>32</v>
      </c>
      <c r="H2339" s="16"/>
      <c r="I2339" s="16"/>
      <c r="J2339" s="16" t="s">
        <v>81</v>
      </c>
      <c r="K2339" s="16"/>
      <c r="L2339" s="16"/>
      <c r="M2339" s="19" t="s">
        <v>6001</v>
      </c>
      <c r="N2339" s="16"/>
      <c r="O2339" s="16" t="s">
        <v>6002</v>
      </c>
      <c r="P2339" s="16" t="str">
        <f>HYPERLINK("https://ceds.ed.gov/cedselementdetails.aspx?termid=27419")</f>
        <v>https://ceds.ed.gov/cedselementdetails.aspx?termid=27419</v>
      </c>
      <c r="Q2339" s="16">
        <v>73584</v>
      </c>
    </row>
    <row r="2340" spans="1:17" ht="43.2" x14ac:dyDescent="0.3">
      <c r="A2340" s="16" t="s">
        <v>7665</v>
      </c>
      <c r="B2340" s="16" t="s">
        <v>7712</v>
      </c>
      <c r="C2340" s="16" t="s">
        <v>7662</v>
      </c>
      <c r="D2340" s="16" t="s">
        <v>7597</v>
      </c>
      <c r="E2340" s="16" t="s">
        <v>6003</v>
      </c>
      <c r="F2340" s="16" t="s">
        <v>6004</v>
      </c>
      <c r="G2340" s="16" t="s">
        <v>32</v>
      </c>
      <c r="H2340" s="16"/>
      <c r="I2340" s="16"/>
      <c r="J2340" s="16" t="s">
        <v>81</v>
      </c>
      <c r="K2340" s="16"/>
      <c r="L2340" s="16"/>
      <c r="M2340" s="19" t="s">
        <v>6005</v>
      </c>
      <c r="N2340" s="16"/>
      <c r="O2340" s="16" t="s">
        <v>6006</v>
      </c>
      <c r="P2340" s="16" t="str">
        <f>HYPERLINK("https://ceds.ed.gov/cedselementdetails.aspx?termid=27420")</f>
        <v>https://ceds.ed.gov/cedselementdetails.aspx?termid=27420</v>
      </c>
      <c r="Q2340" s="16">
        <v>73585</v>
      </c>
    </row>
    <row r="2341" spans="1:17" ht="57.6" x14ac:dyDescent="0.3">
      <c r="A2341" s="16" t="s">
        <v>7665</v>
      </c>
      <c r="B2341" s="16" t="s">
        <v>7712</v>
      </c>
      <c r="C2341" s="16" t="s">
        <v>7662</v>
      </c>
      <c r="D2341" s="16" t="s">
        <v>7597</v>
      </c>
      <c r="E2341" s="16" t="s">
        <v>6026</v>
      </c>
      <c r="F2341" s="16" t="s">
        <v>6027</v>
      </c>
      <c r="G2341" s="16" t="s">
        <v>8793</v>
      </c>
      <c r="H2341" s="16"/>
      <c r="I2341" s="16"/>
      <c r="J2341" s="16"/>
      <c r="K2341" s="16"/>
      <c r="L2341" s="16"/>
      <c r="M2341" s="19" t="s">
        <v>6028</v>
      </c>
      <c r="N2341" s="16"/>
      <c r="O2341" s="16" t="s">
        <v>6029</v>
      </c>
      <c r="P2341" s="16" t="str">
        <f>HYPERLINK("https://ceds.ed.gov/cedselementdetails.aspx?termid=27428")</f>
        <v>https://ceds.ed.gov/cedselementdetails.aspx?termid=27428</v>
      </c>
      <c r="Q2341" s="16">
        <v>73590</v>
      </c>
    </row>
    <row r="2342" spans="1:17" ht="28.8" x14ac:dyDescent="0.3">
      <c r="A2342" s="16" t="s">
        <v>7665</v>
      </c>
      <c r="B2342" s="16" t="s">
        <v>7712</v>
      </c>
      <c r="C2342" s="16" t="s">
        <v>7662</v>
      </c>
      <c r="D2342" s="16" t="s">
        <v>7597</v>
      </c>
      <c r="E2342" s="16" t="s">
        <v>7818</v>
      </c>
      <c r="F2342" s="16" t="s">
        <v>7819</v>
      </c>
      <c r="G2342" s="16" t="s">
        <v>32</v>
      </c>
      <c r="H2342" s="16"/>
      <c r="I2342" s="16"/>
      <c r="J2342" s="16" t="s">
        <v>136</v>
      </c>
      <c r="K2342" s="16"/>
      <c r="L2342" s="16"/>
      <c r="M2342" s="19" t="s">
        <v>8174</v>
      </c>
      <c r="N2342" s="16"/>
      <c r="O2342" s="16" t="s">
        <v>7820</v>
      </c>
      <c r="P2342" s="16" t="str">
        <f>HYPERLINK("https://ceds.ed.gov/cedselementdetails.aspx?termid=27972")</f>
        <v>https://ceds.ed.gov/cedselementdetails.aspx?termid=27972</v>
      </c>
      <c r="Q2342" s="16">
        <v>75911</v>
      </c>
    </row>
    <row r="2343" spans="1:17" ht="43.2" x14ac:dyDescent="0.3">
      <c r="A2343" s="16" t="s">
        <v>7665</v>
      </c>
      <c r="B2343" s="16" t="s">
        <v>7712</v>
      </c>
      <c r="C2343" s="16" t="s">
        <v>7662</v>
      </c>
      <c r="D2343" s="16" t="s">
        <v>7597</v>
      </c>
      <c r="E2343" s="16" t="s">
        <v>7821</v>
      </c>
      <c r="F2343" s="16" t="s">
        <v>7822</v>
      </c>
      <c r="G2343" s="16" t="s">
        <v>8197</v>
      </c>
      <c r="H2343" s="16"/>
      <c r="I2343" s="16"/>
      <c r="J2343" s="16" t="s">
        <v>2</v>
      </c>
      <c r="K2343" s="16"/>
      <c r="L2343" s="16"/>
      <c r="M2343" s="19" t="s">
        <v>8175</v>
      </c>
      <c r="N2343" s="16"/>
      <c r="O2343" s="16" t="s">
        <v>7823</v>
      </c>
      <c r="P2343" s="16" t="str">
        <f>HYPERLINK("https://ceds.ed.gov/cedselementdetails.aspx?termid=27973")</f>
        <v>https://ceds.ed.gov/cedselementdetails.aspx?termid=27973</v>
      </c>
      <c r="Q2343" s="16">
        <v>75912</v>
      </c>
    </row>
    <row r="2344" spans="1:17" ht="43.2" x14ac:dyDescent="0.3">
      <c r="A2344" s="16" t="s">
        <v>7665</v>
      </c>
      <c r="B2344" s="16" t="s">
        <v>7712</v>
      </c>
      <c r="C2344" s="16" t="s">
        <v>7663</v>
      </c>
      <c r="D2344" s="16" t="s">
        <v>7597</v>
      </c>
      <c r="E2344" s="16" t="s">
        <v>6014</v>
      </c>
      <c r="F2344" s="16" t="s">
        <v>6015</v>
      </c>
      <c r="G2344" s="16" t="s">
        <v>32</v>
      </c>
      <c r="H2344" s="16"/>
      <c r="I2344" s="16"/>
      <c r="J2344" s="16" t="s">
        <v>145</v>
      </c>
      <c r="K2344" s="16"/>
      <c r="L2344" s="16"/>
      <c r="M2344" s="19" t="s">
        <v>6016</v>
      </c>
      <c r="N2344" s="16"/>
      <c r="O2344" s="16" t="s">
        <v>6017</v>
      </c>
      <c r="P2344" s="16" t="str">
        <f>HYPERLINK("https://ceds.ed.gov/cedselementdetails.aspx?termid=27424")</f>
        <v>https://ceds.ed.gov/cedselementdetails.aspx?termid=27424</v>
      </c>
      <c r="Q2344" s="16">
        <v>73604</v>
      </c>
    </row>
    <row r="2345" spans="1:17" ht="187.2" x14ac:dyDescent="0.3">
      <c r="A2345" s="16" t="s">
        <v>7665</v>
      </c>
      <c r="B2345" s="16" t="s">
        <v>7712</v>
      </c>
      <c r="C2345" s="16" t="s">
        <v>7663</v>
      </c>
      <c r="D2345" s="16" t="s">
        <v>7597</v>
      </c>
      <c r="E2345" s="16" t="s">
        <v>177</v>
      </c>
      <c r="F2345" s="16" t="s">
        <v>178</v>
      </c>
      <c r="G2345" s="16" t="s">
        <v>32</v>
      </c>
      <c r="H2345" s="16" t="s">
        <v>163</v>
      </c>
      <c r="I2345" s="16"/>
      <c r="J2345" s="16" t="s">
        <v>179</v>
      </c>
      <c r="K2345" s="16"/>
      <c r="L2345" s="16"/>
      <c r="M2345" s="19" t="s">
        <v>180</v>
      </c>
      <c r="N2345" s="16"/>
      <c r="O2345" s="16" t="s">
        <v>181</v>
      </c>
      <c r="P2345" s="16" t="str">
        <f>HYPERLINK("https://ceds.ed.gov/cedselementdetails.aspx?termid=26269")</f>
        <v>https://ceds.ed.gov/cedselementdetails.aspx?termid=26269</v>
      </c>
      <c r="Q2345" s="16">
        <v>73596</v>
      </c>
    </row>
    <row r="2346" spans="1:17" ht="187.2" x14ac:dyDescent="0.3">
      <c r="A2346" s="16" t="s">
        <v>7665</v>
      </c>
      <c r="B2346" s="16" t="s">
        <v>7712</v>
      </c>
      <c r="C2346" s="16" t="s">
        <v>7663</v>
      </c>
      <c r="D2346" s="16" t="s">
        <v>7597</v>
      </c>
      <c r="E2346" s="16" t="s">
        <v>158</v>
      </c>
      <c r="F2346" s="16" t="s">
        <v>159</v>
      </c>
      <c r="G2346" s="16" t="s">
        <v>32</v>
      </c>
      <c r="H2346" s="16" t="s">
        <v>163</v>
      </c>
      <c r="I2346" s="16"/>
      <c r="J2346" s="16" t="s">
        <v>145</v>
      </c>
      <c r="K2346" s="16"/>
      <c r="L2346" s="16"/>
      <c r="M2346" s="19" t="s">
        <v>161</v>
      </c>
      <c r="N2346" s="16"/>
      <c r="O2346" s="16" t="s">
        <v>162</v>
      </c>
      <c r="P2346" s="16" t="str">
        <f>HYPERLINK("https://ceds.ed.gov/cedselementdetails.aspx?termid=26019")</f>
        <v>https://ceds.ed.gov/cedselementdetails.aspx?termid=26019</v>
      </c>
      <c r="Q2346" s="16">
        <v>73597</v>
      </c>
    </row>
    <row r="2347" spans="1:17" ht="187.2" x14ac:dyDescent="0.3">
      <c r="A2347" s="16" t="s">
        <v>7665</v>
      </c>
      <c r="B2347" s="16" t="s">
        <v>7712</v>
      </c>
      <c r="C2347" s="16" t="s">
        <v>7663</v>
      </c>
      <c r="D2347" s="16" t="s">
        <v>7597</v>
      </c>
      <c r="E2347" s="16" t="s">
        <v>164</v>
      </c>
      <c r="F2347" s="16" t="s">
        <v>165</v>
      </c>
      <c r="G2347" s="16" t="s">
        <v>32</v>
      </c>
      <c r="H2347" s="16" t="s">
        <v>163</v>
      </c>
      <c r="I2347" s="16"/>
      <c r="J2347" s="16" t="s">
        <v>81</v>
      </c>
      <c r="K2347" s="16"/>
      <c r="L2347" s="16"/>
      <c r="M2347" s="19" t="s">
        <v>166</v>
      </c>
      <c r="N2347" s="16"/>
      <c r="O2347" s="16" t="s">
        <v>167</v>
      </c>
      <c r="P2347" s="16" t="str">
        <f>HYPERLINK("https://ceds.ed.gov/cedselementdetails.aspx?termid=26040")</f>
        <v>https://ceds.ed.gov/cedselementdetails.aspx?termid=26040</v>
      </c>
      <c r="Q2347" s="16">
        <v>73598</v>
      </c>
    </row>
    <row r="2348" spans="1:17" ht="409.6" x14ac:dyDescent="0.3">
      <c r="A2348" s="16" t="s">
        <v>7665</v>
      </c>
      <c r="B2348" s="16" t="s">
        <v>7712</v>
      </c>
      <c r="C2348" s="16" t="s">
        <v>7663</v>
      </c>
      <c r="D2348" s="16" t="s">
        <v>7597</v>
      </c>
      <c r="E2348" s="16" t="s">
        <v>6840</v>
      </c>
      <c r="F2348" s="16" t="s">
        <v>6841</v>
      </c>
      <c r="G2348" s="16" t="s">
        <v>8266</v>
      </c>
      <c r="H2348" s="16" t="s">
        <v>6844</v>
      </c>
      <c r="I2348" s="16"/>
      <c r="J2348" s="16"/>
      <c r="K2348" s="16"/>
      <c r="L2348" s="16"/>
      <c r="M2348" s="19" t="s">
        <v>6842</v>
      </c>
      <c r="N2348" s="16"/>
      <c r="O2348" s="16" t="s">
        <v>6843</v>
      </c>
      <c r="P2348" s="16" t="str">
        <f>HYPERLINK("https://ceds.ed.gov/cedselementdetails.aspx?termid=26267")</f>
        <v>https://ceds.ed.gov/cedselementdetails.aspx?termid=26267</v>
      </c>
      <c r="Q2348" s="16">
        <v>73599</v>
      </c>
    </row>
    <row r="2349" spans="1:17" ht="187.2" x14ac:dyDescent="0.3">
      <c r="A2349" s="16" t="s">
        <v>7665</v>
      </c>
      <c r="B2349" s="16" t="s">
        <v>7712</v>
      </c>
      <c r="C2349" s="16" t="s">
        <v>7663</v>
      </c>
      <c r="D2349" s="16" t="s">
        <v>7597</v>
      </c>
      <c r="E2349" s="16" t="s">
        <v>172</v>
      </c>
      <c r="F2349" s="16" t="s">
        <v>173</v>
      </c>
      <c r="G2349" s="16" t="s">
        <v>32</v>
      </c>
      <c r="H2349" s="16" t="s">
        <v>163</v>
      </c>
      <c r="I2349" s="16"/>
      <c r="J2349" s="16" t="s">
        <v>174</v>
      </c>
      <c r="K2349" s="16"/>
      <c r="L2349" s="16"/>
      <c r="M2349" s="19" t="s">
        <v>175</v>
      </c>
      <c r="N2349" s="16"/>
      <c r="O2349" s="16" t="s">
        <v>176</v>
      </c>
      <c r="P2349" s="16" t="str">
        <f>HYPERLINK("https://ceds.ed.gov/cedselementdetails.aspx?termid=26214")</f>
        <v>https://ceds.ed.gov/cedselementdetails.aspx?termid=26214</v>
      </c>
      <c r="Q2349" s="16">
        <v>73600</v>
      </c>
    </row>
    <row r="2350" spans="1:17" ht="72" x14ac:dyDescent="0.3">
      <c r="A2350" s="16" t="s">
        <v>7665</v>
      </c>
      <c r="B2350" s="16" t="s">
        <v>7712</v>
      </c>
      <c r="C2350" s="16" t="s">
        <v>7663</v>
      </c>
      <c r="D2350" s="16" t="s">
        <v>7597</v>
      </c>
      <c r="E2350" s="16" t="s">
        <v>7053</v>
      </c>
      <c r="F2350" s="16" t="s">
        <v>7054</v>
      </c>
      <c r="G2350" s="16" t="s">
        <v>32</v>
      </c>
      <c r="H2350" s="16" t="s">
        <v>64</v>
      </c>
      <c r="I2350" s="16"/>
      <c r="J2350" s="16" t="s">
        <v>7055</v>
      </c>
      <c r="K2350" s="16"/>
      <c r="L2350" s="16"/>
      <c r="M2350" s="19" t="s">
        <v>7056</v>
      </c>
      <c r="N2350" s="16"/>
      <c r="O2350" s="16" t="s">
        <v>7057</v>
      </c>
      <c r="P2350" s="16" t="str">
        <f>HYPERLINK("https://ceds.ed.gov/cedselementdetails.aspx?termid=26279")</f>
        <v>https://ceds.ed.gov/cedselementdetails.aspx?termid=26279</v>
      </c>
      <c r="Q2350" s="16">
        <v>73602</v>
      </c>
    </row>
    <row r="2351" spans="1:17" ht="158.4" x14ac:dyDescent="0.3">
      <c r="A2351" s="16" t="s">
        <v>7665</v>
      </c>
      <c r="B2351" s="16" t="s">
        <v>7712</v>
      </c>
      <c r="C2351" s="16" t="s">
        <v>7663</v>
      </c>
      <c r="D2351" s="16" t="s">
        <v>7597</v>
      </c>
      <c r="E2351" s="16" t="s">
        <v>2493</v>
      </c>
      <c r="F2351" s="16" t="s">
        <v>2494</v>
      </c>
      <c r="G2351" s="16" t="s">
        <v>32</v>
      </c>
      <c r="H2351" s="16"/>
      <c r="I2351" s="16"/>
      <c r="J2351" s="16" t="s">
        <v>2495</v>
      </c>
      <c r="K2351" s="16"/>
      <c r="L2351" s="16"/>
      <c r="M2351" s="19" t="s">
        <v>2496</v>
      </c>
      <c r="N2351" s="16"/>
      <c r="O2351" s="16" t="s">
        <v>2497</v>
      </c>
      <c r="P2351" s="16" t="str">
        <f>HYPERLINK("https://ceds.ed.gov/cedselementdetails.aspx?termid=27176")</f>
        <v>https://ceds.ed.gov/cedselementdetails.aspx?termid=27176</v>
      </c>
      <c r="Q2351" s="16">
        <v>75334</v>
      </c>
    </row>
    <row r="2352" spans="1:17" ht="57.6" x14ac:dyDescent="0.3">
      <c r="A2352" s="16" t="s">
        <v>7665</v>
      </c>
      <c r="B2352" s="16" t="s">
        <v>7712</v>
      </c>
      <c r="C2352" s="16" t="s">
        <v>7663</v>
      </c>
      <c r="D2352" s="16" t="s">
        <v>7597</v>
      </c>
      <c r="E2352" s="16" t="s">
        <v>3175</v>
      </c>
      <c r="F2352" s="16" t="s">
        <v>3176</v>
      </c>
      <c r="G2352" s="16" t="s">
        <v>2987</v>
      </c>
      <c r="H2352" s="16"/>
      <c r="I2352" s="16"/>
      <c r="J2352" s="16"/>
      <c r="K2352" s="16"/>
      <c r="L2352" s="16"/>
      <c r="M2352" s="19" t="s">
        <v>3177</v>
      </c>
      <c r="N2352" s="16"/>
      <c r="O2352" s="16" t="s">
        <v>3178</v>
      </c>
      <c r="P2352" s="16" t="str">
        <f>HYPERLINK("https://ceds.ed.gov/cedselementdetails.aspx?termid=27905")</f>
        <v>https://ceds.ed.gov/cedselementdetails.aspx?termid=27905</v>
      </c>
      <c r="Q2352" s="16">
        <v>75335</v>
      </c>
    </row>
    <row r="2353" spans="1:17" ht="57.6" x14ac:dyDescent="0.3">
      <c r="A2353" s="16" t="s">
        <v>7665</v>
      </c>
      <c r="B2353" s="16" t="s">
        <v>7712</v>
      </c>
      <c r="C2353" s="16" t="s">
        <v>7663</v>
      </c>
      <c r="D2353" s="16" t="s">
        <v>7597</v>
      </c>
      <c r="E2353" s="16" t="s">
        <v>7058</v>
      </c>
      <c r="F2353" s="16" t="s">
        <v>7059</v>
      </c>
      <c r="G2353" s="16" t="s">
        <v>8848</v>
      </c>
      <c r="H2353" s="16"/>
      <c r="I2353" s="16"/>
      <c r="J2353" s="16"/>
      <c r="K2353" s="16"/>
      <c r="L2353" s="16"/>
      <c r="M2353" s="19" t="s">
        <v>7060</v>
      </c>
      <c r="N2353" s="16"/>
      <c r="O2353" s="16" t="s">
        <v>7061</v>
      </c>
      <c r="P2353" s="16" t="str">
        <f>HYPERLINK("https://ceds.ed.gov/cedselementdetails.aspx?termid=27911")</f>
        <v>https://ceds.ed.gov/cedselementdetails.aspx?termid=27911</v>
      </c>
      <c r="Q2353" s="16">
        <v>75336</v>
      </c>
    </row>
    <row r="2354" spans="1:17" ht="28.8" x14ac:dyDescent="0.3">
      <c r="A2354" s="16" t="s">
        <v>7665</v>
      </c>
      <c r="B2354" s="16" t="s">
        <v>7712</v>
      </c>
      <c r="C2354" s="16" t="s">
        <v>7682</v>
      </c>
      <c r="D2354" s="16" t="s">
        <v>7597</v>
      </c>
      <c r="E2354" s="16" t="s">
        <v>1410</v>
      </c>
      <c r="F2354" s="16" t="s">
        <v>1411</v>
      </c>
      <c r="G2354" s="16" t="s">
        <v>32</v>
      </c>
      <c r="H2354" s="16"/>
      <c r="I2354" s="16"/>
      <c r="J2354" s="16" t="s">
        <v>106</v>
      </c>
      <c r="K2354" s="16"/>
      <c r="L2354" s="16"/>
      <c r="M2354" s="19" t="s">
        <v>1412</v>
      </c>
      <c r="N2354" s="16"/>
      <c r="O2354" s="16" t="s">
        <v>1413</v>
      </c>
      <c r="P2354" s="16" t="str">
        <f>HYPERLINK("https://ceds.ed.gov/cedselementdetails.aspx?termid=27630")</f>
        <v>https://ceds.ed.gov/cedselementdetails.aspx?termid=27630</v>
      </c>
      <c r="Q2354" s="16">
        <v>74709</v>
      </c>
    </row>
    <row r="2355" spans="1:17" ht="86.4" x14ac:dyDescent="0.3">
      <c r="A2355" s="16" t="s">
        <v>7665</v>
      </c>
      <c r="B2355" s="16" t="s">
        <v>7712</v>
      </c>
      <c r="C2355" s="16" t="s">
        <v>7682</v>
      </c>
      <c r="D2355" s="16" t="s">
        <v>7597</v>
      </c>
      <c r="E2355" s="16" t="s">
        <v>1419</v>
      </c>
      <c r="F2355" s="16" t="s">
        <v>1420</v>
      </c>
      <c r="G2355" s="16" t="s">
        <v>8211</v>
      </c>
      <c r="H2355" s="16"/>
      <c r="I2355" s="16"/>
      <c r="J2355" s="16"/>
      <c r="K2355" s="16"/>
      <c r="L2355" s="16"/>
      <c r="M2355" s="19" t="s">
        <v>1421</v>
      </c>
      <c r="N2355" s="16"/>
      <c r="O2355" s="16" t="s">
        <v>1422</v>
      </c>
      <c r="P2355" s="16" t="str">
        <f>HYPERLINK("https://ceds.ed.gov/cedselementdetails.aspx?termid=26076")</f>
        <v>https://ceds.ed.gov/cedselementdetails.aspx?termid=26076</v>
      </c>
      <c r="Q2355" s="16">
        <v>73465</v>
      </c>
    </row>
    <row r="2356" spans="1:17" ht="259.2" x14ac:dyDescent="0.3">
      <c r="A2356" s="16" t="s">
        <v>7665</v>
      </c>
      <c r="B2356" s="16" t="s">
        <v>7712</v>
      </c>
      <c r="C2356" s="16" t="s">
        <v>7682</v>
      </c>
      <c r="D2356" s="16" t="s">
        <v>7597</v>
      </c>
      <c r="E2356" s="16" t="s">
        <v>5208</v>
      </c>
      <c r="F2356" s="16" t="s">
        <v>5209</v>
      </c>
      <c r="G2356" s="16" t="s">
        <v>8241</v>
      </c>
      <c r="H2356" s="16"/>
      <c r="I2356" s="16"/>
      <c r="J2356" s="16"/>
      <c r="K2356" s="16"/>
      <c r="L2356" s="16"/>
      <c r="M2356" s="19" t="s">
        <v>5210</v>
      </c>
      <c r="N2356" s="16"/>
      <c r="O2356" s="16" t="s">
        <v>5211</v>
      </c>
      <c r="P2356" s="16" t="str">
        <f>HYPERLINK("https://ceds.ed.gov/cedselementdetails.aspx?termid=26617")</f>
        <v>https://ceds.ed.gov/cedselementdetails.aspx?termid=26617</v>
      </c>
      <c r="Q2356" s="16">
        <v>71139</v>
      </c>
    </row>
    <row r="2357" spans="1:17" ht="115.2" x14ac:dyDescent="0.3">
      <c r="A2357" s="16" t="s">
        <v>7665</v>
      </c>
      <c r="B2357" s="16" t="s">
        <v>7712</v>
      </c>
      <c r="C2357" s="16" t="s">
        <v>7682</v>
      </c>
      <c r="D2357" s="16" t="s">
        <v>7597</v>
      </c>
      <c r="E2357" s="16" t="s">
        <v>8896</v>
      </c>
      <c r="F2357" s="16" t="s">
        <v>8897</v>
      </c>
      <c r="G2357" s="16" t="s">
        <v>32</v>
      </c>
      <c r="H2357" s="16"/>
      <c r="I2357" s="16"/>
      <c r="J2357" s="16" t="s">
        <v>4030</v>
      </c>
      <c r="K2357" s="16"/>
      <c r="L2357" s="16" t="s">
        <v>8898</v>
      </c>
      <c r="M2357" s="19" t="s">
        <v>8899</v>
      </c>
      <c r="N2357" s="16"/>
      <c r="O2357" s="16" t="s">
        <v>8900</v>
      </c>
      <c r="P2357" s="16" t="str">
        <f>HYPERLINK("https://ceds.ed.gov/cedselementdetails.aspx?termid=28001")</f>
        <v>https://ceds.ed.gov/cedselementdetails.aspx?termid=28001</v>
      </c>
      <c r="Q2357" s="16">
        <v>76161</v>
      </c>
    </row>
    <row r="2358" spans="1:17" ht="28.8" x14ac:dyDescent="0.3">
      <c r="A2358" s="16" t="s">
        <v>7665</v>
      </c>
      <c r="B2358" s="16" t="s">
        <v>7712</v>
      </c>
      <c r="C2358" s="16" t="s">
        <v>7682</v>
      </c>
      <c r="D2358" s="16" t="s">
        <v>7597</v>
      </c>
      <c r="E2358" s="16" t="s">
        <v>8901</v>
      </c>
      <c r="F2358" s="16" t="s">
        <v>8902</v>
      </c>
      <c r="G2358" s="16" t="s">
        <v>32</v>
      </c>
      <c r="H2358" s="16"/>
      <c r="I2358" s="16"/>
      <c r="J2358" s="16" t="s">
        <v>4030</v>
      </c>
      <c r="K2358" s="16"/>
      <c r="L2358" s="16"/>
      <c r="M2358" s="19" t="s">
        <v>8903</v>
      </c>
      <c r="N2358" s="16"/>
      <c r="O2358" s="16" t="s">
        <v>8904</v>
      </c>
      <c r="P2358" s="16" t="str">
        <f>HYPERLINK("https://ceds.ed.gov/cedselementdetails.aspx?termid=28002")</f>
        <v>https://ceds.ed.gov/cedselementdetails.aspx?termid=28002</v>
      </c>
      <c r="Q2358" s="16">
        <v>76162</v>
      </c>
    </row>
    <row r="2359" spans="1:17" ht="28.8" x14ac:dyDescent="0.3">
      <c r="A2359" s="16" t="s">
        <v>7665</v>
      </c>
      <c r="B2359" s="16" t="s">
        <v>7712</v>
      </c>
      <c r="C2359" s="16" t="s">
        <v>7682</v>
      </c>
      <c r="D2359" s="16" t="s">
        <v>7597</v>
      </c>
      <c r="E2359" s="16" t="s">
        <v>8905</v>
      </c>
      <c r="F2359" s="16" t="s">
        <v>8906</v>
      </c>
      <c r="G2359" s="16" t="s">
        <v>32</v>
      </c>
      <c r="H2359" s="16"/>
      <c r="I2359" s="16"/>
      <c r="J2359" s="16" t="s">
        <v>4030</v>
      </c>
      <c r="K2359" s="16"/>
      <c r="L2359" s="16"/>
      <c r="M2359" s="19" t="s">
        <v>8907</v>
      </c>
      <c r="N2359" s="16"/>
      <c r="O2359" s="16" t="s">
        <v>8908</v>
      </c>
      <c r="P2359" s="16" t="str">
        <f>HYPERLINK("https://ceds.ed.gov/cedselementdetails.aspx?termid=28003")</f>
        <v>https://ceds.ed.gov/cedselementdetails.aspx?termid=28003</v>
      </c>
      <c r="Q2359" s="16">
        <v>76163</v>
      </c>
    </row>
    <row r="2360" spans="1:17" ht="409.6" x14ac:dyDescent="0.3">
      <c r="A2360" s="16" t="s">
        <v>7665</v>
      </c>
      <c r="B2360" s="16" t="s">
        <v>7712</v>
      </c>
      <c r="C2360" s="16" t="s">
        <v>7655</v>
      </c>
      <c r="D2360" s="16" t="s">
        <v>7597</v>
      </c>
      <c r="E2360" s="16" t="s">
        <v>4268</v>
      </c>
      <c r="F2360" s="16" t="s">
        <v>4269</v>
      </c>
      <c r="G2360" s="16" t="s">
        <v>8445</v>
      </c>
      <c r="H2360" s="16" t="s">
        <v>4272</v>
      </c>
      <c r="I2360" s="16"/>
      <c r="J2360" s="16"/>
      <c r="K2360" s="16"/>
      <c r="L2360" s="16"/>
      <c r="M2360" s="19" t="s">
        <v>4270</v>
      </c>
      <c r="N2360" s="16"/>
      <c r="O2360" s="16" t="s">
        <v>4271</v>
      </c>
      <c r="P2360" s="16" t="str">
        <f>HYPERLINK("https://ceds.ed.gov/cedselementdetails.aspx?termid=26141")</f>
        <v>https://ceds.ed.gov/cedselementdetails.aspx?termid=26141</v>
      </c>
      <c r="Q2360" s="16">
        <v>74747</v>
      </c>
    </row>
    <row r="2361" spans="1:17" ht="187.2" x14ac:dyDescent="0.3">
      <c r="A2361" s="16" t="s">
        <v>7665</v>
      </c>
      <c r="B2361" s="16" t="s">
        <v>7712</v>
      </c>
      <c r="C2361" s="16" t="s">
        <v>7655</v>
      </c>
      <c r="D2361" s="16" t="s">
        <v>7597</v>
      </c>
      <c r="E2361" s="16" t="s">
        <v>5431</v>
      </c>
      <c r="F2361" s="16" t="s">
        <v>5432</v>
      </c>
      <c r="G2361" s="16" t="s">
        <v>32</v>
      </c>
      <c r="H2361" s="16" t="s">
        <v>5435</v>
      </c>
      <c r="I2361" s="16"/>
      <c r="J2361" s="16" t="s">
        <v>145</v>
      </c>
      <c r="K2361" s="16"/>
      <c r="L2361" s="16"/>
      <c r="M2361" s="19" t="s">
        <v>5433</v>
      </c>
      <c r="N2361" s="16"/>
      <c r="O2361" s="16" t="s">
        <v>5434</v>
      </c>
      <c r="P2361" s="16" t="str">
        <f>HYPERLINK("https://ceds.ed.gov/cedselementdetails.aspx?termid=26191")</f>
        <v>https://ceds.ed.gov/cedselementdetails.aspx?termid=26191</v>
      </c>
      <c r="Q2361" s="16">
        <v>74733</v>
      </c>
    </row>
    <row r="2362" spans="1:17" ht="86.4" x14ac:dyDescent="0.3">
      <c r="A2362" s="16" t="s">
        <v>7665</v>
      </c>
      <c r="B2362" s="16" t="s">
        <v>7712</v>
      </c>
      <c r="C2362" s="16" t="s">
        <v>7655</v>
      </c>
      <c r="D2362" s="16" t="s">
        <v>7597</v>
      </c>
      <c r="E2362" s="16" t="s">
        <v>8142</v>
      </c>
      <c r="F2362" s="16" t="s">
        <v>8143</v>
      </c>
      <c r="G2362" s="16" t="s">
        <v>32</v>
      </c>
      <c r="H2362" s="16"/>
      <c r="I2362" s="16"/>
      <c r="J2362" s="16" t="s">
        <v>81</v>
      </c>
      <c r="K2362" s="16"/>
      <c r="L2362" s="16" t="s">
        <v>6671</v>
      </c>
      <c r="M2362" s="19" t="s">
        <v>6672</v>
      </c>
      <c r="N2362" s="16"/>
      <c r="O2362" s="16" t="s">
        <v>8144</v>
      </c>
      <c r="P2362" s="16" t="str">
        <f>HYPERLINK("https://ceds.ed.gov/cedselementdetails.aspx?termid=27459")</f>
        <v>https://ceds.ed.gov/cedselementdetails.aspx?termid=27459</v>
      </c>
      <c r="Q2362" s="16">
        <v>74751</v>
      </c>
    </row>
    <row r="2363" spans="1:17" ht="100.8" x14ac:dyDescent="0.3">
      <c r="A2363" s="16" t="s">
        <v>7665</v>
      </c>
      <c r="B2363" s="16" t="s">
        <v>7712</v>
      </c>
      <c r="C2363" s="16" t="s">
        <v>7655</v>
      </c>
      <c r="D2363" s="16" t="s">
        <v>7597</v>
      </c>
      <c r="E2363" s="16" t="s">
        <v>4264</v>
      </c>
      <c r="F2363" s="16" t="s">
        <v>4265</v>
      </c>
      <c r="G2363" s="16" t="s">
        <v>8621</v>
      </c>
      <c r="H2363" s="16" t="s">
        <v>195</v>
      </c>
      <c r="I2363" s="16"/>
      <c r="J2363" s="16"/>
      <c r="K2363" s="16"/>
      <c r="L2363" s="16"/>
      <c r="M2363" s="19" t="s">
        <v>4266</v>
      </c>
      <c r="N2363" s="16"/>
      <c r="O2363" s="16" t="s">
        <v>4267</v>
      </c>
      <c r="P2363" s="16" t="str">
        <f>HYPERLINK("https://ceds.ed.gov/cedselementdetails.aspx?termid=26817")</f>
        <v>https://ceds.ed.gov/cedselementdetails.aspx?termid=26817</v>
      </c>
      <c r="Q2363" s="16">
        <v>74749</v>
      </c>
    </row>
    <row r="2364" spans="1:17" ht="43.2" x14ac:dyDescent="0.3">
      <c r="A2364" s="16" t="s">
        <v>7665</v>
      </c>
      <c r="B2364" s="16" t="s">
        <v>7712</v>
      </c>
      <c r="C2364" s="16" t="s">
        <v>7655</v>
      </c>
      <c r="D2364" s="16" t="s">
        <v>7597</v>
      </c>
      <c r="E2364" s="16" t="s">
        <v>3030</v>
      </c>
      <c r="F2364" s="16" t="s">
        <v>3031</v>
      </c>
      <c r="G2364" s="16" t="s">
        <v>32</v>
      </c>
      <c r="H2364" s="16" t="s">
        <v>3025</v>
      </c>
      <c r="I2364" s="16"/>
      <c r="J2364" s="16" t="s">
        <v>1304</v>
      </c>
      <c r="K2364" s="16"/>
      <c r="L2364" s="16"/>
      <c r="M2364" s="19" t="s">
        <v>3032</v>
      </c>
      <c r="N2364" s="16"/>
      <c r="O2364" s="16" t="s">
        <v>3033</v>
      </c>
      <c r="P2364" s="16" t="str">
        <f>HYPERLINK("https://ceds.ed.gov/cedselementdetails.aspx?termid=26341")</f>
        <v>https://ceds.ed.gov/cedselementdetails.aspx?termid=26341</v>
      </c>
      <c r="Q2364" s="16">
        <v>74735</v>
      </c>
    </row>
    <row r="2365" spans="1:17" ht="273.60000000000002" x14ac:dyDescent="0.3">
      <c r="A2365" s="16" t="s">
        <v>7665</v>
      </c>
      <c r="B2365" s="16" t="s">
        <v>7712</v>
      </c>
      <c r="C2365" s="16" t="s">
        <v>7655</v>
      </c>
      <c r="D2365" s="16" t="s">
        <v>7597</v>
      </c>
      <c r="E2365" s="16" t="s">
        <v>3034</v>
      </c>
      <c r="F2365" s="16" t="s">
        <v>3035</v>
      </c>
      <c r="G2365" s="16" t="s">
        <v>8493</v>
      </c>
      <c r="H2365" s="16" t="s">
        <v>3025</v>
      </c>
      <c r="I2365" s="16"/>
      <c r="J2365" s="16"/>
      <c r="K2365" s="16"/>
      <c r="L2365" s="16"/>
      <c r="M2365" s="19" t="s">
        <v>3036</v>
      </c>
      <c r="N2365" s="16"/>
      <c r="O2365" s="16" t="s">
        <v>3037</v>
      </c>
      <c r="P2365" s="16" t="str">
        <f>HYPERLINK("https://ceds.ed.gov/cedselementdetails.aspx?termid=26342")</f>
        <v>https://ceds.ed.gov/cedselementdetails.aspx?termid=26342</v>
      </c>
      <c r="Q2365" s="16">
        <v>74737</v>
      </c>
    </row>
    <row r="2366" spans="1:17" ht="43.2" x14ac:dyDescent="0.3">
      <c r="A2366" s="16" t="s">
        <v>7665</v>
      </c>
      <c r="B2366" s="16" t="s">
        <v>7712</v>
      </c>
      <c r="C2366" s="16" t="s">
        <v>7655</v>
      </c>
      <c r="D2366" s="16" t="s">
        <v>7597</v>
      </c>
      <c r="E2366" s="16" t="s">
        <v>3021</v>
      </c>
      <c r="F2366" s="16" t="s">
        <v>3022</v>
      </c>
      <c r="G2366" s="16" t="s">
        <v>32</v>
      </c>
      <c r="H2366" s="16" t="s">
        <v>3025</v>
      </c>
      <c r="I2366" s="16"/>
      <c r="J2366" s="16" t="s">
        <v>106</v>
      </c>
      <c r="K2366" s="16"/>
      <c r="L2366" s="16"/>
      <c r="M2366" s="19" t="s">
        <v>3023</v>
      </c>
      <c r="N2366" s="16"/>
      <c r="O2366" s="16" t="s">
        <v>3024</v>
      </c>
      <c r="P2366" s="16" t="str">
        <f>HYPERLINK("https://ceds.ed.gov/cedselementdetails.aspx?termid=26343")</f>
        <v>https://ceds.ed.gov/cedselementdetails.aspx?termid=26343</v>
      </c>
      <c r="Q2366" s="16">
        <v>74739</v>
      </c>
    </row>
    <row r="2367" spans="1:17" ht="57.6" x14ac:dyDescent="0.3">
      <c r="A2367" s="16" t="s">
        <v>7665</v>
      </c>
      <c r="B2367" s="16" t="s">
        <v>7712</v>
      </c>
      <c r="C2367" s="16" t="s">
        <v>7655</v>
      </c>
      <c r="D2367" s="16" t="s">
        <v>7597</v>
      </c>
      <c r="E2367" s="16" t="s">
        <v>5547</v>
      </c>
      <c r="F2367" s="16" t="s">
        <v>5548</v>
      </c>
      <c r="G2367" s="16" t="s">
        <v>32</v>
      </c>
      <c r="H2367" s="16" t="s">
        <v>195</v>
      </c>
      <c r="I2367" s="16"/>
      <c r="J2367" s="16" t="s">
        <v>1481</v>
      </c>
      <c r="K2367" s="16"/>
      <c r="L2367" s="16"/>
      <c r="M2367" s="19" t="s">
        <v>5549</v>
      </c>
      <c r="N2367" s="16"/>
      <c r="O2367" s="16" t="s">
        <v>5550</v>
      </c>
      <c r="P2367" s="16" t="str">
        <f>HYPERLINK("https://ceds.ed.gov/cedselementdetails.aspx?termid=26815")</f>
        <v>https://ceds.ed.gov/cedselementdetails.aspx?termid=26815</v>
      </c>
      <c r="Q2367" s="16">
        <v>74741</v>
      </c>
    </row>
    <row r="2368" spans="1:17" ht="72" x14ac:dyDescent="0.3">
      <c r="A2368" s="16" t="s">
        <v>7665</v>
      </c>
      <c r="B2368" s="16" t="s">
        <v>7712</v>
      </c>
      <c r="C2368" s="16" t="s">
        <v>7655</v>
      </c>
      <c r="D2368" s="16" t="s">
        <v>7597</v>
      </c>
      <c r="E2368" s="16" t="s">
        <v>6777</v>
      </c>
      <c r="F2368" s="16" t="s">
        <v>6778</v>
      </c>
      <c r="G2368" s="16" t="s">
        <v>32</v>
      </c>
      <c r="H2368" s="16" t="s">
        <v>195</v>
      </c>
      <c r="I2368" s="16"/>
      <c r="J2368" s="16" t="s">
        <v>106</v>
      </c>
      <c r="K2368" s="16"/>
      <c r="L2368" s="16"/>
      <c r="M2368" s="19" t="s">
        <v>6779</v>
      </c>
      <c r="N2368" s="16"/>
      <c r="O2368" s="16" t="s">
        <v>6780</v>
      </c>
      <c r="P2368" s="16" t="str">
        <f>HYPERLINK("https://ceds.ed.gov/cedselementdetails.aspx?termid=26792")</f>
        <v>https://ceds.ed.gov/cedselementdetails.aspx?termid=26792</v>
      </c>
      <c r="Q2368" s="16">
        <v>74743</v>
      </c>
    </row>
    <row r="2369" spans="1:17" ht="72" x14ac:dyDescent="0.3">
      <c r="A2369" s="16" t="s">
        <v>7665</v>
      </c>
      <c r="B2369" s="16" t="s">
        <v>7712</v>
      </c>
      <c r="C2369" s="16" t="s">
        <v>7655</v>
      </c>
      <c r="D2369" s="16" t="s">
        <v>7597</v>
      </c>
      <c r="E2369" s="16" t="s">
        <v>6781</v>
      </c>
      <c r="F2369" s="16" t="s">
        <v>6782</v>
      </c>
      <c r="G2369" s="16" t="s">
        <v>32</v>
      </c>
      <c r="H2369" s="16" t="s">
        <v>195</v>
      </c>
      <c r="I2369" s="16"/>
      <c r="J2369" s="16" t="s">
        <v>106</v>
      </c>
      <c r="K2369" s="16"/>
      <c r="L2369" s="16"/>
      <c r="M2369" s="19" t="s">
        <v>6783</v>
      </c>
      <c r="N2369" s="16"/>
      <c r="O2369" s="16" t="s">
        <v>6784</v>
      </c>
      <c r="P2369" s="16" t="str">
        <f>HYPERLINK("https://ceds.ed.gov/cedselementdetails.aspx?termid=26793")</f>
        <v>https://ceds.ed.gov/cedselementdetails.aspx?termid=26793</v>
      </c>
      <c r="Q2369" s="16">
        <v>74745</v>
      </c>
    </row>
    <row r="2370" spans="1:17" ht="86.4" x14ac:dyDescent="0.3">
      <c r="A2370" s="16" t="s">
        <v>7665</v>
      </c>
      <c r="B2370" s="16" t="s">
        <v>7712</v>
      </c>
      <c r="C2370" s="16" t="s">
        <v>7655</v>
      </c>
      <c r="D2370" s="16" t="s">
        <v>7597</v>
      </c>
      <c r="E2370" s="16" t="s">
        <v>3398</v>
      </c>
      <c r="F2370" s="16" t="s">
        <v>3399</v>
      </c>
      <c r="G2370" s="16" t="s">
        <v>8545</v>
      </c>
      <c r="H2370" s="16"/>
      <c r="I2370" s="16"/>
      <c r="J2370" s="16"/>
      <c r="K2370" s="16"/>
      <c r="L2370" s="16"/>
      <c r="M2370" s="19" t="s">
        <v>3400</v>
      </c>
      <c r="N2370" s="16"/>
      <c r="O2370" s="16" t="s">
        <v>3401</v>
      </c>
      <c r="P2370" s="16" t="str">
        <f>HYPERLINK("https://ceds.ed.gov/cedselementdetails.aspx?termid=27586")</f>
        <v>https://ceds.ed.gov/cedselementdetails.aspx?termid=27586</v>
      </c>
      <c r="Q2370" s="16">
        <v>74753</v>
      </c>
    </row>
    <row r="2371" spans="1:17" ht="259.2" x14ac:dyDescent="0.3">
      <c r="A2371" s="16" t="s">
        <v>7665</v>
      </c>
      <c r="B2371" s="16" t="s">
        <v>7712</v>
      </c>
      <c r="C2371" s="16" t="s">
        <v>7674</v>
      </c>
      <c r="D2371" s="16" t="s">
        <v>7597</v>
      </c>
      <c r="E2371" s="16" t="s">
        <v>7041</v>
      </c>
      <c r="F2371" s="16" t="s">
        <v>7042</v>
      </c>
      <c r="G2371" s="16" t="s">
        <v>8846</v>
      </c>
      <c r="H2371" s="16"/>
      <c r="I2371" s="16"/>
      <c r="J2371" s="16"/>
      <c r="K2371" s="16"/>
      <c r="L2371" s="16" t="s">
        <v>8157</v>
      </c>
      <c r="M2371" s="19" t="s">
        <v>7043</v>
      </c>
      <c r="N2371" s="16"/>
      <c r="O2371" s="16" t="s">
        <v>7044</v>
      </c>
      <c r="P2371" s="16" t="str">
        <f>HYPERLINK("https://ceds.ed.gov/cedselementdetails.aspx?termid=27467")</f>
        <v>https://ceds.ed.gov/cedselementdetails.aspx?termid=27467</v>
      </c>
      <c r="Q2371" s="16">
        <v>73444</v>
      </c>
    </row>
    <row r="2372" spans="1:17" ht="115.2" x14ac:dyDescent="0.3">
      <c r="A2372" s="16" t="s">
        <v>7665</v>
      </c>
      <c r="B2372" s="16" t="s">
        <v>7712</v>
      </c>
      <c r="C2372" s="16" t="s">
        <v>7674</v>
      </c>
      <c r="D2372" s="16" t="s">
        <v>7597</v>
      </c>
      <c r="E2372" s="16" t="s">
        <v>7033</v>
      </c>
      <c r="F2372" s="16" t="s">
        <v>7034</v>
      </c>
      <c r="G2372" s="16" t="s">
        <v>22</v>
      </c>
      <c r="H2372" s="16"/>
      <c r="I2372" s="16"/>
      <c r="J2372" s="16"/>
      <c r="K2372" s="16"/>
      <c r="L2372" s="16" t="s">
        <v>8157</v>
      </c>
      <c r="M2372" s="19" t="s">
        <v>7035</v>
      </c>
      <c r="N2372" s="16"/>
      <c r="O2372" s="16" t="s">
        <v>7036</v>
      </c>
      <c r="P2372" s="16" t="str">
        <f>HYPERLINK("https://ceds.ed.gov/cedselementdetails.aspx?termid=27465")</f>
        <v>https://ceds.ed.gov/cedselementdetails.aspx?termid=27465</v>
      </c>
      <c r="Q2372" s="16">
        <v>73436</v>
      </c>
    </row>
    <row r="2373" spans="1:17" ht="115.2" x14ac:dyDescent="0.3">
      <c r="A2373" s="16" t="s">
        <v>7665</v>
      </c>
      <c r="B2373" s="16" t="s">
        <v>7712</v>
      </c>
      <c r="C2373" s="16" t="s">
        <v>7674</v>
      </c>
      <c r="D2373" s="16" t="s">
        <v>7597</v>
      </c>
      <c r="E2373" s="16" t="s">
        <v>7037</v>
      </c>
      <c r="F2373" s="16" t="s">
        <v>7038</v>
      </c>
      <c r="G2373" s="16" t="s">
        <v>8274</v>
      </c>
      <c r="H2373" s="16"/>
      <c r="I2373" s="16"/>
      <c r="J2373" s="16"/>
      <c r="K2373" s="16"/>
      <c r="L2373" s="16" t="s">
        <v>8157</v>
      </c>
      <c r="M2373" s="19" t="s">
        <v>7039</v>
      </c>
      <c r="N2373" s="16"/>
      <c r="O2373" s="16" t="s">
        <v>7040</v>
      </c>
      <c r="P2373" s="16" t="str">
        <f>HYPERLINK("https://ceds.ed.gov/cedselementdetails.aspx?termid=27466")</f>
        <v>https://ceds.ed.gov/cedselementdetails.aspx?termid=27466</v>
      </c>
      <c r="Q2373" s="16">
        <v>73439</v>
      </c>
    </row>
    <row r="2374" spans="1:17" ht="100.8" x14ac:dyDescent="0.3">
      <c r="A2374" s="16" t="s">
        <v>7665</v>
      </c>
      <c r="B2374" s="16" t="s">
        <v>7712</v>
      </c>
      <c r="C2374" s="16" t="s">
        <v>7640</v>
      </c>
      <c r="D2374" s="16" t="s">
        <v>7597</v>
      </c>
      <c r="E2374" s="16" t="s">
        <v>4849</v>
      </c>
      <c r="F2374" s="16" t="s">
        <v>13082</v>
      </c>
      <c r="G2374" s="16" t="s">
        <v>7313</v>
      </c>
      <c r="H2374" s="16" t="s">
        <v>4851</v>
      </c>
      <c r="I2374" s="16" t="s">
        <v>160</v>
      </c>
      <c r="J2374" s="16"/>
      <c r="K2374" s="16" t="s">
        <v>12946</v>
      </c>
      <c r="L2374" s="16"/>
      <c r="M2374" s="19" t="s">
        <v>4850</v>
      </c>
      <c r="N2374" s="16"/>
      <c r="O2374" s="16"/>
      <c r="P2374" s="16" t="str">
        <f>HYPERLINK("https://ceds.ed.gov/cedselementdetails.aspx?termid=26317")</f>
        <v>https://ceds.ed.gov/cedselementdetails.aspx?termid=26317</v>
      </c>
      <c r="Q2374" s="16">
        <v>75327</v>
      </c>
    </row>
    <row r="2375" spans="1:17" ht="129.6" x14ac:dyDescent="0.3">
      <c r="A2375" s="16" t="s">
        <v>7665</v>
      </c>
      <c r="B2375" s="16" t="s">
        <v>7712</v>
      </c>
      <c r="C2375" s="16" t="s">
        <v>7640</v>
      </c>
      <c r="D2375" s="16" t="s">
        <v>7597</v>
      </c>
      <c r="E2375" s="16" t="s">
        <v>4852</v>
      </c>
      <c r="F2375" s="16" t="s">
        <v>13083</v>
      </c>
      <c r="G2375" s="16" t="s">
        <v>7313</v>
      </c>
      <c r="H2375" s="16"/>
      <c r="I2375" s="16" t="s">
        <v>160</v>
      </c>
      <c r="J2375" s="16"/>
      <c r="K2375" s="16" t="s">
        <v>12947</v>
      </c>
      <c r="L2375" s="16" t="s">
        <v>13084</v>
      </c>
      <c r="M2375" s="19" t="s">
        <v>4853</v>
      </c>
      <c r="N2375" s="16"/>
      <c r="O2375" s="16"/>
      <c r="P2375" s="16" t="str">
        <f>HYPERLINK("https://ceds.ed.gov/cedselementdetails.aspx?termid=27618")</f>
        <v>https://ceds.ed.gov/cedselementdetails.aspx?termid=27618</v>
      </c>
      <c r="Q2375" s="16">
        <v>75328</v>
      </c>
    </row>
    <row r="2376" spans="1:17" ht="409.6" x14ac:dyDescent="0.3">
      <c r="A2376" s="16" t="s">
        <v>7665</v>
      </c>
      <c r="B2376" s="16" t="s">
        <v>7712</v>
      </c>
      <c r="C2376" s="16" t="s">
        <v>7640</v>
      </c>
      <c r="D2376" s="16" t="s">
        <v>7597</v>
      </c>
      <c r="E2376" s="16" t="s">
        <v>4854</v>
      </c>
      <c r="F2376" s="16" t="s">
        <v>13085</v>
      </c>
      <c r="G2376" s="16" t="s">
        <v>8683</v>
      </c>
      <c r="H2376" s="16"/>
      <c r="I2376" s="16" t="s">
        <v>160</v>
      </c>
      <c r="J2376" s="16"/>
      <c r="K2376" s="16" t="s">
        <v>12948</v>
      </c>
      <c r="L2376" s="16" t="s">
        <v>13086</v>
      </c>
      <c r="M2376" s="19" t="s">
        <v>4855</v>
      </c>
      <c r="N2376" s="16"/>
      <c r="O2376" s="16"/>
      <c r="P2376" s="16" t="str">
        <f>HYPERLINK("https://ceds.ed.gov/cedselementdetails.aspx?termid=27619")</f>
        <v>https://ceds.ed.gov/cedselementdetails.aspx?termid=27619</v>
      </c>
      <c r="Q2376" s="16">
        <v>75329</v>
      </c>
    </row>
    <row r="2377" spans="1:17" ht="43.2" x14ac:dyDescent="0.3">
      <c r="A2377" s="16" t="s">
        <v>7665</v>
      </c>
      <c r="B2377" s="16" t="s">
        <v>7712</v>
      </c>
      <c r="C2377" s="16" t="s">
        <v>7640</v>
      </c>
      <c r="D2377" s="16" t="s">
        <v>7597</v>
      </c>
      <c r="E2377" s="16" t="s">
        <v>4886</v>
      </c>
      <c r="F2377" s="16" t="s">
        <v>4887</v>
      </c>
      <c r="G2377" s="16" t="s">
        <v>13005</v>
      </c>
      <c r="H2377" s="16"/>
      <c r="I2377" s="16"/>
      <c r="J2377" s="16"/>
      <c r="K2377" s="16"/>
      <c r="L2377" s="16"/>
      <c r="M2377" s="19"/>
      <c r="N2377" s="16"/>
      <c r="O2377" s="16"/>
      <c r="P2377" s="16"/>
      <c r="Q2377" s="16"/>
    </row>
    <row r="2378" spans="1:17" x14ac:dyDescent="0.3">
      <c r="A2378" s="16"/>
      <c r="B2378" s="16"/>
      <c r="C2378" s="16"/>
      <c r="D2378" s="16"/>
      <c r="E2378" s="16"/>
      <c r="F2378" s="16"/>
      <c r="G2378" s="16"/>
      <c r="H2378" s="16"/>
      <c r="I2378" s="16"/>
      <c r="J2378" s="16"/>
      <c r="K2378" s="16"/>
      <c r="L2378" s="16"/>
      <c r="M2378" s="19"/>
      <c r="N2378" s="16"/>
      <c r="O2378" s="16"/>
      <c r="P2378" s="16"/>
      <c r="Q2378" s="16"/>
    </row>
    <row r="2379" spans="1:17" ht="144" x14ac:dyDescent="0.3">
      <c r="A2379" s="16"/>
      <c r="B2379" s="16" t="s">
        <v>13051</v>
      </c>
      <c r="C2379" s="16" t="s">
        <v>4851</v>
      </c>
      <c r="D2379" s="16"/>
      <c r="E2379" s="16"/>
      <c r="F2379" s="16"/>
      <c r="G2379" s="16"/>
      <c r="H2379" s="16">
        <v>316</v>
      </c>
      <c r="I2379" s="16"/>
      <c r="J2379" s="16" t="s">
        <v>4888</v>
      </c>
      <c r="K2379" s="16" t="str">
        <f>HYPERLINK("https://ceds.ed.gov/cedselementdetails.aspx?termid=26316")</f>
        <v>https://ceds.ed.gov/cedselementdetails.aspx?termid=26316</v>
      </c>
      <c r="L2379" s="16">
        <v>75330</v>
      </c>
      <c r="M2379" s="19"/>
      <c r="N2379" s="16"/>
      <c r="O2379" s="16"/>
      <c r="P2379" s="16"/>
      <c r="Q2379" s="16"/>
    </row>
    <row r="2380" spans="1:17" ht="409.6" x14ac:dyDescent="0.3">
      <c r="A2380" s="16" t="s">
        <v>7665</v>
      </c>
      <c r="B2380" s="16" t="s">
        <v>7712</v>
      </c>
      <c r="C2380" s="16" t="s">
        <v>7652</v>
      </c>
      <c r="D2380" s="16" t="s">
        <v>7597</v>
      </c>
      <c r="E2380" s="16" t="s">
        <v>5751</v>
      </c>
      <c r="F2380" s="16" t="s">
        <v>5752</v>
      </c>
      <c r="G2380" s="16" t="s">
        <v>8753</v>
      </c>
      <c r="H2380" s="16" t="s">
        <v>1516</v>
      </c>
      <c r="I2380" s="16"/>
      <c r="J2380" s="16"/>
      <c r="K2380" s="16"/>
      <c r="L2380" s="16" t="s">
        <v>5753</v>
      </c>
      <c r="M2380" s="19" t="s">
        <v>5754</v>
      </c>
      <c r="N2380" s="16"/>
      <c r="O2380" s="16" t="s">
        <v>5755</v>
      </c>
      <c r="P2380" s="16" t="str">
        <f>HYPERLINK("https://ceds.ed.gov/cedselementdetails.aspx?termid=26415")</f>
        <v>https://ceds.ed.gov/cedselementdetails.aspx?termid=26415</v>
      </c>
      <c r="Q2380" s="16">
        <v>75337</v>
      </c>
    </row>
    <row r="2381" spans="1:17" ht="57.6" x14ac:dyDescent="0.3">
      <c r="A2381" s="16" t="s">
        <v>7665</v>
      </c>
      <c r="B2381" s="16" t="s">
        <v>7712</v>
      </c>
      <c r="C2381" s="16" t="s">
        <v>4</v>
      </c>
      <c r="D2381" s="16" t="s">
        <v>7597</v>
      </c>
      <c r="E2381" s="16" t="s">
        <v>6162</v>
      </c>
      <c r="F2381" s="16" t="s">
        <v>6163</v>
      </c>
      <c r="G2381" s="16" t="s">
        <v>22</v>
      </c>
      <c r="H2381" s="16"/>
      <c r="I2381" s="16"/>
      <c r="J2381" s="16"/>
      <c r="K2381" s="16"/>
      <c r="L2381" s="16"/>
      <c r="M2381" s="19" t="s">
        <v>6164</v>
      </c>
      <c r="N2381" s="16"/>
      <c r="O2381" s="16" t="s">
        <v>6165</v>
      </c>
      <c r="P2381" s="16" t="str">
        <f>HYPERLINK("https://ceds.ed.gov/cedselementdetails.aspx?termid=26760")</f>
        <v>https://ceds.ed.gov/cedselementdetails.aspx?termid=26760</v>
      </c>
      <c r="Q2381" s="16">
        <v>75338</v>
      </c>
    </row>
    <row r="2382" spans="1:17" ht="72" x14ac:dyDescent="0.3">
      <c r="A2382" s="16" t="s">
        <v>7665</v>
      </c>
      <c r="B2382" s="16" t="s">
        <v>7712</v>
      </c>
      <c r="C2382" s="16" t="s">
        <v>9412</v>
      </c>
      <c r="D2382" s="16" t="s">
        <v>7597</v>
      </c>
      <c r="E2382" s="16" t="s">
        <v>9312</v>
      </c>
      <c r="F2382" s="16" t="s">
        <v>9313</v>
      </c>
      <c r="G2382" s="16" t="s">
        <v>9325</v>
      </c>
      <c r="H2382" s="16"/>
      <c r="I2382" s="16"/>
      <c r="J2382" s="16"/>
      <c r="K2382" s="16"/>
      <c r="L2382" s="16"/>
      <c r="M2382" s="19" t="s">
        <v>5394</v>
      </c>
      <c r="N2382" s="16"/>
      <c r="O2382" s="16" t="s">
        <v>9314</v>
      </c>
      <c r="P2382" s="16" t="str">
        <f>HYPERLINK("https://ceds.ed.gov/cedselementdetails.aspx?termid=27556")</f>
        <v>https://ceds.ed.gov/cedselementdetails.aspx?termid=27556</v>
      </c>
      <c r="Q2382" s="16">
        <v>76169</v>
      </c>
    </row>
    <row r="2383" spans="1:17" ht="144" x14ac:dyDescent="0.3">
      <c r="A2383" s="16" t="s">
        <v>7665</v>
      </c>
      <c r="B2383" s="16" t="s">
        <v>7712</v>
      </c>
      <c r="C2383" s="16" t="s">
        <v>9412</v>
      </c>
      <c r="D2383" s="16" t="s">
        <v>7597</v>
      </c>
      <c r="E2383" s="16" t="s">
        <v>9087</v>
      </c>
      <c r="F2383" s="16" t="s">
        <v>9088</v>
      </c>
      <c r="G2383" s="16" t="s">
        <v>9298</v>
      </c>
      <c r="H2383" s="16"/>
      <c r="I2383" s="16"/>
      <c r="J2383" s="16" t="s">
        <v>2</v>
      </c>
      <c r="K2383" s="16"/>
      <c r="L2383" s="16" t="s">
        <v>9089</v>
      </c>
      <c r="M2383" s="19" t="s">
        <v>9090</v>
      </c>
      <c r="N2383" s="16"/>
      <c r="O2383" s="16" t="s">
        <v>9091</v>
      </c>
      <c r="P2383" s="16" t="str">
        <f>HYPERLINK("https://ceds.ed.gov/cedselementdetails.aspx?termid=28047")</f>
        <v>https://ceds.ed.gov/cedselementdetails.aspx?termid=28047</v>
      </c>
      <c r="Q2383" s="16">
        <v>76170</v>
      </c>
    </row>
    <row r="2384" spans="1:17" ht="409.6" x14ac:dyDescent="0.3">
      <c r="A2384" s="16" t="s">
        <v>7665</v>
      </c>
      <c r="B2384" s="16" t="s">
        <v>7712</v>
      </c>
      <c r="C2384" s="16" t="s">
        <v>9412</v>
      </c>
      <c r="D2384" s="16" t="s">
        <v>7597</v>
      </c>
      <c r="E2384" s="16" t="s">
        <v>9092</v>
      </c>
      <c r="F2384" s="16" t="s">
        <v>9093</v>
      </c>
      <c r="G2384" s="16" t="s">
        <v>9299</v>
      </c>
      <c r="H2384" s="16"/>
      <c r="I2384" s="16"/>
      <c r="J2384" s="16" t="s">
        <v>2</v>
      </c>
      <c r="K2384" s="16"/>
      <c r="L2384" s="16" t="s">
        <v>9094</v>
      </c>
      <c r="M2384" s="19" t="s">
        <v>9095</v>
      </c>
      <c r="N2384" s="16"/>
      <c r="O2384" s="16" t="s">
        <v>9096</v>
      </c>
      <c r="P2384" s="16" t="str">
        <f>HYPERLINK("https://ceds.ed.gov/cedselementdetails.aspx?termid=28048")</f>
        <v>https://ceds.ed.gov/cedselementdetails.aspx?termid=28048</v>
      </c>
      <c r="Q2384" s="16">
        <v>76171</v>
      </c>
    </row>
    <row r="2385" spans="1:17" ht="100.8" x14ac:dyDescent="0.3">
      <c r="A2385" s="16" t="s">
        <v>7665</v>
      </c>
      <c r="B2385" s="16" t="s">
        <v>7712</v>
      </c>
      <c r="C2385" s="16" t="s">
        <v>9412</v>
      </c>
      <c r="D2385" s="16" t="s">
        <v>7597</v>
      </c>
      <c r="E2385" s="16" t="s">
        <v>9097</v>
      </c>
      <c r="F2385" s="16" t="s">
        <v>9098</v>
      </c>
      <c r="G2385" s="16" t="s">
        <v>32</v>
      </c>
      <c r="H2385" s="16"/>
      <c r="I2385" s="16"/>
      <c r="J2385" s="16" t="s">
        <v>120</v>
      </c>
      <c r="K2385" s="16"/>
      <c r="L2385" s="16" t="s">
        <v>9089</v>
      </c>
      <c r="M2385" s="19" t="s">
        <v>9099</v>
      </c>
      <c r="N2385" s="16"/>
      <c r="O2385" s="16" t="s">
        <v>9100</v>
      </c>
      <c r="P2385" s="16" t="str">
        <f>HYPERLINK("https://ceds.ed.gov/cedselementdetails.aspx?termid=28049")</f>
        <v>https://ceds.ed.gov/cedselementdetails.aspx?termid=28049</v>
      </c>
      <c r="Q2385" s="16">
        <v>76172</v>
      </c>
    </row>
    <row r="2386" spans="1:17" ht="100.8" x14ac:dyDescent="0.3">
      <c r="A2386" s="16" t="s">
        <v>7665</v>
      </c>
      <c r="B2386" s="16" t="s">
        <v>7712</v>
      </c>
      <c r="C2386" s="16" t="s">
        <v>9412</v>
      </c>
      <c r="D2386" s="16" t="s">
        <v>7597</v>
      </c>
      <c r="E2386" s="16" t="s">
        <v>9101</v>
      </c>
      <c r="F2386" s="16" t="s">
        <v>9102</v>
      </c>
      <c r="G2386" s="16" t="s">
        <v>32</v>
      </c>
      <c r="H2386" s="16"/>
      <c r="I2386" s="16"/>
      <c r="J2386" s="16" t="s">
        <v>9103</v>
      </c>
      <c r="K2386" s="16"/>
      <c r="L2386" s="16" t="s">
        <v>9089</v>
      </c>
      <c r="M2386" s="19" t="s">
        <v>9104</v>
      </c>
      <c r="N2386" s="16"/>
      <c r="O2386" s="16" t="s">
        <v>9105</v>
      </c>
      <c r="P2386" s="16" t="str">
        <f>HYPERLINK("https://ceds.ed.gov/cedselementdetails.aspx?termid=28050")</f>
        <v>https://ceds.ed.gov/cedselementdetails.aspx?termid=28050</v>
      </c>
      <c r="Q2386" s="16">
        <v>76173</v>
      </c>
    </row>
    <row r="2387" spans="1:17" ht="100.8" x14ac:dyDescent="0.3">
      <c r="A2387" s="16" t="s">
        <v>7665</v>
      </c>
      <c r="B2387" s="16" t="s">
        <v>7712</v>
      </c>
      <c r="C2387" s="16" t="s">
        <v>9412</v>
      </c>
      <c r="D2387" s="16" t="s">
        <v>7597</v>
      </c>
      <c r="E2387" s="16" t="s">
        <v>9106</v>
      </c>
      <c r="F2387" s="16" t="s">
        <v>9107</v>
      </c>
      <c r="G2387" s="16" t="s">
        <v>32</v>
      </c>
      <c r="H2387" s="16"/>
      <c r="I2387" s="16"/>
      <c r="J2387" s="16" t="s">
        <v>9108</v>
      </c>
      <c r="K2387" s="16"/>
      <c r="L2387" s="16" t="s">
        <v>9089</v>
      </c>
      <c r="M2387" s="19" t="s">
        <v>9109</v>
      </c>
      <c r="N2387" s="16"/>
      <c r="O2387" s="16" t="s">
        <v>9110</v>
      </c>
      <c r="P2387" s="16" t="str">
        <f>HYPERLINK("https://ceds.ed.gov/cedselementdetails.aspx?termid=28051")</f>
        <v>https://ceds.ed.gov/cedselementdetails.aspx?termid=28051</v>
      </c>
      <c r="Q2387" s="16">
        <v>76174</v>
      </c>
    </row>
    <row r="2388" spans="1:17" ht="100.8" x14ac:dyDescent="0.3">
      <c r="A2388" s="16" t="s">
        <v>7665</v>
      </c>
      <c r="B2388" s="16" t="s">
        <v>7712</v>
      </c>
      <c r="C2388" s="16" t="s">
        <v>9412</v>
      </c>
      <c r="D2388" s="16" t="s">
        <v>7597</v>
      </c>
      <c r="E2388" s="16" t="s">
        <v>9111</v>
      </c>
      <c r="F2388" s="16" t="s">
        <v>9112</v>
      </c>
      <c r="G2388" s="16" t="s">
        <v>32</v>
      </c>
      <c r="H2388" s="16"/>
      <c r="I2388" s="16"/>
      <c r="J2388" s="16" t="s">
        <v>9103</v>
      </c>
      <c r="K2388" s="16"/>
      <c r="L2388" s="16" t="s">
        <v>9089</v>
      </c>
      <c r="M2388" s="19" t="s">
        <v>9113</v>
      </c>
      <c r="N2388" s="16"/>
      <c r="O2388" s="16" t="s">
        <v>9114</v>
      </c>
      <c r="P2388" s="16" t="str">
        <f>HYPERLINK("https://ceds.ed.gov/cedselementdetails.aspx?termid=28052")</f>
        <v>https://ceds.ed.gov/cedselementdetails.aspx?termid=28052</v>
      </c>
      <c r="Q2388" s="16">
        <v>76175</v>
      </c>
    </row>
    <row r="2389" spans="1:17" ht="100.8" x14ac:dyDescent="0.3">
      <c r="A2389" s="16" t="s">
        <v>7665</v>
      </c>
      <c r="B2389" s="16" t="s">
        <v>7712</v>
      </c>
      <c r="C2389" s="16" t="s">
        <v>9412</v>
      </c>
      <c r="D2389" s="16" t="s">
        <v>7597</v>
      </c>
      <c r="E2389" s="16" t="s">
        <v>9115</v>
      </c>
      <c r="F2389" s="16" t="s">
        <v>9116</v>
      </c>
      <c r="G2389" s="16" t="s">
        <v>32</v>
      </c>
      <c r="H2389" s="16"/>
      <c r="I2389" s="16"/>
      <c r="J2389" s="16" t="s">
        <v>34</v>
      </c>
      <c r="K2389" s="16"/>
      <c r="L2389" s="16" t="s">
        <v>9089</v>
      </c>
      <c r="M2389" s="19" t="s">
        <v>9117</v>
      </c>
      <c r="N2389" s="16"/>
      <c r="O2389" s="16" t="s">
        <v>9118</v>
      </c>
      <c r="P2389" s="16" t="str">
        <f>HYPERLINK("https://ceds.ed.gov/cedselementdetails.aspx?termid=28053")</f>
        <v>https://ceds.ed.gov/cedselementdetails.aspx?termid=28053</v>
      </c>
      <c r="Q2389" s="16">
        <v>76176</v>
      </c>
    </row>
    <row r="2390" spans="1:17" ht="100.8" x14ac:dyDescent="0.3">
      <c r="A2390" s="16" t="s">
        <v>7665</v>
      </c>
      <c r="B2390" s="16" t="s">
        <v>7712</v>
      </c>
      <c r="C2390" s="16" t="s">
        <v>9412</v>
      </c>
      <c r="D2390" s="16" t="s">
        <v>7597</v>
      </c>
      <c r="E2390" s="16" t="s">
        <v>9119</v>
      </c>
      <c r="F2390" s="16" t="s">
        <v>9120</v>
      </c>
      <c r="G2390" s="16" t="s">
        <v>32</v>
      </c>
      <c r="H2390" s="16"/>
      <c r="I2390" s="16"/>
      <c r="J2390" s="16" t="s">
        <v>9103</v>
      </c>
      <c r="K2390" s="16"/>
      <c r="L2390" s="16" t="s">
        <v>9089</v>
      </c>
      <c r="M2390" s="19" t="s">
        <v>9121</v>
      </c>
      <c r="N2390" s="16"/>
      <c r="O2390" s="16" t="s">
        <v>9122</v>
      </c>
      <c r="P2390" s="16" t="str">
        <f>HYPERLINK("https://ceds.ed.gov/cedselementdetails.aspx?termid=28054")</f>
        <v>https://ceds.ed.gov/cedselementdetails.aspx?termid=28054</v>
      </c>
      <c r="Q2390" s="16">
        <v>76177</v>
      </c>
    </row>
    <row r="2391" spans="1:17" ht="100.8" x14ac:dyDescent="0.3">
      <c r="A2391" s="16" t="s">
        <v>7665</v>
      </c>
      <c r="B2391" s="16" t="s">
        <v>7712</v>
      </c>
      <c r="C2391" s="16" t="s">
        <v>9412</v>
      </c>
      <c r="D2391" s="16" t="s">
        <v>7597</v>
      </c>
      <c r="E2391" s="16" t="s">
        <v>9123</v>
      </c>
      <c r="F2391" s="16" t="s">
        <v>9124</v>
      </c>
      <c r="G2391" s="16" t="s">
        <v>32</v>
      </c>
      <c r="H2391" s="16"/>
      <c r="I2391" s="16"/>
      <c r="J2391" s="16" t="s">
        <v>747</v>
      </c>
      <c r="K2391" s="16"/>
      <c r="L2391" s="16" t="s">
        <v>9089</v>
      </c>
      <c r="M2391" s="19" t="s">
        <v>9125</v>
      </c>
      <c r="N2391" s="16"/>
      <c r="O2391" s="16" t="s">
        <v>9126</v>
      </c>
      <c r="P2391" s="16" t="str">
        <f>HYPERLINK("https://ceds.ed.gov/cedselementdetails.aspx?termid=28055")</f>
        <v>https://ceds.ed.gov/cedselementdetails.aspx?termid=28055</v>
      </c>
      <c r="Q2391" s="16">
        <v>76178</v>
      </c>
    </row>
    <row r="2392" spans="1:17" ht="100.8" x14ac:dyDescent="0.3">
      <c r="A2392" s="16" t="s">
        <v>7665</v>
      </c>
      <c r="B2392" s="16" t="s">
        <v>7712</v>
      </c>
      <c r="C2392" s="16" t="s">
        <v>9412</v>
      </c>
      <c r="D2392" s="16" t="s">
        <v>7597</v>
      </c>
      <c r="E2392" s="16" t="s">
        <v>9127</v>
      </c>
      <c r="F2392" s="16" t="s">
        <v>9128</v>
      </c>
      <c r="G2392" s="16" t="s">
        <v>32</v>
      </c>
      <c r="H2392" s="16"/>
      <c r="I2392" s="16"/>
      <c r="J2392" s="16" t="s">
        <v>34</v>
      </c>
      <c r="K2392" s="16"/>
      <c r="L2392" s="16" t="s">
        <v>9089</v>
      </c>
      <c r="M2392" s="19" t="s">
        <v>9129</v>
      </c>
      <c r="N2392" s="16"/>
      <c r="O2392" s="16" t="s">
        <v>9130</v>
      </c>
      <c r="P2392" s="16" t="str">
        <f>HYPERLINK("https://ceds.ed.gov/cedselementdetails.aspx?termid=28056")</f>
        <v>https://ceds.ed.gov/cedselementdetails.aspx?termid=28056</v>
      </c>
      <c r="Q2392" s="16">
        <v>76179</v>
      </c>
    </row>
    <row r="2393" spans="1:17" ht="144" x14ac:dyDescent="0.3">
      <c r="A2393" s="16" t="s">
        <v>7665</v>
      </c>
      <c r="B2393" s="16" t="s">
        <v>7712</v>
      </c>
      <c r="C2393" s="16" t="s">
        <v>9412</v>
      </c>
      <c r="D2393" s="16" t="s">
        <v>7597</v>
      </c>
      <c r="E2393" s="16" t="s">
        <v>9131</v>
      </c>
      <c r="F2393" s="16" t="s">
        <v>9132</v>
      </c>
      <c r="G2393" s="16" t="s">
        <v>9300</v>
      </c>
      <c r="H2393" s="16"/>
      <c r="I2393" s="16"/>
      <c r="J2393" s="16" t="s">
        <v>2</v>
      </c>
      <c r="K2393" s="16"/>
      <c r="L2393" s="16" t="s">
        <v>9089</v>
      </c>
      <c r="M2393" s="19" t="s">
        <v>9133</v>
      </c>
      <c r="N2393" s="16"/>
      <c r="O2393" s="16" t="s">
        <v>9134</v>
      </c>
      <c r="P2393" s="16" t="str">
        <f>HYPERLINK("https://ceds.ed.gov/cedselementdetails.aspx?termid=28057")</f>
        <v>https://ceds.ed.gov/cedselementdetails.aspx?termid=28057</v>
      </c>
      <c r="Q2393" s="16">
        <v>76180</v>
      </c>
    </row>
    <row r="2394" spans="1:17" ht="158.4" x14ac:dyDescent="0.3">
      <c r="A2394" s="16" t="s">
        <v>7665</v>
      </c>
      <c r="B2394" s="16" t="s">
        <v>7712</v>
      </c>
      <c r="C2394" s="16" t="s">
        <v>9412</v>
      </c>
      <c r="D2394" s="16" t="s">
        <v>7597</v>
      </c>
      <c r="E2394" s="16" t="s">
        <v>9135</v>
      </c>
      <c r="F2394" s="16" t="s">
        <v>9136</v>
      </c>
      <c r="G2394" s="16" t="s">
        <v>9301</v>
      </c>
      <c r="H2394" s="16"/>
      <c r="I2394" s="16"/>
      <c r="J2394" s="16" t="s">
        <v>2</v>
      </c>
      <c r="K2394" s="16"/>
      <c r="L2394" s="16" t="s">
        <v>9089</v>
      </c>
      <c r="M2394" s="19" t="s">
        <v>9137</v>
      </c>
      <c r="N2394" s="16"/>
      <c r="O2394" s="16" t="s">
        <v>9138</v>
      </c>
      <c r="P2394" s="16" t="str">
        <f>HYPERLINK("https://ceds.ed.gov/cedselementdetails.aspx?termid=28058")</f>
        <v>https://ceds.ed.gov/cedselementdetails.aspx?termid=28058</v>
      </c>
      <c r="Q2394" s="16">
        <v>76181</v>
      </c>
    </row>
    <row r="2395" spans="1:17" ht="100.8" x14ac:dyDescent="0.3">
      <c r="A2395" s="16" t="s">
        <v>7665</v>
      </c>
      <c r="B2395" s="16" t="s">
        <v>7712</v>
      </c>
      <c r="C2395" s="16" t="s">
        <v>9412</v>
      </c>
      <c r="D2395" s="16" t="s">
        <v>7597</v>
      </c>
      <c r="E2395" s="16" t="s">
        <v>9139</v>
      </c>
      <c r="F2395" s="16" t="s">
        <v>9140</v>
      </c>
      <c r="G2395" s="16" t="s">
        <v>32</v>
      </c>
      <c r="H2395" s="16"/>
      <c r="I2395" s="16"/>
      <c r="J2395" s="16" t="s">
        <v>34</v>
      </c>
      <c r="K2395" s="16"/>
      <c r="L2395" s="16" t="s">
        <v>9089</v>
      </c>
      <c r="M2395" s="19" t="s">
        <v>9141</v>
      </c>
      <c r="N2395" s="16"/>
      <c r="O2395" s="16" t="s">
        <v>9142</v>
      </c>
      <c r="P2395" s="16" t="str">
        <f>HYPERLINK("https://ceds.ed.gov/cedselementdetails.aspx?termid=28059")</f>
        <v>https://ceds.ed.gov/cedselementdetails.aspx?termid=28059</v>
      </c>
      <c r="Q2395" s="16">
        <v>76182</v>
      </c>
    </row>
    <row r="2396" spans="1:17" ht="100.8" x14ac:dyDescent="0.3">
      <c r="A2396" s="16" t="s">
        <v>7665</v>
      </c>
      <c r="B2396" s="16" t="s">
        <v>7712</v>
      </c>
      <c r="C2396" s="16" t="s">
        <v>9412</v>
      </c>
      <c r="D2396" s="16" t="s">
        <v>7597</v>
      </c>
      <c r="E2396" s="16" t="s">
        <v>9143</v>
      </c>
      <c r="F2396" s="16" t="s">
        <v>9144</v>
      </c>
      <c r="G2396" s="16" t="s">
        <v>32</v>
      </c>
      <c r="H2396" s="16"/>
      <c r="I2396" s="16"/>
      <c r="J2396" s="16" t="s">
        <v>120</v>
      </c>
      <c r="K2396" s="16"/>
      <c r="L2396" s="16" t="s">
        <v>9089</v>
      </c>
      <c r="M2396" s="19" t="s">
        <v>9145</v>
      </c>
      <c r="N2396" s="16"/>
      <c r="O2396" s="16" t="s">
        <v>9146</v>
      </c>
      <c r="P2396" s="16" t="str">
        <f>HYPERLINK("https://ceds.ed.gov/cedselementdetails.aspx?termid=28060")</f>
        <v>https://ceds.ed.gov/cedselementdetails.aspx?termid=28060</v>
      </c>
      <c r="Q2396" s="16">
        <v>76183</v>
      </c>
    </row>
    <row r="2397" spans="1:17" ht="129.6" x14ac:dyDescent="0.3">
      <c r="A2397" s="16" t="s">
        <v>7665</v>
      </c>
      <c r="B2397" s="16" t="s">
        <v>7712</v>
      </c>
      <c r="C2397" s="16" t="s">
        <v>9412</v>
      </c>
      <c r="D2397" s="16" t="s">
        <v>7597</v>
      </c>
      <c r="E2397" s="16" t="s">
        <v>9147</v>
      </c>
      <c r="F2397" s="16" t="s">
        <v>9148</v>
      </c>
      <c r="G2397" s="16" t="s">
        <v>9302</v>
      </c>
      <c r="H2397" s="16"/>
      <c r="I2397" s="16"/>
      <c r="J2397" s="16" t="s">
        <v>2</v>
      </c>
      <c r="K2397" s="16"/>
      <c r="L2397" s="16" t="s">
        <v>9089</v>
      </c>
      <c r="M2397" s="19" t="s">
        <v>9149</v>
      </c>
      <c r="N2397" s="16"/>
      <c r="O2397" s="16" t="s">
        <v>9150</v>
      </c>
      <c r="P2397" s="16" t="str">
        <f>HYPERLINK("https://ceds.ed.gov/cedselementdetails.aspx?termid=28061")</f>
        <v>https://ceds.ed.gov/cedselementdetails.aspx?termid=28061</v>
      </c>
      <c r="Q2397" s="16">
        <v>76184</v>
      </c>
    </row>
    <row r="2398" spans="1:17" ht="115.2" x14ac:dyDescent="0.3">
      <c r="A2398" s="16" t="s">
        <v>7665</v>
      </c>
      <c r="B2398" s="16" t="s">
        <v>7712</v>
      </c>
      <c r="C2398" s="16" t="s">
        <v>9412</v>
      </c>
      <c r="D2398" s="16" t="s">
        <v>7597</v>
      </c>
      <c r="E2398" s="16" t="s">
        <v>9151</v>
      </c>
      <c r="F2398" s="16" t="s">
        <v>9152</v>
      </c>
      <c r="G2398" s="16" t="s">
        <v>9303</v>
      </c>
      <c r="H2398" s="16"/>
      <c r="I2398" s="16"/>
      <c r="J2398" s="16" t="s">
        <v>2</v>
      </c>
      <c r="K2398" s="16"/>
      <c r="L2398" s="16" t="s">
        <v>9089</v>
      </c>
      <c r="M2398" s="19" t="s">
        <v>9153</v>
      </c>
      <c r="N2398" s="16"/>
      <c r="O2398" s="16" t="s">
        <v>9154</v>
      </c>
      <c r="P2398" s="16" t="str">
        <f>HYPERLINK("https://ceds.ed.gov/cedselementdetails.aspx?termid=28062")</f>
        <v>https://ceds.ed.gov/cedselementdetails.aspx?termid=28062</v>
      </c>
      <c r="Q2398" s="16">
        <v>76185</v>
      </c>
    </row>
    <row r="2399" spans="1:17" ht="100.8" x14ac:dyDescent="0.3">
      <c r="A2399" s="16" t="s">
        <v>7665</v>
      </c>
      <c r="B2399" s="16" t="s">
        <v>7712</v>
      </c>
      <c r="C2399" s="16" t="s">
        <v>9412</v>
      </c>
      <c r="D2399" s="16" t="s">
        <v>7597</v>
      </c>
      <c r="E2399" s="16" t="s">
        <v>9155</v>
      </c>
      <c r="F2399" s="16" t="s">
        <v>9156</v>
      </c>
      <c r="G2399" s="16" t="s">
        <v>32</v>
      </c>
      <c r="H2399" s="16"/>
      <c r="I2399" s="16"/>
      <c r="J2399" s="16" t="s">
        <v>120</v>
      </c>
      <c r="K2399" s="16"/>
      <c r="L2399" s="16" t="s">
        <v>9089</v>
      </c>
      <c r="M2399" s="19" t="s">
        <v>9157</v>
      </c>
      <c r="N2399" s="16"/>
      <c r="O2399" s="16" t="s">
        <v>9158</v>
      </c>
      <c r="P2399" s="16" t="str">
        <f>HYPERLINK("https://ceds.ed.gov/cedselementdetails.aspx?termid=28063")</f>
        <v>https://ceds.ed.gov/cedselementdetails.aspx?termid=28063</v>
      </c>
      <c r="Q2399" s="16">
        <v>76186</v>
      </c>
    </row>
    <row r="2400" spans="1:17" ht="100.8" x14ac:dyDescent="0.3">
      <c r="A2400" s="16" t="s">
        <v>7665</v>
      </c>
      <c r="B2400" s="16" t="s">
        <v>7712</v>
      </c>
      <c r="C2400" s="16" t="s">
        <v>9412</v>
      </c>
      <c r="D2400" s="16" t="s">
        <v>7597</v>
      </c>
      <c r="E2400" s="16" t="s">
        <v>9159</v>
      </c>
      <c r="F2400" s="16" t="s">
        <v>9160</v>
      </c>
      <c r="G2400" s="16" t="s">
        <v>32</v>
      </c>
      <c r="H2400" s="16"/>
      <c r="I2400" s="16"/>
      <c r="J2400" s="16" t="s">
        <v>120</v>
      </c>
      <c r="K2400" s="16"/>
      <c r="L2400" s="16" t="s">
        <v>9089</v>
      </c>
      <c r="M2400" s="19" t="s">
        <v>9161</v>
      </c>
      <c r="N2400" s="16"/>
      <c r="O2400" s="16" t="s">
        <v>9162</v>
      </c>
      <c r="P2400" s="16" t="str">
        <f>HYPERLINK("https://ceds.ed.gov/cedselementdetails.aspx?termid=28064")</f>
        <v>https://ceds.ed.gov/cedselementdetails.aspx?termid=28064</v>
      </c>
      <c r="Q2400" s="16">
        <v>76187</v>
      </c>
    </row>
    <row r="2401" spans="1:17" ht="100.8" x14ac:dyDescent="0.3">
      <c r="A2401" s="16" t="s">
        <v>7665</v>
      </c>
      <c r="B2401" s="16" t="s">
        <v>7712</v>
      </c>
      <c r="C2401" s="16" t="s">
        <v>9412</v>
      </c>
      <c r="D2401" s="16" t="s">
        <v>7597</v>
      </c>
      <c r="E2401" s="16" t="s">
        <v>9163</v>
      </c>
      <c r="F2401" s="16" t="s">
        <v>9164</v>
      </c>
      <c r="G2401" s="16" t="s">
        <v>32</v>
      </c>
      <c r="H2401" s="16"/>
      <c r="I2401" s="16"/>
      <c r="J2401" s="16" t="s">
        <v>34</v>
      </c>
      <c r="K2401" s="16"/>
      <c r="L2401" s="16" t="s">
        <v>9089</v>
      </c>
      <c r="M2401" s="19" t="s">
        <v>9165</v>
      </c>
      <c r="N2401" s="16"/>
      <c r="O2401" s="16" t="s">
        <v>9166</v>
      </c>
      <c r="P2401" s="16" t="str">
        <f>HYPERLINK("https://ceds.ed.gov/cedselementdetails.aspx?termid=28065")</f>
        <v>https://ceds.ed.gov/cedselementdetails.aspx?termid=28065</v>
      </c>
      <c r="Q2401" s="16">
        <v>76188</v>
      </c>
    </row>
    <row r="2402" spans="1:17" ht="100.8" x14ac:dyDescent="0.3">
      <c r="A2402" s="16" t="s">
        <v>7665</v>
      </c>
      <c r="B2402" s="16" t="s">
        <v>7712</v>
      </c>
      <c r="C2402" s="16" t="s">
        <v>9412</v>
      </c>
      <c r="D2402" s="16" t="s">
        <v>7597</v>
      </c>
      <c r="E2402" s="16" t="s">
        <v>9167</v>
      </c>
      <c r="F2402" s="16" t="s">
        <v>9168</v>
      </c>
      <c r="G2402" s="16" t="s">
        <v>32</v>
      </c>
      <c r="H2402" s="16"/>
      <c r="I2402" s="16"/>
      <c r="J2402" s="16" t="s">
        <v>120</v>
      </c>
      <c r="K2402" s="16"/>
      <c r="L2402" s="16" t="s">
        <v>9089</v>
      </c>
      <c r="M2402" s="19" t="s">
        <v>9169</v>
      </c>
      <c r="N2402" s="16"/>
      <c r="O2402" s="16" t="s">
        <v>9170</v>
      </c>
      <c r="P2402" s="16" t="str">
        <f>HYPERLINK("https://ceds.ed.gov/cedselementdetails.aspx?termid=28066")</f>
        <v>https://ceds.ed.gov/cedselementdetails.aspx?termid=28066</v>
      </c>
      <c r="Q2402" s="16">
        <v>76189</v>
      </c>
    </row>
    <row r="2403" spans="1:17" ht="259.2" x14ac:dyDescent="0.3">
      <c r="A2403" s="16" t="s">
        <v>7665</v>
      </c>
      <c r="B2403" s="16" t="s">
        <v>7712</v>
      </c>
      <c r="C2403" s="16" t="s">
        <v>9412</v>
      </c>
      <c r="D2403" s="16" t="s">
        <v>7597</v>
      </c>
      <c r="E2403" s="16" t="s">
        <v>9171</v>
      </c>
      <c r="F2403" s="16" t="s">
        <v>9172</v>
      </c>
      <c r="G2403" s="16" t="s">
        <v>32</v>
      </c>
      <c r="H2403" s="16"/>
      <c r="I2403" s="16"/>
      <c r="J2403" s="16" t="s">
        <v>9103</v>
      </c>
      <c r="K2403" s="16"/>
      <c r="L2403" s="16" t="s">
        <v>9173</v>
      </c>
      <c r="M2403" s="19" t="s">
        <v>9174</v>
      </c>
      <c r="N2403" s="16"/>
      <c r="O2403" s="16" t="s">
        <v>9175</v>
      </c>
      <c r="P2403" s="16" t="str">
        <f>HYPERLINK("https://ceds.ed.gov/cedselementdetails.aspx?termid=28067")</f>
        <v>https://ceds.ed.gov/cedselementdetails.aspx?termid=28067</v>
      </c>
      <c r="Q2403" s="16">
        <v>76190</v>
      </c>
    </row>
    <row r="2404" spans="1:17" ht="100.8" x14ac:dyDescent="0.3">
      <c r="A2404" s="16" t="s">
        <v>7665</v>
      </c>
      <c r="B2404" s="16" t="s">
        <v>7712</v>
      </c>
      <c r="C2404" s="16" t="s">
        <v>9412</v>
      </c>
      <c r="D2404" s="16" t="s">
        <v>7597</v>
      </c>
      <c r="E2404" s="16" t="s">
        <v>9176</v>
      </c>
      <c r="F2404" s="16" t="s">
        <v>9177</v>
      </c>
      <c r="G2404" s="16" t="s">
        <v>32</v>
      </c>
      <c r="H2404" s="16"/>
      <c r="I2404" s="16"/>
      <c r="J2404" s="16" t="s">
        <v>34</v>
      </c>
      <c r="K2404" s="16"/>
      <c r="L2404" s="16" t="s">
        <v>9089</v>
      </c>
      <c r="M2404" s="19" t="s">
        <v>9178</v>
      </c>
      <c r="N2404" s="16"/>
      <c r="O2404" s="16" t="s">
        <v>9179</v>
      </c>
      <c r="P2404" s="16" t="str">
        <f>HYPERLINK("https://ceds.ed.gov/cedselementdetails.aspx?termid=28068")</f>
        <v>https://ceds.ed.gov/cedselementdetails.aspx?termid=28068</v>
      </c>
      <c r="Q2404" s="16">
        <v>76191</v>
      </c>
    </row>
    <row r="2405" spans="1:17" ht="100.8" x14ac:dyDescent="0.3">
      <c r="A2405" s="16" t="s">
        <v>7665</v>
      </c>
      <c r="B2405" s="16" t="s">
        <v>7712</v>
      </c>
      <c r="C2405" s="16" t="s">
        <v>9412</v>
      </c>
      <c r="D2405" s="16" t="s">
        <v>7597</v>
      </c>
      <c r="E2405" s="16" t="s">
        <v>9180</v>
      </c>
      <c r="F2405" s="16" t="s">
        <v>9181</v>
      </c>
      <c r="G2405" s="16" t="s">
        <v>32</v>
      </c>
      <c r="H2405" s="16"/>
      <c r="I2405" s="16"/>
      <c r="J2405" s="16" t="s">
        <v>316</v>
      </c>
      <c r="K2405" s="16"/>
      <c r="L2405" s="16" t="s">
        <v>9089</v>
      </c>
      <c r="M2405" s="19" t="s">
        <v>9182</v>
      </c>
      <c r="N2405" s="16"/>
      <c r="O2405" s="16" t="s">
        <v>9183</v>
      </c>
      <c r="P2405" s="16" t="str">
        <f>HYPERLINK("https://ceds.ed.gov/cedselementdetails.aspx?termid=28069")</f>
        <v>https://ceds.ed.gov/cedselementdetails.aspx?termid=28069</v>
      </c>
      <c r="Q2405" s="16">
        <v>76192</v>
      </c>
    </row>
    <row r="2406" spans="1:17" ht="100.8" x14ac:dyDescent="0.3">
      <c r="A2406" s="16" t="s">
        <v>7665</v>
      </c>
      <c r="B2406" s="16" t="s">
        <v>7712</v>
      </c>
      <c r="C2406" s="16" t="s">
        <v>9412</v>
      </c>
      <c r="D2406" s="16" t="s">
        <v>7597</v>
      </c>
      <c r="E2406" s="16" t="s">
        <v>9184</v>
      </c>
      <c r="F2406" s="16" t="s">
        <v>9185</v>
      </c>
      <c r="G2406" s="16" t="s">
        <v>32</v>
      </c>
      <c r="H2406" s="16"/>
      <c r="I2406" s="16"/>
      <c r="J2406" s="16" t="s">
        <v>120</v>
      </c>
      <c r="K2406" s="16"/>
      <c r="L2406" s="16" t="s">
        <v>9186</v>
      </c>
      <c r="M2406" s="19" t="s">
        <v>9187</v>
      </c>
      <c r="N2406" s="16"/>
      <c r="O2406" s="16" t="s">
        <v>9188</v>
      </c>
      <c r="P2406" s="16" t="str">
        <f>HYPERLINK("https://ceds.ed.gov/cedselementdetails.aspx?termid=28070")</f>
        <v>https://ceds.ed.gov/cedselementdetails.aspx?termid=28070</v>
      </c>
      <c r="Q2406" s="16">
        <v>76193</v>
      </c>
    </row>
    <row r="2407" spans="1:17" ht="57.6" x14ac:dyDescent="0.3">
      <c r="A2407" s="16" t="s">
        <v>7665</v>
      </c>
      <c r="B2407" s="16" t="s">
        <v>7712</v>
      </c>
      <c r="C2407" s="16" t="s">
        <v>9412</v>
      </c>
      <c r="D2407" s="16" t="s">
        <v>7597</v>
      </c>
      <c r="E2407" s="16" t="s">
        <v>9320</v>
      </c>
      <c r="F2407" s="16" t="s">
        <v>9321</v>
      </c>
      <c r="G2407" s="16" t="s">
        <v>8730</v>
      </c>
      <c r="H2407" s="16"/>
      <c r="I2407" s="16"/>
      <c r="J2407" s="16"/>
      <c r="K2407" s="16"/>
      <c r="L2407" s="16"/>
      <c r="M2407" s="19" t="s">
        <v>5406</v>
      </c>
      <c r="N2407" s="16"/>
      <c r="O2407" s="16" t="s">
        <v>9322</v>
      </c>
      <c r="P2407" s="16" t="str">
        <f>HYPERLINK("https://ceds.ed.gov/cedselementdetails.aspx?termid=27557")</f>
        <v>https://ceds.ed.gov/cedselementdetails.aspx?termid=27557</v>
      </c>
      <c r="Q2407" s="16">
        <v>76194</v>
      </c>
    </row>
    <row r="2408" spans="1:17" ht="100.8" x14ac:dyDescent="0.3">
      <c r="A2408" s="16" t="s">
        <v>7665</v>
      </c>
      <c r="B2408" s="16" t="s">
        <v>7712</v>
      </c>
      <c r="C2408" s="16" t="s">
        <v>9412</v>
      </c>
      <c r="D2408" s="16" t="s">
        <v>7597</v>
      </c>
      <c r="E2408" s="16" t="s">
        <v>9193</v>
      </c>
      <c r="F2408" s="16" t="s">
        <v>9194</v>
      </c>
      <c r="G2408" s="16" t="s">
        <v>2987</v>
      </c>
      <c r="H2408" s="16"/>
      <c r="I2408" s="16"/>
      <c r="J2408" s="16" t="s">
        <v>2</v>
      </c>
      <c r="K2408" s="16"/>
      <c r="L2408" s="16" t="s">
        <v>9089</v>
      </c>
      <c r="M2408" s="19" t="s">
        <v>9195</v>
      </c>
      <c r="N2408" s="16"/>
      <c r="O2408" s="16" t="s">
        <v>9196</v>
      </c>
      <c r="P2408" s="16" t="str">
        <f>HYPERLINK("https://ceds.ed.gov/cedselementdetails.aspx?termid=28072")</f>
        <v>https://ceds.ed.gov/cedselementdetails.aspx?termid=28072</v>
      </c>
      <c r="Q2408" s="16">
        <v>76195</v>
      </c>
    </row>
    <row r="2409" spans="1:17" ht="115.2" x14ac:dyDescent="0.3">
      <c r="A2409" s="16" t="s">
        <v>7665</v>
      </c>
      <c r="B2409" s="16" t="s">
        <v>7714</v>
      </c>
      <c r="C2409" s="16" t="s">
        <v>9417</v>
      </c>
      <c r="D2409" s="16" t="s">
        <v>7597</v>
      </c>
      <c r="E2409" s="16" t="s">
        <v>586</v>
      </c>
      <c r="F2409" s="16" t="s">
        <v>587</v>
      </c>
      <c r="G2409" s="16" t="s">
        <v>8329</v>
      </c>
      <c r="H2409" s="16" t="s">
        <v>590</v>
      </c>
      <c r="I2409" s="16"/>
      <c r="J2409" s="16"/>
      <c r="K2409" s="16"/>
      <c r="L2409" s="16"/>
      <c r="M2409" s="19" t="s">
        <v>588</v>
      </c>
      <c r="N2409" s="16"/>
      <c r="O2409" s="16" t="s">
        <v>589</v>
      </c>
      <c r="P2409" s="16" t="str">
        <f>HYPERLINK("https://ceds.ed.gov/cedselementdetails.aspx?termid=26158")</f>
        <v>https://ceds.ed.gov/cedselementdetails.aspx?termid=26158</v>
      </c>
      <c r="Q2409" s="16">
        <v>76140</v>
      </c>
    </row>
    <row r="2410" spans="1:17" ht="172.8" x14ac:dyDescent="0.3">
      <c r="A2410" s="16" t="s">
        <v>7665</v>
      </c>
      <c r="B2410" s="16" t="s">
        <v>7714</v>
      </c>
      <c r="C2410" s="16"/>
      <c r="D2410" s="16" t="s">
        <v>7597</v>
      </c>
      <c r="E2410" s="16" t="s">
        <v>2584</v>
      </c>
      <c r="F2410" s="16" t="s">
        <v>2585</v>
      </c>
      <c r="G2410" s="16" t="s">
        <v>32</v>
      </c>
      <c r="H2410" s="16" t="s">
        <v>2588</v>
      </c>
      <c r="I2410" s="16"/>
      <c r="J2410" s="16" t="s">
        <v>120</v>
      </c>
      <c r="K2410" s="16"/>
      <c r="L2410" s="16" t="s">
        <v>7817</v>
      </c>
      <c r="M2410" s="19" t="s">
        <v>2586</v>
      </c>
      <c r="N2410" s="16"/>
      <c r="O2410" s="16" t="s">
        <v>2587</v>
      </c>
      <c r="P2410" s="16" t="str">
        <f>HYPERLINK("https://ceds.ed.gov/cedselementdetails.aspx?termid=26055")</f>
        <v>https://ceds.ed.gov/cedselementdetails.aspx?termid=26055</v>
      </c>
      <c r="Q2410" s="16">
        <v>71925</v>
      </c>
    </row>
    <row r="2411" spans="1:17" ht="172.8" x14ac:dyDescent="0.3">
      <c r="A2411" s="16" t="s">
        <v>7665</v>
      </c>
      <c r="B2411" s="16" t="s">
        <v>7714</v>
      </c>
      <c r="C2411" s="16" t="s">
        <v>9417</v>
      </c>
      <c r="D2411" s="16" t="s">
        <v>7597</v>
      </c>
      <c r="E2411" s="16" t="s">
        <v>591</v>
      </c>
      <c r="F2411" s="16" t="s">
        <v>7838</v>
      </c>
      <c r="G2411" s="16" t="s">
        <v>32</v>
      </c>
      <c r="H2411" s="16" t="s">
        <v>594</v>
      </c>
      <c r="I2411" s="16"/>
      <c r="J2411" s="16" t="s">
        <v>747</v>
      </c>
      <c r="K2411" s="16"/>
      <c r="L2411" s="16" t="s">
        <v>7817</v>
      </c>
      <c r="M2411" s="19" t="s">
        <v>592</v>
      </c>
      <c r="N2411" s="16"/>
      <c r="O2411" s="16" t="s">
        <v>593</v>
      </c>
      <c r="P2411" s="16" t="str">
        <f>HYPERLINK("https://ceds.ed.gov/cedselementdetails.aspx?termid=26152")</f>
        <v>https://ceds.ed.gov/cedselementdetails.aspx?termid=26152</v>
      </c>
      <c r="Q2411" s="16">
        <v>76141</v>
      </c>
    </row>
    <row r="2412" spans="1:17" ht="144" x14ac:dyDescent="0.3">
      <c r="A2412" s="16" t="s">
        <v>7665</v>
      </c>
      <c r="B2412" s="16" t="s">
        <v>7714</v>
      </c>
      <c r="C2412" s="16"/>
      <c r="D2412" s="16" t="s">
        <v>7597</v>
      </c>
      <c r="E2412" s="16" t="s">
        <v>2536</v>
      </c>
      <c r="F2412" s="16" t="s">
        <v>2537</v>
      </c>
      <c r="G2412" s="16" t="s">
        <v>8217</v>
      </c>
      <c r="H2412" s="16" t="s">
        <v>1484</v>
      </c>
      <c r="I2412" s="16"/>
      <c r="J2412" s="16"/>
      <c r="K2412" s="16"/>
      <c r="L2412" s="16"/>
      <c r="M2412" s="19" t="s">
        <v>2538</v>
      </c>
      <c r="N2412" s="16"/>
      <c r="O2412" s="16" t="s">
        <v>2539</v>
      </c>
      <c r="P2412" s="16" t="str">
        <f>HYPERLINK("https://ceds.ed.gov/cedselementdetails.aspx?termid=26056")</f>
        <v>https://ceds.ed.gov/cedselementdetails.aspx?termid=26056</v>
      </c>
      <c r="Q2412" s="16">
        <v>71926</v>
      </c>
    </row>
    <row r="2413" spans="1:17" ht="100.8" x14ac:dyDescent="0.3">
      <c r="A2413" s="16" t="s">
        <v>7665</v>
      </c>
      <c r="B2413" s="16" t="s">
        <v>7714</v>
      </c>
      <c r="C2413" s="16"/>
      <c r="D2413" s="16" t="s">
        <v>7597</v>
      </c>
      <c r="E2413" s="16" t="s">
        <v>2700</v>
      </c>
      <c r="F2413" s="16"/>
      <c r="G2413" s="16" t="s">
        <v>32</v>
      </c>
      <c r="H2413" s="16" t="s">
        <v>1484</v>
      </c>
      <c r="I2413" s="16" t="s">
        <v>160</v>
      </c>
      <c r="J2413" s="16" t="s">
        <v>13077</v>
      </c>
      <c r="K2413" s="16" t="s">
        <v>12939</v>
      </c>
      <c r="L2413" s="16"/>
      <c r="M2413" s="19" t="s">
        <v>2701</v>
      </c>
      <c r="N2413" s="16"/>
      <c r="O2413" s="16"/>
      <c r="P2413" s="16" t="str">
        <f>HYPERLINK("https://ceds.ed.gov/cedselementdetails.aspx?termid=26067")</f>
        <v>https://ceds.ed.gov/cedselementdetails.aspx?termid=26067</v>
      </c>
      <c r="Q2413" s="16">
        <v>71929</v>
      </c>
    </row>
    <row r="2414" spans="1:17" ht="43.2" x14ac:dyDescent="0.3">
      <c r="A2414" s="16" t="s">
        <v>7665</v>
      </c>
      <c r="B2414" s="16" t="s">
        <v>7714</v>
      </c>
      <c r="C2414" s="16"/>
      <c r="D2414" s="16" t="s">
        <v>7597</v>
      </c>
      <c r="E2414" s="16" t="s">
        <v>2556</v>
      </c>
      <c r="F2414" s="16" t="s">
        <v>2557</v>
      </c>
      <c r="G2414" s="16" t="s">
        <v>32</v>
      </c>
      <c r="H2414" s="16"/>
      <c r="I2414" s="16"/>
      <c r="J2414" s="16" t="s">
        <v>9316</v>
      </c>
      <c r="K2414" s="16"/>
      <c r="L2414" s="16"/>
      <c r="M2414" s="19" t="s">
        <v>2558</v>
      </c>
      <c r="N2414" s="16"/>
      <c r="O2414" s="16" t="s">
        <v>2559</v>
      </c>
      <c r="P2414" s="16" t="str">
        <f>HYPERLINK("https://ceds.ed.gov/cedselementdetails.aspx?termid=26508")</f>
        <v>https://ceds.ed.gov/cedselementdetails.aspx?termid=26508</v>
      </c>
      <c r="Q2414" s="16">
        <v>71937</v>
      </c>
    </row>
    <row r="2415" spans="1:17" ht="28.8" x14ac:dyDescent="0.3">
      <c r="A2415" s="16" t="s">
        <v>7665</v>
      </c>
      <c r="B2415" s="16" t="s">
        <v>7714</v>
      </c>
      <c r="C2415" s="16"/>
      <c r="D2415" s="16" t="s">
        <v>7597</v>
      </c>
      <c r="E2415" s="16" t="s">
        <v>2551</v>
      </c>
      <c r="F2415" s="16" t="s">
        <v>2552</v>
      </c>
      <c r="G2415" s="16" t="s">
        <v>32</v>
      </c>
      <c r="H2415" s="16"/>
      <c r="I2415" s="16"/>
      <c r="J2415" s="16" t="s">
        <v>145</v>
      </c>
      <c r="K2415" s="16"/>
      <c r="L2415" s="16"/>
      <c r="M2415" s="19" t="s">
        <v>2554</v>
      </c>
      <c r="N2415" s="16"/>
      <c r="O2415" s="16" t="s">
        <v>2555</v>
      </c>
      <c r="P2415" s="16" t="str">
        <f>HYPERLINK("https://ceds.ed.gov/cedselementdetails.aspx?termid=27525")</f>
        <v>https://ceds.ed.gov/cedselementdetails.aspx?termid=27525</v>
      </c>
      <c r="Q2415" s="16">
        <v>73834</v>
      </c>
    </row>
    <row r="2416" spans="1:17" ht="144" x14ac:dyDescent="0.3">
      <c r="A2416" s="16" t="s">
        <v>7665</v>
      </c>
      <c r="B2416" s="16" t="s">
        <v>7714</v>
      </c>
      <c r="C2416" s="16"/>
      <c r="D2416" s="16" t="s">
        <v>7597</v>
      </c>
      <c r="E2416" s="16" t="s">
        <v>2548</v>
      </c>
      <c r="F2416" s="16" t="s">
        <v>7918</v>
      </c>
      <c r="G2416" s="16" t="s">
        <v>8461</v>
      </c>
      <c r="H2416" s="16" t="s">
        <v>58</v>
      </c>
      <c r="I2416" s="16"/>
      <c r="J2416" s="16"/>
      <c r="K2416" s="16"/>
      <c r="L2416" s="16"/>
      <c r="M2416" s="19" t="s">
        <v>2549</v>
      </c>
      <c r="N2416" s="16"/>
      <c r="O2416" s="16" t="s">
        <v>2550</v>
      </c>
      <c r="P2416" s="16" t="str">
        <f>HYPERLINK("https://ceds.ed.gov/cedselementdetails.aspx?termid=26057")</f>
        <v>https://ceds.ed.gov/cedselementdetails.aspx?termid=26057</v>
      </c>
      <c r="Q2416" s="16">
        <v>71718</v>
      </c>
    </row>
    <row r="2417" spans="1:17" ht="100.8" x14ac:dyDescent="0.3">
      <c r="A2417" s="16" t="s">
        <v>7665</v>
      </c>
      <c r="B2417" s="16" t="s">
        <v>7714</v>
      </c>
      <c r="C2417" s="16"/>
      <c r="D2417" s="16" t="s">
        <v>7597</v>
      </c>
      <c r="E2417" s="16" t="s">
        <v>2923</v>
      </c>
      <c r="F2417" s="16" t="s">
        <v>2924</v>
      </c>
      <c r="G2417" s="16" t="s">
        <v>32</v>
      </c>
      <c r="H2417" s="16" t="s">
        <v>58</v>
      </c>
      <c r="I2417" s="16"/>
      <c r="J2417" s="16" t="s">
        <v>1481</v>
      </c>
      <c r="K2417" s="16"/>
      <c r="L2417" s="16" t="s">
        <v>7931</v>
      </c>
      <c r="M2417" s="19" t="s">
        <v>2926</v>
      </c>
      <c r="N2417" s="16"/>
      <c r="O2417" s="16" t="s">
        <v>2927</v>
      </c>
      <c r="P2417" s="16" t="str">
        <f>HYPERLINK("https://ceds.ed.gov/cedselementdetails.aspx?termid=26058")</f>
        <v>https://ceds.ed.gov/cedselementdetails.aspx?termid=26058</v>
      </c>
      <c r="Q2417" s="16">
        <v>71719</v>
      </c>
    </row>
    <row r="2418" spans="1:17" ht="158.4" x14ac:dyDescent="0.3">
      <c r="A2418" s="16" t="s">
        <v>7665</v>
      </c>
      <c r="B2418" s="16" t="s">
        <v>7714</v>
      </c>
      <c r="C2418" s="16"/>
      <c r="D2418" s="16" t="s">
        <v>7597</v>
      </c>
      <c r="E2418" s="16" t="s">
        <v>148</v>
      </c>
      <c r="F2418" s="16" t="s">
        <v>149</v>
      </c>
      <c r="G2418" s="16" t="s">
        <v>8291</v>
      </c>
      <c r="H2418" s="16"/>
      <c r="I2418" s="16"/>
      <c r="J2418" s="16"/>
      <c r="K2418" s="16"/>
      <c r="L2418" s="16"/>
      <c r="M2418" s="19" t="s">
        <v>151</v>
      </c>
      <c r="N2418" s="16"/>
      <c r="O2418" s="16" t="s">
        <v>152</v>
      </c>
      <c r="P2418" s="16" t="str">
        <f>HYPERLINK("https://ceds.ed.gov/cedselementdetails.aspx?termid=26589")</f>
        <v>https://ceds.ed.gov/cedselementdetails.aspx?termid=26589</v>
      </c>
      <c r="Q2418" s="16">
        <v>71939</v>
      </c>
    </row>
    <row r="2419" spans="1:17" ht="129.6" x14ac:dyDescent="0.3">
      <c r="A2419" s="16" t="s">
        <v>7665</v>
      </c>
      <c r="B2419" s="16" t="s">
        <v>7714</v>
      </c>
      <c r="C2419" s="16"/>
      <c r="D2419" s="16" t="s">
        <v>7597</v>
      </c>
      <c r="E2419" s="16" t="s">
        <v>1478</v>
      </c>
      <c r="F2419" s="16" t="s">
        <v>1479</v>
      </c>
      <c r="G2419" s="16" t="s">
        <v>32</v>
      </c>
      <c r="H2419" s="16" t="s">
        <v>1484</v>
      </c>
      <c r="I2419" s="16"/>
      <c r="J2419" s="16" t="s">
        <v>1481</v>
      </c>
      <c r="K2419" s="16"/>
      <c r="L2419" s="16"/>
      <c r="M2419" s="19" t="s">
        <v>1482</v>
      </c>
      <c r="N2419" s="16"/>
      <c r="O2419" s="16" t="s">
        <v>1483</v>
      </c>
      <c r="P2419" s="16" t="str">
        <f>HYPERLINK("https://ceds.ed.gov/cedselementdetails.aspx?termid=26030")</f>
        <v>https://ceds.ed.gov/cedselementdetails.aspx?termid=26030</v>
      </c>
      <c r="Q2419" s="16">
        <v>71924</v>
      </c>
    </row>
    <row r="2420" spans="1:17" ht="100.8" x14ac:dyDescent="0.3">
      <c r="A2420" s="16" t="s">
        <v>7665</v>
      </c>
      <c r="B2420" s="16" t="s">
        <v>7714</v>
      </c>
      <c r="C2420" s="16"/>
      <c r="D2420" s="16" t="s">
        <v>7597</v>
      </c>
      <c r="E2420" s="16" t="s">
        <v>2574</v>
      </c>
      <c r="F2420" s="16" t="s">
        <v>2575</v>
      </c>
      <c r="G2420" s="16" t="s">
        <v>8463</v>
      </c>
      <c r="H2420" s="16" t="s">
        <v>1484</v>
      </c>
      <c r="I2420" s="16"/>
      <c r="J2420" s="16"/>
      <c r="K2420" s="16"/>
      <c r="L2420" s="16"/>
      <c r="M2420" s="19" t="s">
        <v>2577</v>
      </c>
      <c r="N2420" s="16" t="s">
        <v>2578</v>
      </c>
      <c r="O2420" s="16" t="s">
        <v>2579</v>
      </c>
      <c r="P2420" s="16" t="str">
        <f>HYPERLINK("https://ceds.ed.gov/cedselementdetails.aspx?termid=26060")</f>
        <v>https://ceds.ed.gov/cedselementdetails.aspx?termid=26060</v>
      </c>
      <c r="Q2420" s="16">
        <v>71927</v>
      </c>
    </row>
    <row r="2421" spans="1:17" ht="302.39999999999998" x14ac:dyDescent="0.3">
      <c r="A2421" s="16" t="s">
        <v>7665</v>
      </c>
      <c r="B2421" s="16" t="s">
        <v>7714</v>
      </c>
      <c r="C2421" s="16"/>
      <c r="D2421" s="16" t="s">
        <v>7597</v>
      </c>
      <c r="E2421" s="16" t="s">
        <v>2606</v>
      </c>
      <c r="F2421" s="16" t="s">
        <v>2607</v>
      </c>
      <c r="G2421" s="16" t="s">
        <v>8468</v>
      </c>
      <c r="H2421" s="16" t="s">
        <v>2588</v>
      </c>
      <c r="I2421" s="16"/>
      <c r="J2421" s="16"/>
      <c r="K2421" s="16"/>
      <c r="L2421" s="16"/>
      <c r="M2421" s="19" t="s">
        <v>2608</v>
      </c>
      <c r="N2421" s="16"/>
      <c r="O2421" s="16" t="s">
        <v>2609</v>
      </c>
      <c r="P2421" s="16" t="str">
        <f>HYPERLINK("https://ceds.ed.gov/cedselementdetails.aspx?termid=26061")</f>
        <v>https://ceds.ed.gov/cedselementdetails.aspx?termid=26061</v>
      </c>
      <c r="Q2421" s="16">
        <v>71928</v>
      </c>
    </row>
    <row r="2422" spans="1:17" ht="409.6" x14ac:dyDescent="0.3">
      <c r="A2422" s="16" t="s">
        <v>7665</v>
      </c>
      <c r="B2422" s="16" t="s">
        <v>7714</v>
      </c>
      <c r="C2422" s="16"/>
      <c r="D2422" s="16" t="s">
        <v>7597</v>
      </c>
      <c r="E2422" s="16" t="s">
        <v>2523</v>
      </c>
      <c r="F2422" s="16" t="s">
        <v>2524</v>
      </c>
      <c r="G2422" s="16" t="s">
        <v>8458</v>
      </c>
      <c r="H2422" s="16"/>
      <c r="I2422" s="16"/>
      <c r="J2422" s="16"/>
      <c r="K2422" s="16"/>
      <c r="L2422" s="16" t="s">
        <v>7917</v>
      </c>
      <c r="M2422" s="19" t="s">
        <v>2526</v>
      </c>
      <c r="N2422" s="16"/>
      <c r="O2422" s="16" t="s">
        <v>2527</v>
      </c>
      <c r="P2422" s="16" t="str">
        <f>HYPERLINK("https://ceds.ed.gov/cedselementdetails.aspx?termid=27267")</f>
        <v>https://ceds.ed.gov/cedselementdetails.aspx?termid=27267</v>
      </c>
      <c r="Q2422" s="16">
        <v>73096</v>
      </c>
    </row>
    <row r="2423" spans="1:17" ht="100.8" x14ac:dyDescent="0.3">
      <c r="A2423" s="16" t="s">
        <v>7665</v>
      </c>
      <c r="B2423" s="16" t="s">
        <v>7714</v>
      </c>
      <c r="C2423" s="16"/>
      <c r="D2423" s="16" t="s">
        <v>7597</v>
      </c>
      <c r="E2423" s="16" t="s">
        <v>4233</v>
      </c>
      <c r="F2423" s="16" t="s">
        <v>4234</v>
      </c>
      <c r="G2423" s="16" t="s">
        <v>22</v>
      </c>
      <c r="H2423" s="16" t="s">
        <v>1484</v>
      </c>
      <c r="I2423" s="16"/>
      <c r="J2423" s="16"/>
      <c r="K2423" s="16"/>
      <c r="L2423" s="16"/>
      <c r="M2423" s="19" t="s">
        <v>4236</v>
      </c>
      <c r="N2423" s="16"/>
      <c r="O2423" s="16" t="s">
        <v>4237</v>
      </c>
      <c r="P2423" s="16" t="str">
        <f>HYPERLINK("https://ceds.ed.gov/cedselementdetails.aspx?termid=26137")</f>
        <v>https://ceds.ed.gov/cedselementdetails.aspx?termid=26137</v>
      </c>
      <c r="Q2423" s="16">
        <v>71931</v>
      </c>
    </row>
    <row r="2424" spans="1:17" ht="28.8" x14ac:dyDescent="0.3">
      <c r="A2424" s="16" t="s">
        <v>7665</v>
      </c>
      <c r="B2424" s="16" t="s">
        <v>7714</v>
      </c>
      <c r="C2424" s="16"/>
      <c r="D2424" s="16" t="s">
        <v>7597</v>
      </c>
      <c r="E2424" s="16" t="s">
        <v>2632</v>
      </c>
      <c r="F2424" s="16" t="s">
        <v>2633</v>
      </c>
      <c r="G2424" s="16" t="s">
        <v>32</v>
      </c>
      <c r="H2424" s="16"/>
      <c r="I2424" s="16"/>
      <c r="J2424" s="16" t="s">
        <v>1662</v>
      </c>
      <c r="K2424" s="16"/>
      <c r="L2424" s="16"/>
      <c r="M2424" s="19" t="s">
        <v>2634</v>
      </c>
      <c r="N2424" s="16"/>
      <c r="O2424" s="16" t="s">
        <v>2635</v>
      </c>
      <c r="P2424" s="16" t="str">
        <f>HYPERLINK("https://ceds.ed.gov/cedselementdetails.aspx?termid=27648")</f>
        <v>https://ceds.ed.gov/cedselementdetails.aspx?termid=27648</v>
      </c>
      <c r="Q2424" s="16">
        <v>74882</v>
      </c>
    </row>
    <row r="2425" spans="1:17" ht="72" x14ac:dyDescent="0.3">
      <c r="A2425" s="16" t="s">
        <v>7665</v>
      </c>
      <c r="B2425" s="16" t="s">
        <v>7714</v>
      </c>
      <c r="C2425" s="16"/>
      <c r="D2425" s="16" t="s">
        <v>7597</v>
      </c>
      <c r="E2425" s="16" t="s">
        <v>4865</v>
      </c>
      <c r="F2425" s="16" t="s">
        <v>4866</v>
      </c>
      <c r="G2425" s="16" t="s">
        <v>8684</v>
      </c>
      <c r="H2425" s="16"/>
      <c r="I2425" s="16"/>
      <c r="J2425" s="16"/>
      <c r="K2425" s="16"/>
      <c r="L2425" s="16"/>
      <c r="M2425" s="19" t="s">
        <v>4868</v>
      </c>
      <c r="N2425" s="16"/>
      <c r="O2425" s="16" t="s">
        <v>4869</v>
      </c>
      <c r="P2425" s="16" t="str">
        <f>HYPERLINK("https://ceds.ed.gov/cedselementdetails.aspx?termid=27355")</f>
        <v>https://ceds.ed.gov/cedselementdetails.aspx?termid=27355</v>
      </c>
      <c r="Q2425" s="16">
        <v>73234</v>
      </c>
    </row>
    <row r="2426" spans="1:17" ht="43.2" x14ac:dyDescent="0.3">
      <c r="A2426" s="16" t="s">
        <v>7665</v>
      </c>
      <c r="B2426" s="16" t="s">
        <v>7714</v>
      </c>
      <c r="C2426" s="16"/>
      <c r="D2426" s="16" t="s">
        <v>7597</v>
      </c>
      <c r="E2426" s="16" t="s">
        <v>2459</v>
      </c>
      <c r="F2426" s="16" t="s">
        <v>2460</v>
      </c>
      <c r="G2426" s="16" t="s">
        <v>22</v>
      </c>
      <c r="H2426" s="16"/>
      <c r="I2426" s="16"/>
      <c r="J2426" s="16"/>
      <c r="K2426" s="16"/>
      <c r="L2426" s="16"/>
      <c r="M2426" s="19" t="s">
        <v>2462</v>
      </c>
      <c r="N2426" s="16"/>
      <c r="O2426" s="16" t="s">
        <v>2463</v>
      </c>
      <c r="P2426" s="16" t="str">
        <f>HYPERLINK("https://ceds.ed.gov/cedselementdetails.aspx?termid=26509")</f>
        <v>https://ceds.ed.gov/cedselementdetails.aspx?termid=26509</v>
      </c>
      <c r="Q2426" s="16">
        <v>71938</v>
      </c>
    </row>
    <row r="2427" spans="1:17" ht="100.8" x14ac:dyDescent="0.3">
      <c r="A2427" s="16" t="s">
        <v>7665</v>
      </c>
      <c r="B2427" s="16" t="s">
        <v>7714</v>
      </c>
      <c r="C2427" s="16"/>
      <c r="D2427" s="16" t="s">
        <v>7597</v>
      </c>
      <c r="E2427" s="16" t="s">
        <v>2981</v>
      </c>
      <c r="F2427" s="16" t="s">
        <v>2982</v>
      </c>
      <c r="G2427" s="16" t="s">
        <v>8490</v>
      </c>
      <c r="H2427" s="16"/>
      <c r="I2427" s="16"/>
      <c r="J2427" s="16"/>
      <c r="K2427" s="16"/>
      <c r="L2427" s="16"/>
      <c r="M2427" s="19" t="s">
        <v>2983</v>
      </c>
      <c r="N2427" s="16"/>
      <c r="O2427" s="16" t="s">
        <v>2984</v>
      </c>
      <c r="P2427" s="16" t="str">
        <f>HYPERLINK("https://ceds.ed.gov/cedselementdetails.aspx?termid=26688")</f>
        <v>https://ceds.ed.gov/cedselementdetails.aspx?termid=26688</v>
      </c>
      <c r="Q2427" s="16">
        <v>71940</v>
      </c>
    </row>
    <row r="2428" spans="1:17" ht="43.2" x14ac:dyDescent="0.3">
      <c r="A2428" s="16" t="s">
        <v>7665</v>
      </c>
      <c r="B2428" s="16" t="s">
        <v>7714</v>
      </c>
      <c r="C2428" s="16"/>
      <c r="D2428" s="16" t="s">
        <v>7597</v>
      </c>
      <c r="E2428" s="16" t="s">
        <v>2519</v>
      </c>
      <c r="F2428" s="16" t="s">
        <v>2520</v>
      </c>
      <c r="G2428" s="16" t="s">
        <v>22</v>
      </c>
      <c r="H2428" s="16"/>
      <c r="I2428" s="16"/>
      <c r="J2428" s="16"/>
      <c r="K2428" s="16"/>
      <c r="L2428" s="16"/>
      <c r="M2428" s="19" t="s">
        <v>2521</v>
      </c>
      <c r="N2428" s="16"/>
      <c r="O2428" s="16" t="s">
        <v>2522</v>
      </c>
      <c r="P2428" s="16" t="str">
        <f>HYPERLINK("https://ceds.ed.gov/cedselementdetails.aspx?termid=26013")</f>
        <v>https://ceds.ed.gov/cedselementdetails.aspx?termid=26013</v>
      </c>
      <c r="Q2428" s="16">
        <v>71923</v>
      </c>
    </row>
    <row r="2429" spans="1:17" ht="409.6" x14ac:dyDescent="0.3">
      <c r="A2429" s="16" t="s">
        <v>7665</v>
      </c>
      <c r="B2429" s="16" t="s">
        <v>7714</v>
      </c>
      <c r="C2429" s="16"/>
      <c r="D2429" s="16" t="s">
        <v>7597</v>
      </c>
      <c r="E2429" s="16" t="s">
        <v>293</v>
      </c>
      <c r="F2429" s="16" t="s">
        <v>7826</v>
      </c>
      <c r="G2429" s="16" t="s">
        <v>8313</v>
      </c>
      <c r="H2429" s="16"/>
      <c r="I2429" s="16"/>
      <c r="J2429" s="16" t="s">
        <v>145</v>
      </c>
      <c r="K2429" s="16"/>
      <c r="L2429" s="16"/>
      <c r="M2429" s="19" t="s">
        <v>295</v>
      </c>
      <c r="N2429" s="16" t="s">
        <v>296</v>
      </c>
      <c r="O2429" s="16" t="s">
        <v>297</v>
      </c>
      <c r="P2429" s="16" t="str">
        <f>HYPERLINK("https://ceds.ed.gov/cedselementdetails.aspx?termid=27244")</f>
        <v>https://ceds.ed.gov/cedselementdetails.aspx?termid=27244</v>
      </c>
      <c r="Q2429" s="16">
        <v>73566</v>
      </c>
    </row>
    <row r="2430" spans="1:17" ht="144" x14ac:dyDescent="0.3">
      <c r="A2430" s="16" t="s">
        <v>7665</v>
      </c>
      <c r="B2430" s="16" t="s">
        <v>7714</v>
      </c>
      <c r="C2430" s="16"/>
      <c r="D2430" s="16" t="s">
        <v>7597</v>
      </c>
      <c r="E2430" s="16" t="s">
        <v>1522</v>
      </c>
      <c r="F2430" s="16" t="s">
        <v>1523</v>
      </c>
      <c r="G2430" s="16" t="s">
        <v>8212</v>
      </c>
      <c r="H2430" s="16"/>
      <c r="I2430" s="16"/>
      <c r="J2430" s="16"/>
      <c r="K2430" s="16"/>
      <c r="L2430" s="16" t="s">
        <v>1524</v>
      </c>
      <c r="M2430" s="19" t="s">
        <v>1525</v>
      </c>
      <c r="N2430" s="16"/>
      <c r="O2430" s="16" t="s">
        <v>1526</v>
      </c>
      <c r="P2430" s="16" t="str">
        <f>HYPERLINK("https://ceds.ed.gov/cedselementdetails.aspx?termid=27253")</f>
        <v>https://ceds.ed.gov/cedselementdetails.aspx?termid=27253</v>
      </c>
      <c r="Q2430" s="16">
        <v>73072</v>
      </c>
    </row>
    <row r="2431" spans="1:17" ht="244.8" x14ac:dyDescent="0.3">
      <c r="A2431" s="16" t="s">
        <v>7665</v>
      </c>
      <c r="B2431" s="16" t="s">
        <v>7714</v>
      </c>
      <c r="C2431" s="16"/>
      <c r="D2431" s="16" t="s">
        <v>7597</v>
      </c>
      <c r="E2431" s="16" t="s">
        <v>1887</v>
      </c>
      <c r="F2431" s="16" t="s">
        <v>1888</v>
      </c>
      <c r="G2431" s="16" t="s">
        <v>8425</v>
      </c>
      <c r="H2431" s="16"/>
      <c r="I2431" s="16" t="s">
        <v>160</v>
      </c>
      <c r="J2431" s="16"/>
      <c r="K2431" s="16" t="s">
        <v>12935</v>
      </c>
      <c r="L2431" s="16" t="s">
        <v>7896</v>
      </c>
      <c r="M2431" s="19" t="s">
        <v>1889</v>
      </c>
      <c r="N2431" s="16"/>
      <c r="O2431" s="16" t="s">
        <v>1890</v>
      </c>
      <c r="P2431" s="16" t="str">
        <f>HYPERLINK("https://ceds.ed.gov/cedselementdetails.aspx?termid=27254")</f>
        <v>https://ceds.ed.gov/cedselementdetails.aspx?termid=27254</v>
      </c>
      <c r="Q2431" s="16">
        <v>73074</v>
      </c>
    </row>
    <row r="2432" spans="1:17" ht="230.4" x14ac:dyDescent="0.3">
      <c r="A2432" s="16" t="s">
        <v>7665</v>
      </c>
      <c r="B2432" s="16" t="s">
        <v>7714</v>
      </c>
      <c r="C2432" s="16"/>
      <c r="D2432" s="16" t="s">
        <v>7597</v>
      </c>
      <c r="E2432" s="16" t="s">
        <v>7286</v>
      </c>
      <c r="F2432" s="16" t="s">
        <v>7287</v>
      </c>
      <c r="G2432" s="16" t="s">
        <v>9348</v>
      </c>
      <c r="H2432" s="16"/>
      <c r="I2432" s="16"/>
      <c r="J2432" s="16"/>
      <c r="K2432" s="16"/>
      <c r="L2432" s="16"/>
      <c r="M2432" s="19" t="s">
        <v>7288</v>
      </c>
      <c r="N2432" s="16"/>
      <c r="O2432" s="16" t="s">
        <v>7289</v>
      </c>
      <c r="P2432" s="16" t="str">
        <f>HYPERLINK("https://ceds.ed.gov/cedselementdetails.aspx?termid=27471")</f>
        <v>https://ceds.ed.gov/cedselementdetails.aspx?termid=27471</v>
      </c>
      <c r="Q2432" s="16">
        <v>73456</v>
      </c>
    </row>
    <row r="2433" spans="1:17" ht="43.2" x14ac:dyDescent="0.3">
      <c r="A2433" s="16" t="s">
        <v>7665</v>
      </c>
      <c r="B2433" s="16" t="s">
        <v>7714</v>
      </c>
      <c r="C2433" s="16"/>
      <c r="D2433" s="16" t="s">
        <v>7597</v>
      </c>
      <c r="E2433" s="16" t="s">
        <v>2532</v>
      </c>
      <c r="F2433" s="16" t="s">
        <v>2533</v>
      </c>
      <c r="G2433" s="16" t="s">
        <v>32</v>
      </c>
      <c r="H2433" s="16"/>
      <c r="I2433" s="16"/>
      <c r="J2433" s="16" t="s">
        <v>101</v>
      </c>
      <c r="K2433" s="16"/>
      <c r="L2433" s="16"/>
      <c r="M2433" s="19" t="s">
        <v>2534</v>
      </c>
      <c r="N2433" s="16"/>
      <c r="O2433" s="16" t="s">
        <v>2535</v>
      </c>
      <c r="P2433" s="16" t="str">
        <f>HYPERLINK("https://ceds.ed.gov/cedselementdetails.aspx?termid=27268")</f>
        <v>https://ceds.ed.gov/cedselementdetails.aspx?termid=27268</v>
      </c>
      <c r="Q2433" s="16">
        <v>73098</v>
      </c>
    </row>
    <row r="2434" spans="1:17" ht="57.6" x14ac:dyDescent="0.3">
      <c r="A2434" s="16" t="s">
        <v>7665</v>
      </c>
      <c r="B2434" s="16" t="s">
        <v>7714</v>
      </c>
      <c r="C2434" s="16"/>
      <c r="D2434" s="16" t="s">
        <v>7597</v>
      </c>
      <c r="E2434" s="16" t="s">
        <v>20</v>
      </c>
      <c r="F2434" s="16" t="s">
        <v>21</v>
      </c>
      <c r="G2434" s="16" t="s">
        <v>22</v>
      </c>
      <c r="H2434" s="16" t="s">
        <v>25</v>
      </c>
      <c r="I2434" s="16"/>
      <c r="J2434" s="16"/>
      <c r="K2434" s="16"/>
      <c r="L2434" s="16"/>
      <c r="M2434" s="19" t="s">
        <v>23</v>
      </c>
      <c r="N2434" s="16"/>
      <c r="O2434" s="16" t="s">
        <v>24</v>
      </c>
      <c r="P2434" s="16" t="str">
        <f>HYPERLINK("https://ceds.ed.gov/cedselementdetails.aspx?termid=26000")</f>
        <v>https://ceds.ed.gov/cedselementdetails.aspx?termid=26000</v>
      </c>
      <c r="Q2434" s="16">
        <v>73666</v>
      </c>
    </row>
    <row r="2435" spans="1:17" ht="115.2" x14ac:dyDescent="0.3">
      <c r="A2435" s="16" t="s">
        <v>7665</v>
      </c>
      <c r="B2435" s="16" t="s">
        <v>7714</v>
      </c>
      <c r="C2435" s="16"/>
      <c r="D2435" s="16" t="s">
        <v>7597</v>
      </c>
      <c r="E2435" s="16" t="s">
        <v>4715</v>
      </c>
      <c r="F2435" s="16" t="s">
        <v>4716</v>
      </c>
      <c r="G2435" s="16" t="s">
        <v>7313</v>
      </c>
      <c r="H2435" s="16" t="s">
        <v>202</v>
      </c>
      <c r="I2435" s="16"/>
      <c r="J2435" s="16"/>
      <c r="K2435" s="16"/>
      <c r="L2435" s="16" t="s">
        <v>7859</v>
      </c>
      <c r="M2435" s="19" t="s">
        <v>4717</v>
      </c>
      <c r="N2435" s="16"/>
      <c r="O2435" s="16" t="s">
        <v>4718</v>
      </c>
      <c r="P2435" s="16" t="str">
        <f>HYPERLINK("https://ceds.ed.gov/cedselementdetails.aspx?termid=26438")</f>
        <v>https://ceds.ed.gov/cedselementdetails.aspx?termid=26438</v>
      </c>
      <c r="Q2435" s="16">
        <v>71936</v>
      </c>
    </row>
    <row r="2436" spans="1:17" ht="43.2" x14ac:dyDescent="0.3">
      <c r="A2436" s="16" t="s">
        <v>7665</v>
      </c>
      <c r="B2436" s="16" t="s">
        <v>7714</v>
      </c>
      <c r="C2436" s="16"/>
      <c r="D2436" s="16" t="s">
        <v>7597</v>
      </c>
      <c r="E2436" s="16" t="s">
        <v>2601</v>
      </c>
      <c r="F2436" s="16" t="s">
        <v>2602</v>
      </c>
      <c r="G2436" s="16" t="s">
        <v>8467</v>
      </c>
      <c r="H2436" s="16"/>
      <c r="I2436" s="16"/>
      <c r="J2436" s="16"/>
      <c r="K2436" s="16"/>
      <c r="L2436" s="16" t="s">
        <v>2603</v>
      </c>
      <c r="M2436" s="19" t="s">
        <v>2604</v>
      </c>
      <c r="N2436" s="16"/>
      <c r="O2436" s="16" t="s">
        <v>2605</v>
      </c>
      <c r="P2436" s="16" t="str">
        <f>HYPERLINK("https://ceds.ed.gov/cedselementdetails.aspx?termid=27277")</f>
        <v>https://ceds.ed.gov/cedselementdetails.aspx?termid=27277</v>
      </c>
      <c r="Q2436" s="16">
        <v>73112</v>
      </c>
    </row>
    <row r="2437" spans="1:17" ht="43.2" x14ac:dyDescent="0.3">
      <c r="A2437" s="16" t="s">
        <v>7665</v>
      </c>
      <c r="B2437" s="16" t="s">
        <v>7714</v>
      </c>
      <c r="C2437" s="16"/>
      <c r="D2437" s="16" t="s">
        <v>7597</v>
      </c>
      <c r="E2437" s="16" t="s">
        <v>3843</v>
      </c>
      <c r="F2437" s="16" t="s">
        <v>3844</v>
      </c>
      <c r="G2437" s="16" t="s">
        <v>22</v>
      </c>
      <c r="H2437" s="16"/>
      <c r="I2437" s="16"/>
      <c r="J2437" s="16"/>
      <c r="K2437" s="16"/>
      <c r="L2437" s="16"/>
      <c r="M2437" s="19" t="s">
        <v>3845</v>
      </c>
      <c r="N2437" s="16"/>
      <c r="O2437" s="16" t="s">
        <v>3846</v>
      </c>
      <c r="P2437" s="16" t="str">
        <f>HYPERLINK("https://ceds.ed.gov/cedselementdetails.aspx?termid=27311")</f>
        <v>https://ceds.ed.gov/cedselementdetails.aspx?termid=27311</v>
      </c>
      <c r="Q2437" s="16">
        <v>73159</v>
      </c>
    </row>
    <row r="2438" spans="1:17" ht="43.2" x14ac:dyDescent="0.3">
      <c r="A2438" s="16" t="s">
        <v>7665</v>
      </c>
      <c r="B2438" s="16" t="s">
        <v>7714</v>
      </c>
      <c r="C2438" s="16"/>
      <c r="D2438" s="16" t="s">
        <v>7597</v>
      </c>
      <c r="E2438" s="16" t="s">
        <v>5440</v>
      </c>
      <c r="F2438" s="16" t="s">
        <v>5441</v>
      </c>
      <c r="G2438" s="16" t="s">
        <v>22</v>
      </c>
      <c r="H2438" s="16"/>
      <c r="I2438" s="16"/>
      <c r="J2438" s="16"/>
      <c r="K2438" s="16"/>
      <c r="L2438" s="16"/>
      <c r="M2438" s="19" t="s">
        <v>5442</v>
      </c>
      <c r="N2438" s="16" t="s">
        <v>5443</v>
      </c>
      <c r="O2438" s="16" t="s">
        <v>5444</v>
      </c>
      <c r="P2438" s="16" t="str">
        <f>HYPERLINK("https://ceds.ed.gov/cedselementdetails.aspx?termid=27382")</f>
        <v>https://ceds.ed.gov/cedselementdetails.aspx?termid=27382</v>
      </c>
      <c r="Q2438" s="16">
        <v>73293</v>
      </c>
    </row>
    <row r="2439" spans="1:17" ht="115.2" x14ac:dyDescent="0.3">
      <c r="A2439" s="16" t="s">
        <v>7665</v>
      </c>
      <c r="B2439" s="16" t="s">
        <v>7714</v>
      </c>
      <c r="C2439" s="16"/>
      <c r="D2439" s="16" t="s">
        <v>7597</v>
      </c>
      <c r="E2439" s="16" t="s">
        <v>6489</v>
      </c>
      <c r="F2439" s="16" t="s">
        <v>6490</v>
      </c>
      <c r="G2439" s="16" t="s">
        <v>7313</v>
      </c>
      <c r="H2439" s="16"/>
      <c r="I2439" s="16"/>
      <c r="J2439" s="16"/>
      <c r="K2439" s="16"/>
      <c r="L2439" s="16" t="s">
        <v>8136</v>
      </c>
      <c r="M2439" s="19" t="s">
        <v>6491</v>
      </c>
      <c r="N2439" s="16" t="s">
        <v>6492</v>
      </c>
      <c r="O2439" s="16" t="s">
        <v>6493</v>
      </c>
      <c r="P2439" s="16" t="str">
        <f>HYPERLINK("https://ceds.ed.gov/cedselementdetails.aspx?termid=27490")</f>
        <v>https://ceds.ed.gov/cedselementdetails.aspx?termid=27490</v>
      </c>
      <c r="Q2439" s="16">
        <v>73670</v>
      </c>
    </row>
    <row r="2440" spans="1:17" ht="100.8" x14ac:dyDescent="0.3">
      <c r="A2440" s="16" t="s">
        <v>7665</v>
      </c>
      <c r="B2440" s="16" t="s">
        <v>7714</v>
      </c>
      <c r="C2440" s="16"/>
      <c r="D2440" s="16" t="s">
        <v>7597</v>
      </c>
      <c r="E2440" s="16" t="s">
        <v>6494</v>
      </c>
      <c r="F2440" s="16" t="s">
        <v>8137</v>
      </c>
      <c r="G2440" s="16" t="s">
        <v>8259</v>
      </c>
      <c r="H2440" s="16"/>
      <c r="I2440" s="16"/>
      <c r="J2440" s="16"/>
      <c r="K2440" s="16"/>
      <c r="L2440" s="16"/>
      <c r="M2440" s="19" t="s">
        <v>6495</v>
      </c>
      <c r="N2440" s="16" t="s">
        <v>6496</v>
      </c>
      <c r="O2440" s="16" t="s">
        <v>6497</v>
      </c>
      <c r="P2440" s="16" t="str">
        <f>HYPERLINK("https://ceds.ed.gov/cedselementdetails.aspx?termid=27488")</f>
        <v>https://ceds.ed.gov/cedselementdetails.aspx?termid=27488</v>
      </c>
      <c r="Q2440" s="16">
        <v>73668</v>
      </c>
    </row>
    <row r="2441" spans="1:17" ht="345.6" x14ac:dyDescent="0.3">
      <c r="A2441" s="16" t="s">
        <v>7665</v>
      </c>
      <c r="B2441" s="16" t="s">
        <v>7714</v>
      </c>
      <c r="C2441" s="16"/>
      <c r="D2441" s="16" t="s">
        <v>7597</v>
      </c>
      <c r="E2441" s="16" t="s">
        <v>6498</v>
      </c>
      <c r="F2441" s="16" t="s">
        <v>6499</v>
      </c>
      <c r="G2441" s="16" t="s">
        <v>8260</v>
      </c>
      <c r="H2441" s="16"/>
      <c r="I2441" s="16"/>
      <c r="J2441" s="16"/>
      <c r="K2441" s="16"/>
      <c r="L2441" s="16" t="s">
        <v>8138</v>
      </c>
      <c r="M2441" s="19" t="s">
        <v>6500</v>
      </c>
      <c r="N2441" s="16" t="s">
        <v>6501</v>
      </c>
      <c r="O2441" s="16" t="s">
        <v>6502</v>
      </c>
      <c r="P2441" s="16" t="str">
        <f>HYPERLINK("https://ceds.ed.gov/cedselementdetails.aspx?termid=27491")</f>
        <v>https://ceds.ed.gov/cedselementdetails.aspx?termid=27491</v>
      </c>
      <c r="Q2441" s="16">
        <v>73671</v>
      </c>
    </row>
    <row r="2442" spans="1:17" ht="100.8" x14ac:dyDescent="0.3">
      <c r="A2442" s="16" t="s">
        <v>7665</v>
      </c>
      <c r="B2442" s="16" t="s">
        <v>7714</v>
      </c>
      <c r="C2442" s="16"/>
      <c r="D2442" s="16" t="s">
        <v>7597</v>
      </c>
      <c r="E2442" s="16" t="s">
        <v>6503</v>
      </c>
      <c r="F2442" s="16" t="s">
        <v>6504</v>
      </c>
      <c r="G2442" s="16" t="s">
        <v>32</v>
      </c>
      <c r="H2442" s="16"/>
      <c r="I2442" s="16"/>
      <c r="J2442" s="16" t="s">
        <v>6506</v>
      </c>
      <c r="K2442" s="16"/>
      <c r="L2442" s="16" t="s">
        <v>8139</v>
      </c>
      <c r="M2442" s="19" t="s">
        <v>6507</v>
      </c>
      <c r="N2442" s="16" t="s">
        <v>6508</v>
      </c>
      <c r="O2442" s="16" t="s">
        <v>6509</v>
      </c>
      <c r="P2442" s="16" t="str">
        <f>HYPERLINK("https://ceds.ed.gov/cedselementdetails.aspx?termid=27452")</f>
        <v>https://ceds.ed.gov/cedselementdetails.aspx?termid=27452</v>
      </c>
      <c r="Q2442" s="16">
        <v>73409</v>
      </c>
    </row>
    <row r="2443" spans="1:17" ht="100.8" x14ac:dyDescent="0.3">
      <c r="A2443" s="16" t="s">
        <v>7665</v>
      </c>
      <c r="B2443" s="16" t="s">
        <v>7714</v>
      </c>
      <c r="C2443" s="16"/>
      <c r="D2443" s="16" t="s">
        <v>7597</v>
      </c>
      <c r="E2443" s="16" t="s">
        <v>6510</v>
      </c>
      <c r="F2443" s="16" t="s">
        <v>6511</v>
      </c>
      <c r="G2443" s="16" t="s">
        <v>32</v>
      </c>
      <c r="H2443" s="16" t="s">
        <v>1484</v>
      </c>
      <c r="I2443" s="16"/>
      <c r="J2443" s="16" t="s">
        <v>2697</v>
      </c>
      <c r="K2443" s="16"/>
      <c r="L2443" s="16" t="s">
        <v>6512</v>
      </c>
      <c r="M2443" s="19" t="s">
        <v>6513</v>
      </c>
      <c r="N2443" s="16" t="s">
        <v>6514</v>
      </c>
      <c r="O2443" s="16" t="s">
        <v>6515</v>
      </c>
      <c r="P2443" s="16" t="str">
        <f>HYPERLINK("https://ceds.ed.gov/cedselementdetails.aspx?termid=26250")</f>
        <v>https://ceds.ed.gov/cedselementdetails.aspx?termid=26250</v>
      </c>
      <c r="Q2443" s="16">
        <v>71935</v>
      </c>
    </row>
    <row r="2444" spans="1:17" ht="72" x14ac:dyDescent="0.3">
      <c r="A2444" s="16" t="s">
        <v>7665</v>
      </c>
      <c r="B2444" s="16" t="s">
        <v>7714</v>
      </c>
      <c r="C2444" s="16"/>
      <c r="D2444" s="16" t="s">
        <v>7597</v>
      </c>
      <c r="E2444" s="16" t="s">
        <v>2569</v>
      </c>
      <c r="F2444" s="16" t="s">
        <v>2570</v>
      </c>
      <c r="G2444" s="16" t="s">
        <v>32</v>
      </c>
      <c r="H2444" s="16"/>
      <c r="I2444" s="16"/>
      <c r="J2444" s="16" t="s">
        <v>81</v>
      </c>
      <c r="K2444" s="16"/>
      <c r="L2444" s="16" t="s">
        <v>2571</v>
      </c>
      <c r="M2444" s="19" t="s">
        <v>2572</v>
      </c>
      <c r="N2444" s="16"/>
      <c r="O2444" s="16" t="s">
        <v>2573</v>
      </c>
      <c r="P2444" s="16" t="str">
        <f>HYPERLINK("https://ceds.ed.gov/cedselementdetails.aspx?termid=27272")</f>
        <v>https://ceds.ed.gov/cedselementdetails.aspx?termid=27272</v>
      </c>
      <c r="Q2444" s="16">
        <v>73104</v>
      </c>
    </row>
    <row r="2445" spans="1:17" ht="57.6" x14ac:dyDescent="0.3">
      <c r="A2445" s="16" t="s">
        <v>7665</v>
      </c>
      <c r="B2445" s="16" t="s">
        <v>7714</v>
      </c>
      <c r="C2445" s="16"/>
      <c r="D2445" s="16" t="s">
        <v>7597</v>
      </c>
      <c r="E2445" s="16" t="s">
        <v>7197</v>
      </c>
      <c r="F2445" s="16" t="s">
        <v>7198</v>
      </c>
      <c r="G2445" s="16" t="s">
        <v>22</v>
      </c>
      <c r="H2445" s="16"/>
      <c r="I2445" s="16"/>
      <c r="J2445" s="16"/>
      <c r="K2445" s="16"/>
      <c r="L2445" s="16" t="s">
        <v>7199</v>
      </c>
      <c r="M2445" s="19" t="s">
        <v>7200</v>
      </c>
      <c r="N2445" s="16"/>
      <c r="O2445" s="16" t="s">
        <v>7201</v>
      </c>
      <c r="P2445" s="16" t="str">
        <f>HYPERLINK("https://ceds.ed.gov/cedselementdetails.aspx?termid=27554")</f>
        <v>https://ceds.ed.gov/cedselementdetails.aspx?termid=27554</v>
      </c>
      <c r="Q2445" s="16">
        <v>73932</v>
      </c>
    </row>
    <row r="2446" spans="1:17" ht="57.6" x14ac:dyDescent="0.3">
      <c r="A2446" s="16" t="s">
        <v>7665</v>
      </c>
      <c r="B2446" s="16" t="s">
        <v>7714</v>
      </c>
      <c r="C2446" s="16"/>
      <c r="D2446" s="16" t="s">
        <v>7597</v>
      </c>
      <c r="E2446" s="16" t="s">
        <v>2696</v>
      </c>
      <c r="F2446" s="16" t="s">
        <v>7926</v>
      </c>
      <c r="G2446" s="16" t="s">
        <v>32</v>
      </c>
      <c r="H2446" s="16" t="s">
        <v>58</v>
      </c>
      <c r="I2446" s="16"/>
      <c r="J2446" s="16" t="s">
        <v>2697</v>
      </c>
      <c r="K2446" s="16"/>
      <c r="L2446" s="16"/>
      <c r="M2446" s="19" t="s">
        <v>2698</v>
      </c>
      <c r="N2446" s="16"/>
      <c r="O2446" s="16" t="s">
        <v>2699</v>
      </c>
      <c r="P2446" s="16" t="str">
        <f>HYPERLINK("https://ceds.ed.gov/cedselementdetails.aspx?termid=26066")</f>
        <v>https://ceds.ed.gov/cedselementdetails.aspx?termid=26066</v>
      </c>
      <c r="Q2446" s="16">
        <v>75531</v>
      </c>
    </row>
    <row r="2447" spans="1:17" ht="43.2" x14ac:dyDescent="0.3">
      <c r="A2447" s="16" t="s">
        <v>7665</v>
      </c>
      <c r="B2447" s="16" t="s">
        <v>7714</v>
      </c>
      <c r="C2447" s="16"/>
      <c r="D2447" s="16" t="s">
        <v>7597</v>
      </c>
      <c r="E2447" s="16" t="s">
        <v>7919</v>
      </c>
      <c r="F2447" s="16" t="s">
        <v>7920</v>
      </c>
      <c r="G2447" s="16" t="s">
        <v>22</v>
      </c>
      <c r="H2447" s="16"/>
      <c r="I2447" s="16"/>
      <c r="J2447" s="16" t="s">
        <v>2</v>
      </c>
      <c r="K2447" s="16"/>
      <c r="L2447" s="16" t="s">
        <v>7921</v>
      </c>
      <c r="M2447" s="19" t="s">
        <v>8177</v>
      </c>
      <c r="N2447" s="16"/>
      <c r="O2447" s="16" t="s">
        <v>7922</v>
      </c>
      <c r="P2447" s="16" t="str">
        <f>HYPERLINK("https://ceds.ed.gov/cedselementdetails.aspx?termid=27975")</f>
        <v>https://ceds.ed.gov/cedselementdetails.aspx?termid=27975</v>
      </c>
      <c r="Q2447" s="16">
        <v>75889</v>
      </c>
    </row>
    <row r="2448" spans="1:17" ht="100.8" x14ac:dyDescent="0.3">
      <c r="A2448" s="16" t="s">
        <v>7665</v>
      </c>
      <c r="B2448" s="16" t="s">
        <v>7714</v>
      </c>
      <c r="C2448" s="16"/>
      <c r="D2448" s="16" t="s">
        <v>7597</v>
      </c>
      <c r="E2448" s="16" t="s">
        <v>8065</v>
      </c>
      <c r="F2448" s="16" t="s">
        <v>8066</v>
      </c>
      <c r="G2448" s="16" t="s">
        <v>22</v>
      </c>
      <c r="H2448" s="16"/>
      <c r="I2448" s="16"/>
      <c r="J2448" s="16" t="s">
        <v>2</v>
      </c>
      <c r="K2448" s="16"/>
      <c r="L2448" s="16"/>
      <c r="M2448" s="19" t="s">
        <v>8191</v>
      </c>
      <c r="N2448" s="16"/>
      <c r="O2448" s="16" t="s">
        <v>8067</v>
      </c>
      <c r="P2448" s="16" t="str">
        <f>HYPERLINK("https://ceds.ed.gov/cedselementdetails.aspx?termid=27989")</f>
        <v>https://ceds.ed.gov/cedselementdetails.aspx?termid=27989</v>
      </c>
      <c r="Q2448" s="16">
        <v>75890</v>
      </c>
    </row>
    <row r="2449" spans="1:17" ht="100.8" x14ac:dyDescent="0.3">
      <c r="A2449" s="16" t="s">
        <v>7665</v>
      </c>
      <c r="B2449" s="16" t="s">
        <v>7714</v>
      </c>
      <c r="C2449" s="16"/>
      <c r="D2449" s="16" t="s">
        <v>7597</v>
      </c>
      <c r="E2449" s="16" t="s">
        <v>8117</v>
      </c>
      <c r="F2449" s="16" t="s">
        <v>8118</v>
      </c>
      <c r="G2449" s="16" t="s">
        <v>22</v>
      </c>
      <c r="H2449" s="16"/>
      <c r="I2449" s="16"/>
      <c r="J2449" s="16" t="s">
        <v>2</v>
      </c>
      <c r="K2449" s="16"/>
      <c r="L2449" s="16"/>
      <c r="M2449" s="19" t="s">
        <v>8193</v>
      </c>
      <c r="N2449" s="16"/>
      <c r="O2449" s="16" t="s">
        <v>8119</v>
      </c>
      <c r="P2449" s="16" t="str">
        <f>HYPERLINK("https://ceds.ed.gov/cedselementdetails.aspx?termid=27991")</f>
        <v>https://ceds.ed.gov/cedselementdetails.aspx?termid=27991</v>
      </c>
      <c r="Q2449" s="16">
        <v>75891</v>
      </c>
    </row>
    <row r="2450" spans="1:17" ht="72" x14ac:dyDescent="0.3">
      <c r="A2450" s="16" t="s">
        <v>7665</v>
      </c>
      <c r="B2450" s="16" t="s">
        <v>7714</v>
      </c>
      <c r="C2450" s="16"/>
      <c r="D2450" s="16" t="s">
        <v>7597</v>
      </c>
      <c r="E2450" s="16" t="s">
        <v>8120</v>
      </c>
      <c r="F2450" s="16" t="s">
        <v>8121</v>
      </c>
      <c r="G2450" s="16" t="s">
        <v>8202</v>
      </c>
      <c r="H2450" s="16"/>
      <c r="I2450" s="16"/>
      <c r="J2450" s="16" t="s">
        <v>2</v>
      </c>
      <c r="K2450" s="16"/>
      <c r="L2450" s="16" t="s">
        <v>8122</v>
      </c>
      <c r="M2450" s="19" t="s">
        <v>8194</v>
      </c>
      <c r="N2450" s="16"/>
      <c r="O2450" s="16" t="s">
        <v>8123</v>
      </c>
      <c r="P2450" s="16" t="str">
        <f>HYPERLINK("https://ceds.ed.gov/cedselementdetails.aspx?termid=27992")</f>
        <v>https://ceds.ed.gov/cedselementdetails.aspx?termid=27992</v>
      </c>
      <c r="Q2450" s="16">
        <v>75892</v>
      </c>
    </row>
    <row r="2451" spans="1:17" ht="72" x14ac:dyDescent="0.3">
      <c r="A2451" s="16" t="s">
        <v>7665</v>
      </c>
      <c r="B2451" s="16" t="s">
        <v>7714</v>
      </c>
      <c r="C2451" s="16"/>
      <c r="D2451" s="16" t="s">
        <v>7597</v>
      </c>
      <c r="E2451" s="16" t="s">
        <v>2044</v>
      </c>
      <c r="F2451" s="16" t="s">
        <v>2045</v>
      </c>
      <c r="G2451" s="16" t="s">
        <v>7312</v>
      </c>
      <c r="H2451" s="16" t="s">
        <v>42</v>
      </c>
      <c r="I2451" s="16" t="s">
        <v>160</v>
      </c>
      <c r="J2451" s="16" t="s">
        <v>2</v>
      </c>
      <c r="K2451" s="16" t="s">
        <v>12935</v>
      </c>
      <c r="L2451" s="16"/>
      <c r="M2451" s="19" t="s">
        <v>2046</v>
      </c>
      <c r="N2451" s="16" t="s">
        <v>2047</v>
      </c>
      <c r="O2451" s="16" t="s">
        <v>2048</v>
      </c>
      <c r="P2451" s="16" t="str">
        <f>HYPERLINK("https://ceds.ed.gov/cedselementdetails.aspx?termid=26043")</f>
        <v>https://ceds.ed.gov/cedselementdetails.aspx?termid=26043</v>
      </c>
      <c r="Q2451" s="16">
        <v>76133</v>
      </c>
    </row>
    <row r="2452" spans="1:17" ht="100.8" x14ac:dyDescent="0.3">
      <c r="A2452" s="16" t="s">
        <v>7665</v>
      </c>
      <c r="B2452" s="16" t="s">
        <v>7714</v>
      </c>
      <c r="C2452" s="16"/>
      <c r="D2452" s="16" t="s">
        <v>7597</v>
      </c>
      <c r="E2452" s="16" t="s">
        <v>2055</v>
      </c>
      <c r="F2452" s="16" t="s">
        <v>2056</v>
      </c>
      <c r="G2452" s="16" t="s">
        <v>9328</v>
      </c>
      <c r="H2452" s="16" t="s">
        <v>186</v>
      </c>
      <c r="I2452" s="16"/>
      <c r="J2452" s="16"/>
      <c r="K2452" s="16"/>
      <c r="L2452" s="16"/>
      <c r="M2452" s="19" t="s">
        <v>2057</v>
      </c>
      <c r="N2452" s="16" t="s">
        <v>2058</v>
      </c>
      <c r="O2452" s="16" t="s">
        <v>2059</v>
      </c>
      <c r="P2452" s="16" t="str">
        <f>HYPERLINK("https://ceds.ed.gov/cedselementdetails.aspx?termid=26045")</f>
        <v>https://ceds.ed.gov/cedselementdetails.aspx?termid=26045</v>
      </c>
      <c r="Q2452" s="16">
        <v>76134</v>
      </c>
    </row>
    <row r="2453" spans="1:17" ht="28.8" x14ac:dyDescent="0.3">
      <c r="A2453" s="16" t="s">
        <v>7665</v>
      </c>
      <c r="B2453" s="16" t="s">
        <v>7714</v>
      </c>
      <c r="C2453" s="16"/>
      <c r="D2453" s="16" t="s">
        <v>7597</v>
      </c>
      <c r="E2453" s="16" t="s">
        <v>2528</v>
      </c>
      <c r="F2453" s="16" t="s">
        <v>2529</v>
      </c>
      <c r="G2453" s="16" t="s">
        <v>32</v>
      </c>
      <c r="H2453" s="16" t="s">
        <v>1927</v>
      </c>
      <c r="I2453" s="16"/>
      <c r="J2453" s="16" t="s">
        <v>106</v>
      </c>
      <c r="K2453" s="16"/>
      <c r="L2453" s="16"/>
      <c r="M2453" s="19" t="s">
        <v>2530</v>
      </c>
      <c r="N2453" s="16"/>
      <c r="O2453" s="16" t="s">
        <v>2531</v>
      </c>
      <c r="P2453" s="16" t="str">
        <f>HYPERLINK("https://ceds.ed.gov/cedselementdetails.aspx?termid=26054")</f>
        <v>https://ceds.ed.gov/cedselementdetails.aspx?termid=26054</v>
      </c>
      <c r="Q2453" s="16">
        <v>76135</v>
      </c>
    </row>
    <row r="2454" spans="1:17" ht="57.6" x14ac:dyDescent="0.3">
      <c r="A2454" s="16" t="s">
        <v>7665</v>
      </c>
      <c r="B2454" s="16" t="s">
        <v>7714</v>
      </c>
      <c r="C2454" s="16"/>
      <c r="D2454" s="16" t="s">
        <v>7597</v>
      </c>
      <c r="E2454" s="16" t="s">
        <v>2565</v>
      </c>
      <c r="F2454" s="16" t="s">
        <v>2566</v>
      </c>
      <c r="G2454" s="16" t="s">
        <v>32</v>
      </c>
      <c r="H2454" s="16" t="s">
        <v>1927</v>
      </c>
      <c r="I2454" s="16"/>
      <c r="J2454" s="16" t="s">
        <v>106</v>
      </c>
      <c r="K2454" s="16"/>
      <c r="L2454" s="16" t="s">
        <v>131</v>
      </c>
      <c r="M2454" s="19" t="s">
        <v>2567</v>
      </c>
      <c r="N2454" s="16"/>
      <c r="O2454" s="16" t="s">
        <v>2568</v>
      </c>
      <c r="P2454" s="16" t="str">
        <f>HYPERLINK("https://ceds.ed.gov/cedselementdetails.aspx?termid=26059")</f>
        <v>https://ceds.ed.gov/cedselementdetails.aspx?termid=26059</v>
      </c>
      <c r="Q2454" s="16">
        <v>76136</v>
      </c>
    </row>
    <row r="2455" spans="1:17" ht="57.6" x14ac:dyDescent="0.3">
      <c r="A2455" s="16" t="s">
        <v>7665</v>
      </c>
      <c r="B2455" s="16" t="s">
        <v>7714</v>
      </c>
      <c r="C2455" s="16"/>
      <c r="D2455" s="16" t="s">
        <v>7597</v>
      </c>
      <c r="E2455" s="16" t="s">
        <v>8933</v>
      </c>
      <c r="F2455" s="16" t="s">
        <v>8934</v>
      </c>
      <c r="G2455" s="16" t="s">
        <v>2987</v>
      </c>
      <c r="H2455" s="16"/>
      <c r="I2455" s="16"/>
      <c r="J2455" s="16" t="s">
        <v>2</v>
      </c>
      <c r="K2455" s="16"/>
      <c r="L2455" s="16" t="s">
        <v>8935</v>
      </c>
      <c r="M2455" s="19" t="s">
        <v>8936</v>
      </c>
      <c r="N2455" s="16"/>
      <c r="O2455" s="16" t="s">
        <v>8937</v>
      </c>
      <c r="P2455" s="16" t="str">
        <f>HYPERLINK("https://ceds.ed.gov/cedselementdetails.aspx?termid=28010")</f>
        <v>https://ceds.ed.gov/cedselementdetails.aspx?termid=28010</v>
      </c>
      <c r="Q2455" s="16">
        <v>76137</v>
      </c>
    </row>
    <row r="2456" spans="1:17" ht="28.8" x14ac:dyDescent="0.3">
      <c r="A2456" s="16" t="s">
        <v>7665</v>
      </c>
      <c r="B2456" s="16" t="s">
        <v>7714</v>
      </c>
      <c r="C2456" s="16"/>
      <c r="D2456" s="16" t="s">
        <v>7597</v>
      </c>
      <c r="E2456" s="16" t="s">
        <v>2678</v>
      </c>
      <c r="F2456" s="16" t="s">
        <v>2679</v>
      </c>
      <c r="G2456" s="16" t="s">
        <v>32</v>
      </c>
      <c r="H2456" s="16"/>
      <c r="I2456" s="16"/>
      <c r="J2456" s="16" t="s">
        <v>305</v>
      </c>
      <c r="K2456" s="16"/>
      <c r="L2456" s="16"/>
      <c r="M2456" s="19" t="s">
        <v>2680</v>
      </c>
      <c r="N2456" s="16"/>
      <c r="O2456" s="16" t="s">
        <v>2681</v>
      </c>
      <c r="P2456" s="16" t="str">
        <f>HYPERLINK("https://ceds.ed.gov/cedselementdetails.aspx?termid=27636")</f>
        <v>https://ceds.ed.gov/cedselementdetails.aspx?termid=27636</v>
      </c>
      <c r="Q2456" s="16">
        <v>76138</v>
      </c>
    </row>
    <row r="2457" spans="1:17" ht="129.6" x14ac:dyDescent="0.3">
      <c r="A2457" s="16" t="s">
        <v>7665</v>
      </c>
      <c r="B2457" s="16" t="s">
        <v>7714</v>
      </c>
      <c r="C2457" s="16"/>
      <c r="D2457" s="16" t="s">
        <v>7597</v>
      </c>
      <c r="E2457" s="16" t="s">
        <v>2691</v>
      </c>
      <c r="F2457" s="16" t="s">
        <v>2692</v>
      </c>
      <c r="G2457" s="16" t="s">
        <v>32</v>
      </c>
      <c r="H2457" s="16" t="s">
        <v>2695</v>
      </c>
      <c r="I2457" s="16"/>
      <c r="J2457" s="16" t="s">
        <v>305</v>
      </c>
      <c r="K2457" s="16"/>
      <c r="L2457" s="16"/>
      <c r="M2457" s="19" t="s">
        <v>2693</v>
      </c>
      <c r="N2457" s="16"/>
      <c r="O2457" s="16" t="s">
        <v>2694</v>
      </c>
      <c r="P2457" s="16" t="str">
        <f>HYPERLINK("https://ceds.ed.gov/cedselementdetails.aspx?termid=26101")</f>
        <v>https://ceds.ed.gov/cedselementdetails.aspx?termid=26101</v>
      </c>
      <c r="Q2457" s="16">
        <v>76139</v>
      </c>
    </row>
    <row r="2458" spans="1:17" ht="72" x14ac:dyDescent="0.3">
      <c r="A2458" s="16" t="s">
        <v>7665</v>
      </c>
      <c r="B2458" s="16" t="s">
        <v>7714</v>
      </c>
      <c r="C2458" s="16"/>
      <c r="D2458" s="16" t="s">
        <v>7597</v>
      </c>
      <c r="E2458" s="16" t="s">
        <v>9245</v>
      </c>
      <c r="F2458" s="16" t="s">
        <v>9246</v>
      </c>
      <c r="G2458" s="16" t="s">
        <v>32</v>
      </c>
      <c r="H2458" s="16"/>
      <c r="I2458" s="16"/>
      <c r="J2458" s="16" t="s">
        <v>9247</v>
      </c>
      <c r="K2458" s="16"/>
      <c r="L2458" s="16" t="s">
        <v>6512</v>
      </c>
      <c r="M2458" s="19" t="s">
        <v>9248</v>
      </c>
      <c r="N2458" s="16"/>
      <c r="O2458" s="16" t="s">
        <v>9249</v>
      </c>
      <c r="P2458" s="16" t="str">
        <f>HYPERLINK("https://ceds.ed.gov/cedselementdetails.aspx?termid=28085")</f>
        <v>https://ceds.ed.gov/cedselementdetails.aspx?termid=28085</v>
      </c>
      <c r="Q2458" s="16">
        <v>76330</v>
      </c>
    </row>
    <row r="2459" spans="1:17" ht="331.2" x14ac:dyDescent="0.3">
      <c r="A2459" s="16" t="s">
        <v>7665</v>
      </c>
      <c r="B2459" s="16" t="s">
        <v>7714</v>
      </c>
      <c r="C2459" s="16"/>
      <c r="D2459" s="16" t="s">
        <v>7597</v>
      </c>
      <c r="E2459" s="16" t="s">
        <v>12826</v>
      </c>
      <c r="F2459" s="16" t="s">
        <v>12827</v>
      </c>
      <c r="G2459" s="16" t="s">
        <v>12917</v>
      </c>
      <c r="H2459" s="16"/>
      <c r="I2459" s="16" t="s">
        <v>155</v>
      </c>
      <c r="J2459" s="16" t="s">
        <v>2</v>
      </c>
      <c r="K2459" s="16" t="s">
        <v>12636</v>
      </c>
      <c r="L2459" s="16" t="s">
        <v>12828</v>
      </c>
      <c r="M2459" s="19" t="s">
        <v>12829</v>
      </c>
      <c r="N2459" s="16"/>
      <c r="O2459" s="16" t="s">
        <v>12830</v>
      </c>
      <c r="P2459" s="16" t="str">
        <f>HYPERLINK("https://ceds.ed.gov/cedselementdetails.aspx?termid=28096")</f>
        <v>https://ceds.ed.gov/cedselementdetails.aspx?termid=28096</v>
      </c>
      <c r="Q2459" s="16">
        <v>76567</v>
      </c>
    </row>
    <row r="2460" spans="1:17" ht="172.8" x14ac:dyDescent="0.3">
      <c r="A2460" s="16" t="s">
        <v>7665</v>
      </c>
      <c r="B2460" s="16" t="s">
        <v>7715</v>
      </c>
      <c r="C2460" s="16"/>
      <c r="D2460" s="16" t="s">
        <v>7597</v>
      </c>
      <c r="E2460" s="16" t="s">
        <v>2670</v>
      </c>
      <c r="F2460" s="16" t="s">
        <v>2671</v>
      </c>
      <c r="G2460" s="16" t="s">
        <v>32</v>
      </c>
      <c r="H2460" s="16"/>
      <c r="I2460" s="16"/>
      <c r="J2460" s="16" t="s">
        <v>120</v>
      </c>
      <c r="K2460" s="16"/>
      <c r="L2460" s="16" t="s">
        <v>7817</v>
      </c>
      <c r="M2460" s="19" t="s">
        <v>2672</v>
      </c>
      <c r="N2460" s="16"/>
      <c r="O2460" s="16" t="s">
        <v>2673</v>
      </c>
      <c r="P2460" s="16" t="str">
        <f>HYPERLINK("https://ceds.ed.gov/cedselementdetails.aspx?termid=26979")</f>
        <v>https://ceds.ed.gov/cedselementdetails.aspx?termid=26979</v>
      </c>
      <c r="Q2460" s="16">
        <v>71430</v>
      </c>
    </row>
    <row r="2461" spans="1:17" ht="100.8" x14ac:dyDescent="0.3">
      <c r="A2461" s="16" t="s">
        <v>7665</v>
      </c>
      <c r="B2461" s="16" t="s">
        <v>7715</v>
      </c>
      <c r="C2461" s="16"/>
      <c r="D2461" s="16" t="s">
        <v>7597</v>
      </c>
      <c r="E2461" s="16" t="s">
        <v>6620</v>
      </c>
      <c r="F2461" s="16" t="s">
        <v>6621</v>
      </c>
      <c r="G2461" s="16" t="s">
        <v>32</v>
      </c>
      <c r="H2461" s="16" t="s">
        <v>1484</v>
      </c>
      <c r="I2461" s="16"/>
      <c r="J2461" s="16" t="s">
        <v>106</v>
      </c>
      <c r="K2461" s="16"/>
      <c r="L2461" s="16"/>
      <c r="M2461" s="19" t="s">
        <v>6622</v>
      </c>
      <c r="N2461" s="16"/>
      <c r="O2461" s="16" t="s">
        <v>6623</v>
      </c>
      <c r="P2461" s="16" t="str">
        <f>HYPERLINK("https://ceds.ed.gov/cedselementdetails.aspx?termid=26251")</f>
        <v>https://ceds.ed.gov/cedselementdetails.aspx?termid=26251</v>
      </c>
      <c r="Q2461" s="16">
        <v>71014</v>
      </c>
    </row>
    <row r="2462" spans="1:17" ht="100.8" x14ac:dyDescent="0.3">
      <c r="A2462" s="16" t="s">
        <v>7665</v>
      </c>
      <c r="B2462" s="16" t="s">
        <v>7715</v>
      </c>
      <c r="C2462" s="16"/>
      <c r="D2462" s="16" t="s">
        <v>7597</v>
      </c>
      <c r="E2462" s="16" t="s">
        <v>6637</v>
      </c>
      <c r="F2462" s="16" t="s">
        <v>6638</v>
      </c>
      <c r="G2462" s="16" t="s">
        <v>32</v>
      </c>
      <c r="H2462" s="16" t="s">
        <v>1484</v>
      </c>
      <c r="I2462" s="16"/>
      <c r="J2462" s="16" t="s">
        <v>106</v>
      </c>
      <c r="K2462" s="16"/>
      <c r="L2462" s="16" t="s">
        <v>131</v>
      </c>
      <c r="M2462" s="19" t="s">
        <v>6639</v>
      </c>
      <c r="N2462" s="16"/>
      <c r="O2462" s="16" t="s">
        <v>6640</v>
      </c>
      <c r="P2462" s="16" t="str">
        <f>HYPERLINK("https://ceds.ed.gov/cedselementdetails.aspx?termid=26253")</f>
        <v>https://ceds.ed.gov/cedselementdetails.aspx?termid=26253</v>
      </c>
      <c r="Q2462" s="16">
        <v>71016</v>
      </c>
    </row>
    <row r="2463" spans="1:17" ht="28.8" x14ac:dyDescent="0.3">
      <c r="A2463" s="16" t="s">
        <v>7665</v>
      </c>
      <c r="B2463" s="16" t="s">
        <v>7715</v>
      </c>
      <c r="C2463" s="16"/>
      <c r="D2463" s="16" t="s">
        <v>7597</v>
      </c>
      <c r="E2463" s="16" t="s">
        <v>6632</v>
      </c>
      <c r="F2463" s="16" t="s">
        <v>6633</v>
      </c>
      <c r="G2463" s="16" t="s">
        <v>32</v>
      </c>
      <c r="H2463" s="16" t="s">
        <v>1927</v>
      </c>
      <c r="I2463" s="16"/>
      <c r="J2463" s="16" t="s">
        <v>3093</v>
      </c>
      <c r="K2463" s="16"/>
      <c r="L2463" s="16"/>
      <c r="M2463" s="19" t="s">
        <v>6635</v>
      </c>
      <c r="N2463" s="16"/>
      <c r="O2463" s="16" t="s">
        <v>6636</v>
      </c>
      <c r="P2463" s="16" t="str">
        <f>HYPERLINK("https://ceds.ed.gov/cedselementdetails.aspx?termid=26252")</f>
        <v>https://ceds.ed.gov/cedselementdetails.aspx?termid=26252</v>
      </c>
      <c r="Q2463" s="16">
        <v>71015</v>
      </c>
    </row>
    <row r="2464" spans="1:17" ht="172.8" x14ac:dyDescent="0.3">
      <c r="A2464" s="16" t="s">
        <v>7665</v>
      </c>
      <c r="B2464" s="16" t="s">
        <v>7715</v>
      </c>
      <c r="C2464" s="16"/>
      <c r="D2464" s="16" t="s">
        <v>7597</v>
      </c>
      <c r="E2464" s="16" t="s">
        <v>6657</v>
      </c>
      <c r="F2464" s="16" t="s">
        <v>6658</v>
      </c>
      <c r="G2464" s="16" t="s">
        <v>8830</v>
      </c>
      <c r="H2464" s="16" t="s">
        <v>1484</v>
      </c>
      <c r="I2464" s="16"/>
      <c r="J2464" s="16"/>
      <c r="K2464" s="16"/>
      <c r="L2464" s="16"/>
      <c r="M2464" s="19" t="s">
        <v>6660</v>
      </c>
      <c r="N2464" s="16"/>
      <c r="O2464" s="16" t="s">
        <v>6661</v>
      </c>
      <c r="P2464" s="16" t="str">
        <f>HYPERLINK("https://ceds.ed.gov/cedselementdetails.aspx?termid=26254")</f>
        <v>https://ceds.ed.gov/cedselementdetails.aspx?termid=26254</v>
      </c>
      <c r="Q2464" s="16">
        <v>71017</v>
      </c>
    </row>
    <row r="2465" spans="1:17" ht="43.2" x14ac:dyDescent="0.3">
      <c r="A2465" s="16" t="s">
        <v>7665</v>
      </c>
      <c r="B2465" s="16" t="s">
        <v>7715</v>
      </c>
      <c r="C2465" s="16"/>
      <c r="D2465" s="16" t="s">
        <v>7597</v>
      </c>
      <c r="E2465" s="16" t="s">
        <v>6624</v>
      </c>
      <c r="F2465" s="16" t="s">
        <v>6625</v>
      </c>
      <c r="G2465" s="16" t="s">
        <v>32</v>
      </c>
      <c r="H2465" s="16"/>
      <c r="I2465" s="16"/>
      <c r="J2465" s="16" t="s">
        <v>81</v>
      </c>
      <c r="K2465" s="16"/>
      <c r="L2465" s="16"/>
      <c r="M2465" s="19" t="s">
        <v>6626</v>
      </c>
      <c r="N2465" s="16"/>
      <c r="O2465" s="16" t="s">
        <v>6627</v>
      </c>
      <c r="P2465" s="16" t="str">
        <f>HYPERLINK("https://ceds.ed.gov/cedselementdetails.aspx?termid=27236")</f>
        <v>https://ceds.ed.gov/cedselementdetails.aspx?termid=27236</v>
      </c>
      <c r="Q2465" s="16">
        <v>74245</v>
      </c>
    </row>
    <row r="2466" spans="1:17" x14ac:dyDescent="0.3">
      <c r="A2466" s="16" t="s">
        <v>7665</v>
      </c>
      <c r="B2466" s="16" t="s">
        <v>7715</v>
      </c>
      <c r="C2466" s="16"/>
      <c r="D2466" s="16" t="s">
        <v>7597</v>
      </c>
      <c r="E2466" s="16" t="s">
        <v>6628</v>
      </c>
      <c r="F2466" s="16" t="s">
        <v>6629</v>
      </c>
      <c r="G2466" s="16" t="s">
        <v>32</v>
      </c>
      <c r="H2466" s="16"/>
      <c r="I2466" s="16"/>
      <c r="J2466" s="16" t="s">
        <v>316</v>
      </c>
      <c r="K2466" s="16"/>
      <c r="L2466" s="16"/>
      <c r="M2466" s="19" t="s">
        <v>6630</v>
      </c>
      <c r="N2466" s="16"/>
      <c r="O2466" s="16" t="s">
        <v>6631</v>
      </c>
      <c r="P2466" s="16" t="str">
        <f>HYPERLINK("https://ceds.ed.gov/cedselementdetails.aspx?termid=27237")</f>
        <v>https://ceds.ed.gov/cedselementdetails.aspx?termid=27237</v>
      </c>
      <c r="Q2466" s="16">
        <v>74246</v>
      </c>
    </row>
    <row r="2467" spans="1:17" ht="409.6" x14ac:dyDescent="0.3">
      <c r="A2467" s="16" t="s">
        <v>7665</v>
      </c>
      <c r="B2467" s="16" t="s">
        <v>7715</v>
      </c>
      <c r="C2467" s="16"/>
      <c r="D2467" s="16" t="s">
        <v>7597</v>
      </c>
      <c r="E2467" s="16" t="s">
        <v>293</v>
      </c>
      <c r="F2467" s="16" t="s">
        <v>7826</v>
      </c>
      <c r="G2467" s="16" t="s">
        <v>8313</v>
      </c>
      <c r="H2467" s="16"/>
      <c r="I2467" s="16"/>
      <c r="J2467" s="16" t="s">
        <v>145</v>
      </c>
      <c r="K2467" s="16"/>
      <c r="L2467" s="16"/>
      <c r="M2467" s="19" t="s">
        <v>295</v>
      </c>
      <c r="N2467" s="16" t="s">
        <v>296</v>
      </c>
      <c r="O2467" s="16" t="s">
        <v>297</v>
      </c>
      <c r="P2467" s="16" t="str">
        <f>HYPERLINK("https://ceds.ed.gov/cedselementdetails.aspx?termid=27244")</f>
        <v>https://ceds.ed.gov/cedselementdetails.aspx?termid=27244</v>
      </c>
      <c r="Q2467" s="16">
        <v>73567</v>
      </c>
    </row>
    <row r="2468" spans="1:17" ht="43.2" x14ac:dyDescent="0.3">
      <c r="A2468" s="16" t="s">
        <v>7665</v>
      </c>
      <c r="B2468" s="16" t="s">
        <v>7715</v>
      </c>
      <c r="C2468" s="16"/>
      <c r="D2468" s="16" t="s">
        <v>7597</v>
      </c>
      <c r="E2468" s="16" t="s">
        <v>2556</v>
      </c>
      <c r="F2468" s="16" t="s">
        <v>2557</v>
      </c>
      <c r="G2468" s="16" t="s">
        <v>32</v>
      </c>
      <c r="H2468" s="16"/>
      <c r="I2468" s="16"/>
      <c r="J2468" s="16" t="s">
        <v>9316</v>
      </c>
      <c r="K2468" s="16"/>
      <c r="L2468" s="16"/>
      <c r="M2468" s="19" t="s">
        <v>2558</v>
      </c>
      <c r="N2468" s="16"/>
      <c r="O2468" s="16" t="s">
        <v>2559</v>
      </c>
      <c r="P2468" s="16" t="str">
        <f>HYPERLINK("https://ceds.ed.gov/cedselementdetails.aspx?termid=26508")</f>
        <v>https://ceds.ed.gov/cedselementdetails.aspx?termid=26508</v>
      </c>
      <c r="Q2468" s="16">
        <v>73102</v>
      </c>
    </row>
    <row r="2469" spans="1:17" ht="409.6" x14ac:dyDescent="0.3">
      <c r="A2469" s="16" t="s">
        <v>7665</v>
      </c>
      <c r="B2469" s="16" t="s">
        <v>7715</v>
      </c>
      <c r="C2469" s="16"/>
      <c r="D2469" s="16" t="s">
        <v>7597</v>
      </c>
      <c r="E2469" s="16" t="s">
        <v>2523</v>
      </c>
      <c r="F2469" s="16" t="s">
        <v>2524</v>
      </c>
      <c r="G2469" s="16" t="s">
        <v>8458</v>
      </c>
      <c r="H2469" s="16"/>
      <c r="I2469" s="16"/>
      <c r="J2469" s="16"/>
      <c r="K2469" s="16"/>
      <c r="L2469" s="16" t="s">
        <v>7917</v>
      </c>
      <c r="M2469" s="19" t="s">
        <v>2526</v>
      </c>
      <c r="N2469" s="16"/>
      <c r="O2469" s="16" t="s">
        <v>2527</v>
      </c>
      <c r="P2469" s="16" t="str">
        <f>HYPERLINK("https://ceds.ed.gov/cedselementdetails.aspx?termid=27267")</f>
        <v>https://ceds.ed.gov/cedselementdetails.aspx?termid=27267</v>
      </c>
      <c r="Q2469" s="16">
        <v>73097</v>
      </c>
    </row>
    <row r="2470" spans="1:17" ht="244.8" x14ac:dyDescent="0.3">
      <c r="A2470" s="16" t="s">
        <v>7665</v>
      </c>
      <c r="B2470" s="16" t="s">
        <v>7715</v>
      </c>
      <c r="C2470" s="16"/>
      <c r="D2470" s="16" t="s">
        <v>7597</v>
      </c>
      <c r="E2470" s="16" t="s">
        <v>1887</v>
      </c>
      <c r="F2470" s="16" t="s">
        <v>1888</v>
      </c>
      <c r="G2470" s="16" t="s">
        <v>8425</v>
      </c>
      <c r="H2470" s="16"/>
      <c r="I2470" s="16" t="s">
        <v>160</v>
      </c>
      <c r="J2470" s="16"/>
      <c r="K2470" s="16" t="s">
        <v>12935</v>
      </c>
      <c r="L2470" s="16" t="s">
        <v>7896</v>
      </c>
      <c r="M2470" s="19" t="s">
        <v>1889</v>
      </c>
      <c r="N2470" s="16"/>
      <c r="O2470" s="16" t="s">
        <v>1890</v>
      </c>
      <c r="P2470" s="16" t="str">
        <f>HYPERLINK("https://ceds.ed.gov/cedselementdetails.aspx?termid=27254")</f>
        <v>https://ceds.ed.gov/cedselementdetails.aspx?termid=27254</v>
      </c>
      <c r="Q2470" s="16">
        <v>73075</v>
      </c>
    </row>
    <row r="2471" spans="1:17" ht="43.2" x14ac:dyDescent="0.3">
      <c r="A2471" s="16" t="s">
        <v>7665</v>
      </c>
      <c r="B2471" s="16" t="s">
        <v>7715</v>
      </c>
      <c r="C2471" s="16"/>
      <c r="D2471" s="16" t="s">
        <v>7597</v>
      </c>
      <c r="E2471" s="16" t="s">
        <v>2519</v>
      </c>
      <c r="F2471" s="16" t="s">
        <v>2520</v>
      </c>
      <c r="G2471" s="16" t="s">
        <v>22</v>
      </c>
      <c r="H2471" s="16"/>
      <c r="I2471" s="16"/>
      <c r="J2471" s="16"/>
      <c r="K2471" s="16"/>
      <c r="L2471" s="16"/>
      <c r="M2471" s="19" t="s">
        <v>2521</v>
      </c>
      <c r="N2471" s="16"/>
      <c r="O2471" s="16" t="s">
        <v>2522</v>
      </c>
      <c r="P2471" s="16" t="str">
        <f>HYPERLINK("https://ceds.ed.gov/cedselementdetails.aspx?termid=26013")</f>
        <v>https://ceds.ed.gov/cedselementdetails.aspx?termid=26013</v>
      </c>
      <c r="Q2471" s="16">
        <v>71941</v>
      </c>
    </row>
    <row r="2472" spans="1:17" ht="43.2" x14ac:dyDescent="0.3">
      <c r="A2472" s="16" t="s">
        <v>7665</v>
      </c>
      <c r="B2472" s="16" t="s">
        <v>7715</v>
      </c>
      <c r="C2472" s="16"/>
      <c r="D2472" s="16" t="s">
        <v>7597</v>
      </c>
      <c r="E2472" s="16" t="s">
        <v>6645</v>
      </c>
      <c r="F2472" s="16" t="s">
        <v>6646</v>
      </c>
      <c r="G2472" s="16" t="s">
        <v>22</v>
      </c>
      <c r="H2472" s="16"/>
      <c r="I2472" s="16"/>
      <c r="J2472" s="16"/>
      <c r="K2472" s="16"/>
      <c r="L2472" s="16"/>
      <c r="M2472" s="19" t="s">
        <v>6647</v>
      </c>
      <c r="N2472" s="16"/>
      <c r="O2472" s="16" t="s">
        <v>6648</v>
      </c>
      <c r="P2472" s="16" t="str">
        <f>HYPERLINK("https://ceds.ed.gov/cedselementdetails.aspx?termid=27238")</f>
        <v>https://ceds.ed.gov/cedselementdetails.aspx?termid=27238</v>
      </c>
      <c r="Q2472" s="16">
        <v>74247</v>
      </c>
    </row>
    <row r="2473" spans="1:17" ht="43.2" x14ac:dyDescent="0.3">
      <c r="A2473" s="16" t="s">
        <v>7665</v>
      </c>
      <c r="B2473" s="16" t="s">
        <v>7715</v>
      </c>
      <c r="C2473" s="16"/>
      <c r="D2473" s="16" t="s">
        <v>7597</v>
      </c>
      <c r="E2473" s="16" t="s">
        <v>6649</v>
      </c>
      <c r="F2473" s="16" t="s">
        <v>6650</v>
      </c>
      <c r="G2473" s="16" t="s">
        <v>22</v>
      </c>
      <c r="H2473" s="16"/>
      <c r="I2473" s="16"/>
      <c r="J2473" s="16"/>
      <c r="K2473" s="16"/>
      <c r="L2473" s="16"/>
      <c r="M2473" s="19" t="s">
        <v>6651</v>
      </c>
      <c r="N2473" s="16"/>
      <c r="O2473" s="16" t="s">
        <v>6652</v>
      </c>
      <c r="P2473" s="16" t="str">
        <f>HYPERLINK("https://ceds.ed.gov/cedselementdetails.aspx?termid=27239")</f>
        <v>https://ceds.ed.gov/cedselementdetails.aspx?termid=27239</v>
      </c>
      <c r="Q2473" s="16">
        <v>74248</v>
      </c>
    </row>
    <row r="2474" spans="1:17" ht="43.2" x14ac:dyDescent="0.3">
      <c r="A2474" s="16" t="s">
        <v>7665</v>
      </c>
      <c r="B2474" s="16" t="s">
        <v>7715</v>
      </c>
      <c r="C2474" s="16"/>
      <c r="D2474" s="16" t="s">
        <v>7597</v>
      </c>
      <c r="E2474" s="16" t="s">
        <v>6615</v>
      </c>
      <c r="F2474" s="16" t="s">
        <v>6616</v>
      </c>
      <c r="G2474" s="16" t="s">
        <v>22</v>
      </c>
      <c r="H2474" s="16"/>
      <c r="I2474" s="16"/>
      <c r="J2474" s="16"/>
      <c r="K2474" s="16"/>
      <c r="L2474" s="16"/>
      <c r="M2474" s="19" t="s">
        <v>6618</v>
      </c>
      <c r="N2474" s="16"/>
      <c r="O2474" s="16" t="s">
        <v>6619</v>
      </c>
      <c r="P2474" s="16" t="str">
        <f>HYPERLINK("https://ceds.ed.gov/cedselementdetails.aspx?termid=27240")</f>
        <v>https://ceds.ed.gov/cedselementdetails.aspx?termid=27240</v>
      </c>
      <c r="Q2474" s="16">
        <v>74249</v>
      </c>
    </row>
    <row r="2475" spans="1:17" ht="129.6" x14ac:dyDescent="0.3">
      <c r="A2475" s="16" t="s">
        <v>7665</v>
      </c>
      <c r="B2475" s="16" t="s">
        <v>7715</v>
      </c>
      <c r="C2475" s="16"/>
      <c r="D2475" s="16" t="s">
        <v>7597</v>
      </c>
      <c r="E2475" s="16" t="s">
        <v>2691</v>
      </c>
      <c r="F2475" s="16" t="s">
        <v>2692</v>
      </c>
      <c r="G2475" s="16" t="s">
        <v>32</v>
      </c>
      <c r="H2475" s="16" t="s">
        <v>2695</v>
      </c>
      <c r="I2475" s="16"/>
      <c r="J2475" s="16" t="s">
        <v>305</v>
      </c>
      <c r="K2475" s="16"/>
      <c r="L2475" s="16"/>
      <c r="M2475" s="19" t="s">
        <v>2693</v>
      </c>
      <c r="N2475" s="16"/>
      <c r="O2475" s="16" t="s">
        <v>2694</v>
      </c>
      <c r="P2475" s="16" t="str">
        <f>HYPERLINK("https://ceds.ed.gov/cedselementdetails.aspx?termid=26101")</f>
        <v>https://ceds.ed.gov/cedselementdetails.aspx?termid=26101</v>
      </c>
      <c r="Q2475" s="16">
        <v>71951</v>
      </c>
    </row>
    <row r="2476" spans="1:17" ht="28.8" x14ac:dyDescent="0.3">
      <c r="A2476" s="16" t="s">
        <v>7665</v>
      </c>
      <c r="B2476" s="16" t="s">
        <v>7715</v>
      </c>
      <c r="C2476" s="16"/>
      <c r="D2476" s="16" t="s">
        <v>7597</v>
      </c>
      <c r="E2476" s="16" t="s">
        <v>2021</v>
      </c>
      <c r="F2476" s="16" t="s">
        <v>2022</v>
      </c>
      <c r="G2476" s="16" t="s">
        <v>32</v>
      </c>
      <c r="H2476" s="16" t="s">
        <v>2025</v>
      </c>
      <c r="I2476" s="16"/>
      <c r="J2476" s="16" t="s">
        <v>403</v>
      </c>
      <c r="K2476" s="16"/>
      <c r="L2476" s="16"/>
      <c r="M2476" s="19" t="s">
        <v>2023</v>
      </c>
      <c r="N2476" s="16"/>
      <c r="O2476" s="16" t="s">
        <v>2024</v>
      </c>
      <c r="P2476" s="16" t="str">
        <f>HYPERLINK("https://ceds.ed.gov/cedselementdetails.aspx?termid=26510")</f>
        <v>https://ceds.ed.gov/cedselementdetails.aspx?termid=26510</v>
      </c>
      <c r="Q2476" s="16">
        <v>71021</v>
      </c>
    </row>
    <row r="2477" spans="1:17" ht="28.8" x14ac:dyDescent="0.3">
      <c r="A2477" s="16" t="s">
        <v>7665</v>
      </c>
      <c r="B2477" s="16" t="s">
        <v>7715</v>
      </c>
      <c r="C2477" s="16"/>
      <c r="D2477" s="16" t="s">
        <v>7597</v>
      </c>
      <c r="E2477" s="16" t="s">
        <v>2026</v>
      </c>
      <c r="F2477" s="16" t="s">
        <v>2027</v>
      </c>
      <c r="G2477" s="16" t="s">
        <v>32</v>
      </c>
      <c r="H2477" s="16" t="s">
        <v>2025</v>
      </c>
      <c r="I2477" s="16"/>
      <c r="J2477" s="16" t="s">
        <v>403</v>
      </c>
      <c r="K2477" s="16"/>
      <c r="L2477" s="16"/>
      <c r="M2477" s="19" t="s">
        <v>2028</v>
      </c>
      <c r="N2477" s="16"/>
      <c r="O2477" s="16" t="s">
        <v>2029</v>
      </c>
      <c r="P2477" s="16" t="str">
        <f>HYPERLINK("https://ceds.ed.gov/cedselementdetails.aspx?termid=26511")</f>
        <v>https://ceds.ed.gov/cedselementdetails.aspx?termid=26511</v>
      </c>
      <c r="Q2477" s="16">
        <v>71022</v>
      </c>
    </row>
    <row r="2478" spans="1:17" ht="57.6" x14ac:dyDescent="0.3">
      <c r="A2478" s="16" t="s">
        <v>7665</v>
      </c>
      <c r="B2478" s="16" t="s">
        <v>7715</v>
      </c>
      <c r="C2478" s="16"/>
      <c r="D2478" s="16" t="s">
        <v>7597</v>
      </c>
      <c r="E2478" s="16" t="s">
        <v>2030</v>
      </c>
      <c r="F2478" s="16" t="s">
        <v>2031</v>
      </c>
      <c r="G2478" s="16" t="s">
        <v>32</v>
      </c>
      <c r="H2478" s="16"/>
      <c r="I2478" s="16"/>
      <c r="J2478" s="16" t="s">
        <v>145</v>
      </c>
      <c r="K2478" s="16"/>
      <c r="L2478" s="16"/>
      <c r="M2478" s="19" t="s">
        <v>2033</v>
      </c>
      <c r="N2478" s="16"/>
      <c r="O2478" s="16" t="s">
        <v>2034</v>
      </c>
      <c r="P2478" s="16" t="str">
        <f>HYPERLINK("https://ceds.ed.gov/cedselementdetails.aspx?termid=26512")</f>
        <v>https://ceds.ed.gov/cedselementdetails.aspx?termid=26512</v>
      </c>
      <c r="Q2478" s="16">
        <v>71023</v>
      </c>
    </row>
    <row r="2479" spans="1:17" ht="72" x14ac:dyDescent="0.3">
      <c r="A2479" s="16" t="s">
        <v>7665</v>
      </c>
      <c r="B2479" s="16" t="s">
        <v>7715</v>
      </c>
      <c r="C2479" s="16"/>
      <c r="D2479" s="16" t="s">
        <v>7597</v>
      </c>
      <c r="E2479" s="16" t="s">
        <v>2035</v>
      </c>
      <c r="F2479" s="16" t="s">
        <v>2036</v>
      </c>
      <c r="G2479" s="16" t="s">
        <v>32</v>
      </c>
      <c r="H2479" s="16"/>
      <c r="I2479" s="16"/>
      <c r="J2479" s="16" t="s">
        <v>81</v>
      </c>
      <c r="K2479" s="16"/>
      <c r="L2479" s="16"/>
      <c r="M2479" s="19" t="s">
        <v>2037</v>
      </c>
      <c r="N2479" s="16"/>
      <c r="O2479" s="16" t="s">
        <v>2038</v>
      </c>
      <c r="P2479" s="16" t="str">
        <f>HYPERLINK("https://ceds.ed.gov/cedselementdetails.aspx?termid=26513")</f>
        <v>https://ceds.ed.gov/cedselementdetails.aspx?termid=26513</v>
      </c>
      <c r="Q2479" s="16">
        <v>71024</v>
      </c>
    </row>
    <row r="2480" spans="1:17" ht="172.8" x14ac:dyDescent="0.3">
      <c r="A2480" s="16" t="s">
        <v>7665</v>
      </c>
      <c r="B2480" s="16" t="s">
        <v>7715</v>
      </c>
      <c r="C2480" s="16"/>
      <c r="D2480" s="16" t="s">
        <v>7597</v>
      </c>
      <c r="E2480" s="16" t="s">
        <v>7078</v>
      </c>
      <c r="F2480" s="16" t="s">
        <v>7079</v>
      </c>
      <c r="G2480" s="16" t="s">
        <v>32</v>
      </c>
      <c r="H2480" s="16"/>
      <c r="I2480" s="16"/>
      <c r="J2480" s="16" t="s">
        <v>120</v>
      </c>
      <c r="K2480" s="16"/>
      <c r="L2480" s="16" t="s">
        <v>7817</v>
      </c>
      <c r="M2480" s="19" t="s">
        <v>7080</v>
      </c>
      <c r="N2480" s="16"/>
      <c r="O2480" s="16" t="s">
        <v>7081</v>
      </c>
      <c r="P2480" s="16" t="str">
        <f>HYPERLINK("https://ceds.ed.gov/cedselementdetails.aspx?termid=26514")</f>
        <v>https://ceds.ed.gov/cedselementdetails.aspx?termid=26514</v>
      </c>
      <c r="Q2480" s="16">
        <v>71025</v>
      </c>
    </row>
    <row r="2481" spans="1:17" ht="28.8" x14ac:dyDescent="0.3">
      <c r="A2481" s="16" t="s">
        <v>7665</v>
      </c>
      <c r="B2481" s="16" t="s">
        <v>7715</v>
      </c>
      <c r="C2481" s="16"/>
      <c r="D2481" s="16" t="s">
        <v>7597</v>
      </c>
      <c r="E2481" s="16" t="s">
        <v>2678</v>
      </c>
      <c r="F2481" s="16" t="s">
        <v>2679</v>
      </c>
      <c r="G2481" s="16" t="s">
        <v>32</v>
      </c>
      <c r="H2481" s="16"/>
      <c r="I2481" s="16"/>
      <c r="J2481" s="16" t="s">
        <v>305</v>
      </c>
      <c r="K2481" s="16"/>
      <c r="L2481" s="16"/>
      <c r="M2481" s="19" t="s">
        <v>2680</v>
      </c>
      <c r="N2481" s="16"/>
      <c r="O2481" s="16" t="s">
        <v>2681</v>
      </c>
      <c r="P2481" s="16" t="str">
        <f>HYPERLINK("https://ceds.ed.gov/cedselementdetails.aspx?termid=27636")</f>
        <v>https://ceds.ed.gov/cedselementdetails.aspx?termid=27636</v>
      </c>
      <c r="Q2481" s="16">
        <v>74350</v>
      </c>
    </row>
    <row r="2482" spans="1:17" ht="115.2" x14ac:dyDescent="0.3">
      <c r="A2482" s="16" t="s">
        <v>7665</v>
      </c>
      <c r="B2482" s="16" t="s">
        <v>7715</v>
      </c>
      <c r="C2482" s="16"/>
      <c r="D2482" s="16" t="s">
        <v>7597</v>
      </c>
      <c r="E2482" s="16" t="s">
        <v>4715</v>
      </c>
      <c r="F2482" s="16" t="s">
        <v>4716</v>
      </c>
      <c r="G2482" s="16" t="s">
        <v>7313</v>
      </c>
      <c r="H2482" s="16" t="s">
        <v>202</v>
      </c>
      <c r="I2482" s="16"/>
      <c r="J2482" s="16"/>
      <c r="K2482" s="16"/>
      <c r="L2482" s="16" t="s">
        <v>7859</v>
      </c>
      <c r="M2482" s="19" t="s">
        <v>4717</v>
      </c>
      <c r="N2482" s="16"/>
      <c r="O2482" s="16" t="s">
        <v>4718</v>
      </c>
      <c r="P2482" s="16" t="str">
        <f>HYPERLINK("https://ceds.ed.gov/cedselementdetails.aspx?termid=26438")</f>
        <v>https://ceds.ed.gov/cedselementdetails.aspx?termid=26438</v>
      </c>
      <c r="Q2482" s="16">
        <v>71019</v>
      </c>
    </row>
    <row r="2483" spans="1:17" ht="172.8" x14ac:dyDescent="0.3">
      <c r="A2483" s="16" t="s">
        <v>7665</v>
      </c>
      <c r="B2483" s="16" t="s">
        <v>7715</v>
      </c>
      <c r="C2483" s="16"/>
      <c r="D2483" s="16" t="s">
        <v>7597</v>
      </c>
      <c r="E2483" s="16" t="s">
        <v>2060</v>
      </c>
      <c r="F2483" s="16" t="s">
        <v>2061</v>
      </c>
      <c r="G2483" s="16" t="s">
        <v>32</v>
      </c>
      <c r="H2483" s="16"/>
      <c r="I2483" s="16"/>
      <c r="J2483" s="16" t="s">
        <v>120</v>
      </c>
      <c r="K2483" s="16"/>
      <c r="L2483" s="16" t="s">
        <v>7817</v>
      </c>
      <c r="M2483" s="19" t="s">
        <v>2062</v>
      </c>
      <c r="N2483" s="16"/>
      <c r="O2483" s="16" t="s">
        <v>2063</v>
      </c>
      <c r="P2483" s="16" t="str">
        <f>HYPERLINK("https://ceds.ed.gov/cedselementdetails.aspx?termid=26507")</f>
        <v>https://ceds.ed.gov/cedselementdetails.aspx?termid=26507</v>
      </c>
      <c r="Q2483" s="16">
        <v>71020</v>
      </c>
    </row>
    <row r="2484" spans="1:17" ht="158.4" x14ac:dyDescent="0.3">
      <c r="A2484" s="16" t="s">
        <v>7665</v>
      </c>
      <c r="B2484" s="16" t="s">
        <v>7715</v>
      </c>
      <c r="C2484" s="16"/>
      <c r="D2484" s="16" t="s">
        <v>7597</v>
      </c>
      <c r="E2484" s="16" t="s">
        <v>6261</v>
      </c>
      <c r="F2484" s="16" t="s">
        <v>6262</v>
      </c>
      <c r="G2484" s="16" t="s">
        <v>8257</v>
      </c>
      <c r="H2484" s="16"/>
      <c r="I2484" s="16"/>
      <c r="J2484" s="16"/>
      <c r="K2484" s="16"/>
      <c r="L2484" s="16"/>
      <c r="M2484" s="19" t="s">
        <v>6263</v>
      </c>
      <c r="N2484" s="16"/>
      <c r="O2484" s="16" t="s">
        <v>6264</v>
      </c>
      <c r="P2484" s="16" t="str">
        <f>HYPERLINK("https://ceds.ed.gov/cedselementdetails.aspx?termid=26515")</f>
        <v>https://ceds.ed.gov/cedselementdetails.aspx?termid=26515</v>
      </c>
      <c r="Q2484" s="16">
        <v>71026</v>
      </c>
    </row>
    <row r="2485" spans="1:17" ht="244.8" x14ac:dyDescent="0.3">
      <c r="A2485" s="16" t="s">
        <v>7665</v>
      </c>
      <c r="B2485" s="16" t="s">
        <v>7715</v>
      </c>
      <c r="C2485" s="16"/>
      <c r="D2485" s="16" t="s">
        <v>7597</v>
      </c>
      <c r="E2485" s="16" t="s">
        <v>2064</v>
      </c>
      <c r="F2485" s="16" t="s">
        <v>2065</v>
      </c>
      <c r="G2485" s="16" t="s">
        <v>8213</v>
      </c>
      <c r="H2485" s="16"/>
      <c r="I2485" s="16"/>
      <c r="J2485" s="16"/>
      <c r="K2485" s="16"/>
      <c r="L2485" s="16"/>
      <c r="M2485" s="19" t="s">
        <v>2066</v>
      </c>
      <c r="N2485" s="16"/>
      <c r="O2485" s="16" t="s">
        <v>2067</v>
      </c>
      <c r="P2485" s="16" t="str">
        <f>HYPERLINK("https://ceds.ed.gov/cedselementdetails.aspx?termid=26615")</f>
        <v>https://ceds.ed.gov/cedselementdetails.aspx?termid=26615</v>
      </c>
      <c r="Q2485" s="16">
        <v>74127</v>
      </c>
    </row>
    <row r="2486" spans="1:17" ht="115.2" x14ac:dyDescent="0.3">
      <c r="A2486" s="16" t="s">
        <v>7665</v>
      </c>
      <c r="B2486" s="16" t="s">
        <v>7715</v>
      </c>
      <c r="C2486" s="16"/>
      <c r="D2486" s="16" t="s">
        <v>7597</v>
      </c>
      <c r="E2486" s="16" t="s">
        <v>7227</v>
      </c>
      <c r="F2486" s="16" t="s">
        <v>8171</v>
      </c>
      <c r="G2486" s="16" t="s">
        <v>22</v>
      </c>
      <c r="H2486" s="16"/>
      <c r="I2486" s="16"/>
      <c r="J2486" s="16"/>
      <c r="K2486" s="16"/>
      <c r="L2486" s="16"/>
      <c r="M2486" s="19" t="s">
        <v>7228</v>
      </c>
      <c r="N2486" s="16"/>
      <c r="O2486" s="16" t="s">
        <v>7229</v>
      </c>
      <c r="P2486" s="16" t="str">
        <f>HYPERLINK("https://ceds.ed.gov/cedselementdetails.aspx?termid=27167")</f>
        <v>https://ceds.ed.gov/cedselementdetails.aspx?termid=27167</v>
      </c>
      <c r="Q2486" s="16">
        <v>71576</v>
      </c>
    </row>
    <row r="2487" spans="1:17" ht="129.6" x14ac:dyDescent="0.3">
      <c r="A2487" s="16" t="s">
        <v>7665</v>
      </c>
      <c r="B2487" s="16" t="s">
        <v>7715</v>
      </c>
      <c r="C2487" s="16"/>
      <c r="D2487" s="16" t="s">
        <v>7597</v>
      </c>
      <c r="E2487" s="16" t="s">
        <v>2674</v>
      </c>
      <c r="F2487" s="16" t="s">
        <v>2675</v>
      </c>
      <c r="G2487" s="16" t="s">
        <v>8473</v>
      </c>
      <c r="H2487" s="16"/>
      <c r="I2487" s="16"/>
      <c r="J2487" s="16"/>
      <c r="K2487" s="16"/>
      <c r="L2487" s="16"/>
      <c r="M2487" s="19" t="s">
        <v>2676</v>
      </c>
      <c r="N2487" s="16"/>
      <c r="O2487" s="16" t="s">
        <v>2677</v>
      </c>
      <c r="P2487" s="16" t="str">
        <f>HYPERLINK("https://ceds.ed.gov/cedselementdetails.aspx?termid=27168")</f>
        <v>https://ceds.ed.gov/cedselementdetails.aspx?termid=27168</v>
      </c>
      <c r="Q2487" s="16">
        <v>71578</v>
      </c>
    </row>
    <row r="2488" spans="1:17" ht="144" x14ac:dyDescent="0.3">
      <c r="A2488" s="16" t="s">
        <v>7665</v>
      </c>
      <c r="B2488" s="16" t="s">
        <v>7715</v>
      </c>
      <c r="C2488" s="16"/>
      <c r="D2488" s="16" t="s">
        <v>7597</v>
      </c>
      <c r="E2488" s="16" t="s">
        <v>1522</v>
      </c>
      <c r="F2488" s="16" t="s">
        <v>1523</v>
      </c>
      <c r="G2488" s="16" t="s">
        <v>8212</v>
      </c>
      <c r="H2488" s="16"/>
      <c r="I2488" s="16"/>
      <c r="J2488" s="16"/>
      <c r="K2488" s="16"/>
      <c r="L2488" s="16" t="s">
        <v>1524</v>
      </c>
      <c r="M2488" s="19" t="s">
        <v>1525</v>
      </c>
      <c r="N2488" s="16"/>
      <c r="O2488" s="16" t="s">
        <v>1526</v>
      </c>
      <c r="P2488" s="16" t="str">
        <f>HYPERLINK("https://ceds.ed.gov/cedselementdetails.aspx?termid=27253")</f>
        <v>https://ceds.ed.gov/cedselementdetails.aspx?termid=27253</v>
      </c>
      <c r="Q2488" s="16">
        <v>73073</v>
      </c>
    </row>
    <row r="2489" spans="1:17" ht="43.2" x14ac:dyDescent="0.3">
      <c r="A2489" s="16" t="s">
        <v>7665</v>
      </c>
      <c r="B2489" s="16" t="s">
        <v>7715</v>
      </c>
      <c r="C2489" s="16"/>
      <c r="D2489" s="16" t="s">
        <v>7597</v>
      </c>
      <c r="E2489" s="16" t="s">
        <v>2601</v>
      </c>
      <c r="F2489" s="16" t="s">
        <v>2602</v>
      </c>
      <c r="G2489" s="16" t="s">
        <v>8467</v>
      </c>
      <c r="H2489" s="16"/>
      <c r="I2489" s="16"/>
      <c r="J2489" s="16"/>
      <c r="K2489" s="16"/>
      <c r="L2489" s="16" t="s">
        <v>2603</v>
      </c>
      <c r="M2489" s="19" t="s">
        <v>2604</v>
      </c>
      <c r="N2489" s="16"/>
      <c r="O2489" s="16" t="s">
        <v>2605</v>
      </c>
      <c r="P2489" s="16" t="str">
        <f>HYPERLINK("https://ceds.ed.gov/cedselementdetails.aspx?termid=27277")</f>
        <v>https://ceds.ed.gov/cedselementdetails.aspx?termid=27277</v>
      </c>
      <c r="Q2489" s="16">
        <v>73113</v>
      </c>
    </row>
    <row r="2490" spans="1:17" ht="57.6" x14ac:dyDescent="0.3">
      <c r="A2490" s="16" t="s">
        <v>7665</v>
      </c>
      <c r="B2490" s="16" t="s">
        <v>7715</v>
      </c>
      <c r="C2490" s="16"/>
      <c r="D2490" s="16" t="s">
        <v>7597</v>
      </c>
      <c r="E2490" s="16" t="s">
        <v>2686</v>
      </c>
      <c r="F2490" s="16" t="s">
        <v>2687</v>
      </c>
      <c r="G2490" s="16" t="s">
        <v>8474</v>
      </c>
      <c r="H2490" s="16" t="s">
        <v>2690</v>
      </c>
      <c r="I2490" s="16"/>
      <c r="J2490" s="16"/>
      <c r="K2490" s="16"/>
      <c r="L2490" s="16"/>
      <c r="M2490" s="19" t="s">
        <v>2688</v>
      </c>
      <c r="N2490" s="16"/>
      <c r="O2490" s="16" t="s">
        <v>2689</v>
      </c>
      <c r="P2490" s="16" t="str">
        <f>HYPERLINK("https://ceds.ed.gov/cedselementdetails.aspx?termid=26258")</f>
        <v>https://ceds.ed.gov/cedselementdetails.aspx?termid=26258</v>
      </c>
      <c r="Q2490" s="16">
        <v>71018</v>
      </c>
    </row>
    <row r="2491" spans="1:17" ht="57.6" x14ac:dyDescent="0.3">
      <c r="A2491" s="16" t="s">
        <v>7665</v>
      </c>
      <c r="B2491" s="16" t="s">
        <v>7715</v>
      </c>
      <c r="C2491" s="16"/>
      <c r="D2491" s="16" t="s">
        <v>7597</v>
      </c>
      <c r="E2491" s="16" t="s">
        <v>20</v>
      </c>
      <c r="F2491" s="16" t="s">
        <v>21</v>
      </c>
      <c r="G2491" s="16" t="s">
        <v>22</v>
      </c>
      <c r="H2491" s="16" t="s">
        <v>25</v>
      </c>
      <c r="I2491" s="16"/>
      <c r="J2491" s="16"/>
      <c r="K2491" s="16"/>
      <c r="L2491" s="16"/>
      <c r="M2491" s="19" t="s">
        <v>23</v>
      </c>
      <c r="N2491" s="16"/>
      <c r="O2491" s="16" t="s">
        <v>24</v>
      </c>
      <c r="P2491" s="16" t="str">
        <f>HYPERLINK("https://ceds.ed.gov/cedselementdetails.aspx?termid=26000")</f>
        <v>https://ceds.ed.gov/cedselementdetails.aspx?termid=26000</v>
      </c>
      <c r="Q2491" s="16">
        <v>73667</v>
      </c>
    </row>
    <row r="2492" spans="1:17" ht="100.8" x14ac:dyDescent="0.3">
      <c r="A2492" s="16" t="s">
        <v>7665</v>
      </c>
      <c r="B2492" s="16" t="s">
        <v>7715</v>
      </c>
      <c r="C2492" s="16"/>
      <c r="D2492" s="16" t="s">
        <v>7597</v>
      </c>
      <c r="E2492" s="16" t="s">
        <v>2574</v>
      </c>
      <c r="F2492" s="16" t="s">
        <v>2575</v>
      </c>
      <c r="G2492" s="16" t="s">
        <v>8463</v>
      </c>
      <c r="H2492" s="16" t="s">
        <v>1484</v>
      </c>
      <c r="I2492" s="16"/>
      <c r="J2492" s="16"/>
      <c r="K2492" s="16"/>
      <c r="L2492" s="16"/>
      <c r="M2492" s="19" t="s">
        <v>2577</v>
      </c>
      <c r="N2492" s="16" t="s">
        <v>2578</v>
      </c>
      <c r="O2492" s="16" t="s">
        <v>2579</v>
      </c>
      <c r="P2492" s="16" t="str">
        <f>HYPERLINK("https://ceds.ed.gov/cedselementdetails.aspx?termid=26060")</f>
        <v>https://ceds.ed.gov/cedselementdetails.aspx?termid=26060</v>
      </c>
      <c r="Q2492" s="16">
        <v>71945</v>
      </c>
    </row>
    <row r="2493" spans="1:17" ht="158.4" x14ac:dyDescent="0.3">
      <c r="A2493" s="16" t="s">
        <v>7665</v>
      </c>
      <c r="B2493" s="16" t="s">
        <v>7715</v>
      </c>
      <c r="C2493" s="16"/>
      <c r="D2493" s="16" t="s">
        <v>7597</v>
      </c>
      <c r="E2493" s="16" t="s">
        <v>148</v>
      </c>
      <c r="F2493" s="16" t="s">
        <v>149</v>
      </c>
      <c r="G2493" s="16" t="s">
        <v>8291</v>
      </c>
      <c r="H2493" s="16"/>
      <c r="I2493" s="16"/>
      <c r="J2493" s="16"/>
      <c r="K2493" s="16"/>
      <c r="L2493" s="16"/>
      <c r="M2493" s="19" t="s">
        <v>151</v>
      </c>
      <c r="N2493" s="16"/>
      <c r="O2493" s="16" t="s">
        <v>152</v>
      </c>
      <c r="P2493" s="16" t="str">
        <f>HYPERLINK("https://ceds.ed.gov/cedselementdetails.aspx?termid=26589")</f>
        <v>https://ceds.ed.gov/cedselementdetails.aspx?termid=26589</v>
      </c>
      <c r="Q2493" s="16">
        <v>73045</v>
      </c>
    </row>
    <row r="2494" spans="1:17" ht="43.2" x14ac:dyDescent="0.3">
      <c r="A2494" s="16" t="s">
        <v>7665</v>
      </c>
      <c r="B2494" s="16" t="s">
        <v>7715</v>
      </c>
      <c r="C2494" s="16"/>
      <c r="D2494" s="16" t="s">
        <v>7597</v>
      </c>
      <c r="E2494" s="16" t="s">
        <v>2532</v>
      </c>
      <c r="F2494" s="16" t="s">
        <v>2533</v>
      </c>
      <c r="G2494" s="16" t="s">
        <v>32</v>
      </c>
      <c r="H2494" s="16"/>
      <c r="I2494" s="16"/>
      <c r="J2494" s="16" t="s">
        <v>101</v>
      </c>
      <c r="K2494" s="16"/>
      <c r="L2494" s="16"/>
      <c r="M2494" s="19" t="s">
        <v>2534</v>
      </c>
      <c r="N2494" s="16"/>
      <c r="O2494" s="16" t="s">
        <v>2535</v>
      </c>
      <c r="P2494" s="16" t="str">
        <f>HYPERLINK("https://ceds.ed.gov/cedselementdetails.aspx?termid=27268")</f>
        <v>https://ceds.ed.gov/cedselementdetails.aspx?termid=27268</v>
      </c>
      <c r="Q2494" s="16">
        <v>73099</v>
      </c>
    </row>
    <row r="2495" spans="1:17" ht="43.2" x14ac:dyDescent="0.3">
      <c r="A2495" s="16" t="s">
        <v>7665</v>
      </c>
      <c r="B2495" s="16" t="s">
        <v>7715</v>
      </c>
      <c r="C2495" s="16"/>
      <c r="D2495" s="16" t="s">
        <v>7597</v>
      </c>
      <c r="E2495" s="16" t="s">
        <v>3843</v>
      </c>
      <c r="F2495" s="16" t="s">
        <v>3844</v>
      </c>
      <c r="G2495" s="16" t="s">
        <v>22</v>
      </c>
      <c r="H2495" s="16"/>
      <c r="I2495" s="16"/>
      <c r="J2495" s="16"/>
      <c r="K2495" s="16"/>
      <c r="L2495" s="16"/>
      <c r="M2495" s="19" t="s">
        <v>3845</v>
      </c>
      <c r="N2495" s="16"/>
      <c r="O2495" s="16" t="s">
        <v>3846</v>
      </c>
      <c r="P2495" s="16" t="str">
        <f>HYPERLINK("https://ceds.ed.gov/cedselementdetails.aspx?termid=27311")</f>
        <v>https://ceds.ed.gov/cedselementdetails.aspx?termid=27311</v>
      </c>
      <c r="Q2495" s="16">
        <v>73160</v>
      </c>
    </row>
    <row r="2496" spans="1:17" ht="43.2" x14ac:dyDescent="0.3">
      <c r="A2496" s="16" t="s">
        <v>7665</v>
      </c>
      <c r="B2496" s="16" t="s">
        <v>7715</v>
      </c>
      <c r="C2496" s="16"/>
      <c r="D2496" s="16" t="s">
        <v>7597</v>
      </c>
      <c r="E2496" s="16" t="s">
        <v>5440</v>
      </c>
      <c r="F2496" s="16" t="s">
        <v>5441</v>
      </c>
      <c r="G2496" s="16" t="s">
        <v>22</v>
      </c>
      <c r="H2496" s="16"/>
      <c r="I2496" s="16"/>
      <c r="J2496" s="16"/>
      <c r="K2496" s="16"/>
      <c r="L2496" s="16"/>
      <c r="M2496" s="19" t="s">
        <v>5442</v>
      </c>
      <c r="N2496" s="16" t="s">
        <v>5443</v>
      </c>
      <c r="O2496" s="16" t="s">
        <v>5444</v>
      </c>
      <c r="P2496" s="16" t="str">
        <f>HYPERLINK("https://ceds.ed.gov/cedselementdetails.aspx?termid=27382")</f>
        <v>https://ceds.ed.gov/cedselementdetails.aspx?termid=27382</v>
      </c>
      <c r="Q2496" s="16">
        <v>73294</v>
      </c>
    </row>
    <row r="2497" spans="1:17" ht="72" x14ac:dyDescent="0.3">
      <c r="A2497" s="16" t="s">
        <v>7665</v>
      </c>
      <c r="B2497" s="16" t="s">
        <v>7715</v>
      </c>
      <c r="C2497" s="16"/>
      <c r="D2497" s="16" t="s">
        <v>7597</v>
      </c>
      <c r="E2497" s="16" t="s">
        <v>2569</v>
      </c>
      <c r="F2497" s="16" t="s">
        <v>2570</v>
      </c>
      <c r="G2497" s="16" t="s">
        <v>32</v>
      </c>
      <c r="H2497" s="16"/>
      <c r="I2497" s="16"/>
      <c r="J2497" s="16" t="s">
        <v>81</v>
      </c>
      <c r="K2497" s="16"/>
      <c r="L2497" s="16" t="s">
        <v>2571</v>
      </c>
      <c r="M2497" s="19" t="s">
        <v>2572</v>
      </c>
      <c r="N2497" s="16"/>
      <c r="O2497" s="16" t="s">
        <v>2573</v>
      </c>
      <c r="P2497" s="16" t="str">
        <f>HYPERLINK("https://ceds.ed.gov/cedselementdetails.aspx?termid=27272")</f>
        <v>https://ceds.ed.gov/cedselementdetails.aspx?termid=27272</v>
      </c>
      <c r="Q2497" s="16">
        <v>73105</v>
      </c>
    </row>
    <row r="2498" spans="1:17" ht="57.6" x14ac:dyDescent="0.3">
      <c r="A2498" s="16" t="s">
        <v>7665</v>
      </c>
      <c r="B2498" s="16" t="s">
        <v>7715</v>
      </c>
      <c r="C2498" s="16"/>
      <c r="D2498" s="16" t="s">
        <v>7597</v>
      </c>
      <c r="E2498" s="16" t="s">
        <v>7197</v>
      </c>
      <c r="F2498" s="16" t="s">
        <v>7198</v>
      </c>
      <c r="G2498" s="16" t="s">
        <v>22</v>
      </c>
      <c r="H2498" s="16"/>
      <c r="I2498" s="16"/>
      <c r="J2498" s="16"/>
      <c r="K2498" s="16"/>
      <c r="L2498" s="16" t="s">
        <v>7199</v>
      </c>
      <c r="M2498" s="19" t="s">
        <v>7200</v>
      </c>
      <c r="N2498" s="16"/>
      <c r="O2498" s="16" t="s">
        <v>7201</v>
      </c>
      <c r="P2498" s="16" t="str">
        <f>HYPERLINK("https://ceds.ed.gov/cedselementdetails.aspx?termid=27554")</f>
        <v>https://ceds.ed.gov/cedselementdetails.aspx?termid=27554</v>
      </c>
      <c r="Q2498" s="16">
        <v>73931</v>
      </c>
    </row>
    <row r="2499" spans="1:17" ht="302.39999999999998" x14ac:dyDescent="0.3">
      <c r="A2499" s="16" t="s">
        <v>7665</v>
      </c>
      <c r="B2499" s="16" t="s">
        <v>7715</v>
      </c>
      <c r="C2499" s="16"/>
      <c r="D2499" s="16" t="s">
        <v>7597</v>
      </c>
      <c r="E2499" s="16" t="s">
        <v>2610</v>
      </c>
      <c r="F2499" s="16" t="s">
        <v>2611</v>
      </c>
      <c r="G2499" s="16" t="s">
        <v>8218</v>
      </c>
      <c r="H2499" s="16"/>
      <c r="I2499" s="16"/>
      <c r="J2499" s="16"/>
      <c r="K2499" s="16"/>
      <c r="L2499" s="16"/>
      <c r="M2499" s="19" t="s">
        <v>2612</v>
      </c>
      <c r="N2499" s="16"/>
      <c r="O2499" s="16" t="s">
        <v>2613</v>
      </c>
      <c r="P2499" s="16" t="str">
        <f>HYPERLINK("https://ceds.ed.gov/cedselementdetails.aspx?termid=27278")</f>
        <v>https://ceds.ed.gov/cedselementdetails.aspx?termid=27278</v>
      </c>
      <c r="Q2499" s="16">
        <v>75002</v>
      </c>
    </row>
    <row r="2500" spans="1:17" ht="28.8" x14ac:dyDescent="0.3">
      <c r="A2500" s="16" t="s">
        <v>7665</v>
      </c>
      <c r="B2500" s="16" t="s">
        <v>7715</v>
      </c>
      <c r="C2500" s="16"/>
      <c r="D2500" s="16" t="s">
        <v>7597</v>
      </c>
      <c r="E2500" s="16" t="s">
        <v>7818</v>
      </c>
      <c r="F2500" s="16" t="s">
        <v>7819</v>
      </c>
      <c r="G2500" s="16" t="s">
        <v>32</v>
      </c>
      <c r="H2500" s="16"/>
      <c r="I2500" s="16"/>
      <c r="J2500" s="16" t="s">
        <v>136</v>
      </c>
      <c r="K2500" s="16"/>
      <c r="L2500" s="16"/>
      <c r="M2500" s="19" t="s">
        <v>8174</v>
      </c>
      <c r="N2500" s="16"/>
      <c r="O2500" s="16" t="s">
        <v>7820</v>
      </c>
      <c r="P2500" s="16" t="str">
        <f>HYPERLINK("https://ceds.ed.gov/cedselementdetails.aspx?termid=27972")</f>
        <v>https://ceds.ed.gov/cedselementdetails.aspx?termid=27972</v>
      </c>
      <c r="Q2500" s="16">
        <v>75880</v>
      </c>
    </row>
    <row r="2501" spans="1:17" ht="43.2" x14ac:dyDescent="0.3">
      <c r="A2501" s="16" t="s">
        <v>7665</v>
      </c>
      <c r="B2501" s="16" t="s">
        <v>7715</v>
      </c>
      <c r="C2501" s="16"/>
      <c r="D2501" s="16" t="s">
        <v>7597</v>
      </c>
      <c r="E2501" s="16" t="s">
        <v>7821</v>
      </c>
      <c r="F2501" s="16" t="s">
        <v>7822</v>
      </c>
      <c r="G2501" s="16" t="s">
        <v>8197</v>
      </c>
      <c r="H2501" s="16"/>
      <c r="I2501" s="16"/>
      <c r="J2501" s="16" t="s">
        <v>2</v>
      </c>
      <c r="K2501" s="16"/>
      <c r="L2501" s="16"/>
      <c r="M2501" s="19" t="s">
        <v>8175</v>
      </c>
      <c r="N2501" s="16"/>
      <c r="O2501" s="16" t="s">
        <v>7823</v>
      </c>
      <c r="P2501" s="16" t="str">
        <f>HYPERLINK("https://ceds.ed.gov/cedselementdetails.aspx?termid=27973")</f>
        <v>https://ceds.ed.gov/cedselementdetails.aspx?termid=27973</v>
      </c>
      <c r="Q2501" s="16">
        <v>75881</v>
      </c>
    </row>
    <row r="2502" spans="1:17" ht="100.8" x14ac:dyDescent="0.3">
      <c r="A2502" s="16" t="s">
        <v>7665</v>
      </c>
      <c r="B2502" s="16" t="s">
        <v>7715</v>
      </c>
      <c r="C2502" s="16"/>
      <c r="D2502" s="16" t="s">
        <v>7597</v>
      </c>
      <c r="E2502" s="16" t="s">
        <v>8065</v>
      </c>
      <c r="F2502" s="16" t="s">
        <v>8066</v>
      </c>
      <c r="G2502" s="16" t="s">
        <v>22</v>
      </c>
      <c r="H2502" s="16"/>
      <c r="I2502" s="16"/>
      <c r="J2502" s="16" t="s">
        <v>2</v>
      </c>
      <c r="K2502" s="16"/>
      <c r="L2502" s="16"/>
      <c r="M2502" s="19" t="s">
        <v>8191</v>
      </c>
      <c r="N2502" s="16"/>
      <c r="O2502" s="16" t="s">
        <v>8067</v>
      </c>
      <c r="P2502" s="16" t="str">
        <f>HYPERLINK("https://ceds.ed.gov/cedselementdetails.aspx?termid=27989")</f>
        <v>https://ceds.ed.gov/cedselementdetails.aspx?termid=27989</v>
      </c>
      <c r="Q2502" s="16">
        <v>75882</v>
      </c>
    </row>
    <row r="2503" spans="1:17" ht="100.8" x14ac:dyDescent="0.3">
      <c r="A2503" s="16" t="s">
        <v>7665</v>
      </c>
      <c r="B2503" s="16" t="s">
        <v>7715</v>
      </c>
      <c r="C2503" s="16"/>
      <c r="D2503" s="16" t="s">
        <v>7597</v>
      </c>
      <c r="E2503" s="16" t="s">
        <v>8117</v>
      </c>
      <c r="F2503" s="16" t="s">
        <v>8118</v>
      </c>
      <c r="G2503" s="16" t="s">
        <v>22</v>
      </c>
      <c r="H2503" s="16"/>
      <c r="I2503" s="16"/>
      <c r="J2503" s="16" t="s">
        <v>2</v>
      </c>
      <c r="K2503" s="16"/>
      <c r="L2503" s="16"/>
      <c r="M2503" s="19" t="s">
        <v>8193</v>
      </c>
      <c r="N2503" s="16"/>
      <c r="O2503" s="16" t="s">
        <v>8119</v>
      </c>
      <c r="P2503" s="16" t="str">
        <f>HYPERLINK("https://ceds.ed.gov/cedselementdetails.aspx?termid=27991")</f>
        <v>https://ceds.ed.gov/cedselementdetails.aspx?termid=27991</v>
      </c>
      <c r="Q2503" s="16">
        <v>75883</v>
      </c>
    </row>
    <row r="2504" spans="1:17" ht="72" x14ac:dyDescent="0.3">
      <c r="A2504" s="16" t="s">
        <v>7665</v>
      </c>
      <c r="B2504" s="16" t="s">
        <v>7715</v>
      </c>
      <c r="C2504" s="16"/>
      <c r="D2504" s="16" t="s">
        <v>7597</v>
      </c>
      <c r="E2504" s="16" t="s">
        <v>8120</v>
      </c>
      <c r="F2504" s="16" t="s">
        <v>8121</v>
      </c>
      <c r="G2504" s="16" t="s">
        <v>8202</v>
      </c>
      <c r="H2504" s="16"/>
      <c r="I2504" s="16"/>
      <c r="J2504" s="16" t="s">
        <v>2</v>
      </c>
      <c r="K2504" s="16"/>
      <c r="L2504" s="16" t="s">
        <v>8122</v>
      </c>
      <c r="M2504" s="19" t="s">
        <v>8194</v>
      </c>
      <c r="N2504" s="16"/>
      <c r="O2504" s="16" t="s">
        <v>8123</v>
      </c>
      <c r="P2504" s="16" t="str">
        <f>HYPERLINK("https://ceds.ed.gov/cedselementdetails.aspx?termid=27992")</f>
        <v>https://ceds.ed.gov/cedselementdetails.aspx?termid=27992</v>
      </c>
      <c r="Q2504" s="16">
        <v>75884</v>
      </c>
    </row>
    <row r="2505" spans="1:17" ht="57.6" x14ac:dyDescent="0.3">
      <c r="A2505" s="16" t="s">
        <v>7665</v>
      </c>
      <c r="B2505" s="16" t="s">
        <v>7715</v>
      </c>
      <c r="C2505" s="16"/>
      <c r="D2505" s="16" t="s">
        <v>7597</v>
      </c>
      <c r="E2505" s="16" t="s">
        <v>8933</v>
      </c>
      <c r="F2505" s="16" t="s">
        <v>8934</v>
      </c>
      <c r="G2505" s="16" t="s">
        <v>2987</v>
      </c>
      <c r="H2505" s="16"/>
      <c r="I2505" s="16"/>
      <c r="J2505" s="16" t="s">
        <v>2</v>
      </c>
      <c r="K2505" s="16"/>
      <c r="L2505" s="16" t="s">
        <v>8935</v>
      </c>
      <c r="M2505" s="19" t="s">
        <v>8936</v>
      </c>
      <c r="N2505" s="16"/>
      <c r="O2505" s="16" t="s">
        <v>8937</v>
      </c>
      <c r="P2505" s="16" t="str">
        <f>HYPERLINK("https://ceds.ed.gov/cedselementdetails.aspx?termid=28010")</f>
        <v>https://ceds.ed.gov/cedselementdetails.aspx?termid=28010</v>
      </c>
      <c r="Q2505" s="16">
        <v>76127</v>
      </c>
    </row>
    <row r="2506" spans="1:17" ht="72" x14ac:dyDescent="0.3">
      <c r="A2506" s="16" t="s">
        <v>7665</v>
      </c>
      <c r="B2506" s="16" t="s">
        <v>7715</v>
      </c>
      <c r="C2506" s="16"/>
      <c r="D2506" s="16" t="s">
        <v>7597</v>
      </c>
      <c r="E2506" s="16" t="s">
        <v>4733</v>
      </c>
      <c r="F2506" s="16" t="s">
        <v>4734</v>
      </c>
      <c r="G2506" s="16" t="s">
        <v>32</v>
      </c>
      <c r="H2506" s="16"/>
      <c r="I2506" s="16"/>
      <c r="J2506" s="16" t="s">
        <v>305</v>
      </c>
      <c r="K2506" s="16"/>
      <c r="L2506" s="16"/>
      <c r="M2506" s="19" t="s">
        <v>4735</v>
      </c>
      <c r="N2506" s="16"/>
      <c r="O2506" s="16" t="s">
        <v>4736</v>
      </c>
      <c r="P2506" s="16" t="str">
        <f>HYPERLINK("https://ceds.ed.gov/cedselementdetails.aspx?termid=26490")</f>
        <v>https://ceds.ed.gov/cedselementdetails.aspx?termid=26490</v>
      </c>
      <c r="Q2506" s="16">
        <v>76128</v>
      </c>
    </row>
    <row r="2507" spans="1:17" ht="28.8" x14ac:dyDescent="0.3">
      <c r="A2507" s="16" t="s">
        <v>7665</v>
      </c>
      <c r="B2507" s="16" t="s">
        <v>7715</v>
      </c>
      <c r="C2507" s="16"/>
      <c r="D2507" s="16" t="s">
        <v>7597</v>
      </c>
      <c r="E2507" s="16" t="s">
        <v>9250</v>
      </c>
      <c r="F2507" s="16" t="s">
        <v>9251</v>
      </c>
      <c r="G2507" s="16" t="s">
        <v>32</v>
      </c>
      <c r="H2507" s="16"/>
      <c r="I2507" s="16"/>
      <c r="J2507" s="16" t="s">
        <v>136</v>
      </c>
      <c r="K2507" s="16"/>
      <c r="L2507" s="16"/>
      <c r="M2507" s="19" t="s">
        <v>9252</v>
      </c>
      <c r="N2507" s="16"/>
      <c r="O2507" s="16" t="s">
        <v>9253</v>
      </c>
      <c r="P2507" s="16" t="str">
        <f>HYPERLINK("https://ceds.ed.gov/cedselementdetails.aspx?termid=28086")</f>
        <v>https://ceds.ed.gov/cedselementdetails.aspx?termid=28086</v>
      </c>
      <c r="Q2507" s="16">
        <v>76129</v>
      </c>
    </row>
    <row r="2508" spans="1:17" ht="230.4" x14ac:dyDescent="0.3">
      <c r="A2508" s="16" t="s">
        <v>7665</v>
      </c>
      <c r="B2508" s="16" t="s">
        <v>7715</v>
      </c>
      <c r="C2508" s="16"/>
      <c r="D2508" s="16" t="s">
        <v>7597</v>
      </c>
      <c r="E2508" s="16" t="s">
        <v>7286</v>
      </c>
      <c r="F2508" s="16" t="s">
        <v>7287</v>
      </c>
      <c r="G2508" s="16" t="s">
        <v>9348</v>
      </c>
      <c r="H2508" s="16"/>
      <c r="I2508" s="16"/>
      <c r="J2508" s="16"/>
      <c r="K2508" s="16"/>
      <c r="L2508" s="16"/>
      <c r="M2508" s="19" t="s">
        <v>7288</v>
      </c>
      <c r="N2508" s="16"/>
      <c r="O2508" s="16" t="s">
        <v>7289</v>
      </c>
      <c r="P2508" s="16" t="str">
        <f>HYPERLINK("https://ceds.ed.gov/cedselementdetails.aspx?termid=27471")</f>
        <v>https://ceds.ed.gov/cedselementdetails.aspx?termid=27471</v>
      </c>
      <c r="Q2508" s="16">
        <v>76130</v>
      </c>
    </row>
    <row r="2509" spans="1:17" ht="172.8" x14ac:dyDescent="0.3">
      <c r="A2509" s="16" t="s">
        <v>7665</v>
      </c>
      <c r="B2509" s="16" t="s">
        <v>7715</v>
      </c>
      <c r="C2509" s="16" t="s">
        <v>7716</v>
      </c>
      <c r="D2509" s="16" t="s">
        <v>7597</v>
      </c>
      <c r="E2509" s="16" t="s">
        <v>2584</v>
      </c>
      <c r="F2509" s="16" t="s">
        <v>2585</v>
      </c>
      <c r="G2509" s="16" t="s">
        <v>32</v>
      </c>
      <c r="H2509" s="16" t="s">
        <v>2588</v>
      </c>
      <c r="I2509" s="16"/>
      <c r="J2509" s="16" t="s">
        <v>120</v>
      </c>
      <c r="K2509" s="16"/>
      <c r="L2509" s="16" t="s">
        <v>7817</v>
      </c>
      <c r="M2509" s="19" t="s">
        <v>2586</v>
      </c>
      <c r="N2509" s="16"/>
      <c r="O2509" s="16" t="s">
        <v>2587</v>
      </c>
      <c r="P2509" s="16" t="str">
        <f>HYPERLINK("https://ceds.ed.gov/cedselementdetails.aspx?termid=26055")</f>
        <v>https://ceds.ed.gov/cedselementdetails.aspx?termid=26055</v>
      </c>
      <c r="Q2509" s="16">
        <v>71943</v>
      </c>
    </row>
    <row r="2510" spans="1:17" ht="144" x14ac:dyDescent="0.3">
      <c r="A2510" s="16" t="s">
        <v>7665</v>
      </c>
      <c r="B2510" s="16" t="s">
        <v>7715</v>
      </c>
      <c r="C2510" s="16" t="s">
        <v>7716</v>
      </c>
      <c r="D2510" s="16" t="s">
        <v>7597</v>
      </c>
      <c r="E2510" s="16" t="s">
        <v>2536</v>
      </c>
      <c r="F2510" s="16" t="s">
        <v>2537</v>
      </c>
      <c r="G2510" s="16" t="s">
        <v>8217</v>
      </c>
      <c r="H2510" s="16" t="s">
        <v>1484</v>
      </c>
      <c r="I2510" s="16"/>
      <c r="J2510" s="16"/>
      <c r="K2510" s="16"/>
      <c r="L2510" s="16"/>
      <c r="M2510" s="19" t="s">
        <v>2538</v>
      </c>
      <c r="N2510" s="16"/>
      <c r="O2510" s="16" t="s">
        <v>2539</v>
      </c>
      <c r="P2510" s="16" t="str">
        <f>HYPERLINK("https://ceds.ed.gov/cedselementdetails.aspx?termid=26056")</f>
        <v>https://ceds.ed.gov/cedselementdetails.aspx?termid=26056</v>
      </c>
      <c r="Q2510" s="16">
        <v>71944</v>
      </c>
    </row>
    <row r="2511" spans="1:17" ht="100.8" x14ac:dyDescent="0.3">
      <c r="A2511" s="16" t="s">
        <v>7665</v>
      </c>
      <c r="B2511" s="16" t="s">
        <v>7715</v>
      </c>
      <c r="C2511" s="16" t="s">
        <v>7716</v>
      </c>
      <c r="D2511" s="16" t="s">
        <v>7597</v>
      </c>
      <c r="E2511" s="16" t="s">
        <v>2700</v>
      </c>
      <c r="F2511" s="16"/>
      <c r="G2511" s="16" t="s">
        <v>32</v>
      </c>
      <c r="H2511" s="16" t="s">
        <v>1484</v>
      </c>
      <c r="I2511" s="16" t="s">
        <v>160</v>
      </c>
      <c r="J2511" s="16" t="s">
        <v>13077</v>
      </c>
      <c r="K2511" s="16" t="s">
        <v>12939</v>
      </c>
      <c r="L2511" s="16"/>
      <c r="M2511" s="19" t="s">
        <v>2701</v>
      </c>
      <c r="N2511" s="16"/>
      <c r="O2511" s="16"/>
      <c r="P2511" s="16" t="str">
        <f>HYPERLINK("https://ceds.ed.gov/cedselementdetails.aspx?termid=26067")</f>
        <v>https://ceds.ed.gov/cedselementdetails.aspx?termid=26067</v>
      </c>
      <c r="Q2511" s="16">
        <v>71947</v>
      </c>
    </row>
    <row r="2512" spans="1:17" ht="100.8" x14ac:dyDescent="0.3">
      <c r="A2512" s="16" t="s">
        <v>7665</v>
      </c>
      <c r="B2512" s="16" t="s">
        <v>7715</v>
      </c>
      <c r="C2512" s="16" t="s">
        <v>7716</v>
      </c>
      <c r="D2512" s="16" t="s">
        <v>7597</v>
      </c>
      <c r="E2512" s="16" t="s">
        <v>6510</v>
      </c>
      <c r="F2512" s="16" t="s">
        <v>6511</v>
      </c>
      <c r="G2512" s="16" t="s">
        <v>32</v>
      </c>
      <c r="H2512" s="16" t="s">
        <v>1484</v>
      </c>
      <c r="I2512" s="16"/>
      <c r="J2512" s="16" t="s">
        <v>2697</v>
      </c>
      <c r="K2512" s="16"/>
      <c r="L2512" s="16" t="s">
        <v>6512</v>
      </c>
      <c r="M2512" s="19" t="s">
        <v>6513</v>
      </c>
      <c r="N2512" s="16" t="s">
        <v>6514</v>
      </c>
      <c r="O2512" s="16" t="s">
        <v>6515</v>
      </c>
      <c r="P2512" s="16" t="str">
        <f>HYPERLINK("https://ceds.ed.gov/cedselementdetails.aspx?termid=26250")</f>
        <v>https://ceds.ed.gov/cedselementdetails.aspx?termid=26250</v>
      </c>
      <c r="Q2512" s="16">
        <v>71013</v>
      </c>
    </row>
    <row r="2513" spans="1:17" ht="28.8" x14ac:dyDescent="0.3">
      <c r="A2513" s="16" t="s">
        <v>7665</v>
      </c>
      <c r="B2513" s="16" t="s">
        <v>7715</v>
      </c>
      <c r="C2513" s="16" t="s">
        <v>7716</v>
      </c>
      <c r="D2513" s="16" t="s">
        <v>7597</v>
      </c>
      <c r="E2513" s="16" t="s">
        <v>2632</v>
      </c>
      <c r="F2513" s="16" t="s">
        <v>2633</v>
      </c>
      <c r="G2513" s="16" t="s">
        <v>32</v>
      </c>
      <c r="H2513" s="16"/>
      <c r="I2513" s="16"/>
      <c r="J2513" s="16" t="s">
        <v>1662</v>
      </c>
      <c r="K2513" s="16"/>
      <c r="L2513" s="16"/>
      <c r="M2513" s="19" t="s">
        <v>2634</v>
      </c>
      <c r="N2513" s="16"/>
      <c r="O2513" s="16" t="s">
        <v>2635</v>
      </c>
      <c r="P2513" s="16" t="str">
        <f>HYPERLINK("https://ceds.ed.gov/cedselementdetails.aspx?termid=27648")</f>
        <v>https://ceds.ed.gov/cedselementdetails.aspx?termid=27648</v>
      </c>
      <c r="Q2513" s="16">
        <v>74881</v>
      </c>
    </row>
    <row r="2514" spans="1:17" ht="302.39999999999998" x14ac:dyDescent="0.3">
      <c r="A2514" s="16" t="s">
        <v>7665</v>
      </c>
      <c r="B2514" s="16" t="s">
        <v>7715</v>
      </c>
      <c r="C2514" s="16" t="s">
        <v>7716</v>
      </c>
      <c r="D2514" s="16" t="s">
        <v>7597</v>
      </c>
      <c r="E2514" s="16" t="s">
        <v>2606</v>
      </c>
      <c r="F2514" s="16" t="s">
        <v>2607</v>
      </c>
      <c r="G2514" s="16" t="s">
        <v>8468</v>
      </c>
      <c r="H2514" s="16" t="s">
        <v>2588</v>
      </c>
      <c r="I2514" s="16"/>
      <c r="J2514" s="16"/>
      <c r="K2514" s="16"/>
      <c r="L2514" s="16"/>
      <c r="M2514" s="19" t="s">
        <v>2608</v>
      </c>
      <c r="N2514" s="16"/>
      <c r="O2514" s="16" t="s">
        <v>2609</v>
      </c>
      <c r="P2514" s="16" t="str">
        <f>HYPERLINK("https://ceds.ed.gov/cedselementdetails.aspx?termid=26061")</f>
        <v>https://ceds.ed.gov/cedselementdetails.aspx?termid=26061</v>
      </c>
      <c r="Q2514" s="16">
        <v>71946</v>
      </c>
    </row>
    <row r="2515" spans="1:17" ht="302.39999999999998" x14ac:dyDescent="0.3">
      <c r="A2515" s="16" t="s">
        <v>7665</v>
      </c>
      <c r="B2515" s="16" t="s">
        <v>7715</v>
      </c>
      <c r="C2515" s="16" t="s">
        <v>7716</v>
      </c>
      <c r="D2515" s="16" t="s">
        <v>7597</v>
      </c>
      <c r="E2515" s="16" t="s">
        <v>2919</v>
      </c>
      <c r="F2515" s="16" t="s">
        <v>2920</v>
      </c>
      <c r="G2515" s="16" t="s">
        <v>8486</v>
      </c>
      <c r="H2515" s="16" t="s">
        <v>64</v>
      </c>
      <c r="I2515" s="16"/>
      <c r="J2515" s="16"/>
      <c r="K2515" s="16"/>
      <c r="L2515" s="16"/>
      <c r="M2515" s="19" t="s">
        <v>2921</v>
      </c>
      <c r="N2515" s="16"/>
      <c r="O2515" s="16" t="s">
        <v>2922</v>
      </c>
      <c r="P2515" s="16" t="str">
        <f>HYPERLINK("https://ceds.ed.gov/cedselementdetails.aspx?termid=26072")</f>
        <v>https://ceds.ed.gov/cedselementdetails.aspx?termid=26072</v>
      </c>
      <c r="Q2515" s="16">
        <v>71948</v>
      </c>
    </row>
    <row r="2516" spans="1:17" ht="129.6" x14ac:dyDescent="0.3">
      <c r="A2516" s="16" t="s">
        <v>7665</v>
      </c>
      <c r="B2516" s="16" t="s">
        <v>7715</v>
      </c>
      <c r="C2516" s="16" t="s">
        <v>7716</v>
      </c>
      <c r="D2516" s="16" t="s">
        <v>7597</v>
      </c>
      <c r="E2516" s="16" t="s">
        <v>1478</v>
      </c>
      <c r="F2516" s="16" t="s">
        <v>1479</v>
      </c>
      <c r="G2516" s="16" t="s">
        <v>32</v>
      </c>
      <c r="H2516" s="16" t="s">
        <v>1484</v>
      </c>
      <c r="I2516" s="16"/>
      <c r="J2516" s="16" t="s">
        <v>1481</v>
      </c>
      <c r="K2516" s="16"/>
      <c r="L2516" s="16"/>
      <c r="M2516" s="19" t="s">
        <v>1482</v>
      </c>
      <c r="N2516" s="16"/>
      <c r="O2516" s="16" t="s">
        <v>1483</v>
      </c>
      <c r="P2516" s="16" t="str">
        <f>HYPERLINK("https://ceds.ed.gov/cedselementdetails.aspx?termid=26030")</f>
        <v>https://ceds.ed.gov/cedselementdetails.aspx?termid=26030</v>
      </c>
      <c r="Q2516" s="16">
        <v>71942</v>
      </c>
    </row>
    <row r="2517" spans="1:17" ht="100.8" x14ac:dyDescent="0.3">
      <c r="A2517" s="16" t="s">
        <v>7665</v>
      </c>
      <c r="B2517" s="16" t="s">
        <v>7715</v>
      </c>
      <c r="C2517" s="16" t="s">
        <v>7716</v>
      </c>
      <c r="D2517" s="16" t="s">
        <v>7597</v>
      </c>
      <c r="E2517" s="16" t="s">
        <v>4233</v>
      </c>
      <c r="F2517" s="16" t="s">
        <v>4234</v>
      </c>
      <c r="G2517" s="16" t="s">
        <v>22</v>
      </c>
      <c r="H2517" s="16" t="s">
        <v>1484</v>
      </c>
      <c r="I2517" s="16"/>
      <c r="J2517" s="16"/>
      <c r="K2517" s="16"/>
      <c r="L2517" s="16"/>
      <c r="M2517" s="19" t="s">
        <v>4236</v>
      </c>
      <c r="N2517" s="16"/>
      <c r="O2517" s="16" t="s">
        <v>4237</v>
      </c>
      <c r="P2517" s="16" t="str">
        <f>HYPERLINK("https://ceds.ed.gov/cedselementdetails.aspx?termid=26137")</f>
        <v>https://ceds.ed.gov/cedselementdetails.aspx?termid=26137</v>
      </c>
      <c r="Q2517" s="16">
        <v>71955</v>
      </c>
    </row>
    <row r="2518" spans="1:17" ht="43.2" x14ac:dyDescent="0.3">
      <c r="A2518" s="16" t="s">
        <v>7665</v>
      </c>
      <c r="B2518" s="16" t="s">
        <v>7715</v>
      </c>
      <c r="C2518" s="16" t="s">
        <v>7716</v>
      </c>
      <c r="D2518" s="16" t="s">
        <v>7597</v>
      </c>
      <c r="E2518" s="16" t="s">
        <v>6315</v>
      </c>
      <c r="F2518" s="16" t="s">
        <v>6316</v>
      </c>
      <c r="G2518" s="16" t="s">
        <v>32</v>
      </c>
      <c r="H2518" s="16"/>
      <c r="I2518" s="16"/>
      <c r="J2518" s="16" t="s">
        <v>145</v>
      </c>
      <c r="K2518" s="16"/>
      <c r="L2518" s="16"/>
      <c r="M2518" s="19" t="s">
        <v>6317</v>
      </c>
      <c r="N2518" s="16" t="s">
        <v>6318</v>
      </c>
      <c r="O2518" s="16" t="s">
        <v>6319</v>
      </c>
      <c r="P2518" s="16" t="str">
        <f>HYPERLINK("https://ceds.ed.gov/cedselementdetails.aspx?termid=26231")</f>
        <v>https://ceds.ed.gov/cedselementdetails.aspx?termid=26231</v>
      </c>
      <c r="Q2518" s="16">
        <v>71009</v>
      </c>
    </row>
    <row r="2519" spans="1:17" ht="409.6" x14ac:dyDescent="0.3">
      <c r="A2519" s="16" t="s">
        <v>7665</v>
      </c>
      <c r="B2519" s="16" t="s">
        <v>7715</v>
      </c>
      <c r="C2519" s="16" t="s">
        <v>7716</v>
      </c>
      <c r="D2519" s="16" t="s">
        <v>7597</v>
      </c>
      <c r="E2519" s="16" t="s">
        <v>2636</v>
      </c>
      <c r="F2519" s="16" t="s">
        <v>2637</v>
      </c>
      <c r="G2519" s="16" t="s">
        <v>9353</v>
      </c>
      <c r="H2519" s="16" t="s">
        <v>2641</v>
      </c>
      <c r="I2519" s="16"/>
      <c r="J2519" s="16"/>
      <c r="K2519" s="16"/>
      <c r="L2519" s="16"/>
      <c r="M2519" s="19" t="s">
        <v>2639</v>
      </c>
      <c r="N2519" s="16"/>
      <c r="O2519" s="16" t="s">
        <v>2640</v>
      </c>
      <c r="P2519" s="16" t="str">
        <f>HYPERLINK("https://ceds.ed.gov/cedselementdetails.aspx?termid=26027")</f>
        <v>https://ceds.ed.gov/cedselementdetails.aspx?termid=26027</v>
      </c>
      <c r="Q2519" s="16">
        <v>71186</v>
      </c>
    </row>
    <row r="2520" spans="1:17" ht="28.8" x14ac:dyDescent="0.3">
      <c r="A2520" s="16" t="s">
        <v>7665</v>
      </c>
      <c r="B2520" s="16" t="s">
        <v>7715</v>
      </c>
      <c r="C2520" s="16" t="s">
        <v>7716</v>
      </c>
      <c r="D2520" s="16" t="s">
        <v>7597</v>
      </c>
      <c r="E2520" s="16" t="s">
        <v>2551</v>
      </c>
      <c r="F2520" s="16" t="s">
        <v>2552</v>
      </c>
      <c r="G2520" s="16" t="s">
        <v>32</v>
      </c>
      <c r="H2520" s="16"/>
      <c r="I2520" s="16"/>
      <c r="J2520" s="16" t="s">
        <v>145</v>
      </c>
      <c r="K2520" s="16"/>
      <c r="L2520" s="16"/>
      <c r="M2520" s="19" t="s">
        <v>2554</v>
      </c>
      <c r="N2520" s="16"/>
      <c r="O2520" s="16" t="s">
        <v>2555</v>
      </c>
      <c r="P2520" s="16" t="str">
        <f>HYPERLINK("https://ceds.ed.gov/cedselementdetails.aspx?termid=27525")</f>
        <v>https://ceds.ed.gov/cedselementdetails.aspx?termid=27525</v>
      </c>
      <c r="Q2520" s="16">
        <v>73833</v>
      </c>
    </row>
    <row r="2521" spans="1:17" ht="43.2" x14ac:dyDescent="0.3">
      <c r="A2521" s="16" t="s">
        <v>7665</v>
      </c>
      <c r="B2521" s="16" t="s">
        <v>7715</v>
      </c>
      <c r="C2521" s="16" t="s">
        <v>7716</v>
      </c>
      <c r="D2521" s="16" t="s">
        <v>7597</v>
      </c>
      <c r="E2521" s="16" t="s">
        <v>7919</v>
      </c>
      <c r="F2521" s="16" t="s">
        <v>7920</v>
      </c>
      <c r="G2521" s="16" t="s">
        <v>22</v>
      </c>
      <c r="H2521" s="16"/>
      <c r="I2521" s="16"/>
      <c r="J2521" s="16" t="s">
        <v>2</v>
      </c>
      <c r="K2521" s="16"/>
      <c r="L2521" s="16" t="s">
        <v>7921</v>
      </c>
      <c r="M2521" s="19" t="s">
        <v>8177</v>
      </c>
      <c r="N2521" s="16"/>
      <c r="O2521" s="16" t="s">
        <v>7922</v>
      </c>
      <c r="P2521" s="16" t="str">
        <f>HYPERLINK("https://ceds.ed.gov/cedselementdetails.aspx?termid=27975")</f>
        <v>https://ceds.ed.gov/cedselementdetails.aspx?termid=27975</v>
      </c>
      <c r="Q2521" s="16">
        <v>75885</v>
      </c>
    </row>
    <row r="2522" spans="1:17" ht="72" x14ac:dyDescent="0.3">
      <c r="A2522" s="16" t="s">
        <v>7665</v>
      </c>
      <c r="B2522" s="16" t="s">
        <v>7715</v>
      </c>
      <c r="C2522" s="16" t="s">
        <v>7716</v>
      </c>
      <c r="D2522" s="16" t="s">
        <v>7597</v>
      </c>
      <c r="E2522" s="16" t="s">
        <v>9245</v>
      </c>
      <c r="F2522" s="16" t="s">
        <v>9246</v>
      </c>
      <c r="G2522" s="16" t="s">
        <v>32</v>
      </c>
      <c r="H2522" s="16"/>
      <c r="I2522" s="16"/>
      <c r="J2522" s="16" t="s">
        <v>9247</v>
      </c>
      <c r="K2522" s="16"/>
      <c r="L2522" s="16" t="s">
        <v>6512</v>
      </c>
      <c r="M2522" s="19" t="s">
        <v>9248</v>
      </c>
      <c r="N2522" s="16"/>
      <c r="O2522" s="16" t="s">
        <v>9249</v>
      </c>
      <c r="P2522" s="16" t="str">
        <f>HYPERLINK("https://ceds.ed.gov/cedselementdetails.aspx?termid=28085")</f>
        <v>https://ceds.ed.gov/cedselementdetails.aspx?termid=28085</v>
      </c>
      <c r="Q2522" s="16">
        <v>76329</v>
      </c>
    </row>
    <row r="2523" spans="1:17" ht="331.2" x14ac:dyDescent="0.3">
      <c r="A2523" s="16" t="s">
        <v>7665</v>
      </c>
      <c r="B2523" s="16" t="s">
        <v>7715</v>
      </c>
      <c r="C2523" s="16" t="s">
        <v>7716</v>
      </c>
      <c r="D2523" s="16" t="s">
        <v>7597</v>
      </c>
      <c r="E2523" s="16" t="s">
        <v>12826</v>
      </c>
      <c r="F2523" s="16" t="s">
        <v>12827</v>
      </c>
      <c r="G2523" s="16" t="s">
        <v>12917</v>
      </c>
      <c r="H2523" s="16"/>
      <c r="I2523" s="16" t="s">
        <v>155</v>
      </c>
      <c r="J2523" s="16" t="s">
        <v>2</v>
      </c>
      <c r="K2523" s="16" t="s">
        <v>12636</v>
      </c>
      <c r="L2523" s="16" t="s">
        <v>12828</v>
      </c>
      <c r="M2523" s="19" t="s">
        <v>12829</v>
      </c>
      <c r="N2523" s="16"/>
      <c r="O2523" s="16" t="s">
        <v>12830</v>
      </c>
      <c r="P2523" s="16" t="str">
        <f>HYPERLINK("https://ceds.ed.gov/cedselementdetails.aspx?termid=28096")</f>
        <v>https://ceds.ed.gov/cedselementdetails.aspx?termid=28096</v>
      </c>
      <c r="Q2523" s="16">
        <v>76566</v>
      </c>
    </row>
    <row r="2524" spans="1:17" ht="172.8" x14ac:dyDescent="0.3">
      <c r="A2524" s="16" t="s">
        <v>7665</v>
      </c>
      <c r="B2524" s="16" t="s">
        <v>7715</v>
      </c>
      <c r="C2524" s="16" t="s">
        <v>7641</v>
      </c>
      <c r="D2524" s="16" t="s">
        <v>7597</v>
      </c>
      <c r="E2524" s="16" t="s">
        <v>6937</v>
      </c>
      <c r="F2524" s="16" t="s">
        <v>6938</v>
      </c>
      <c r="G2524" s="16" t="s">
        <v>32</v>
      </c>
      <c r="H2524" s="16" t="s">
        <v>6936</v>
      </c>
      <c r="I2524" s="16"/>
      <c r="J2524" s="16" t="s">
        <v>120</v>
      </c>
      <c r="K2524" s="16"/>
      <c r="L2524" s="16" t="s">
        <v>7817</v>
      </c>
      <c r="M2524" s="19" t="s">
        <v>6939</v>
      </c>
      <c r="N2524" s="16"/>
      <c r="O2524" s="16" t="s">
        <v>6940</v>
      </c>
      <c r="P2524" s="16" t="str">
        <f>HYPERLINK("https://ceds.ed.gov/cedselementdetails.aspx?termid=26157")</f>
        <v>https://ceds.ed.gov/cedselementdetails.aspx?termid=26157</v>
      </c>
      <c r="Q2524" s="16">
        <v>71957</v>
      </c>
    </row>
    <row r="2525" spans="1:17" ht="158.4" x14ac:dyDescent="0.3">
      <c r="A2525" s="16" t="s">
        <v>7665</v>
      </c>
      <c r="B2525" s="16" t="s">
        <v>7715</v>
      </c>
      <c r="C2525" s="16" t="s">
        <v>7641</v>
      </c>
      <c r="D2525" s="16" t="s">
        <v>7597</v>
      </c>
      <c r="E2525" s="16" t="s">
        <v>6932</v>
      </c>
      <c r="F2525" s="16" t="s">
        <v>6933</v>
      </c>
      <c r="G2525" s="16" t="s">
        <v>9344</v>
      </c>
      <c r="H2525" s="16" t="s">
        <v>6936</v>
      </c>
      <c r="I2525" s="16"/>
      <c r="J2525" s="16"/>
      <c r="K2525" s="16"/>
      <c r="L2525" s="16"/>
      <c r="M2525" s="19" t="s">
        <v>6934</v>
      </c>
      <c r="N2525" s="16"/>
      <c r="O2525" s="16" t="s">
        <v>6935</v>
      </c>
      <c r="P2525" s="16" t="str">
        <f>HYPERLINK("https://ceds.ed.gov/cedselementdetails.aspx?termid=26163")</f>
        <v>https://ceds.ed.gov/cedselementdetails.aspx?termid=26163</v>
      </c>
      <c r="Q2525" s="16">
        <v>71959</v>
      </c>
    </row>
    <row r="2526" spans="1:17" ht="172.8" x14ac:dyDescent="0.3">
      <c r="A2526" s="16" t="s">
        <v>7665</v>
      </c>
      <c r="B2526" s="16" t="s">
        <v>7715</v>
      </c>
      <c r="C2526" s="16" t="s">
        <v>7641</v>
      </c>
      <c r="D2526" s="16" t="s">
        <v>7597</v>
      </c>
      <c r="E2526" s="16" t="s">
        <v>3526</v>
      </c>
      <c r="F2526" s="16" t="s">
        <v>3527</v>
      </c>
      <c r="G2526" s="16" t="s">
        <v>32</v>
      </c>
      <c r="H2526" s="16" t="s">
        <v>3530</v>
      </c>
      <c r="I2526" s="16"/>
      <c r="J2526" s="16" t="s">
        <v>106</v>
      </c>
      <c r="K2526" s="16"/>
      <c r="L2526" s="16"/>
      <c r="M2526" s="19" t="s">
        <v>3528</v>
      </c>
      <c r="N2526" s="16"/>
      <c r="O2526" s="16" t="s">
        <v>3529</v>
      </c>
      <c r="P2526" s="16" t="str">
        <f>HYPERLINK("https://ceds.ed.gov/cedselementdetails.aspx?termid=26097")</f>
        <v>https://ceds.ed.gov/cedselementdetails.aspx?termid=26097</v>
      </c>
      <c r="Q2526" s="16">
        <v>71950</v>
      </c>
    </row>
    <row r="2527" spans="1:17" ht="43.2" x14ac:dyDescent="0.3">
      <c r="A2527" s="16" t="s">
        <v>7665</v>
      </c>
      <c r="B2527" s="16" t="s">
        <v>7715</v>
      </c>
      <c r="C2527" s="16" t="s">
        <v>7641</v>
      </c>
      <c r="D2527" s="16" t="s">
        <v>7597</v>
      </c>
      <c r="E2527" s="16" t="s">
        <v>2657</v>
      </c>
      <c r="F2527" s="16" t="s">
        <v>2658</v>
      </c>
      <c r="G2527" s="16" t="s">
        <v>8471</v>
      </c>
      <c r="H2527" s="16" t="s">
        <v>2661</v>
      </c>
      <c r="I2527" s="16"/>
      <c r="J2527" s="16"/>
      <c r="K2527" s="16"/>
      <c r="L2527" s="16"/>
      <c r="M2527" s="19" t="s">
        <v>2659</v>
      </c>
      <c r="N2527" s="16"/>
      <c r="O2527" s="16" t="s">
        <v>2660</v>
      </c>
      <c r="P2527" s="16" t="str">
        <f>HYPERLINK("https://ceds.ed.gov/cedselementdetails.aspx?termid=26652")</f>
        <v>https://ceds.ed.gov/cedselementdetails.aspx?termid=26652</v>
      </c>
      <c r="Q2527" s="16">
        <v>71033</v>
      </c>
    </row>
    <row r="2528" spans="1:17" ht="129.6" x14ac:dyDescent="0.3">
      <c r="A2528" s="16" t="s">
        <v>7665</v>
      </c>
      <c r="B2528" s="16" t="s">
        <v>7715</v>
      </c>
      <c r="C2528" s="16" t="s">
        <v>7641</v>
      </c>
      <c r="D2528" s="16" t="s">
        <v>7597</v>
      </c>
      <c r="E2528" s="16" t="s">
        <v>2662</v>
      </c>
      <c r="F2528" s="16" t="s">
        <v>2663</v>
      </c>
      <c r="G2528" s="16" t="s">
        <v>8472</v>
      </c>
      <c r="H2528" s="16" t="s">
        <v>2661</v>
      </c>
      <c r="I2528" s="16"/>
      <c r="J2528" s="16"/>
      <c r="K2528" s="16"/>
      <c r="L2528" s="16"/>
      <c r="M2528" s="19" t="s">
        <v>2664</v>
      </c>
      <c r="N2528" s="16"/>
      <c r="O2528" s="16" t="s">
        <v>2665</v>
      </c>
      <c r="P2528" s="16" t="str">
        <f>HYPERLINK("https://ceds.ed.gov/cedselementdetails.aspx?termid=26654")</f>
        <v>https://ceds.ed.gov/cedselementdetails.aspx?termid=26654</v>
      </c>
      <c r="Q2528" s="16">
        <v>71035</v>
      </c>
    </row>
    <row r="2529" spans="1:17" ht="57.6" x14ac:dyDescent="0.3">
      <c r="A2529" s="16" t="s">
        <v>7665</v>
      </c>
      <c r="B2529" s="16" t="s">
        <v>7715</v>
      </c>
      <c r="C2529" s="16" t="s">
        <v>7641</v>
      </c>
      <c r="D2529" s="16" t="s">
        <v>7597</v>
      </c>
      <c r="E2529" s="16" t="s">
        <v>2666</v>
      </c>
      <c r="F2529" s="16" t="s">
        <v>2667</v>
      </c>
      <c r="G2529" s="16" t="s">
        <v>32</v>
      </c>
      <c r="H2529" s="16" t="s">
        <v>2661</v>
      </c>
      <c r="I2529" s="16"/>
      <c r="J2529" s="16" t="s">
        <v>106</v>
      </c>
      <c r="K2529" s="16"/>
      <c r="L2529" s="16" t="s">
        <v>131</v>
      </c>
      <c r="M2529" s="19" t="s">
        <v>2668</v>
      </c>
      <c r="N2529" s="16"/>
      <c r="O2529" s="16" t="s">
        <v>2669</v>
      </c>
      <c r="P2529" s="16" t="str">
        <f>HYPERLINK("https://ceds.ed.gov/cedselementdetails.aspx?termid=26653")</f>
        <v>https://ceds.ed.gov/cedselementdetails.aspx?termid=26653</v>
      </c>
      <c r="Q2529" s="16">
        <v>71034</v>
      </c>
    </row>
    <row r="2530" spans="1:17" ht="43.2" x14ac:dyDescent="0.3">
      <c r="A2530" s="16" t="s">
        <v>7665</v>
      </c>
      <c r="B2530" s="16" t="s">
        <v>7715</v>
      </c>
      <c r="C2530" s="16" t="s">
        <v>7641</v>
      </c>
      <c r="D2530" s="16" t="s">
        <v>7597</v>
      </c>
      <c r="E2530" s="16" t="s">
        <v>3561</v>
      </c>
      <c r="F2530" s="16" t="s">
        <v>3562</v>
      </c>
      <c r="G2530" s="16" t="s">
        <v>8221</v>
      </c>
      <c r="H2530" s="16" t="s">
        <v>2661</v>
      </c>
      <c r="I2530" s="16"/>
      <c r="J2530" s="16"/>
      <c r="K2530" s="16"/>
      <c r="L2530" s="16"/>
      <c r="M2530" s="19" t="s">
        <v>3564</v>
      </c>
      <c r="N2530" s="16"/>
      <c r="O2530" s="16" t="s">
        <v>3565</v>
      </c>
      <c r="P2530" s="16" t="str">
        <f>HYPERLINK("https://ceds.ed.gov/cedselementdetails.aspx?termid=26108")</f>
        <v>https://ceds.ed.gov/cedselementdetails.aspx?termid=26108</v>
      </c>
      <c r="Q2530" s="16">
        <v>71952</v>
      </c>
    </row>
    <row r="2531" spans="1:17" ht="331.2" x14ac:dyDescent="0.3">
      <c r="A2531" s="16" t="s">
        <v>7665</v>
      </c>
      <c r="B2531" s="16" t="s">
        <v>7715</v>
      </c>
      <c r="C2531" s="16" t="s">
        <v>7641</v>
      </c>
      <c r="D2531" s="16" t="s">
        <v>7597</v>
      </c>
      <c r="E2531" s="16" t="s">
        <v>4134</v>
      </c>
      <c r="F2531" s="16" t="s">
        <v>4135</v>
      </c>
      <c r="G2531" s="16" t="s">
        <v>8235</v>
      </c>
      <c r="H2531" s="16" t="s">
        <v>64</v>
      </c>
      <c r="I2531" s="16"/>
      <c r="J2531" s="16"/>
      <c r="K2531" s="16"/>
      <c r="L2531" s="16"/>
      <c r="M2531" s="19" t="s">
        <v>4136</v>
      </c>
      <c r="N2531" s="16"/>
      <c r="O2531" s="16" t="s">
        <v>4137</v>
      </c>
      <c r="P2531" s="16" t="str">
        <f>HYPERLINK("https://ceds.ed.gov/cedselementdetails.aspx?termid=26125")</f>
        <v>https://ceds.ed.gov/cedselementdetails.aspx?termid=26125</v>
      </c>
      <c r="Q2531" s="16">
        <v>71954</v>
      </c>
    </row>
    <row r="2532" spans="1:17" ht="115.2" x14ac:dyDescent="0.3">
      <c r="A2532" s="16" t="s">
        <v>7665</v>
      </c>
      <c r="B2532" s="16" t="s">
        <v>7715</v>
      </c>
      <c r="C2532" s="16" t="s">
        <v>7641</v>
      </c>
      <c r="D2532" s="16" t="s">
        <v>7597</v>
      </c>
      <c r="E2532" s="16" t="s">
        <v>2648</v>
      </c>
      <c r="F2532" s="16" t="s">
        <v>2649</v>
      </c>
      <c r="G2532" s="16" t="s">
        <v>32</v>
      </c>
      <c r="H2532" s="16"/>
      <c r="I2532" s="16"/>
      <c r="J2532" s="16" t="s">
        <v>106</v>
      </c>
      <c r="K2532" s="16"/>
      <c r="L2532" s="16" t="s">
        <v>2650</v>
      </c>
      <c r="M2532" s="19" t="s">
        <v>2651</v>
      </c>
      <c r="N2532" s="16"/>
      <c r="O2532" s="16" t="s">
        <v>2652</v>
      </c>
      <c r="P2532" s="16" t="str">
        <f>HYPERLINK("https://ceds.ed.gov/cedselementdetails.aspx?termid=26975")</f>
        <v>https://ceds.ed.gov/cedselementdetails.aspx?termid=26975</v>
      </c>
      <c r="Q2532" s="16">
        <v>71426</v>
      </c>
    </row>
    <row r="2533" spans="1:17" ht="172.8" x14ac:dyDescent="0.3">
      <c r="A2533" s="16" t="s">
        <v>7665</v>
      </c>
      <c r="B2533" s="16" t="s">
        <v>7715</v>
      </c>
      <c r="C2533" s="16" t="s">
        <v>7641</v>
      </c>
      <c r="D2533" s="16" t="s">
        <v>7597</v>
      </c>
      <c r="E2533" s="16" t="s">
        <v>2642</v>
      </c>
      <c r="F2533" s="16" t="s">
        <v>2643</v>
      </c>
      <c r="G2533" s="16" t="s">
        <v>32</v>
      </c>
      <c r="H2533" s="16"/>
      <c r="I2533" s="16"/>
      <c r="J2533" s="16" t="s">
        <v>106</v>
      </c>
      <c r="K2533" s="16"/>
      <c r="L2533" s="16" t="s">
        <v>2645</v>
      </c>
      <c r="M2533" s="19" t="s">
        <v>2646</v>
      </c>
      <c r="N2533" s="16"/>
      <c r="O2533" s="16" t="s">
        <v>2647</v>
      </c>
      <c r="P2533" s="16" t="str">
        <f>HYPERLINK("https://ceds.ed.gov/cedselementdetails.aspx?termid=26976")</f>
        <v>https://ceds.ed.gov/cedselementdetails.aspx?termid=26976</v>
      </c>
      <c r="Q2533" s="16">
        <v>71427</v>
      </c>
    </row>
    <row r="2534" spans="1:17" ht="115.2" x14ac:dyDescent="0.3">
      <c r="A2534" s="16" t="s">
        <v>7665</v>
      </c>
      <c r="B2534" s="16" t="s">
        <v>7715</v>
      </c>
      <c r="C2534" s="16" t="s">
        <v>7641</v>
      </c>
      <c r="D2534" s="16" t="s">
        <v>7597</v>
      </c>
      <c r="E2534" s="16" t="s">
        <v>2653</v>
      </c>
      <c r="F2534" s="16" t="s">
        <v>2654</v>
      </c>
      <c r="G2534" s="16" t="s">
        <v>8470</v>
      </c>
      <c r="H2534" s="16"/>
      <c r="I2534" s="16"/>
      <c r="J2534" s="16"/>
      <c r="K2534" s="16"/>
      <c r="L2534" s="16" t="s">
        <v>2650</v>
      </c>
      <c r="M2534" s="19" t="s">
        <v>2655</v>
      </c>
      <c r="N2534" s="16"/>
      <c r="O2534" s="16" t="s">
        <v>2656</v>
      </c>
      <c r="P2534" s="16" t="str">
        <f>HYPERLINK("https://ceds.ed.gov/cedselementdetails.aspx?termid=26977")</f>
        <v>https://ceds.ed.gov/cedselementdetails.aspx?termid=26977</v>
      </c>
      <c r="Q2534" s="16">
        <v>71428</v>
      </c>
    </row>
    <row r="2535" spans="1:17" ht="230.4" x14ac:dyDescent="0.3">
      <c r="A2535" s="16" t="s">
        <v>7665</v>
      </c>
      <c r="B2535" s="16" t="s">
        <v>7715</v>
      </c>
      <c r="C2535" s="16" t="s">
        <v>7641</v>
      </c>
      <c r="D2535" s="16" t="s">
        <v>7597</v>
      </c>
      <c r="E2535" s="16" t="s">
        <v>5516</v>
      </c>
      <c r="F2535" s="16" t="s">
        <v>5517</v>
      </c>
      <c r="G2535" s="16" t="s">
        <v>32</v>
      </c>
      <c r="H2535" s="16" t="s">
        <v>5520</v>
      </c>
      <c r="I2535" s="16"/>
      <c r="J2535" s="16" t="s">
        <v>1481</v>
      </c>
      <c r="K2535" s="16"/>
      <c r="L2535" s="16" t="s">
        <v>8095</v>
      </c>
      <c r="M2535" s="19" t="s">
        <v>5518</v>
      </c>
      <c r="N2535" s="16"/>
      <c r="O2535" s="16" t="s">
        <v>5519</v>
      </c>
      <c r="P2535" s="16" t="str">
        <f>HYPERLINK("https://ceds.ed.gov/cedselementdetails.aspx?termid=26202")</f>
        <v>https://ceds.ed.gov/cedselementdetails.aspx?termid=26202</v>
      </c>
      <c r="Q2535" s="16">
        <v>71008</v>
      </c>
    </row>
    <row r="2536" spans="1:17" ht="100.8" x14ac:dyDescent="0.3">
      <c r="A2536" s="16" t="s">
        <v>7665</v>
      </c>
      <c r="B2536" s="16" t="s">
        <v>7715</v>
      </c>
      <c r="C2536" s="16" t="s">
        <v>7641</v>
      </c>
      <c r="D2536" s="16" t="s">
        <v>7597</v>
      </c>
      <c r="E2536" s="16" t="s">
        <v>5507</v>
      </c>
      <c r="F2536" s="16" t="s">
        <v>5508</v>
      </c>
      <c r="G2536" s="16" t="s">
        <v>32</v>
      </c>
      <c r="H2536" s="16" t="s">
        <v>5511</v>
      </c>
      <c r="I2536" s="16"/>
      <c r="J2536" s="16" t="s">
        <v>1481</v>
      </c>
      <c r="K2536" s="16"/>
      <c r="L2536" s="16"/>
      <c r="M2536" s="19" t="s">
        <v>5509</v>
      </c>
      <c r="N2536" s="16"/>
      <c r="O2536" s="16" t="s">
        <v>5510</v>
      </c>
      <c r="P2536" s="16" t="str">
        <f>HYPERLINK("https://ceds.ed.gov/cedselementdetails.aspx?termid=26201")</f>
        <v>https://ceds.ed.gov/cedselementdetails.aspx?termid=26201</v>
      </c>
      <c r="Q2536" s="16">
        <v>71007</v>
      </c>
    </row>
    <row r="2537" spans="1:17" ht="72" x14ac:dyDescent="0.3">
      <c r="A2537" s="16" t="s">
        <v>7665</v>
      </c>
      <c r="B2537" s="16" t="s">
        <v>7715</v>
      </c>
      <c r="C2537" s="16" t="s">
        <v>7641</v>
      </c>
      <c r="D2537" s="16" t="s">
        <v>7597</v>
      </c>
      <c r="E2537" s="16" t="s">
        <v>5499</v>
      </c>
      <c r="F2537" s="16" t="s">
        <v>5500</v>
      </c>
      <c r="G2537" s="16" t="s">
        <v>32</v>
      </c>
      <c r="H2537" s="16" t="s">
        <v>64</v>
      </c>
      <c r="I2537" s="16"/>
      <c r="J2537" s="16" t="s">
        <v>1481</v>
      </c>
      <c r="K2537" s="16"/>
      <c r="L2537" s="16"/>
      <c r="M2537" s="19" t="s">
        <v>5501</v>
      </c>
      <c r="N2537" s="16"/>
      <c r="O2537" s="16" t="s">
        <v>5502</v>
      </c>
      <c r="P2537" s="16" t="str">
        <f>HYPERLINK("https://ceds.ed.gov/cedselementdetails.aspx?termid=26199")</f>
        <v>https://ceds.ed.gov/cedselementdetails.aspx?termid=26199</v>
      </c>
      <c r="Q2537" s="16">
        <v>71005</v>
      </c>
    </row>
    <row r="2538" spans="1:17" ht="100.8" x14ac:dyDescent="0.3">
      <c r="A2538" s="16" t="s">
        <v>7665</v>
      </c>
      <c r="B2538" s="16" t="s">
        <v>7715</v>
      </c>
      <c r="C2538" s="16" t="s">
        <v>7641</v>
      </c>
      <c r="D2538" s="16" t="s">
        <v>7597</v>
      </c>
      <c r="E2538" s="16" t="s">
        <v>5503</v>
      </c>
      <c r="F2538" s="16" t="s">
        <v>5504</v>
      </c>
      <c r="G2538" s="16" t="s">
        <v>32</v>
      </c>
      <c r="H2538" s="16" t="s">
        <v>5256</v>
      </c>
      <c r="I2538" s="16"/>
      <c r="J2538" s="16" t="s">
        <v>1481</v>
      </c>
      <c r="K2538" s="16"/>
      <c r="L2538" s="16"/>
      <c r="M2538" s="19" t="s">
        <v>5505</v>
      </c>
      <c r="N2538" s="16"/>
      <c r="O2538" s="16" t="s">
        <v>5506</v>
      </c>
      <c r="P2538" s="16" t="str">
        <f>HYPERLINK("https://ceds.ed.gov/cedselementdetails.aspx?termid=26200")</f>
        <v>https://ceds.ed.gov/cedselementdetails.aspx?termid=26200</v>
      </c>
      <c r="Q2538" s="16">
        <v>71006</v>
      </c>
    </row>
    <row r="2539" spans="1:17" ht="187.2" x14ac:dyDescent="0.3">
      <c r="A2539" s="16" t="s">
        <v>7665</v>
      </c>
      <c r="B2539" s="16" t="s">
        <v>7715</v>
      </c>
      <c r="C2539" s="16" t="s">
        <v>7641</v>
      </c>
      <c r="D2539" s="16" t="s">
        <v>7597</v>
      </c>
      <c r="E2539" s="16" t="s">
        <v>6347</v>
      </c>
      <c r="F2539" s="16" t="s">
        <v>6348</v>
      </c>
      <c r="G2539" s="16" t="s">
        <v>9339</v>
      </c>
      <c r="H2539" s="16" t="s">
        <v>214</v>
      </c>
      <c r="I2539" s="16"/>
      <c r="J2539" s="16"/>
      <c r="K2539" s="16"/>
      <c r="L2539" s="16"/>
      <c r="M2539" s="19" t="s">
        <v>6349</v>
      </c>
      <c r="N2539" s="16"/>
      <c r="O2539" s="16" t="s">
        <v>6350</v>
      </c>
      <c r="P2539" s="16" t="str">
        <f>HYPERLINK("https://ceds.ed.gov/cedselementdetails.aspx?termid=26587")</f>
        <v>https://ceds.ed.gov/cedselementdetails.aspx?termid=26587</v>
      </c>
      <c r="Q2539" s="16">
        <v>73373</v>
      </c>
    </row>
    <row r="2540" spans="1:17" ht="187.2" x14ac:dyDescent="0.3">
      <c r="A2540" s="16" t="s">
        <v>7665</v>
      </c>
      <c r="B2540" s="16" t="s">
        <v>7715</v>
      </c>
      <c r="C2540" s="16" t="s">
        <v>7641</v>
      </c>
      <c r="D2540" s="16" t="s">
        <v>7597</v>
      </c>
      <c r="E2540" s="16" t="s">
        <v>6363</v>
      </c>
      <c r="F2540" s="16" t="s">
        <v>6364</v>
      </c>
      <c r="G2540" s="16" t="s">
        <v>9339</v>
      </c>
      <c r="H2540" s="16" t="s">
        <v>214</v>
      </c>
      <c r="I2540" s="16"/>
      <c r="J2540" s="16"/>
      <c r="K2540" s="16"/>
      <c r="L2540" s="16"/>
      <c r="M2540" s="19" t="s">
        <v>6365</v>
      </c>
      <c r="N2540" s="16"/>
      <c r="O2540" s="16" t="s">
        <v>6366</v>
      </c>
      <c r="P2540" s="16" t="str">
        <f>HYPERLINK("https://ceds.ed.gov/cedselementdetails.aspx?termid=26588")</f>
        <v>https://ceds.ed.gov/cedselementdetails.aspx?termid=26588</v>
      </c>
      <c r="Q2540" s="16">
        <v>73374</v>
      </c>
    </row>
    <row r="2541" spans="1:17" ht="72" x14ac:dyDescent="0.3">
      <c r="A2541" s="16" t="s">
        <v>7665</v>
      </c>
      <c r="B2541" s="16" t="s">
        <v>7715</v>
      </c>
      <c r="C2541" s="16" t="s">
        <v>7641</v>
      </c>
      <c r="D2541" s="16" t="s">
        <v>7597</v>
      </c>
      <c r="E2541" s="16" t="s">
        <v>6914</v>
      </c>
      <c r="F2541" s="16" t="s">
        <v>6915</v>
      </c>
      <c r="G2541" s="16" t="s">
        <v>32</v>
      </c>
      <c r="H2541" s="16" t="s">
        <v>64</v>
      </c>
      <c r="I2541" s="16"/>
      <c r="J2541" s="16" t="s">
        <v>2500</v>
      </c>
      <c r="K2541" s="16"/>
      <c r="L2541" s="16"/>
      <c r="M2541" s="19" t="s">
        <v>6917</v>
      </c>
      <c r="N2541" s="16"/>
      <c r="O2541" s="16" t="s">
        <v>6918</v>
      </c>
      <c r="P2541" s="16" t="str">
        <f>HYPERLINK("https://ceds.ed.gov/cedselementdetails.aspx?termid=26124")</f>
        <v>https://ceds.ed.gov/cedselementdetails.aspx?termid=26124</v>
      </c>
      <c r="Q2541" s="16">
        <v>73922</v>
      </c>
    </row>
    <row r="2542" spans="1:17" ht="43.2" x14ac:dyDescent="0.3">
      <c r="A2542" s="16" t="s">
        <v>7665</v>
      </c>
      <c r="B2542" s="16" t="s">
        <v>7715</v>
      </c>
      <c r="C2542" s="16" t="s">
        <v>7641</v>
      </c>
      <c r="D2542" s="16" t="s">
        <v>7597</v>
      </c>
      <c r="E2542" s="16" t="s">
        <v>6919</v>
      </c>
      <c r="F2542" s="16" t="s">
        <v>6920</v>
      </c>
      <c r="G2542" s="16" t="s">
        <v>32</v>
      </c>
      <c r="H2542" s="16"/>
      <c r="I2542" s="16"/>
      <c r="J2542" s="16" t="s">
        <v>101</v>
      </c>
      <c r="K2542" s="16"/>
      <c r="L2542" s="16"/>
      <c r="M2542" s="19" t="s">
        <v>6922</v>
      </c>
      <c r="N2542" s="16"/>
      <c r="O2542" s="16" t="s">
        <v>6923</v>
      </c>
      <c r="P2542" s="16" t="str">
        <f>HYPERLINK("https://ceds.ed.gov/cedselementdetails.aspx?termid=27552")</f>
        <v>https://ceds.ed.gov/cedselementdetails.aspx?termid=27552</v>
      </c>
      <c r="Q2542" s="16">
        <v>73925</v>
      </c>
    </row>
    <row r="2543" spans="1:17" ht="43.2" x14ac:dyDescent="0.3">
      <c r="A2543" s="16" t="s">
        <v>7665</v>
      </c>
      <c r="B2543" s="16" t="s">
        <v>7715</v>
      </c>
      <c r="C2543" s="16" t="s">
        <v>7641</v>
      </c>
      <c r="D2543" s="16" t="s">
        <v>7597</v>
      </c>
      <c r="E2543" s="16" t="s">
        <v>7493</v>
      </c>
      <c r="F2543" s="16" t="s">
        <v>7494</v>
      </c>
      <c r="G2543" s="16" t="s">
        <v>32</v>
      </c>
      <c r="H2543" s="16"/>
      <c r="I2543" s="16"/>
      <c r="J2543" s="16" t="s">
        <v>1481</v>
      </c>
      <c r="K2543" s="16"/>
      <c r="L2543" s="16"/>
      <c r="M2543" s="19" t="s">
        <v>7495</v>
      </c>
      <c r="N2543" s="16"/>
      <c r="O2543" s="16" t="s">
        <v>7496</v>
      </c>
      <c r="P2543" s="16" t="str">
        <f>HYPERLINK("https://ceds.ed.gov/cedselementdetails.aspx?termid=27948")</f>
        <v>https://ceds.ed.gov/cedselementdetails.aspx?termid=27948</v>
      </c>
      <c r="Q2543" s="16">
        <v>75530</v>
      </c>
    </row>
    <row r="2544" spans="1:17" ht="43.2" x14ac:dyDescent="0.3">
      <c r="A2544" s="16" t="s">
        <v>7665</v>
      </c>
      <c r="B2544" s="16" t="s">
        <v>7715</v>
      </c>
      <c r="C2544" s="16" t="s">
        <v>7641</v>
      </c>
      <c r="D2544" s="16" t="s">
        <v>7597</v>
      </c>
      <c r="E2544" s="16" t="s">
        <v>7966</v>
      </c>
      <c r="F2544" s="16" t="s">
        <v>7967</v>
      </c>
      <c r="G2544" s="16" t="s">
        <v>32</v>
      </c>
      <c r="H2544" s="16"/>
      <c r="I2544" s="16"/>
      <c r="J2544" s="16" t="s">
        <v>1662</v>
      </c>
      <c r="K2544" s="16"/>
      <c r="L2544" s="16" t="s">
        <v>7968</v>
      </c>
      <c r="M2544" s="19" t="s">
        <v>8181</v>
      </c>
      <c r="N2544" s="16"/>
      <c r="O2544" s="16" t="s">
        <v>7969</v>
      </c>
      <c r="P2544" s="16" t="str">
        <f>HYPERLINK("https://ceds.ed.gov/cedselementdetails.aspx?termid=27979")</f>
        <v>https://ceds.ed.gov/cedselementdetails.aspx?termid=27979</v>
      </c>
      <c r="Q2544" s="16">
        <v>75886</v>
      </c>
    </row>
    <row r="2545" spans="1:17" ht="187.2" x14ac:dyDescent="0.3">
      <c r="A2545" s="16" t="s">
        <v>7665</v>
      </c>
      <c r="B2545" s="16" t="s">
        <v>7715</v>
      </c>
      <c r="C2545" s="16" t="s">
        <v>7641</v>
      </c>
      <c r="D2545" s="16" t="s">
        <v>7597</v>
      </c>
      <c r="E2545" s="16" t="s">
        <v>6355</v>
      </c>
      <c r="F2545" s="16" t="s">
        <v>6356</v>
      </c>
      <c r="G2545" s="16" t="s">
        <v>9339</v>
      </c>
      <c r="H2545" s="16"/>
      <c r="I2545" s="16"/>
      <c r="J2545" s="16"/>
      <c r="K2545" s="16"/>
      <c r="L2545" s="16" t="s">
        <v>6352</v>
      </c>
      <c r="M2545" s="19" t="s">
        <v>6357</v>
      </c>
      <c r="N2545" s="16"/>
      <c r="O2545" s="16" t="s">
        <v>6358</v>
      </c>
      <c r="P2545" s="16" t="str">
        <f>HYPERLINK("https://ceds.ed.gov/cedselementdetails.aspx?termid=27439")</f>
        <v>https://ceds.ed.gov/cedselementdetails.aspx?termid=27439</v>
      </c>
      <c r="Q2545" s="16">
        <v>76131</v>
      </c>
    </row>
    <row r="2546" spans="1:17" ht="72" x14ac:dyDescent="0.3">
      <c r="A2546" s="16" t="s">
        <v>7665</v>
      </c>
      <c r="B2546" s="16" t="s">
        <v>7715</v>
      </c>
      <c r="C2546" s="16" t="s">
        <v>7717</v>
      </c>
      <c r="D2546" s="16" t="s">
        <v>7597</v>
      </c>
      <c r="E2546" s="16" t="s">
        <v>5296</v>
      </c>
      <c r="F2546" s="16" t="s">
        <v>5297</v>
      </c>
      <c r="G2546" s="16" t="s">
        <v>32</v>
      </c>
      <c r="H2546" s="16" t="s">
        <v>64</v>
      </c>
      <c r="I2546" s="16"/>
      <c r="J2546" s="16" t="s">
        <v>81</v>
      </c>
      <c r="K2546" s="16"/>
      <c r="L2546" s="16"/>
      <c r="M2546" s="19" t="s">
        <v>5299</v>
      </c>
      <c r="N2546" s="16"/>
      <c r="O2546" s="16" t="s">
        <v>5300</v>
      </c>
      <c r="P2546" s="16" t="str">
        <f>HYPERLINK("https://ceds.ed.gov/cedselementdetails.aspx?termid=26182")</f>
        <v>https://ceds.ed.gov/cedselementdetails.aspx?termid=26182</v>
      </c>
      <c r="Q2546" s="16">
        <v>72344</v>
      </c>
    </row>
    <row r="2547" spans="1:17" ht="43.2" x14ac:dyDescent="0.3">
      <c r="A2547" s="16" t="s">
        <v>7665</v>
      </c>
      <c r="B2547" s="16" t="s">
        <v>7715</v>
      </c>
      <c r="C2547" s="16" t="s">
        <v>7717</v>
      </c>
      <c r="D2547" s="16" t="s">
        <v>7597</v>
      </c>
      <c r="E2547" s="16" t="s">
        <v>6924</v>
      </c>
      <c r="F2547" s="16" t="s">
        <v>6925</v>
      </c>
      <c r="G2547" s="16" t="s">
        <v>22</v>
      </c>
      <c r="H2547" s="16"/>
      <c r="I2547" s="16"/>
      <c r="J2547" s="16"/>
      <c r="K2547" s="16"/>
      <c r="L2547" s="16"/>
      <c r="M2547" s="19" t="s">
        <v>6926</v>
      </c>
      <c r="N2547" s="16"/>
      <c r="O2547" s="16" t="s">
        <v>6927</v>
      </c>
      <c r="P2547" s="16" t="str">
        <f>HYPERLINK("https://ceds.ed.gov/cedselementdetails.aspx?termid=27191")</f>
        <v>https://ceds.ed.gov/cedselementdetails.aspx?termid=27191</v>
      </c>
      <c r="Q2547" s="16">
        <v>71784</v>
      </c>
    </row>
    <row r="2548" spans="1:17" ht="72" x14ac:dyDescent="0.3">
      <c r="A2548" s="16" t="s">
        <v>7665</v>
      </c>
      <c r="B2548" s="16" t="s">
        <v>7715</v>
      </c>
      <c r="C2548" s="16" t="s">
        <v>7717</v>
      </c>
      <c r="D2548" s="16" t="s">
        <v>7597</v>
      </c>
      <c r="E2548" s="16" t="s">
        <v>5324</v>
      </c>
      <c r="F2548" s="16" t="s">
        <v>5325</v>
      </c>
      <c r="G2548" s="16" t="s">
        <v>32</v>
      </c>
      <c r="H2548" s="16" t="s">
        <v>64</v>
      </c>
      <c r="I2548" s="16"/>
      <c r="J2548" s="16" t="s">
        <v>2500</v>
      </c>
      <c r="K2548" s="16"/>
      <c r="L2548" s="16"/>
      <c r="M2548" s="19" t="s">
        <v>5326</v>
      </c>
      <c r="N2548" s="16"/>
      <c r="O2548" s="16" t="s">
        <v>5327</v>
      </c>
      <c r="P2548" s="16" t="str">
        <f>HYPERLINK("https://ceds.ed.gov/cedselementdetails.aspx?termid=26183")</f>
        <v>https://ceds.ed.gov/cedselementdetails.aspx?termid=26183</v>
      </c>
      <c r="Q2548" s="16">
        <v>72345</v>
      </c>
    </row>
    <row r="2549" spans="1:17" ht="72" x14ac:dyDescent="0.3">
      <c r="A2549" s="16" t="s">
        <v>7665</v>
      </c>
      <c r="B2549" s="16" t="s">
        <v>7715</v>
      </c>
      <c r="C2549" s="16" t="s">
        <v>7717</v>
      </c>
      <c r="D2549" s="16" t="s">
        <v>7597</v>
      </c>
      <c r="E2549" s="16" t="s">
        <v>6914</v>
      </c>
      <c r="F2549" s="16" t="s">
        <v>6915</v>
      </c>
      <c r="G2549" s="16" t="s">
        <v>32</v>
      </c>
      <c r="H2549" s="16" t="s">
        <v>64</v>
      </c>
      <c r="I2549" s="16"/>
      <c r="J2549" s="16" t="s">
        <v>2500</v>
      </c>
      <c r="K2549" s="16"/>
      <c r="L2549" s="16"/>
      <c r="M2549" s="19" t="s">
        <v>6917</v>
      </c>
      <c r="N2549" s="16"/>
      <c r="O2549" s="16" t="s">
        <v>6918</v>
      </c>
      <c r="P2549" s="16" t="str">
        <f>HYPERLINK("https://ceds.ed.gov/cedselementdetails.aspx?termid=26124")</f>
        <v>https://ceds.ed.gov/cedselementdetails.aspx?termid=26124</v>
      </c>
      <c r="Q2549" s="16">
        <v>71953</v>
      </c>
    </row>
    <row r="2550" spans="1:17" ht="28.8" x14ac:dyDescent="0.3">
      <c r="A2550" s="16" t="s">
        <v>7665</v>
      </c>
      <c r="B2550" s="16" t="s">
        <v>7715</v>
      </c>
      <c r="C2550" s="16" t="s">
        <v>7717</v>
      </c>
      <c r="D2550" s="16" t="s">
        <v>7597</v>
      </c>
      <c r="E2550" s="16" t="s">
        <v>4174</v>
      </c>
      <c r="F2550" s="16"/>
      <c r="G2550" s="16" t="s">
        <v>32</v>
      </c>
      <c r="H2550" s="16"/>
      <c r="I2550" s="16" t="s">
        <v>160</v>
      </c>
      <c r="J2550" s="16" t="s">
        <v>13079</v>
      </c>
      <c r="K2550" s="16" t="s">
        <v>12939</v>
      </c>
      <c r="L2550" s="16"/>
      <c r="M2550" s="19" t="s">
        <v>4176</v>
      </c>
      <c r="N2550" s="16"/>
      <c r="O2550" s="16"/>
      <c r="P2550" s="16" t="str">
        <f>HYPERLINK("https://ceds.ed.gov/cedselementdetails.aspx?termid=26609")</f>
        <v>https://ceds.ed.gov/cedselementdetails.aspx?termid=26609</v>
      </c>
      <c r="Q2550" s="16">
        <v>71029</v>
      </c>
    </row>
    <row r="2551" spans="1:17" ht="172.8" x14ac:dyDescent="0.3">
      <c r="A2551" s="16" t="s">
        <v>7665</v>
      </c>
      <c r="B2551" s="16" t="s">
        <v>7715</v>
      </c>
      <c r="C2551" s="16" t="s">
        <v>7718</v>
      </c>
      <c r="D2551" s="16" t="s">
        <v>7597</v>
      </c>
      <c r="E2551" s="16" t="s">
        <v>6810</v>
      </c>
      <c r="F2551" s="16" t="s">
        <v>6811</v>
      </c>
      <c r="G2551" s="16" t="s">
        <v>32</v>
      </c>
      <c r="H2551" s="16" t="s">
        <v>6814</v>
      </c>
      <c r="I2551" s="16"/>
      <c r="J2551" s="16" t="s">
        <v>120</v>
      </c>
      <c r="K2551" s="16"/>
      <c r="L2551" s="16" t="s">
        <v>7817</v>
      </c>
      <c r="M2551" s="19" t="s">
        <v>6812</v>
      </c>
      <c r="N2551" s="16"/>
      <c r="O2551" s="16" t="s">
        <v>6813</v>
      </c>
      <c r="P2551" s="16" t="str">
        <f>HYPERLINK("https://ceds.ed.gov/cedselementdetails.aspx?termid=26156")</f>
        <v>https://ceds.ed.gov/cedselementdetails.aspx?termid=26156</v>
      </c>
      <c r="Q2551" s="16">
        <v>71956</v>
      </c>
    </row>
    <row r="2552" spans="1:17" ht="259.2" x14ac:dyDescent="0.3">
      <c r="A2552" s="16" t="s">
        <v>7665</v>
      </c>
      <c r="B2552" s="16" t="s">
        <v>7715</v>
      </c>
      <c r="C2552" s="16" t="s">
        <v>7718</v>
      </c>
      <c r="D2552" s="16" t="s">
        <v>7597</v>
      </c>
      <c r="E2552" s="16" t="s">
        <v>6805</v>
      </c>
      <c r="F2552" s="16" t="s">
        <v>6806</v>
      </c>
      <c r="G2552" s="16" t="s">
        <v>9342</v>
      </c>
      <c r="H2552" s="16" t="s">
        <v>6809</v>
      </c>
      <c r="I2552" s="16"/>
      <c r="J2552" s="16"/>
      <c r="K2552" s="16"/>
      <c r="L2552" s="16"/>
      <c r="M2552" s="19" t="s">
        <v>6807</v>
      </c>
      <c r="N2552" s="16"/>
      <c r="O2552" s="16" t="s">
        <v>6808</v>
      </c>
      <c r="P2552" s="16" t="str">
        <f>HYPERLINK("https://ceds.ed.gov/cedselementdetails.aspx?termid=26162")</f>
        <v>https://ceds.ed.gov/cedselementdetails.aspx?termid=26162</v>
      </c>
      <c r="Q2552" s="16">
        <v>71958</v>
      </c>
    </row>
    <row r="2553" spans="1:17" ht="28.8" x14ac:dyDescent="0.3">
      <c r="A2553" s="16" t="s">
        <v>7665</v>
      </c>
      <c r="B2553" s="16" t="s">
        <v>7715</v>
      </c>
      <c r="C2553" s="16" t="s">
        <v>7718</v>
      </c>
      <c r="D2553" s="16" t="s">
        <v>7597</v>
      </c>
      <c r="E2553" s="16" t="s">
        <v>1406</v>
      </c>
      <c r="F2553" s="16" t="s">
        <v>1407</v>
      </c>
      <c r="G2553" s="16" t="s">
        <v>32</v>
      </c>
      <c r="H2553" s="16"/>
      <c r="I2553" s="16"/>
      <c r="J2553" s="16" t="s">
        <v>106</v>
      </c>
      <c r="K2553" s="16"/>
      <c r="L2553" s="16"/>
      <c r="M2553" s="19" t="s">
        <v>1408</v>
      </c>
      <c r="N2553" s="16"/>
      <c r="O2553" s="16" t="s">
        <v>1409</v>
      </c>
      <c r="P2553" s="16" t="str">
        <f>HYPERLINK("https://ceds.ed.gov/cedselementdetails.aspx?termid=26517")</f>
        <v>https://ceds.ed.gov/cedselementdetails.aspx?termid=26517</v>
      </c>
      <c r="Q2553" s="16">
        <v>71027</v>
      </c>
    </row>
    <row r="2554" spans="1:17" ht="57.6" x14ac:dyDescent="0.3">
      <c r="A2554" s="16" t="s">
        <v>7665</v>
      </c>
      <c r="B2554" s="16" t="s">
        <v>7715</v>
      </c>
      <c r="C2554" s="16" t="s">
        <v>7718</v>
      </c>
      <c r="D2554" s="16" t="s">
        <v>7597</v>
      </c>
      <c r="E2554" s="16" t="s">
        <v>1402</v>
      </c>
      <c r="F2554" s="16" t="s">
        <v>1403</v>
      </c>
      <c r="G2554" s="16" t="s">
        <v>32</v>
      </c>
      <c r="H2554" s="16"/>
      <c r="I2554" s="16"/>
      <c r="J2554" s="16" t="s">
        <v>106</v>
      </c>
      <c r="K2554" s="16"/>
      <c r="L2554" s="16" t="s">
        <v>131</v>
      </c>
      <c r="M2554" s="19" t="s">
        <v>1404</v>
      </c>
      <c r="N2554" s="16"/>
      <c r="O2554" s="16" t="s">
        <v>1405</v>
      </c>
      <c r="P2554" s="16" t="str">
        <f>HYPERLINK("https://ceds.ed.gov/cedselementdetails.aspx?termid=26518")</f>
        <v>https://ceds.ed.gov/cedselementdetails.aspx?termid=26518</v>
      </c>
      <c r="Q2554" s="16">
        <v>71028</v>
      </c>
    </row>
    <row r="2555" spans="1:17" ht="57.6" x14ac:dyDescent="0.3">
      <c r="A2555" s="16" t="s">
        <v>7665</v>
      </c>
      <c r="B2555" s="16" t="s">
        <v>7715</v>
      </c>
      <c r="C2555" s="16" t="s">
        <v>7718</v>
      </c>
      <c r="D2555" s="16" t="s">
        <v>7597</v>
      </c>
      <c r="E2555" s="16" t="s">
        <v>6992</v>
      </c>
      <c r="F2555" s="16" t="s">
        <v>6993</v>
      </c>
      <c r="G2555" s="16" t="s">
        <v>22</v>
      </c>
      <c r="H2555" s="16" t="s">
        <v>6997</v>
      </c>
      <c r="I2555" s="16"/>
      <c r="J2555" s="16"/>
      <c r="K2555" s="16"/>
      <c r="L2555" s="16" t="s">
        <v>6994</v>
      </c>
      <c r="M2555" s="19" t="s">
        <v>6995</v>
      </c>
      <c r="N2555" s="16"/>
      <c r="O2555" s="16" t="s">
        <v>6996</v>
      </c>
      <c r="P2555" s="16" t="str">
        <f>HYPERLINK("https://ceds.ed.gov/cedselementdetails.aspx?termid=26649")</f>
        <v>https://ceds.ed.gov/cedselementdetails.aspx?termid=26649</v>
      </c>
      <c r="Q2555" s="16">
        <v>71030</v>
      </c>
    </row>
    <row r="2556" spans="1:17" ht="72" x14ac:dyDescent="0.3">
      <c r="A2556" s="16" t="s">
        <v>7665</v>
      </c>
      <c r="B2556" s="16" t="s">
        <v>7715</v>
      </c>
      <c r="C2556" s="16" t="s">
        <v>7718</v>
      </c>
      <c r="D2556" s="16" t="s">
        <v>7597</v>
      </c>
      <c r="E2556" s="16" t="s">
        <v>7018</v>
      </c>
      <c r="F2556" s="16" t="s">
        <v>8166</v>
      </c>
      <c r="G2556" s="16" t="s">
        <v>8273</v>
      </c>
      <c r="H2556" s="16" t="s">
        <v>6997</v>
      </c>
      <c r="I2556" s="16"/>
      <c r="J2556" s="16"/>
      <c r="K2556" s="16"/>
      <c r="L2556" s="16"/>
      <c r="M2556" s="19" t="s">
        <v>7019</v>
      </c>
      <c r="N2556" s="16"/>
      <c r="O2556" s="16" t="s">
        <v>7020</v>
      </c>
      <c r="P2556" s="16" t="str">
        <f>HYPERLINK("https://ceds.ed.gov/cedselementdetails.aspx?termid=26650")</f>
        <v>https://ceds.ed.gov/cedselementdetails.aspx?termid=26650</v>
      </c>
      <c r="Q2556" s="16">
        <v>71031</v>
      </c>
    </row>
    <row r="2557" spans="1:17" ht="72" x14ac:dyDescent="0.3">
      <c r="A2557" s="16" t="s">
        <v>7665</v>
      </c>
      <c r="B2557" s="16" t="s">
        <v>7715</v>
      </c>
      <c r="C2557" s="16" t="s">
        <v>7718</v>
      </c>
      <c r="D2557" s="16" t="s">
        <v>7597</v>
      </c>
      <c r="E2557" s="16" t="s">
        <v>7009</v>
      </c>
      <c r="F2557" s="16" t="s">
        <v>7010</v>
      </c>
      <c r="G2557" s="16" t="s">
        <v>32</v>
      </c>
      <c r="H2557" s="16" t="s">
        <v>6997</v>
      </c>
      <c r="I2557" s="16"/>
      <c r="J2557" s="16" t="s">
        <v>742</v>
      </c>
      <c r="K2557" s="16"/>
      <c r="L2557" s="16"/>
      <c r="M2557" s="19" t="s">
        <v>7011</v>
      </c>
      <c r="N2557" s="16"/>
      <c r="O2557" s="16" t="s">
        <v>7012</v>
      </c>
      <c r="P2557" s="16" t="str">
        <f>HYPERLINK("https://ceds.ed.gov/cedselementdetails.aspx?termid=26651")</f>
        <v>https://ceds.ed.gov/cedselementdetails.aspx?termid=26651</v>
      </c>
      <c r="Q2557" s="16">
        <v>71032</v>
      </c>
    </row>
    <row r="2558" spans="1:17" ht="244.8" x14ac:dyDescent="0.3">
      <c r="A2558" s="16" t="s">
        <v>7665</v>
      </c>
      <c r="B2558" s="16" t="s">
        <v>7715</v>
      </c>
      <c r="C2558" s="16" t="s">
        <v>7718</v>
      </c>
      <c r="D2558" s="16" t="s">
        <v>7597</v>
      </c>
      <c r="E2558" s="16" t="s">
        <v>2064</v>
      </c>
      <c r="F2558" s="16" t="s">
        <v>2065</v>
      </c>
      <c r="G2558" s="16" t="s">
        <v>8213</v>
      </c>
      <c r="H2558" s="16"/>
      <c r="I2558" s="16"/>
      <c r="J2558" s="16"/>
      <c r="K2558" s="16"/>
      <c r="L2558" s="16"/>
      <c r="M2558" s="19" t="s">
        <v>2066</v>
      </c>
      <c r="N2558" s="16"/>
      <c r="O2558" s="16" t="s">
        <v>2067</v>
      </c>
      <c r="P2558" s="16" t="str">
        <f>HYPERLINK("https://ceds.ed.gov/cedselementdetails.aspx?termid=26615")</f>
        <v>https://ceds.ed.gov/cedselementdetails.aspx?termid=26615</v>
      </c>
      <c r="Q2558" s="16">
        <v>74128</v>
      </c>
    </row>
    <row r="2559" spans="1:17" ht="57.6" x14ac:dyDescent="0.3">
      <c r="A2559" s="16" t="s">
        <v>7665</v>
      </c>
      <c r="B2559" s="16" t="s">
        <v>7715</v>
      </c>
      <c r="C2559" s="16" t="s">
        <v>7718</v>
      </c>
      <c r="D2559" s="16" t="s">
        <v>7597</v>
      </c>
      <c r="E2559" s="16" t="s">
        <v>7013</v>
      </c>
      <c r="F2559" s="16" t="s">
        <v>7014</v>
      </c>
      <c r="G2559" s="16" t="s">
        <v>32</v>
      </c>
      <c r="H2559" s="16" t="s">
        <v>6997</v>
      </c>
      <c r="I2559" s="16"/>
      <c r="J2559" s="16" t="s">
        <v>106</v>
      </c>
      <c r="K2559" s="16"/>
      <c r="L2559" s="16" t="s">
        <v>7015</v>
      </c>
      <c r="M2559" s="19" t="s">
        <v>7016</v>
      </c>
      <c r="N2559" s="16"/>
      <c r="O2559" s="16" t="s">
        <v>7017</v>
      </c>
      <c r="P2559" s="16" t="str">
        <f>HYPERLINK("https://ceds.ed.gov/cedselementdetails.aspx?termid=26648")</f>
        <v>https://ceds.ed.gov/cedselementdetails.aspx?termid=26648</v>
      </c>
      <c r="Q2559" s="16">
        <v>75887</v>
      </c>
    </row>
    <row r="2560" spans="1:17" ht="28.8" x14ac:dyDescent="0.3">
      <c r="A2560" s="16" t="s">
        <v>7665</v>
      </c>
      <c r="B2560" s="16" t="s">
        <v>7715</v>
      </c>
      <c r="C2560" s="16" t="s">
        <v>7718</v>
      </c>
      <c r="D2560" s="16" t="s">
        <v>7597</v>
      </c>
      <c r="E2560" s="16" t="s">
        <v>7021</v>
      </c>
      <c r="F2560" s="16" t="s">
        <v>7022</v>
      </c>
      <c r="G2560" s="16" t="s">
        <v>32</v>
      </c>
      <c r="H2560" s="16" t="s">
        <v>6997</v>
      </c>
      <c r="I2560" s="16"/>
      <c r="J2560" s="16" t="s">
        <v>106</v>
      </c>
      <c r="K2560" s="16"/>
      <c r="L2560" s="16"/>
      <c r="M2560" s="19" t="s">
        <v>7023</v>
      </c>
      <c r="N2560" s="16"/>
      <c r="O2560" s="16" t="s">
        <v>7024</v>
      </c>
      <c r="P2560" s="16" t="str">
        <f>HYPERLINK("https://ceds.ed.gov/cedselementdetails.aspx?termid=26647")</f>
        <v>https://ceds.ed.gov/cedselementdetails.aspx?termid=26647</v>
      </c>
      <c r="Q2560" s="16">
        <v>75888</v>
      </c>
    </row>
    <row r="2561" spans="1:17" ht="28.8" x14ac:dyDescent="0.3">
      <c r="A2561" s="16" t="s">
        <v>7665</v>
      </c>
      <c r="B2561" s="16" t="s">
        <v>7715</v>
      </c>
      <c r="C2561" s="16" t="s">
        <v>7682</v>
      </c>
      <c r="D2561" s="16" t="s">
        <v>7597</v>
      </c>
      <c r="E2561" s="16" t="s">
        <v>1410</v>
      </c>
      <c r="F2561" s="16" t="s">
        <v>1411</v>
      </c>
      <c r="G2561" s="16" t="s">
        <v>32</v>
      </c>
      <c r="H2561" s="16"/>
      <c r="I2561" s="16"/>
      <c r="J2561" s="16" t="s">
        <v>106</v>
      </c>
      <c r="K2561" s="16"/>
      <c r="L2561" s="16"/>
      <c r="M2561" s="19" t="s">
        <v>1412</v>
      </c>
      <c r="N2561" s="16"/>
      <c r="O2561" s="16" t="s">
        <v>1413</v>
      </c>
      <c r="P2561" s="16" t="str">
        <f>HYPERLINK("https://ceds.ed.gov/cedselementdetails.aspx?termid=27630")</f>
        <v>https://ceds.ed.gov/cedselementdetails.aspx?termid=27630</v>
      </c>
      <c r="Q2561" s="16">
        <v>74490</v>
      </c>
    </row>
    <row r="2562" spans="1:17" ht="72" x14ac:dyDescent="0.3">
      <c r="A2562" s="16" t="s">
        <v>7665</v>
      </c>
      <c r="B2562" s="16" t="s">
        <v>7715</v>
      </c>
      <c r="C2562" s="16" t="s">
        <v>7682</v>
      </c>
      <c r="D2562" s="16" t="s">
        <v>7597</v>
      </c>
      <c r="E2562" s="16" t="s">
        <v>1414</v>
      </c>
      <c r="F2562" s="16" t="s">
        <v>1415</v>
      </c>
      <c r="G2562" s="16" t="s">
        <v>8365</v>
      </c>
      <c r="H2562" s="16"/>
      <c r="I2562" s="16"/>
      <c r="J2562" s="16"/>
      <c r="K2562" s="16"/>
      <c r="L2562" s="16"/>
      <c r="M2562" s="19" t="s">
        <v>1417</v>
      </c>
      <c r="N2562" s="16"/>
      <c r="O2562" s="16" t="s">
        <v>1418</v>
      </c>
      <c r="P2562" s="16" t="str">
        <f>HYPERLINK("https://ceds.ed.gov/cedselementdetails.aspx?termid=26594")</f>
        <v>https://ceds.ed.gov/cedselementdetails.aspx?termid=26594</v>
      </c>
      <c r="Q2562" s="16">
        <v>74489</v>
      </c>
    </row>
    <row r="2563" spans="1:17" ht="86.4" x14ac:dyDescent="0.3">
      <c r="A2563" s="16" t="s">
        <v>7665</v>
      </c>
      <c r="B2563" s="16" t="s">
        <v>7715</v>
      </c>
      <c r="C2563" s="16" t="s">
        <v>7682</v>
      </c>
      <c r="D2563" s="16" t="s">
        <v>7597</v>
      </c>
      <c r="E2563" s="16" t="s">
        <v>1419</v>
      </c>
      <c r="F2563" s="16" t="s">
        <v>1420</v>
      </c>
      <c r="G2563" s="16" t="s">
        <v>8211</v>
      </c>
      <c r="H2563" s="16"/>
      <c r="I2563" s="16"/>
      <c r="J2563" s="16"/>
      <c r="K2563" s="16"/>
      <c r="L2563" s="16"/>
      <c r="M2563" s="19" t="s">
        <v>1421</v>
      </c>
      <c r="N2563" s="16"/>
      <c r="O2563" s="16" t="s">
        <v>1422</v>
      </c>
      <c r="P2563" s="16" t="str">
        <f>HYPERLINK("https://ceds.ed.gov/cedselementdetails.aspx?termid=26076")</f>
        <v>https://ceds.ed.gov/cedselementdetails.aspx?termid=26076</v>
      </c>
      <c r="Q2563" s="16">
        <v>73466</v>
      </c>
    </row>
    <row r="2564" spans="1:17" ht="115.2" x14ac:dyDescent="0.3">
      <c r="A2564" s="16" t="s">
        <v>7665</v>
      </c>
      <c r="B2564" s="16" t="s">
        <v>7715</v>
      </c>
      <c r="C2564" s="16" t="s">
        <v>7682</v>
      </c>
      <c r="D2564" s="16" t="s">
        <v>7597</v>
      </c>
      <c r="E2564" s="16" t="s">
        <v>8896</v>
      </c>
      <c r="F2564" s="16" t="s">
        <v>8897</v>
      </c>
      <c r="G2564" s="16" t="s">
        <v>32</v>
      </c>
      <c r="H2564" s="16"/>
      <c r="I2564" s="16"/>
      <c r="J2564" s="16" t="s">
        <v>4030</v>
      </c>
      <c r="K2564" s="16"/>
      <c r="L2564" s="16" t="s">
        <v>8898</v>
      </c>
      <c r="M2564" s="19" t="s">
        <v>8899</v>
      </c>
      <c r="N2564" s="16"/>
      <c r="O2564" s="16" t="s">
        <v>8900</v>
      </c>
      <c r="P2564" s="16" t="str">
        <f>HYPERLINK("https://ceds.ed.gov/cedselementdetails.aspx?termid=28001")</f>
        <v>https://ceds.ed.gov/cedselementdetails.aspx?termid=28001</v>
      </c>
      <c r="Q2564" s="16">
        <v>76326</v>
      </c>
    </row>
    <row r="2565" spans="1:17" ht="28.8" x14ac:dyDescent="0.3">
      <c r="A2565" s="16" t="s">
        <v>7665</v>
      </c>
      <c r="B2565" s="16" t="s">
        <v>7715</v>
      </c>
      <c r="C2565" s="16" t="s">
        <v>7682</v>
      </c>
      <c r="D2565" s="16" t="s">
        <v>7597</v>
      </c>
      <c r="E2565" s="16" t="s">
        <v>8901</v>
      </c>
      <c r="F2565" s="16" t="s">
        <v>8902</v>
      </c>
      <c r="G2565" s="16" t="s">
        <v>32</v>
      </c>
      <c r="H2565" s="16"/>
      <c r="I2565" s="16"/>
      <c r="J2565" s="16" t="s">
        <v>4030</v>
      </c>
      <c r="K2565" s="16"/>
      <c r="L2565" s="16"/>
      <c r="M2565" s="19" t="s">
        <v>8903</v>
      </c>
      <c r="N2565" s="16"/>
      <c r="O2565" s="16" t="s">
        <v>8904</v>
      </c>
      <c r="P2565" s="16" t="str">
        <f>HYPERLINK("https://ceds.ed.gov/cedselementdetails.aspx?termid=28002")</f>
        <v>https://ceds.ed.gov/cedselementdetails.aspx?termid=28002</v>
      </c>
      <c r="Q2565" s="16">
        <v>76327</v>
      </c>
    </row>
    <row r="2566" spans="1:17" ht="28.8" x14ac:dyDescent="0.3">
      <c r="A2566" s="16" t="s">
        <v>7665</v>
      </c>
      <c r="B2566" s="16" t="s">
        <v>7715</v>
      </c>
      <c r="C2566" s="16" t="s">
        <v>7682</v>
      </c>
      <c r="D2566" s="16" t="s">
        <v>7597</v>
      </c>
      <c r="E2566" s="16" t="s">
        <v>8905</v>
      </c>
      <c r="F2566" s="16" t="s">
        <v>8906</v>
      </c>
      <c r="G2566" s="16" t="s">
        <v>32</v>
      </c>
      <c r="H2566" s="16"/>
      <c r="I2566" s="16"/>
      <c r="J2566" s="16" t="s">
        <v>4030</v>
      </c>
      <c r="K2566" s="16"/>
      <c r="L2566" s="16"/>
      <c r="M2566" s="19" t="s">
        <v>8907</v>
      </c>
      <c r="N2566" s="16"/>
      <c r="O2566" s="16" t="s">
        <v>8908</v>
      </c>
      <c r="P2566" s="16" t="str">
        <f>HYPERLINK("https://ceds.ed.gov/cedselementdetails.aspx?termid=28003")</f>
        <v>https://ceds.ed.gov/cedselementdetails.aspx?termid=28003</v>
      </c>
      <c r="Q2566" s="16">
        <v>76328</v>
      </c>
    </row>
    <row r="2567" spans="1:17" ht="86.4" x14ac:dyDescent="0.3">
      <c r="A2567" s="16" t="s">
        <v>7665</v>
      </c>
      <c r="B2567" s="16" t="s">
        <v>7715</v>
      </c>
      <c r="C2567" s="16" t="s">
        <v>7719</v>
      </c>
      <c r="D2567" s="16" t="s">
        <v>7597</v>
      </c>
      <c r="E2567" s="16" t="s">
        <v>7005</v>
      </c>
      <c r="F2567" s="16" t="s">
        <v>7006</v>
      </c>
      <c r="G2567" s="16" t="s">
        <v>22</v>
      </c>
      <c r="H2567" s="16"/>
      <c r="I2567" s="16"/>
      <c r="J2567" s="16"/>
      <c r="K2567" s="16"/>
      <c r="L2567" s="16" t="s">
        <v>8165</v>
      </c>
      <c r="M2567" s="19" t="s">
        <v>7007</v>
      </c>
      <c r="N2567" s="16"/>
      <c r="O2567" s="16" t="s">
        <v>7008</v>
      </c>
      <c r="P2567" s="16" t="str">
        <f>HYPERLINK("https://ceds.ed.gov/cedselementdetails.aspx?termid=26973")</f>
        <v>https://ceds.ed.gov/cedselementdetails.aspx?termid=26973</v>
      </c>
      <c r="Q2567" s="16">
        <v>71424</v>
      </c>
    </row>
    <row r="2568" spans="1:17" ht="172.8" x14ac:dyDescent="0.3">
      <c r="A2568" s="16" t="s">
        <v>7665</v>
      </c>
      <c r="B2568" s="16" t="s">
        <v>7650</v>
      </c>
      <c r="C2568" s="16"/>
      <c r="D2568" s="16" t="s">
        <v>7597</v>
      </c>
      <c r="E2568" s="16" t="s">
        <v>6074</v>
      </c>
      <c r="F2568" s="16" t="s">
        <v>6075</v>
      </c>
      <c r="G2568" s="16" t="s">
        <v>32</v>
      </c>
      <c r="H2568" s="16" t="s">
        <v>2564</v>
      </c>
      <c r="I2568" s="16"/>
      <c r="J2568" s="16" t="s">
        <v>120</v>
      </c>
      <c r="K2568" s="16"/>
      <c r="L2568" s="16" t="s">
        <v>7817</v>
      </c>
      <c r="M2568" s="19" t="s">
        <v>6076</v>
      </c>
      <c r="N2568" s="16"/>
      <c r="O2568" s="16" t="s">
        <v>6077</v>
      </c>
      <c r="P2568" s="16" t="str">
        <f>HYPERLINK("https://ceds.ed.gov/cedselementdetails.aspx?termid=26618")</f>
        <v>https://ceds.ed.gov/cedselementdetails.aspx?termid=26618</v>
      </c>
      <c r="Q2568" s="16">
        <v>71036</v>
      </c>
    </row>
    <row r="2569" spans="1:17" ht="43.2" x14ac:dyDescent="0.3">
      <c r="A2569" s="16" t="s">
        <v>7665</v>
      </c>
      <c r="B2569" s="16" t="s">
        <v>7650</v>
      </c>
      <c r="C2569" s="16"/>
      <c r="D2569" s="16" t="s">
        <v>7597</v>
      </c>
      <c r="E2569" s="16" t="s">
        <v>6089</v>
      </c>
      <c r="F2569" s="16" t="s">
        <v>6090</v>
      </c>
      <c r="G2569" s="16" t="s">
        <v>32</v>
      </c>
      <c r="H2569" s="16" t="s">
        <v>2564</v>
      </c>
      <c r="I2569" s="16"/>
      <c r="J2569" s="16" t="s">
        <v>145</v>
      </c>
      <c r="K2569" s="16"/>
      <c r="L2569" s="16"/>
      <c r="M2569" s="19" t="s">
        <v>6091</v>
      </c>
      <c r="N2569" s="16"/>
      <c r="O2569" s="16" t="s">
        <v>6092</v>
      </c>
      <c r="P2569" s="16" t="str">
        <f>HYPERLINK("https://ceds.ed.gov/cedselementdetails.aspx?termid=26619")</f>
        <v>https://ceds.ed.gov/cedselementdetails.aspx?termid=26619</v>
      </c>
      <c r="Q2569" s="16">
        <v>71037</v>
      </c>
    </row>
    <row r="2570" spans="1:17" ht="72" x14ac:dyDescent="0.3">
      <c r="A2570" s="16" t="s">
        <v>7665</v>
      </c>
      <c r="B2570" s="16" t="s">
        <v>7650</v>
      </c>
      <c r="C2570" s="16"/>
      <c r="D2570" s="16" t="s">
        <v>7597</v>
      </c>
      <c r="E2570" s="16" t="s">
        <v>2934</v>
      </c>
      <c r="F2570" s="16" t="s">
        <v>2935</v>
      </c>
      <c r="G2570" s="16" t="s">
        <v>32</v>
      </c>
      <c r="H2570" s="16"/>
      <c r="I2570" s="16"/>
      <c r="J2570" s="16" t="s">
        <v>1481</v>
      </c>
      <c r="K2570" s="16"/>
      <c r="L2570" s="16" t="s">
        <v>2937</v>
      </c>
      <c r="M2570" s="19" t="s">
        <v>2938</v>
      </c>
      <c r="N2570" s="16"/>
      <c r="O2570" s="16" t="s">
        <v>2939</v>
      </c>
      <c r="P2570" s="16" t="str">
        <f>HYPERLINK("https://ceds.ed.gov/cedselementdetails.aspx?termid=27553")</f>
        <v>https://ceds.ed.gov/cedselementdetails.aspx?termid=27553</v>
      </c>
      <c r="Q2570" s="16">
        <v>74144</v>
      </c>
    </row>
    <row r="2571" spans="1:17" ht="187.2" x14ac:dyDescent="0.3">
      <c r="A2571" s="16" t="s">
        <v>7665</v>
      </c>
      <c r="B2571" s="16" t="s">
        <v>7650</v>
      </c>
      <c r="C2571" s="16"/>
      <c r="D2571" s="16" t="s">
        <v>7597</v>
      </c>
      <c r="E2571" s="16" t="s">
        <v>5582</v>
      </c>
      <c r="F2571" s="16" t="s">
        <v>5583</v>
      </c>
      <c r="G2571" s="16" t="s">
        <v>8247</v>
      </c>
      <c r="H2571" s="16" t="s">
        <v>98</v>
      </c>
      <c r="I2571" s="16"/>
      <c r="J2571" s="16"/>
      <c r="K2571" s="16"/>
      <c r="L2571" s="16"/>
      <c r="M2571" s="19" t="s">
        <v>5584</v>
      </c>
      <c r="N2571" s="16"/>
      <c r="O2571" s="16" t="s">
        <v>5585</v>
      </c>
      <c r="P2571" s="16" t="str">
        <f>HYPERLINK("https://ceds.ed.gov/cedselementdetails.aspx?termid=26827")</f>
        <v>https://ceds.ed.gov/cedselementdetails.aspx?termid=26827</v>
      </c>
      <c r="Q2571" s="16">
        <v>73718</v>
      </c>
    </row>
    <row r="2572" spans="1:17" ht="172.8" x14ac:dyDescent="0.3">
      <c r="A2572" s="16" t="s">
        <v>7665</v>
      </c>
      <c r="B2572" s="16" t="s">
        <v>7650</v>
      </c>
      <c r="C2572" s="16"/>
      <c r="D2572" s="16" t="s">
        <v>7597</v>
      </c>
      <c r="E2572" s="16" t="s">
        <v>5586</v>
      </c>
      <c r="F2572" s="16" t="s">
        <v>5587</v>
      </c>
      <c r="G2572" s="16" t="s">
        <v>32</v>
      </c>
      <c r="H2572" s="16" t="s">
        <v>98</v>
      </c>
      <c r="I2572" s="16"/>
      <c r="J2572" s="16" t="s">
        <v>120</v>
      </c>
      <c r="K2572" s="16"/>
      <c r="L2572" s="16" t="s">
        <v>7817</v>
      </c>
      <c r="M2572" s="19" t="s">
        <v>5588</v>
      </c>
      <c r="N2572" s="16"/>
      <c r="O2572" s="16" t="s">
        <v>5589</v>
      </c>
      <c r="P2572" s="16" t="str">
        <f>HYPERLINK("https://ceds.ed.gov/cedselementdetails.aspx?termid=26825")</f>
        <v>https://ceds.ed.gov/cedselementdetails.aspx?termid=26825</v>
      </c>
      <c r="Q2572" s="16">
        <v>73716</v>
      </c>
    </row>
    <row r="2573" spans="1:17" ht="43.2" x14ac:dyDescent="0.3">
      <c r="A2573" s="16" t="s">
        <v>7665</v>
      </c>
      <c r="B2573" s="16" t="s">
        <v>7650</v>
      </c>
      <c r="C2573" s="16"/>
      <c r="D2573" s="16" t="s">
        <v>7597</v>
      </c>
      <c r="E2573" s="16" t="s">
        <v>5598</v>
      </c>
      <c r="F2573" s="16" t="s">
        <v>5599</v>
      </c>
      <c r="G2573" s="16" t="s">
        <v>32</v>
      </c>
      <c r="H2573" s="16" t="s">
        <v>195</v>
      </c>
      <c r="I2573" s="16"/>
      <c r="J2573" s="16" t="s">
        <v>145</v>
      </c>
      <c r="K2573" s="16"/>
      <c r="L2573" s="16"/>
      <c r="M2573" s="19" t="s">
        <v>5600</v>
      </c>
      <c r="N2573" s="16"/>
      <c r="O2573" s="16" t="s">
        <v>5601</v>
      </c>
      <c r="P2573" s="16" t="str">
        <f>HYPERLINK("https://ceds.ed.gov/cedselementdetails.aspx?termid=26204")</f>
        <v>https://ceds.ed.gov/cedselementdetails.aspx?termid=26204</v>
      </c>
      <c r="Q2573" s="16">
        <v>73714</v>
      </c>
    </row>
    <row r="2574" spans="1:17" ht="43.2" x14ac:dyDescent="0.3">
      <c r="A2574" s="16" t="s">
        <v>7665</v>
      </c>
      <c r="B2574" s="16" t="s">
        <v>7650</v>
      </c>
      <c r="C2574" s="16"/>
      <c r="D2574" s="16" t="s">
        <v>7597</v>
      </c>
      <c r="E2574" s="16" t="s">
        <v>5602</v>
      </c>
      <c r="F2574" s="16" t="s">
        <v>5603</v>
      </c>
      <c r="G2574" s="16" t="s">
        <v>8248</v>
      </c>
      <c r="H2574" s="16"/>
      <c r="I2574" s="16"/>
      <c r="J2574" s="16"/>
      <c r="K2574" s="16"/>
      <c r="L2574" s="16"/>
      <c r="M2574" s="19" t="s">
        <v>5604</v>
      </c>
      <c r="N2574" s="16"/>
      <c r="O2574" s="16" t="s">
        <v>5605</v>
      </c>
      <c r="P2574" s="16" t="str">
        <f>HYPERLINK("https://ceds.ed.gov/cedselementdetails.aspx?termid=27387")</f>
        <v>https://ceds.ed.gov/cedselementdetails.aspx?termid=27387</v>
      </c>
      <c r="Q2574" s="16">
        <v>73300</v>
      </c>
    </row>
    <row r="2575" spans="1:17" ht="201.6" x14ac:dyDescent="0.3">
      <c r="A2575" s="16" t="s">
        <v>7665</v>
      </c>
      <c r="B2575" s="16" t="s">
        <v>7650</v>
      </c>
      <c r="C2575" s="16"/>
      <c r="D2575" s="16" t="s">
        <v>7597</v>
      </c>
      <c r="E2575" s="16" t="s">
        <v>6122</v>
      </c>
      <c r="F2575" s="16" t="s">
        <v>6123</v>
      </c>
      <c r="G2575" s="16" t="s">
        <v>8255</v>
      </c>
      <c r="H2575" s="16"/>
      <c r="I2575" s="16"/>
      <c r="J2575" s="16"/>
      <c r="K2575" s="16"/>
      <c r="L2575" s="16"/>
      <c r="M2575" s="19" t="s">
        <v>6124</v>
      </c>
      <c r="N2575" s="16"/>
      <c r="O2575" s="16" t="s">
        <v>6125</v>
      </c>
      <c r="P2575" s="16" t="str">
        <f>HYPERLINK("https://ceds.ed.gov/cedselementdetails.aspx?termid=26692")</f>
        <v>https://ceds.ed.gov/cedselementdetails.aspx?termid=26692</v>
      </c>
      <c r="Q2575" s="16">
        <v>73523</v>
      </c>
    </row>
    <row r="2576" spans="1:17" ht="43.2" x14ac:dyDescent="0.3">
      <c r="A2576" s="16" t="s">
        <v>7665</v>
      </c>
      <c r="B2576" s="16" t="s">
        <v>7650</v>
      </c>
      <c r="C2576" s="16"/>
      <c r="D2576" s="16" t="s">
        <v>7597</v>
      </c>
      <c r="E2576" s="16" t="s">
        <v>7966</v>
      </c>
      <c r="F2576" s="16" t="s">
        <v>7967</v>
      </c>
      <c r="G2576" s="16" t="s">
        <v>32</v>
      </c>
      <c r="H2576" s="16"/>
      <c r="I2576" s="16"/>
      <c r="J2576" s="16" t="s">
        <v>1662</v>
      </c>
      <c r="K2576" s="16"/>
      <c r="L2576" s="16" t="s">
        <v>7968</v>
      </c>
      <c r="M2576" s="19" t="s">
        <v>8181</v>
      </c>
      <c r="N2576" s="16"/>
      <c r="O2576" s="16" t="s">
        <v>7969</v>
      </c>
      <c r="P2576" s="16" t="str">
        <f>HYPERLINK("https://ceds.ed.gov/cedselementdetails.aspx?termid=27979")</f>
        <v>https://ceds.ed.gov/cedselementdetails.aspx?termid=27979</v>
      </c>
      <c r="Q2576" s="16">
        <v>75929</v>
      </c>
    </row>
    <row r="2577" spans="1:17" ht="28.8" x14ac:dyDescent="0.3">
      <c r="A2577" s="16" t="s">
        <v>7665</v>
      </c>
      <c r="B2577" s="16" t="s">
        <v>7650</v>
      </c>
      <c r="C2577" s="16"/>
      <c r="D2577" s="16" t="s">
        <v>7597</v>
      </c>
      <c r="E2577" s="16" t="s">
        <v>5570</v>
      </c>
      <c r="F2577" s="16" t="s">
        <v>5571</v>
      </c>
      <c r="G2577" s="16" t="s">
        <v>32</v>
      </c>
      <c r="H2577" s="16" t="s">
        <v>214</v>
      </c>
      <c r="I2577" s="16"/>
      <c r="J2577" s="16" t="s">
        <v>106</v>
      </c>
      <c r="K2577" s="16"/>
      <c r="L2577" s="16"/>
      <c r="M2577" s="19" t="s">
        <v>5572</v>
      </c>
      <c r="N2577" s="16"/>
      <c r="O2577" s="16" t="s">
        <v>5573</v>
      </c>
      <c r="P2577" s="16" t="str">
        <f>HYPERLINK("https://ceds.ed.gov/cedselementdetails.aspx?termid=26525")</f>
        <v>https://ceds.ed.gov/cedselementdetails.aspx?termid=26525</v>
      </c>
      <c r="Q2577" s="16">
        <v>75930</v>
      </c>
    </row>
    <row r="2578" spans="1:17" ht="72" x14ac:dyDescent="0.3">
      <c r="A2578" s="16" t="s">
        <v>7665</v>
      </c>
      <c r="B2578" s="16" t="s">
        <v>7650</v>
      </c>
      <c r="C2578" s="16" t="s">
        <v>7599</v>
      </c>
      <c r="D2578" s="16" t="s">
        <v>7597</v>
      </c>
      <c r="E2578" s="16" t="s">
        <v>187</v>
      </c>
      <c r="F2578" s="16" t="s">
        <v>188</v>
      </c>
      <c r="G2578" s="16" t="s">
        <v>8205</v>
      </c>
      <c r="H2578" s="16" t="s">
        <v>64</v>
      </c>
      <c r="I2578" s="16"/>
      <c r="J2578" s="16" t="s">
        <v>81</v>
      </c>
      <c r="K2578" s="16"/>
      <c r="L2578" s="16"/>
      <c r="M2578" s="19" t="s">
        <v>189</v>
      </c>
      <c r="N2578" s="16"/>
      <c r="O2578" s="16" t="s">
        <v>190</v>
      </c>
      <c r="P2578" s="16" t="str">
        <f>HYPERLINK("https://ceds.ed.gov/cedselementdetails.aspx?termid=26644")</f>
        <v>https://ceds.ed.gov/cedselementdetails.aspx?termid=26644</v>
      </c>
      <c r="Q2578" s="16">
        <v>73720</v>
      </c>
    </row>
    <row r="2579" spans="1:17" ht="187.2" x14ac:dyDescent="0.3">
      <c r="A2579" s="16" t="s">
        <v>7665</v>
      </c>
      <c r="B2579" s="16" t="s">
        <v>7650</v>
      </c>
      <c r="C2579" s="16" t="s">
        <v>7599</v>
      </c>
      <c r="D2579" s="16" t="s">
        <v>7597</v>
      </c>
      <c r="E2579" s="16" t="s">
        <v>177</v>
      </c>
      <c r="F2579" s="16" t="s">
        <v>178</v>
      </c>
      <c r="G2579" s="16" t="s">
        <v>32</v>
      </c>
      <c r="H2579" s="16" t="s">
        <v>163</v>
      </c>
      <c r="I2579" s="16"/>
      <c r="J2579" s="16" t="s">
        <v>179</v>
      </c>
      <c r="K2579" s="16"/>
      <c r="L2579" s="16"/>
      <c r="M2579" s="19" t="s">
        <v>180</v>
      </c>
      <c r="N2579" s="16"/>
      <c r="O2579" s="16" t="s">
        <v>181</v>
      </c>
      <c r="P2579" s="16" t="str">
        <f>HYPERLINK("https://ceds.ed.gov/cedselementdetails.aspx?termid=26269")</f>
        <v>https://ceds.ed.gov/cedselementdetails.aspx?termid=26269</v>
      </c>
      <c r="Q2579" s="16">
        <v>73722</v>
      </c>
    </row>
    <row r="2580" spans="1:17" ht="187.2" x14ac:dyDescent="0.3">
      <c r="A2580" s="16" t="s">
        <v>7665</v>
      </c>
      <c r="B2580" s="16" t="s">
        <v>7650</v>
      </c>
      <c r="C2580" s="16" t="s">
        <v>7599</v>
      </c>
      <c r="D2580" s="16" t="s">
        <v>7597</v>
      </c>
      <c r="E2580" s="16" t="s">
        <v>158</v>
      </c>
      <c r="F2580" s="16" t="s">
        <v>159</v>
      </c>
      <c r="G2580" s="16" t="s">
        <v>32</v>
      </c>
      <c r="H2580" s="16" t="s">
        <v>163</v>
      </c>
      <c r="I2580" s="16"/>
      <c r="J2580" s="16" t="s">
        <v>145</v>
      </c>
      <c r="K2580" s="16"/>
      <c r="L2580" s="16"/>
      <c r="M2580" s="19" t="s">
        <v>161</v>
      </c>
      <c r="N2580" s="16"/>
      <c r="O2580" s="16" t="s">
        <v>162</v>
      </c>
      <c r="P2580" s="16" t="str">
        <f>HYPERLINK("https://ceds.ed.gov/cedselementdetails.aspx?termid=26019")</f>
        <v>https://ceds.ed.gov/cedselementdetails.aspx?termid=26019</v>
      </c>
      <c r="Q2580" s="16">
        <v>73724</v>
      </c>
    </row>
    <row r="2581" spans="1:17" ht="187.2" x14ac:dyDescent="0.3">
      <c r="A2581" s="16" t="s">
        <v>7665</v>
      </c>
      <c r="B2581" s="16" t="s">
        <v>7650</v>
      </c>
      <c r="C2581" s="16" t="s">
        <v>7599</v>
      </c>
      <c r="D2581" s="16" t="s">
        <v>7597</v>
      </c>
      <c r="E2581" s="16" t="s">
        <v>164</v>
      </c>
      <c r="F2581" s="16" t="s">
        <v>165</v>
      </c>
      <c r="G2581" s="16" t="s">
        <v>32</v>
      </c>
      <c r="H2581" s="16" t="s">
        <v>163</v>
      </c>
      <c r="I2581" s="16"/>
      <c r="J2581" s="16" t="s">
        <v>81</v>
      </c>
      <c r="K2581" s="16"/>
      <c r="L2581" s="16"/>
      <c r="M2581" s="19" t="s">
        <v>166</v>
      </c>
      <c r="N2581" s="16"/>
      <c r="O2581" s="16" t="s">
        <v>167</v>
      </c>
      <c r="P2581" s="16" t="str">
        <f>HYPERLINK("https://ceds.ed.gov/cedselementdetails.aspx?termid=26040")</f>
        <v>https://ceds.ed.gov/cedselementdetails.aspx?termid=26040</v>
      </c>
      <c r="Q2581" s="16">
        <v>73726</v>
      </c>
    </row>
    <row r="2582" spans="1:17" ht="409.6" x14ac:dyDescent="0.3">
      <c r="A2582" s="16" t="s">
        <v>7665</v>
      </c>
      <c r="B2582" s="16" t="s">
        <v>7650</v>
      </c>
      <c r="C2582" s="16" t="s">
        <v>7599</v>
      </c>
      <c r="D2582" s="16" t="s">
        <v>7597</v>
      </c>
      <c r="E2582" s="16" t="s">
        <v>6840</v>
      </c>
      <c r="F2582" s="16" t="s">
        <v>6841</v>
      </c>
      <c r="G2582" s="16" t="s">
        <v>8266</v>
      </c>
      <c r="H2582" s="16" t="s">
        <v>6844</v>
      </c>
      <c r="I2582" s="16"/>
      <c r="J2582" s="16"/>
      <c r="K2582" s="16"/>
      <c r="L2582" s="16"/>
      <c r="M2582" s="19" t="s">
        <v>6842</v>
      </c>
      <c r="N2582" s="16"/>
      <c r="O2582" s="16" t="s">
        <v>6843</v>
      </c>
      <c r="P2582" s="16" t="str">
        <f>HYPERLINK("https://ceds.ed.gov/cedselementdetails.aspx?termid=26267")</f>
        <v>https://ceds.ed.gov/cedselementdetails.aspx?termid=26267</v>
      </c>
      <c r="Q2582" s="16">
        <v>73728</v>
      </c>
    </row>
    <row r="2583" spans="1:17" ht="187.2" x14ac:dyDescent="0.3">
      <c r="A2583" s="16" t="s">
        <v>7665</v>
      </c>
      <c r="B2583" s="16" t="s">
        <v>7650</v>
      </c>
      <c r="C2583" s="16" t="s">
        <v>7599</v>
      </c>
      <c r="D2583" s="16" t="s">
        <v>7597</v>
      </c>
      <c r="E2583" s="16" t="s">
        <v>172</v>
      </c>
      <c r="F2583" s="16" t="s">
        <v>173</v>
      </c>
      <c r="G2583" s="16" t="s">
        <v>32</v>
      </c>
      <c r="H2583" s="16" t="s">
        <v>163</v>
      </c>
      <c r="I2583" s="16"/>
      <c r="J2583" s="16" t="s">
        <v>174</v>
      </c>
      <c r="K2583" s="16"/>
      <c r="L2583" s="16"/>
      <c r="M2583" s="19" t="s">
        <v>175</v>
      </c>
      <c r="N2583" s="16"/>
      <c r="O2583" s="16" t="s">
        <v>176</v>
      </c>
      <c r="P2583" s="16" t="str">
        <f>HYPERLINK("https://ceds.ed.gov/cedselementdetails.aspx?termid=26214")</f>
        <v>https://ceds.ed.gov/cedselementdetails.aspx?termid=26214</v>
      </c>
      <c r="Q2583" s="16">
        <v>73730</v>
      </c>
    </row>
    <row r="2584" spans="1:17" ht="187.2" x14ac:dyDescent="0.3">
      <c r="A2584" s="16" t="s">
        <v>7665</v>
      </c>
      <c r="B2584" s="16" t="s">
        <v>7650</v>
      </c>
      <c r="C2584" s="16" t="s">
        <v>7599</v>
      </c>
      <c r="D2584" s="16" t="s">
        <v>7597</v>
      </c>
      <c r="E2584" s="16" t="s">
        <v>168</v>
      </c>
      <c r="F2584" s="16" t="s">
        <v>169</v>
      </c>
      <c r="G2584" s="16" t="s">
        <v>32</v>
      </c>
      <c r="H2584" s="16" t="s">
        <v>163</v>
      </c>
      <c r="I2584" s="16"/>
      <c r="J2584" s="16" t="s">
        <v>81</v>
      </c>
      <c r="K2584" s="16"/>
      <c r="L2584" s="16"/>
      <c r="M2584" s="19" t="s">
        <v>170</v>
      </c>
      <c r="N2584" s="16"/>
      <c r="O2584" s="16" t="s">
        <v>171</v>
      </c>
      <c r="P2584" s="16" t="str">
        <f>HYPERLINK("https://ceds.ed.gov/cedselementdetails.aspx?termid=26190")</f>
        <v>https://ceds.ed.gov/cedselementdetails.aspx?termid=26190</v>
      </c>
      <c r="Q2584" s="16">
        <v>73732</v>
      </c>
    </row>
    <row r="2585" spans="1:17" ht="57.6" x14ac:dyDescent="0.3">
      <c r="A2585" s="16" t="s">
        <v>7665</v>
      </c>
      <c r="B2585" s="16" t="s">
        <v>7650</v>
      </c>
      <c r="C2585" s="16" t="s">
        <v>7599</v>
      </c>
      <c r="D2585" s="16" t="s">
        <v>7597</v>
      </c>
      <c r="E2585" s="16" t="s">
        <v>4902</v>
      </c>
      <c r="F2585" s="16" t="s">
        <v>4903</v>
      </c>
      <c r="G2585" s="16" t="s">
        <v>32</v>
      </c>
      <c r="H2585" s="16"/>
      <c r="I2585" s="16"/>
      <c r="J2585" s="16" t="s">
        <v>1130</v>
      </c>
      <c r="K2585" s="16"/>
      <c r="L2585" s="16"/>
      <c r="M2585" s="19" t="s">
        <v>4904</v>
      </c>
      <c r="N2585" s="16"/>
      <c r="O2585" s="16" t="s">
        <v>4902</v>
      </c>
      <c r="P2585" s="16" t="str">
        <f>HYPERLINK("https://ceds.ed.gov/cedselementdetails.aspx?termid=26599")</f>
        <v>https://ceds.ed.gov/cedselementdetails.aspx?termid=26599</v>
      </c>
      <c r="Q2585" s="16">
        <v>74272</v>
      </c>
    </row>
    <row r="2586" spans="1:17" ht="57.6" x14ac:dyDescent="0.3">
      <c r="A2586" s="16" t="s">
        <v>7665</v>
      </c>
      <c r="B2586" s="16" t="s">
        <v>7650</v>
      </c>
      <c r="C2586" s="16" t="s">
        <v>7599</v>
      </c>
      <c r="D2586" s="16" t="s">
        <v>7597</v>
      </c>
      <c r="E2586" s="16" t="s">
        <v>5285</v>
      </c>
      <c r="F2586" s="16" t="s">
        <v>5286</v>
      </c>
      <c r="G2586" s="16" t="s">
        <v>32</v>
      </c>
      <c r="H2586" s="16"/>
      <c r="I2586" s="16"/>
      <c r="J2586" s="16" t="s">
        <v>1130</v>
      </c>
      <c r="K2586" s="16"/>
      <c r="L2586" s="16"/>
      <c r="M2586" s="19" t="s">
        <v>5287</v>
      </c>
      <c r="N2586" s="16"/>
      <c r="O2586" s="16" t="s">
        <v>5285</v>
      </c>
      <c r="P2586" s="16" t="str">
        <f>HYPERLINK("https://ceds.ed.gov/cedselementdetails.aspx?termid=26600")</f>
        <v>https://ceds.ed.gov/cedselementdetails.aspx?termid=26600</v>
      </c>
      <c r="Q2586" s="16">
        <v>74295</v>
      </c>
    </row>
    <row r="2587" spans="1:17" ht="158.4" x14ac:dyDescent="0.3">
      <c r="A2587" s="16" t="s">
        <v>7665</v>
      </c>
      <c r="B2587" s="16" t="s">
        <v>7650</v>
      </c>
      <c r="C2587" s="16" t="s">
        <v>7599</v>
      </c>
      <c r="D2587" s="16" t="s">
        <v>7597</v>
      </c>
      <c r="E2587" s="16" t="s">
        <v>2493</v>
      </c>
      <c r="F2587" s="16" t="s">
        <v>2494</v>
      </c>
      <c r="G2587" s="16" t="s">
        <v>32</v>
      </c>
      <c r="H2587" s="16"/>
      <c r="I2587" s="16"/>
      <c r="J2587" s="16" t="s">
        <v>2495</v>
      </c>
      <c r="K2587" s="16"/>
      <c r="L2587" s="16"/>
      <c r="M2587" s="19" t="s">
        <v>2496</v>
      </c>
      <c r="N2587" s="16"/>
      <c r="O2587" s="16" t="s">
        <v>2497</v>
      </c>
      <c r="P2587" s="16" t="str">
        <f>HYPERLINK("https://ceds.ed.gov/cedselementdetails.aspx?termid=27176")</f>
        <v>https://ceds.ed.gov/cedselementdetails.aspx?termid=27176</v>
      </c>
      <c r="Q2587" s="16">
        <v>75379</v>
      </c>
    </row>
    <row r="2588" spans="1:17" ht="57.6" x14ac:dyDescent="0.3">
      <c r="A2588" s="16" t="s">
        <v>7665</v>
      </c>
      <c r="B2588" s="16" t="s">
        <v>7650</v>
      </c>
      <c r="C2588" s="16" t="s">
        <v>7599</v>
      </c>
      <c r="D2588" s="16" t="s">
        <v>7597</v>
      </c>
      <c r="E2588" s="16" t="s">
        <v>3175</v>
      </c>
      <c r="F2588" s="16" t="s">
        <v>3176</v>
      </c>
      <c r="G2588" s="16" t="s">
        <v>2987</v>
      </c>
      <c r="H2588" s="16"/>
      <c r="I2588" s="16"/>
      <c r="J2588" s="16"/>
      <c r="K2588" s="16"/>
      <c r="L2588" s="16"/>
      <c r="M2588" s="19" t="s">
        <v>3177</v>
      </c>
      <c r="N2588" s="16"/>
      <c r="O2588" s="16" t="s">
        <v>3178</v>
      </c>
      <c r="P2588" s="16" t="str">
        <f>HYPERLINK("https://ceds.ed.gov/cedselementdetails.aspx?termid=27905")</f>
        <v>https://ceds.ed.gov/cedselementdetails.aspx?termid=27905</v>
      </c>
      <c r="Q2588" s="16">
        <v>75380</v>
      </c>
    </row>
    <row r="2589" spans="1:17" ht="86.4" x14ac:dyDescent="0.3">
      <c r="A2589" s="16" t="s">
        <v>7665</v>
      </c>
      <c r="B2589" s="16" t="s">
        <v>7650</v>
      </c>
      <c r="C2589" s="16" t="s">
        <v>7617</v>
      </c>
      <c r="D2589" s="16" t="s">
        <v>7597</v>
      </c>
      <c r="E2589" s="16" t="s">
        <v>3891</v>
      </c>
      <c r="F2589" s="16" t="s">
        <v>8004</v>
      </c>
      <c r="G2589" s="16" t="s">
        <v>32</v>
      </c>
      <c r="H2589" s="16"/>
      <c r="I2589" s="16"/>
      <c r="J2589" s="16" t="s">
        <v>81</v>
      </c>
      <c r="K2589" s="16"/>
      <c r="L2589" s="16"/>
      <c r="M2589" s="19" t="s">
        <v>3892</v>
      </c>
      <c r="N2589" s="16"/>
      <c r="O2589" s="16" t="s">
        <v>3893</v>
      </c>
      <c r="P2589" s="16" t="str">
        <f>HYPERLINK("https://ceds.ed.gov/cedselementdetails.aspx?termid=27530")</f>
        <v>https://ceds.ed.gov/cedselementdetails.aspx?termid=27530</v>
      </c>
      <c r="Q2589" s="16">
        <v>73844</v>
      </c>
    </row>
    <row r="2590" spans="1:17" ht="28.8" x14ac:dyDescent="0.3">
      <c r="A2590" s="16" t="s">
        <v>7665</v>
      </c>
      <c r="B2590" s="16" t="s">
        <v>7650</v>
      </c>
      <c r="C2590" s="16" t="s">
        <v>7617</v>
      </c>
      <c r="D2590" s="16" t="s">
        <v>7597</v>
      </c>
      <c r="E2590" s="16" t="s">
        <v>3888</v>
      </c>
      <c r="F2590" s="16" t="s">
        <v>8003</v>
      </c>
      <c r="G2590" s="16" t="s">
        <v>32</v>
      </c>
      <c r="H2590" s="16"/>
      <c r="I2590" s="16"/>
      <c r="J2590" s="16" t="s">
        <v>747</v>
      </c>
      <c r="K2590" s="16"/>
      <c r="L2590" s="16"/>
      <c r="M2590" s="19" t="s">
        <v>3889</v>
      </c>
      <c r="N2590" s="16"/>
      <c r="O2590" s="16" t="s">
        <v>3890</v>
      </c>
      <c r="P2590" s="16" t="str">
        <f>HYPERLINK("https://ceds.ed.gov/cedselementdetails.aspx?termid=27315")</f>
        <v>https://ceds.ed.gov/cedselementdetails.aspx?termid=27315</v>
      </c>
      <c r="Q2590" s="16">
        <v>73181</v>
      </c>
    </row>
    <row r="2591" spans="1:17" ht="28.8" x14ac:dyDescent="0.3">
      <c r="A2591" s="16" t="s">
        <v>7665</v>
      </c>
      <c r="B2591" s="16" t="s">
        <v>7650</v>
      </c>
      <c r="C2591" s="16" t="s">
        <v>7617</v>
      </c>
      <c r="D2591" s="16" t="s">
        <v>7597</v>
      </c>
      <c r="E2591" s="16" t="s">
        <v>3878</v>
      </c>
      <c r="F2591" s="16" t="s">
        <v>7987</v>
      </c>
      <c r="G2591" s="16" t="s">
        <v>32</v>
      </c>
      <c r="H2591" s="16"/>
      <c r="I2591" s="16"/>
      <c r="J2591" s="16" t="s">
        <v>101</v>
      </c>
      <c r="K2591" s="16"/>
      <c r="L2591" s="16"/>
      <c r="M2591" s="19" t="s">
        <v>3879</v>
      </c>
      <c r="N2591" s="16"/>
      <c r="O2591" s="16" t="s">
        <v>3880</v>
      </c>
      <c r="P2591" s="16" t="str">
        <f>HYPERLINK("https://ceds.ed.gov/cedselementdetails.aspx?termid=27313")</f>
        <v>https://ceds.ed.gov/cedselementdetails.aspx?termid=27313</v>
      </c>
      <c r="Q2591" s="16">
        <v>73170</v>
      </c>
    </row>
    <row r="2592" spans="1:17" ht="86.4" x14ac:dyDescent="0.3">
      <c r="A2592" s="16" t="s">
        <v>7665</v>
      </c>
      <c r="B2592" s="16" t="s">
        <v>7650</v>
      </c>
      <c r="C2592" s="16" t="s">
        <v>7617</v>
      </c>
      <c r="D2592" s="16" t="s">
        <v>7597</v>
      </c>
      <c r="E2592" s="16" t="s">
        <v>3874</v>
      </c>
      <c r="F2592" s="16" t="s">
        <v>3875</v>
      </c>
      <c r="G2592" s="16" t="s">
        <v>8224</v>
      </c>
      <c r="H2592" s="16"/>
      <c r="I2592" s="16"/>
      <c r="J2592" s="16"/>
      <c r="K2592" s="16"/>
      <c r="L2592" s="16"/>
      <c r="M2592" s="19" t="s">
        <v>3876</v>
      </c>
      <c r="N2592" s="16"/>
      <c r="O2592" s="16" t="s">
        <v>3877</v>
      </c>
      <c r="P2592" s="16" t="str">
        <f>HYPERLINK("https://ceds.ed.gov/cedselementdetails.aspx?termid=27312")</f>
        <v>https://ceds.ed.gov/cedselementdetails.aspx?termid=27312</v>
      </c>
      <c r="Q2592" s="16">
        <v>73166</v>
      </c>
    </row>
    <row r="2593" spans="1:17" ht="409.6" x14ac:dyDescent="0.3">
      <c r="A2593" s="16" t="s">
        <v>7665</v>
      </c>
      <c r="B2593" s="16" t="s">
        <v>7650</v>
      </c>
      <c r="C2593" s="16" t="s">
        <v>7617</v>
      </c>
      <c r="D2593" s="16" t="s">
        <v>7597</v>
      </c>
      <c r="E2593" s="16" t="s">
        <v>7981</v>
      </c>
      <c r="F2593" s="16" t="s">
        <v>3881</v>
      </c>
      <c r="G2593" s="16" t="s">
        <v>8223</v>
      </c>
      <c r="H2593" s="16"/>
      <c r="I2593" s="16"/>
      <c r="J2593" s="16"/>
      <c r="K2593" s="16"/>
      <c r="L2593" s="16" t="s">
        <v>7982</v>
      </c>
      <c r="M2593" s="19" t="s">
        <v>3883</v>
      </c>
      <c r="N2593" s="16"/>
      <c r="O2593" s="16" t="s">
        <v>7983</v>
      </c>
      <c r="P2593" s="16" t="str">
        <f>HYPERLINK("https://ceds.ed.gov/cedselementdetails.aspx?termid=27320")</f>
        <v>https://ceds.ed.gov/cedselementdetails.aspx?termid=27320</v>
      </c>
      <c r="Q2593" s="16">
        <v>73199</v>
      </c>
    </row>
    <row r="2594" spans="1:17" ht="43.2" x14ac:dyDescent="0.3">
      <c r="A2594" s="16" t="s">
        <v>7665</v>
      </c>
      <c r="B2594" s="16" t="s">
        <v>7650</v>
      </c>
      <c r="C2594" s="16" t="s">
        <v>7617</v>
      </c>
      <c r="D2594" s="16" t="s">
        <v>7597</v>
      </c>
      <c r="E2594" s="16" t="s">
        <v>3908</v>
      </c>
      <c r="F2594" s="16" t="s">
        <v>3909</v>
      </c>
      <c r="G2594" s="16" t="s">
        <v>32</v>
      </c>
      <c r="H2594" s="16"/>
      <c r="I2594" s="16"/>
      <c r="J2594" s="16" t="s">
        <v>1481</v>
      </c>
      <c r="K2594" s="16"/>
      <c r="L2594" s="16"/>
      <c r="M2594" s="19" t="s">
        <v>3910</v>
      </c>
      <c r="N2594" s="16"/>
      <c r="O2594" s="16" t="s">
        <v>3911</v>
      </c>
      <c r="P2594" s="16" t="str">
        <f>HYPERLINK("https://ceds.ed.gov/cedselementdetails.aspx?termid=27318")</f>
        <v>https://ceds.ed.gov/cedselementdetails.aspx?termid=27318</v>
      </c>
      <c r="Q2594" s="16">
        <v>73194</v>
      </c>
    </row>
    <row r="2595" spans="1:17" ht="57.6" x14ac:dyDescent="0.3">
      <c r="A2595" s="16" t="s">
        <v>7665</v>
      </c>
      <c r="B2595" s="16" t="s">
        <v>7650</v>
      </c>
      <c r="C2595" s="16" t="s">
        <v>7617</v>
      </c>
      <c r="D2595" s="16" t="s">
        <v>7597</v>
      </c>
      <c r="E2595" s="16" t="s">
        <v>3912</v>
      </c>
      <c r="F2595" s="16" t="s">
        <v>3913</v>
      </c>
      <c r="G2595" s="16" t="s">
        <v>32</v>
      </c>
      <c r="H2595" s="16"/>
      <c r="I2595" s="16"/>
      <c r="J2595" s="16" t="s">
        <v>1481</v>
      </c>
      <c r="K2595" s="16"/>
      <c r="L2595" s="16" t="s">
        <v>3914</v>
      </c>
      <c r="M2595" s="19" t="s">
        <v>3915</v>
      </c>
      <c r="N2595" s="16"/>
      <c r="O2595" s="16" t="s">
        <v>3916</v>
      </c>
      <c r="P2595" s="16" t="str">
        <f>HYPERLINK("https://ceds.ed.gov/cedselementdetails.aspx?termid=27625")</f>
        <v>https://ceds.ed.gov/cedselementdetails.aspx?termid=27625</v>
      </c>
      <c r="Q2595" s="16">
        <v>74326</v>
      </c>
    </row>
    <row r="2596" spans="1:17" ht="43.2" x14ac:dyDescent="0.3">
      <c r="A2596" s="16" t="s">
        <v>7665</v>
      </c>
      <c r="B2596" s="16" t="s">
        <v>7650</v>
      </c>
      <c r="C2596" s="16" t="s">
        <v>7617</v>
      </c>
      <c r="D2596" s="16" t="s">
        <v>7597</v>
      </c>
      <c r="E2596" s="16" t="s">
        <v>3904</v>
      </c>
      <c r="F2596" s="16" t="s">
        <v>3905</v>
      </c>
      <c r="G2596" s="16" t="s">
        <v>32</v>
      </c>
      <c r="H2596" s="16"/>
      <c r="I2596" s="16"/>
      <c r="J2596" s="16" t="s">
        <v>1481</v>
      </c>
      <c r="K2596" s="16"/>
      <c r="L2596" s="16"/>
      <c r="M2596" s="19" t="s">
        <v>3906</v>
      </c>
      <c r="N2596" s="16"/>
      <c r="O2596" s="16" t="s">
        <v>3907</v>
      </c>
      <c r="P2596" s="16" t="str">
        <f>HYPERLINK("https://ceds.ed.gov/cedselementdetails.aspx?termid=27317")</f>
        <v>https://ceds.ed.gov/cedselementdetails.aspx?termid=27317</v>
      </c>
      <c r="Q2596" s="16">
        <v>73190</v>
      </c>
    </row>
    <row r="2597" spans="1:17" ht="43.2" x14ac:dyDescent="0.3">
      <c r="A2597" s="16" t="s">
        <v>7665</v>
      </c>
      <c r="B2597" s="16" t="s">
        <v>7650</v>
      </c>
      <c r="C2597" s="16" t="s">
        <v>7617</v>
      </c>
      <c r="D2597" s="16" t="s">
        <v>7597</v>
      </c>
      <c r="E2597" s="16" t="s">
        <v>4006</v>
      </c>
      <c r="F2597" s="16" t="s">
        <v>8049</v>
      </c>
      <c r="G2597" s="16" t="s">
        <v>32</v>
      </c>
      <c r="H2597" s="16"/>
      <c r="I2597" s="16"/>
      <c r="J2597" s="16" t="s">
        <v>1807</v>
      </c>
      <c r="K2597" s="16"/>
      <c r="L2597" s="16"/>
      <c r="M2597" s="19" t="s">
        <v>4007</v>
      </c>
      <c r="N2597" s="16"/>
      <c r="O2597" s="16" t="s">
        <v>4008</v>
      </c>
      <c r="P2597" s="16" t="str">
        <f>HYPERLINK("https://ceds.ed.gov/cedselementdetails.aspx?termid=27620")</f>
        <v>https://ceds.ed.gov/cedselementdetails.aspx?termid=27620</v>
      </c>
      <c r="Q2597" s="16">
        <v>74308</v>
      </c>
    </row>
    <row r="2598" spans="1:17" ht="28.8" x14ac:dyDescent="0.3">
      <c r="A2598" s="16" t="s">
        <v>7665</v>
      </c>
      <c r="B2598" s="16" t="s">
        <v>7650</v>
      </c>
      <c r="C2598" s="16" t="s">
        <v>7617</v>
      </c>
      <c r="D2598" s="16" t="s">
        <v>7597</v>
      </c>
      <c r="E2598" s="16" t="s">
        <v>3998</v>
      </c>
      <c r="F2598" s="16" t="s">
        <v>3999</v>
      </c>
      <c r="G2598" s="16" t="s">
        <v>32</v>
      </c>
      <c r="H2598" s="16"/>
      <c r="I2598" s="16"/>
      <c r="J2598" s="16" t="s">
        <v>106</v>
      </c>
      <c r="K2598" s="16"/>
      <c r="L2598" s="16"/>
      <c r="M2598" s="19" t="s">
        <v>4000</v>
      </c>
      <c r="N2598" s="16"/>
      <c r="O2598" s="16" t="s">
        <v>4001</v>
      </c>
      <c r="P2598" s="16" t="str">
        <f>HYPERLINK("https://ceds.ed.gov/cedselementdetails.aspx?termid=27623")</f>
        <v>https://ceds.ed.gov/cedselementdetails.aspx?termid=27623</v>
      </c>
      <c r="Q2598" s="16">
        <v>74318</v>
      </c>
    </row>
    <row r="2599" spans="1:17" ht="57.6" x14ac:dyDescent="0.3">
      <c r="A2599" s="16" t="s">
        <v>7665</v>
      </c>
      <c r="B2599" s="16" t="s">
        <v>7650</v>
      </c>
      <c r="C2599" s="16" t="s">
        <v>7617</v>
      </c>
      <c r="D2599" s="16" t="s">
        <v>7597</v>
      </c>
      <c r="E2599" s="16" t="s">
        <v>4002</v>
      </c>
      <c r="F2599" s="16" t="s">
        <v>4003</v>
      </c>
      <c r="G2599" s="16" t="s">
        <v>32</v>
      </c>
      <c r="H2599" s="16"/>
      <c r="I2599" s="16"/>
      <c r="J2599" s="16" t="s">
        <v>106</v>
      </c>
      <c r="K2599" s="16"/>
      <c r="L2599" s="16" t="s">
        <v>131</v>
      </c>
      <c r="M2599" s="19" t="s">
        <v>4004</v>
      </c>
      <c r="N2599" s="16"/>
      <c r="O2599" s="16" t="s">
        <v>4005</v>
      </c>
      <c r="P2599" s="16" t="str">
        <f>HYPERLINK("https://ceds.ed.gov/cedselementdetails.aspx?termid=27624")</f>
        <v>https://ceds.ed.gov/cedselementdetails.aspx?termid=27624</v>
      </c>
      <c r="Q2599" s="16">
        <v>74322</v>
      </c>
    </row>
    <row r="2600" spans="1:17" ht="129.6" x14ac:dyDescent="0.3">
      <c r="A2600" s="16" t="s">
        <v>7665</v>
      </c>
      <c r="B2600" s="16" t="s">
        <v>7650</v>
      </c>
      <c r="C2600" s="16" t="s">
        <v>7617</v>
      </c>
      <c r="D2600" s="16" t="s">
        <v>7597</v>
      </c>
      <c r="E2600" s="16" t="s">
        <v>3917</v>
      </c>
      <c r="F2600" s="16" t="s">
        <v>3918</v>
      </c>
      <c r="G2600" s="16" t="s">
        <v>32</v>
      </c>
      <c r="H2600" s="16"/>
      <c r="I2600" s="16"/>
      <c r="J2600" s="16" t="s">
        <v>1481</v>
      </c>
      <c r="K2600" s="16"/>
      <c r="L2600" s="16" t="s">
        <v>3919</v>
      </c>
      <c r="M2600" s="19" t="s">
        <v>3920</v>
      </c>
      <c r="N2600" s="16"/>
      <c r="O2600" s="16" t="s">
        <v>3921</v>
      </c>
      <c r="P2600" s="16" t="str">
        <f>HYPERLINK("https://ceds.ed.gov/cedselementdetails.aspx?termid=27628")</f>
        <v>https://ceds.ed.gov/cedselementdetails.aspx?termid=27628</v>
      </c>
      <c r="Q2600" s="16">
        <v>74338</v>
      </c>
    </row>
    <row r="2601" spans="1:17" ht="28.8" x14ac:dyDescent="0.3">
      <c r="A2601" s="16" t="s">
        <v>7665</v>
      </c>
      <c r="B2601" s="16" t="s">
        <v>7650</v>
      </c>
      <c r="C2601" s="16" t="s">
        <v>7617</v>
      </c>
      <c r="D2601" s="16" t="s">
        <v>7597</v>
      </c>
      <c r="E2601" s="16" t="s">
        <v>3900</v>
      </c>
      <c r="F2601" s="16" t="s">
        <v>3901</v>
      </c>
      <c r="G2601" s="16" t="s">
        <v>32</v>
      </c>
      <c r="H2601" s="16"/>
      <c r="I2601" s="16"/>
      <c r="J2601" s="16" t="s">
        <v>106</v>
      </c>
      <c r="K2601" s="16"/>
      <c r="L2601" s="16"/>
      <c r="M2601" s="19" t="s">
        <v>3902</v>
      </c>
      <c r="N2601" s="16"/>
      <c r="O2601" s="16" t="s">
        <v>3903</v>
      </c>
      <c r="P2601" s="16" t="str">
        <f>HYPERLINK("https://ceds.ed.gov/cedselementdetails.aspx?termid=27629")</f>
        <v>https://ceds.ed.gov/cedselementdetails.aspx?termid=27629</v>
      </c>
      <c r="Q2601" s="16">
        <v>74342</v>
      </c>
    </row>
    <row r="2602" spans="1:17" ht="144" x14ac:dyDescent="0.3">
      <c r="A2602" s="16" t="s">
        <v>7665</v>
      </c>
      <c r="B2602" s="16" t="s">
        <v>7650</v>
      </c>
      <c r="C2602" s="16" t="s">
        <v>7617</v>
      </c>
      <c r="D2602" s="16" t="s">
        <v>7597</v>
      </c>
      <c r="E2602" s="16" t="s">
        <v>7988</v>
      </c>
      <c r="F2602" s="16" t="s">
        <v>3884</v>
      </c>
      <c r="G2602" s="16" t="s">
        <v>8225</v>
      </c>
      <c r="H2602" s="16"/>
      <c r="I2602" s="16"/>
      <c r="J2602" s="16"/>
      <c r="K2602" s="16"/>
      <c r="L2602" s="16" t="s">
        <v>7989</v>
      </c>
      <c r="M2602" s="19" t="s">
        <v>3885</v>
      </c>
      <c r="N2602" s="16"/>
      <c r="O2602" s="16" t="s">
        <v>7990</v>
      </c>
      <c r="P2602" s="16" t="str">
        <f>HYPERLINK("https://ceds.ed.gov/cedselementdetails.aspx?termid=27314")</f>
        <v>https://ceds.ed.gov/cedselementdetails.aspx?termid=27314</v>
      </c>
      <c r="Q2602" s="16">
        <v>73177</v>
      </c>
    </row>
    <row r="2603" spans="1:17" ht="144" x14ac:dyDescent="0.3">
      <c r="A2603" s="16" t="s">
        <v>7665</v>
      </c>
      <c r="B2603" s="16" t="s">
        <v>7650</v>
      </c>
      <c r="C2603" s="16" t="s">
        <v>7617</v>
      </c>
      <c r="D2603" s="16" t="s">
        <v>7597</v>
      </c>
      <c r="E2603" s="16" t="s">
        <v>8005</v>
      </c>
      <c r="F2603" s="16" t="s">
        <v>8006</v>
      </c>
      <c r="G2603" s="16" t="s">
        <v>8226</v>
      </c>
      <c r="H2603" s="16"/>
      <c r="I2603" s="16"/>
      <c r="J2603" s="16"/>
      <c r="K2603" s="16"/>
      <c r="L2603" s="16" t="s">
        <v>8007</v>
      </c>
      <c r="M2603" s="19" t="s">
        <v>3886</v>
      </c>
      <c r="N2603" s="16"/>
      <c r="O2603" s="16" t="s">
        <v>8008</v>
      </c>
      <c r="P2603" s="16" t="str">
        <f>HYPERLINK("https://ceds.ed.gov/cedselementdetails.aspx?termid=27316")</f>
        <v>https://ceds.ed.gov/cedselementdetails.aspx?termid=27316</v>
      </c>
      <c r="Q2603" s="16">
        <v>73186</v>
      </c>
    </row>
    <row r="2604" spans="1:17" ht="28.8" x14ac:dyDescent="0.3">
      <c r="A2604" s="16" t="s">
        <v>7665</v>
      </c>
      <c r="B2604" s="16" t="s">
        <v>7650</v>
      </c>
      <c r="C2604" s="16" t="s">
        <v>7617</v>
      </c>
      <c r="D2604" s="16" t="s">
        <v>7597</v>
      </c>
      <c r="E2604" s="16" t="s">
        <v>3897</v>
      </c>
      <c r="F2604" s="16" t="s">
        <v>8010</v>
      </c>
      <c r="G2604" s="16" t="s">
        <v>32</v>
      </c>
      <c r="H2604" s="16"/>
      <c r="I2604" s="16"/>
      <c r="J2604" s="16" t="s">
        <v>81</v>
      </c>
      <c r="K2604" s="16"/>
      <c r="L2604" s="16"/>
      <c r="M2604" s="19" t="s">
        <v>3898</v>
      </c>
      <c r="N2604" s="16"/>
      <c r="O2604" s="16" t="s">
        <v>3899</v>
      </c>
      <c r="P2604" s="16" t="str">
        <f>HYPERLINK("https://ceds.ed.gov/cedselementdetails.aspx?termid=27627")</f>
        <v>https://ceds.ed.gov/cedselementdetails.aspx?termid=27627</v>
      </c>
      <c r="Q2604" s="16">
        <v>74334</v>
      </c>
    </row>
    <row r="2605" spans="1:17" ht="28.8" x14ac:dyDescent="0.3">
      <c r="A2605" s="16" t="s">
        <v>7665</v>
      </c>
      <c r="B2605" s="16" t="s">
        <v>7650</v>
      </c>
      <c r="C2605" s="16" t="s">
        <v>7617</v>
      </c>
      <c r="D2605" s="16" t="s">
        <v>7597</v>
      </c>
      <c r="E2605" s="16" t="s">
        <v>3894</v>
      </c>
      <c r="F2605" s="16" t="s">
        <v>8009</v>
      </c>
      <c r="G2605" s="16" t="s">
        <v>32</v>
      </c>
      <c r="H2605" s="16"/>
      <c r="I2605" s="16"/>
      <c r="J2605" s="16" t="s">
        <v>747</v>
      </c>
      <c r="K2605" s="16"/>
      <c r="L2605" s="16"/>
      <c r="M2605" s="19" t="s">
        <v>3895</v>
      </c>
      <c r="N2605" s="16"/>
      <c r="O2605" s="16" t="s">
        <v>3896</v>
      </c>
      <c r="P2605" s="16" t="str">
        <f>HYPERLINK("https://ceds.ed.gov/cedselementdetails.aspx?termid=27626")</f>
        <v>https://ceds.ed.gov/cedselementdetails.aspx?termid=27626</v>
      </c>
      <c r="Q2605" s="16">
        <v>74330</v>
      </c>
    </row>
    <row r="2606" spans="1:17" ht="409.6" x14ac:dyDescent="0.3">
      <c r="A2606" s="16" t="s">
        <v>7665</v>
      </c>
      <c r="B2606" s="16" t="s">
        <v>7650</v>
      </c>
      <c r="C2606" s="16" t="s">
        <v>7617</v>
      </c>
      <c r="D2606" s="16" t="s">
        <v>7597</v>
      </c>
      <c r="E2606" s="16" t="s">
        <v>8011</v>
      </c>
      <c r="F2606" s="16" t="s">
        <v>8012</v>
      </c>
      <c r="G2606" s="16" t="s">
        <v>8227</v>
      </c>
      <c r="H2606" s="16"/>
      <c r="I2606" s="16"/>
      <c r="J2606" s="16"/>
      <c r="K2606" s="16"/>
      <c r="L2606" s="16" t="s">
        <v>8013</v>
      </c>
      <c r="M2606" s="19" t="s">
        <v>3887</v>
      </c>
      <c r="N2606" s="16"/>
      <c r="O2606" s="16" t="s">
        <v>8014</v>
      </c>
      <c r="P2606" s="16" t="str">
        <f>HYPERLINK("https://ceds.ed.gov/cedselementdetails.aspx?termid=27440")</f>
        <v>https://ceds.ed.gov/cedselementdetails.aspx?termid=27440</v>
      </c>
      <c r="Q2606" s="16">
        <v>73857</v>
      </c>
    </row>
    <row r="2607" spans="1:17" ht="409.6" x14ac:dyDescent="0.3">
      <c r="A2607" s="16" t="s">
        <v>7665</v>
      </c>
      <c r="B2607" s="16" t="s">
        <v>7650</v>
      </c>
      <c r="C2607" s="16" t="s">
        <v>7617</v>
      </c>
      <c r="D2607" s="16" t="s">
        <v>7597</v>
      </c>
      <c r="E2607" s="16" t="s">
        <v>8023</v>
      </c>
      <c r="F2607" s="16" t="s">
        <v>8024</v>
      </c>
      <c r="G2607" s="16" t="s">
        <v>8228</v>
      </c>
      <c r="H2607" s="16"/>
      <c r="I2607" s="16"/>
      <c r="J2607" s="16"/>
      <c r="K2607" s="16"/>
      <c r="L2607" s="16" t="s">
        <v>8025</v>
      </c>
      <c r="M2607" s="19" t="s">
        <v>3957</v>
      </c>
      <c r="N2607" s="16"/>
      <c r="O2607" s="16" t="s">
        <v>8026</v>
      </c>
      <c r="P2607" s="16" t="str">
        <f>HYPERLINK("https://ceds.ed.gov/cedselementdetails.aspx?termid=27321")</f>
        <v>https://ceds.ed.gov/cedselementdetails.aspx?termid=27321</v>
      </c>
      <c r="Q2607" s="16">
        <v>73203</v>
      </c>
    </row>
    <row r="2608" spans="1:17" ht="409.6" x14ac:dyDescent="0.3">
      <c r="A2608" s="16" t="s">
        <v>7665</v>
      </c>
      <c r="B2608" s="16" t="s">
        <v>7650</v>
      </c>
      <c r="C2608" s="16" t="s">
        <v>7617</v>
      </c>
      <c r="D2608" s="16" t="s">
        <v>7597</v>
      </c>
      <c r="E2608" s="16" t="s">
        <v>8039</v>
      </c>
      <c r="F2608" s="16" t="s">
        <v>8040</v>
      </c>
      <c r="G2608" s="16" t="s">
        <v>8230</v>
      </c>
      <c r="H2608" s="16"/>
      <c r="I2608" s="16"/>
      <c r="J2608" s="16"/>
      <c r="K2608" s="16"/>
      <c r="L2608" s="16" t="s">
        <v>8041</v>
      </c>
      <c r="M2608" s="19" t="s">
        <v>3960</v>
      </c>
      <c r="N2608" s="16"/>
      <c r="O2608" s="16" t="s">
        <v>8042</v>
      </c>
      <c r="P2608" s="16" t="str">
        <f>HYPERLINK("https://ceds.ed.gov/cedselementdetails.aspx?termid=27322")</f>
        <v>https://ceds.ed.gov/cedselementdetails.aspx?termid=27322</v>
      </c>
      <c r="Q2608" s="16">
        <v>73207</v>
      </c>
    </row>
    <row r="2609" spans="1:17" ht="187.2" x14ac:dyDescent="0.3">
      <c r="A2609" s="16" t="s">
        <v>7665</v>
      </c>
      <c r="B2609" s="16" t="s">
        <v>7650</v>
      </c>
      <c r="C2609" s="16" t="s">
        <v>7617</v>
      </c>
      <c r="D2609" s="16" t="s">
        <v>7597</v>
      </c>
      <c r="E2609" s="16" t="s">
        <v>8027</v>
      </c>
      <c r="F2609" s="16" t="s">
        <v>3958</v>
      </c>
      <c r="G2609" s="16" t="s">
        <v>8229</v>
      </c>
      <c r="H2609" s="16"/>
      <c r="I2609" s="16"/>
      <c r="J2609" s="16"/>
      <c r="K2609" s="16"/>
      <c r="L2609" s="16" t="s">
        <v>8028</v>
      </c>
      <c r="M2609" s="19" t="s">
        <v>3959</v>
      </c>
      <c r="N2609" s="16"/>
      <c r="O2609" s="16" t="s">
        <v>8029</v>
      </c>
      <c r="P2609" s="16" t="str">
        <f>HYPERLINK("https://ceds.ed.gov/cedselementdetails.aspx?termid=27531")</f>
        <v>https://ceds.ed.gov/cedselementdetails.aspx?termid=27531</v>
      </c>
      <c r="Q2609" s="16">
        <v>73849</v>
      </c>
    </row>
    <row r="2610" spans="1:17" ht="259.2" x14ac:dyDescent="0.3">
      <c r="A2610" s="16" t="s">
        <v>7665</v>
      </c>
      <c r="B2610" s="16" t="s">
        <v>7650</v>
      </c>
      <c r="C2610" s="16" t="s">
        <v>7617</v>
      </c>
      <c r="D2610" s="16" t="s">
        <v>7597</v>
      </c>
      <c r="E2610" s="16" t="s">
        <v>8043</v>
      </c>
      <c r="F2610" s="16" t="s">
        <v>8044</v>
      </c>
      <c r="G2610" s="16" t="s">
        <v>32</v>
      </c>
      <c r="H2610" s="16"/>
      <c r="I2610" s="16"/>
      <c r="J2610" s="16" t="s">
        <v>136</v>
      </c>
      <c r="K2610" s="16"/>
      <c r="L2610" s="16" t="s">
        <v>8045</v>
      </c>
      <c r="M2610" s="19" t="s">
        <v>3961</v>
      </c>
      <c r="N2610" s="16"/>
      <c r="O2610" s="16" t="s">
        <v>8046</v>
      </c>
      <c r="P2610" s="16" t="str">
        <f>HYPERLINK("https://ceds.ed.gov/cedselementdetails.aspx?termid=27532")</f>
        <v>https://ceds.ed.gov/cedselementdetails.aspx?termid=27532</v>
      </c>
      <c r="Q2610" s="16">
        <v>73853</v>
      </c>
    </row>
    <row r="2611" spans="1:17" ht="72" x14ac:dyDescent="0.3">
      <c r="A2611" s="16" t="s">
        <v>7665</v>
      </c>
      <c r="B2611" s="16" t="s">
        <v>7650</v>
      </c>
      <c r="C2611" s="16" t="s">
        <v>7617</v>
      </c>
      <c r="D2611" s="16" t="s">
        <v>7597</v>
      </c>
      <c r="E2611" s="16" t="s">
        <v>8974</v>
      </c>
      <c r="F2611" s="16" t="s">
        <v>8975</v>
      </c>
      <c r="G2611" s="16" t="s">
        <v>32</v>
      </c>
      <c r="H2611" s="16"/>
      <c r="I2611" s="16"/>
      <c r="J2611" s="16" t="s">
        <v>120</v>
      </c>
      <c r="K2611" s="16"/>
      <c r="L2611" s="16" t="s">
        <v>8976</v>
      </c>
      <c r="M2611" s="19" t="s">
        <v>8977</v>
      </c>
      <c r="N2611" s="16"/>
      <c r="O2611" s="16" t="s">
        <v>8978</v>
      </c>
      <c r="P2611" s="16" t="str">
        <f>HYPERLINK("https://ceds.ed.gov/cedselementdetails.aspx?termid=28020")</f>
        <v>https://ceds.ed.gov/cedselementdetails.aspx?termid=28020</v>
      </c>
      <c r="Q2611" s="16">
        <v>76309</v>
      </c>
    </row>
    <row r="2612" spans="1:17" ht="72" x14ac:dyDescent="0.3">
      <c r="A2612" s="16" t="s">
        <v>7665</v>
      </c>
      <c r="B2612" s="16" t="s">
        <v>7650</v>
      </c>
      <c r="C2612" s="16" t="s">
        <v>7617</v>
      </c>
      <c r="D2612" s="16" t="s">
        <v>7597</v>
      </c>
      <c r="E2612" s="16" t="s">
        <v>8979</v>
      </c>
      <c r="F2612" s="16" t="s">
        <v>8980</v>
      </c>
      <c r="G2612" s="16" t="s">
        <v>32</v>
      </c>
      <c r="H2612" s="16"/>
      <c r="I2612" s="16"/>
      <c r="J2612" s="16" t="s">
        <v>1481</v>
      </c>
      <c r="K2612" s="16"/>
      <c r="L2612" s="16" t="s">
        <v>8976</v>
      </c>
      <c r="M2612" s="19" t="s">
        <v>8981</v>
      </c>
      <c r="N2612" s="16"/>
      <c r="O2612" s="16" t="s">
        <v>8982</v>
      </c>
      <c r="P2612" s="16" t="str">
        <f>HYPERLINK("https://ceds.ed.gov/cedselementdetails.aspx?termid=28021")</f>
        <v>https://ceds.ed.gov/cedselementdetails.aspx?termid=28021</v>
      </c>
      <c r="Q2612" s="16">
        <v>76310</v>
      </c>
    </row>
    <row r="2613" spans="1:17" ht="57.6" x14ac:dyDescent="0.3">
      <c r="A2613" s="16" t="s">
        <v>7665</v>
      </c>
      <c r="B2613" s="16" t="s">
        <v>7650</v>
      </c>
      <c r="C2613" s="16" t="s">
        <v>7617</v>
      </c>
      <c r="D2613" s="16" t="s">
        <v>7597</v>
      </c>
      <c r="E2613" s="16" t="s">
        <v>12783</v>
      </c>
      <c r="F2613" s="16" t="s">
        <v>12784</v>
      </c>
      <c r="G2613" s="16" t="s">
        <v>32</v>
      </c>
      <c r="H2613" s="16"/>
      <c r="I2613" s="16" t="s">
        <v>155</v>
      </c>
      <c r="J2613" s="16" t="s">
        <v>136</v>
      </c>
      <c r="K2613" s="16" t="s">
        <v>12636</v>
      </c>
      <c r="L2613" s="16"/>
      <c r="M2613" s="19" t="s">
        <v>12785</v>
      </c>
      <c r="N2613" s="16"/>
      <c r="O2613" s="16" t="s">
        <v>12786</v>
      </c>
      <c r="P2613" s="16" t="str">
        <f>HYPERLINK("https://ceds.ed.gov/cedselementdetails.aspx?termid=28118")</f>
        <v>https://ceds.ed.gov/cedselementdetails.aspx?termid=28118</v>
      </c>
      <c r="Q2613" s="16">
        <v>76633</v>
      </c>
    </row>
    <row r="2614" spans="1:17" ht="43.2" x14ac:dyDescent="0.3">
      <c r="A2614" s="16" t="s">
        <v>7665</v>
      </c>
      <c r="B2614" s="16" t="s">
        <v>7650</v>
      </c>
      <c r="C2614" s="16" t="s">
        <v>7617</v>
      </c>
      <c r="D2614" s="16" t="s">
        <v>7597</v>
      </c>
      <c r="E2614" s="16" t="s">
        <v>12787</v>
      </c>
      <c r="F2614" s="16" t="s">
        <v>12788</v>
      </c>
      <c r="G2614" s="16" t="s">
        <v>32</v>
      </c>
      <c r="H2614" s="16"/>
      <c r="I2614" s="16" t="s">
        <v>155</v>
      </c>
      <c r="J2614" s="16" t="s">
        <v>9103</v>
      </c>
      <c r="K2614" s="16" t="s">
        <v>12636</v>
      </c>
      <c r="L2614" s="16"/>
      <c r="M2614" s="19" t="s">
        <v>12789</v>
      </c>
      <c r="N2614" s="16"/>
      <c r="O2614" s="16" t="s">
        <v>12790</v>
      </c>
      <c r="P2614" s="16" t="str">
        <f>HYPERLINK("https://ceds.ed.gov/cedselementdetails.aspx?termid=28117")</f>
        <v>https://ceds.ed.gov/cedselementdetails.aspx?termid=28117</v>
      </c>
      <c r="Q2614" s="16">
        <v>76626</v>
      </c>
    </row>
    <row r="2615" spans="1:17" ht="43.2" x14ac:dyDescent="0.3">
      <c r="A2615" s="16" t="s">
        <v>7665</v>
      </c>
      <c r="B2615" s="16" t="s">
        <v>7650</v>
      </c>
      <c r="C2615" s="16" t="s">
        <v>7617</v>
      </c>
      <c r="D2615" s="16" t="s">
        <v>7597</v>
      </c>
      <c r="E2615" s="16" t="s">
        <v>12791</v>
      </c>
      <c r="F2615" s="16" t="s">
        <v>12792</v>
      </c>
      <c r="G2615" s="16" t="s">
        <v>32</v>
      </c>
      <c r="H2615" s="16"/>
      <c r="I2615" s="16" t="s">
        <v>155</v>
      </c>
      <c r="J2615" s="16" t="s">
        <v>106</v>
      </c>
      <c r="K2615" s="16" t="s">
        <v>12636</v>
      </c>
      <c r="L2615" s="16"/>
      <c r="M2615" s="19" t="s">
        <v>12793</v>
      </c>
      <c r="N2615" s="16"/>
      <c r="O2615" s="16" t="s">
        <v>12794</v>
      </c>
      <c r="P2615" s="16" t="str">
        <f>HYPERLINK("https://ceds.ed.gov/cedselementdetails.aspx?termid=28116")</f>
        <v>https://ceds.ed.gov/cedselementdetails.aspx?termid=28116</v>
      </c>
      <c r="Q2615" s="16">
        <v>76619</v>
      </c>
    </row>
    <row r="2616" spans="1:17" ht="43.2" x14ac:dyDescent="0.3">
      <c r="A2616" s="16" t="s">
        <v>7665</v>
      </c>
      <c r="B2616" s="16" t="s">
        <v>7650</v>
      </c>
      <c r="C2616" s="16" t="s">
        <v>7617</v>
      </c>
      <c r="D2616" s="16" t="s">
        <v>7597</v>
      </c>
      <c r="E2616" s="16" t="s">
        <v>12795</v>
      </c>
      <c r="F2616" s="16" t="s">
        <v>12796</v>
      </c>
      <c r="G2616" s="16" t="s">
        <v>12891</v>
      </c>
      <c r="H2616" s="16"/>
      <c r="I2616" s="16" t="s">
        <v>155</v>
      </c>
      <c r="J2616" s="16" t="s">
        <v>2</v>
      </c>
      <c r="K2616" s="16" t="s">
        <v>12636</v>
      </c>
      <c r="L2616" s="16"/>
      <c r="M2616" s="19" t="s">
        <v>12797</v>
      </c>
      <c r="N2616" s="16"/>
      <c r="O2616" s="16" t="s">
        <v>12798</v>
      </c>
      <c r="P2616" s="16" t="str">
        <f>HYPERLINK("https://ceds.ed.gov/cedselementdetails.aspx?termid=28114")</f>
        <v>https://ceds.ed.gov/cedselementdetails.aspx?termid=28114</v>
      </c>
      <c r="Q2616" s="16">
        <v>76605</v>
      </c>
    </row>
    <row r="2617" spans="1:17" ht="43.2" x14ac:dyDescent="0.3">
      <c r="A2617" s="16" t="s">
        <v>7665</v>
      </c>
      <c r="B2617" s="16" t="s">
        <v>7650</v>
      </c>
      <c r="C2617" s="16" t="s">
        <v>7617</v>
      </c>
      <c r="D2617" s="16" t="s">
        <v>7597</v>
      </c>
      <c r="E2617" s="16" t="s">
        <v>12799</v>
      </c>
      <c r="F2617" s="16" t="s">
        <v>12800</v>
      </c>
      <c r="G2617" s="16" t="s">
        <v>32</v>
      </c>
      <c r="H2617" s="16"/>
      <c r="I2617" s="16" t="s">
        <v>155</v>
      </c>
      <c r="J2617" s="16" t="s">
        <v>106</v>
      </c>
      <c r="K2617" s="16" t="s">
        <v>12636</v>
      </c>
      <c r="L2617" s="16"/>
      <c r="M2617" s="19" t="s">
        <v>12801</v>
      </c>
      <c r="N2617" s="16"/>
      <c r="O2617" s="16" t="s">
        <v>12802</v>
      </c>
      <c r="P2617" s="16" t="str">
        <f>HYPERLINK("https://ceds.ed.gov/cedselementdetails.aspx?termid=28115")</f>
        <v>https://ceds.ed.gov/cedselementdetails.aspx?termid=28115</v>
      </c>
      <c r="Q2617" s="16">
        <v>76612</v>
      </c>
    </row>
    <row r="2618" spans="1:17" ht="100.8" x14ac:dyDescent="0.3">
      <c r="A2618" s="16" t="s">
        <v>7665</v>
      </c>
      <c r="B2618" s="16" t="s">
        <v>7650</v>
      </c>
      <c r="C2618" s="16" t="s">
        <v>7617</v>
      </c>
      <c r="D2618" s="16" t="s">
        <v>7597</v>
      </c>
      <c r="E2618" s="16" t="s">
        <v>12803</v>
      </c>
      <c r="F2618" s="16" t="s">
        <v>12804</v>
      </c>
      <c r="G2618" s="16" t="s">
        <v>12911</v>
      </c>
      <c r="H2618" s="16"/>
      <c r="I2618" s="16" t="s">
        <v>155</v>
      </c>
      <c r="J2618" s="16" t="s">
        <v>2</v>
      </c>
      <c r="K2618" s="16" t="s">
        <v>12636</v>
      </c>
      <c r="L2618" s="16"/>
      <c r="M2618" s="19" t="s">
        <v>12805</v>
      </c>
      <c r="N2618" s="16"/>
      <c r="O2618" s="16" t="s">
        <v>12806</v>
      </c>
      <c r="P2618" s="16" t="str">
        <f>HYPERLINK("https://ceds.ed.gov/cedselementdetails.aspx?termid=28120")</f>
        <v>https://ceds.ed.gov/cedselementdetails.aspx?termid=28120</v>
      </c>
      <c r="Q2618" s="16">
        <v>76647</v>
      </c>
    </row>
    <row r="2619" spans="1:17" ht="72" x14ac:dyDescent="0.3">
      <c r="A2619" s="16" t="s">
        <v>7665</v>
      </c>
      <c r="B2619" s="16" t="s">
        <v>7650</v>
      </c>
      <c r="C2619" s="16" t="s">
        <v>7617</v>
      </c>
      <c r="D2619" s="16" t="s">
        <v>7597</v>
      </c>
      <c r="E2619" s="16" t="s">
        <v>12807</v>
      </c>
      <c r="F2619" s="16" t="s">
        <v>12808</v>
      </c>
      <c r="G2619" s="16" t="s">
        <v>12912</v>
      </c>
      <c r="H2619" s="16"/>
      <c r="I2619" s="16" t="s">
        <v>155</v>
      </c>
      <c r="J2619" s="16" t="s">
        <v>2</v>
      </c>
      <c r="K2619" s="16" t="s">
        <v>12636</v>
      </c>
      <c r="L2619" s="16"/>
      <c r="M2619" s="19" t="s">
        <v>12809</v>
      </c>
      <c r="N2619" s="16"/>
      <c r="O2619" s="16" t="s">
        <v>12810</v>
      </c>
      <c r="P2619" s="16" t="str">
        <f>HYPERLINK("https://ceds.ed.gov/cedselementdetails.aspx?termid=28119")</f>
        <v>https://ceds.ed.gov/cedselementdetails.aspx?termid=28119</v>
      </c>
      <c r="Q2619" s="16">
        <v>76640</v>
      </c>
    </row>
    <row r="2620" spans="1:17" ht="100.8" x14ac:dyDescent="0.3">
      <c r="A2620" s="16" t="s">
        <v>7665</v>
      </c>
      <c r="B2620" s="16" t="s">
        <v>7650</v>
      </c>
      <c r="C2620" s="16" t="s">
        <v>8870</v>
      </c>
      <c r="D2620" s="16" t="s">
        <v>7597</v>
      </c>
      <c r="E2620" s="16" t="s">
        <v>2387</v>
      </c>
      <c r="F2620" s="16" t="s">
        <v>2388</v>
      </c>
      <c r="G2620" s="16" t="s">
        <v>8214</v>
      </c>
      <c r="H2620" s="16"/>
      <c r="I2620" s="16"/>
      <c r="J2620" s="16"/>
      <c r="K2620" s="16"/>
      <c r="L2620" s="16" t="s">
        <v>2389</v>
      </c>
      <c r="M2620" s="19" t="s">
        <v>2390</v>
      </c>
      <c r="N2620" s="16"/>
      <c r="O2620" s="16" t="s">
        <v>2391</v>
      </c>
      <c r="P2620" s="16" t="str">
        <f>HYPERLINK("https://ceds.ed.gov/cedselementdetails.aspx?termid=26877")</f>
        <v>https://ceds.ed.gov/cedselementdetails.aspx?termid=26877</v>
      </c>
      <c r="Q2620" s="16">
        <v>75931</v>
      </c>
    </row>
    <row r="2621" spans="1:17" ht="72" x14ac:dyDescent="0.3">
      <c r="A2621" s="16" t="s">
        <v>7665</v>
      </c>
      <c r="B2621" s="16" t="s">
        <v>7650</v>
      </c>
      <c r="C2621" s="16" t="s">
        <v>8870</v>
      </c>
      <c r="D2621" s="16" t="s">
        <v>7597</v>
      </c>
      <c r="E2621" s="16" t="s">
        <v>2392</v>
      </c>
      <c r="F2621" s="16" t="s">
        <v>2393</v>
      </c>
      <c r="G2621" s="16" t="s">
        <v>32</v>
      </c>
      <c r="H2621" s="16"/>
      <c r="I2621" s="16"/>
      <c r="J2621" s="16" t="s">
        <v>305</v>
      </c>
      <c r="K2621" s="16"/>
      <c r="L2621" s="16" t="s">
        <v>7911</v>
      </c>
      <c r="M2621" s="19" t="s">
        <v>2394</v>
      </c>
      <c r="N2621" s="16"/>
      <c r="O2621" s="16" t="s">
        <v>2395</v>
      </c>
      <c r="P2621" s="16" t="str">
        <f>HYPERLINK("https://ceds.ed.gov/cedselementdetails.aspx?termid=26878")</f>
        <v>https://ceds.ed.gov/cedselementdetails.aspx?termid=26878</v>
      </c>
      <c r="Q2621" s="16">
        <v>75932</v>
      </c>
    </row>
    <row r="2622" spans="1:17" x14ac:dyDescent="0.3">
      <c r="A2622" s="16" t="s">
        <v>7665</v>
      </c>
      <c r="B2622" s="16" t="s">
        <v>7650</v>
      </c>
      <c r="C2622" s="16" t="s">
        <v>8870</v>
      </c>
      <c r="D2622" s="16" t="s">
        <v>7597</v>
      </c>
      <c r="E2622" s="16" t="s">
        <v>3203</v>
      </c>
      <c r="F2622" s="16" t="s">
        <v>3204</v>
      </c>
      <c r="G2622" s="16" t="s">
        <v>32</v>
      </c>
      <c r="H2622" s="16"/>
      <c r="I2622" s="16"/>
      <c r="J2622" s="16" t="s">
        <v>1662</v>
      </c>
      <c r="K2622" s="16"/>
      <c r="L2622" s="16"/>
      <c r="M2622" s="19" t="s">
        <v>3205</v>
      </c>
      <c r="N2622" s="16"/>
      <c r="O2622" s="16" t="s">
        <v>3206</v>
      </c>
      <c r="P2622" s="16" t="str">
        <f>HYPERLINK("https://ceds.ed.gov/cedselementdetails.aspx?termid=27697")</f>
        <v>https://ceds.ed.gov/cedselementdetails.aspx?termid=27697</v>
      </c>
      <c r="Q2622" s="16">
        <v>75933</v>
      </c>
    </row>
    <row r="2623" spans="1:17" ht="100.8" x14ac:dyDescent="0.3">
      <c r="A2623" s="16" t="s">
        <v>7665</v>
      </c>
      <c r="B2623" s="16" t="s">
        <v>7650</v>
      </c>
      <c r="C2623" s="16" t="s">
        <v>8870</v>
      </c>
      <c r="D2623" s="16" t="s">
        <v>7597</v>
      </c>
      <c r="E2623" s="16" t="s">
        <v>4021</v>
      </c>
      <c r="F2623" s="16" t="s">
        <v>8050</v>
      </c>
      <c r="G2623" s="16" t="s">
        <v>8231</v>
      </c>
      <c r="H2623" s="16"/>
      <c r="I2623" s="16" t="s">
        <v>160</v>
      </c>
      <c r="J2623" s="16"/>
      <c r="K2623" s="16" t="s">
        <v>12935</v>
      </c>
      <c r="L2623" s="16" t="s">
        <v>8051</v>
      </c>
      <c r="M2623" s="19" t="s">
        <v>4022</v>
      </c>
      <c r="N2623" s="16"/>
      <c r="O2623" s="16" t="s">
        <v>4023</v>
      </c>
      <c r="P2623" s="16" t="str">
        <f>HYPERLINK("https://ceds.ed.gov/cedselementdetails.aspx?termid=27323")</f>
        <v>https://ceds.ed.gov/cedselementdetails.aspx?termid=27323</v>
      </c>
      <c r="Q2623" s="16">
        <v>75934</v>
      </c>
    </row>
    <row r="2624" spans="1:17" ht="28.8" x14ac:dyDescent="0.3">
      <c r="A2624" s="16" t="s">
        <v>7665</v>
      </c>
      <c r="B2624" s="16" t="s">
        <v>7650</v>
      </c>
      <c r="C2624" s="16" t="s">
        <v>8870</v>
      </c>
      <c r="D2624" s="16" t="s">
        <v>7597</v>
      </c>
      <c r="E2624" s="16" t="s">
        <v>4069</v>
      </c>
      <c r="F2624" s="16" t="s">
        <v>4070</v>
      </c>
      <c r="G2624" s="16" t="s">
        <v>32</v>
      </c>
      <c r="H2624" s="16"/>
      <c r="I2624" s="16"/>
      <c r="J2624" s="16" t="s">
        <v>101</v>
      </c>
      <c r="K2624" s="16"/>
      <c r="L2624" s="16"/>
      <c r="M2624" s="19" t="s">
        <v>4071</v>
      </c>
      <c r="N2624" s="16"/>
      <c r="O2624" s="16" t="s">
        <v>4072</v>
      </c>
      <c r="P2624" s="16" t="str">
        <f>HYPERLINK("https://ceds.ed.gov/cedselementdetails.aspx?termid=26903")</f>
        <v>https://ceds.ed.gov/cedselementdetails.aspx?termid=26903</v>
      </c>
      <c r="Q2624" s="16">
        <v>75935</v>
      </c>
    </row>
    <row r="2625" spans="1:17" ht="28.8" x14ac:dyDescent="0.3">
      <c r="A2625" s="16" t="s">
        <v>7665</v>
      </c>
      <c r="B2625" s="16" t="s">
        <v>7650</v>
      </c>
      <c r="C2625" s="16" t="s">
        <v>8870</v>
      </c>
      <c r="D2625" s="16" t="s">
        <v>7597</v>
      </c>
      <c r="E2625" s="16" t="s">
        <v>4088</v>
      </c>
      <c r="F2625" s="16" t="s">
        <v>4089</v>
      </c>
      <c r="G2625" s="16" t="s">
        <v>32</v>
      </c>
      <c r="H2625" s="16"/>
      <c r="I2625" s="16"/>
      <c r="J2625" s="16" t="s">
        <v>145</v>
      </c>
      <c r="K2625" s="16"/>
      <c r="L2625" s="16"/>
      <c r="M2625" s="19" t="s">
        <v>4090</v>
      </c>
      <c r="N2625" s="16"/>
      <c r="O2625" s="16" t="s">
        <v>4091</v>
      </c>
      <c r="P2625" s="16" t="str">
        <f>HYPERLINK("https://ceds.ed.gov/cedselementdetails.aspx?termid=27674")</f>
        <v>https://ceds.ed.gov/cedselementdetails.aspx?termid=27674</v>
      </c>
      <c r="Q2625" s="16">
        <v>75936</v>
      </c>
    </row>
    <row r="2626" spans="1:17" ht="43.2" x14ac:dyDescent="0.3">
      <c r="A2626" s="16" t="s">
        <v>7665</v>
      </c>
      <c r="B2626" s="16" t="s">
        <v>7650</v>
      </c>
      <c r="C2626" s="16" t="s">
        <v>8870</v>
      </c>
      <c r="D2626" s="16" t="s">
        <v>7597</v>
      </c>
      <c r="E2626" s="16" t="s">
        <v>4121</v>
      </c>
      <c r="F2626" s="16" t="s">
        <v>4122</v>
      </c>
      <c r="G2626" s="16" t="s">
        <v>32</v>
      </c>
      <c r="H2626" s="16"/>
      <c r="I2626" s="16"/>
      <c r="J2626" s="16" t="s">
        <v>101</v>
      </c>
      <c r="K2626" s="16"/>
      <c r="L2626" s="16"/>
      <c r="M2626" s="19" t="s">
        <v>4123</v>
      </c>
      <c r="N2626" s="16"/>
      <c r="O2626" s="16" t="s">
        <v>4124</v>
      </c>
      <c r="P2626" s="16" t="str">
        <f>HYPERLINK("https://ceds.ed.gov/cedselementdetails.aspx?termid=26902")</f>
        <v>https://ceds.ed.gov/cedselementdetails.aspx?termid=26902</v>
      </c>
      <c r="Q2626" s="16">
        <v>75937</v>
      </c>
    </row>
    <row r="2627" spans="1:17" ht="72" x14ac:dyDescent="0.3">
      <c r="A2627" s="16" t="s">
        <v>7665</v>
      </c>
      <c r="B2627" s="16" t="s">
        <v>7650</v>
      </c>
      <c r="C2627" s="16" t="s">
        <v>8870</v>
      </c>
      <c r="D2627" s="16" t="s">
        <v>7597</v>
      </c>
      <c r="E2627" s="16" t="s">
        <v>4733</v>
      </c>
      <c r="F2627" s="16" t="s">
        <v>4734</v>
      </c>
      <c r="G2627" s="16" t="s">
        <v>32</v>
      </c>
      <c r="H2627" s="16"/>
      <c r="I2627" s="16"/>
      <c r="J2627" s="16" t="s">
        <v>305</v>
      </c>
      <c r="K2627" s="16"/>
      <c r="L2627" s="16"/>
      <c r="M2627" s="19" t="s">
        <v>4735</v>
      </c>
      <c r="N2627" s="16"/>
      <c r="O2627" s="16" t="s">
        <v>4736</v>
      </c>
      <c r="P2627" s="16" t="str">
        <f>HYPERLINK("https://ceds.ed.gov/cedselementdetails.aspx?termid=26490")</f>
        <v>https://ceds.ed.gov/cedselementdetails.aspx?termid=26490</v>
      </c>
      <c r="Q2627" s="16">
        <v>75938</v>
      </c>
    </row>
    <row r="2628" spans="1:17" ht="172.8" x14ac:dyDescent="0.3">
      <c r="A2628" s="16" t="s">
        <v>7665</v>
      </c>
      <c r="B2628" s="16" t="s">
        <v>7650</v>
      </c>
      <c r="C2628" s="16" t="s">
        <v>8870</v>
      </c>
      <c r="D2628" s="16" t="s">
        <v>7597</v>
      </c>
      <c r="E2628" s="16" t="s">
        <v>6074</v>
      </c>
      <c r="F2628" s="16" t="s">
        <v>6075</v>
      </c>
      <c r="G2628" s="16" t="s">
        <v>32</v>
      </c>
      <c r="H2628" s="16" t="s">
        <v>2564</v>
      </c>
      <c r="I2628" s="16"/>
      <c r="J2628" s="16" t="s">
        <v>120</v>
      </c>
      <c r="K2628" s="16"/>
      <c r="L2628" s="16" t="s">
        <v>7817</v>
      </c>
      <c r="M2628" s="19" t="s">
        <v>6076</v>
      </c>
      <c r="N2628" s="16"/>
      <c r="O2628" s="16" t="s">
        <v>6077</v>
      </c>
      <c r="P2628" s="16" t="str">
        <f>HYPERLINK("https://ceds.ed.gov/cedselementdetails.aspx?termid=26618")</f>
        <v>https://ceds.ed.gov/cedselementdetails.aspx?termid=26618</v>
      </c>
      <c r="Q2628" s="16">
        <v>75939</v>
      </c>
    </row>
    <row r="2629" spans="1:17" ht="43.2" x14ac:dyDescent="0.3">
      <c r="A2629" s="16" t="s">
        <v>7665</v>
      </c>
      <c r="B2629" s="16" t="s">
        <v>7650</v>
      </c>
      <c r="C2629" s="16" t="s">
        <v>8870</v>
      </c>
      <c r="D2629" s="16" t="s">
        <v>7597</v>
      </c>
      <c r="E2629" s="16" t="s">
        <v>6089</v>
      </c>
      <c r="F2629" s="16" t="s">
        <v>6090</v>
      </c>
      <c r="G2629" s="16" t="s">
        <v>32</v>
      </c>
      <c r="H2629" s="16" t="s">
        <v>2564</v>
      </c>
      <c r="I2629" s="16"/>
      <c r="J2629" s="16" t="s">
        <v>145</v>
      </c>
      <c r="K2629" s="16"/>
      <c r="L2629" s="16"/>
      <c r="M2629" s="19" t="s">
        <v>6091</v>
      </c>
      <c r="N2629" s="16"/>
      <c r="O2629" s="16" t="s">
        <v>6092</v>
      </c>
      <c r="P2629" s="16" t="str">
        <f>HYPERLINK("https://ceds.ed.gov/cedselementdetails.aspx?termid=26619")</f>
        <v>https://ceds.ed.gov/cedselementdetails.aspx?termid=26619</v>
      </c>
      <c r="Q2629" s="16">
        <v>75940</v>
      </c>
    </row>
    <row r="2630" spans="1:17" ht="409.6" x14ac:dyDescent="0.3">
      <c r="A2630" s="16" t="s">
        <v>7665</v>
      </c>
      <c r="B2630" s="16" t="s">
        <v>7650</v>
      </c>
      <c r="C2630" s="16" t="s">
        <v>8870</v>
      </c>
      <c r="D2630" s="16" t="s">
        <v>7597</v>
      </c>
      <c r="E2630" s="16" t="s">
        <v>6130</v>
      </c>
      <c r="F2630" s="16" t="s">
        <v>6131</v>
      </c>
      <c r="G2630" s="16" t="s">
        <v>9420</v>
      </c>
      <c r="H2630" s="16" t="s">
        <v>64</v>
      </c>
      <c r="I2630" s="16"/>
      <c r="J2630" s="16"/>
      <c r="K2630" s="16"/>
      <c r="L2630" s="16"/>
      <c r="M2630" s="19" t="s">
        <v>6132</v>
      </c>
      <c r="N2630" s="16"/>
      <c r="O2630" s="16" t="s">
        <v>6133</v>
      </c>
      <c r="P2630" s="16" t="str">
        <f>HYPERLINK("https://ceds.ed.gov/cedselementdetails.aspx?termid=26225")</f>
        <v>https://ceds.ed.gov/cedselementdetails.aspx?termid=26225</v>
      </c>
      <c r="Q2630" s="16">
        <v>75941</v>
      </c>
    </row>
    <row r="2631" spans="1:17" ht="158.4" x14ac:dyDescent="0.3">
      <c r="A2631" s="16" t="s">
        <v>7665</v>
      </c>
      <c r="B2631" s="16" t="s">
        <v>7650</v>
      </c>
      <c r="C2631" s="16" t="s">
        <v>8870</v>
      </c>
      <c r="D2631" s="16" t="s">
        <v>7597</v>
      </c>
      <c r="E2631" s="16" t="s">
        <v>6261</v>
      </c>
      <c r="F2631" s="16" t="s">
        <v>6262</v>
      </c>
      <c r="G2631" s="16" t="s">
        <v>8257</v>
      </c>
      <c r="H2631" s="16"/>
      <c r="I2631" s="16"/>
      <c r="J2631" s="16"/>
      <c r="K2631" s="16"/>
      <c r="L2631" s="16"/>
      <c r="M2631" s="19" t="s">
        <v>6263</v>
      </c>
      <c r="N2631" s="16"/>
      <c r="O2631" s="16" t="s">
        <v>6264</v>
      </c>
      <c r="P2631" s="16" t="str">
        <f>HYPERLINK("https://ceds.ed.gov/cedselementdetails.aspx?termid=26515")</f>
        <v>https://ceds.ed.gov/cedselementdetails.aspx?termid=26515</v>
      </c>
      <c r="Q2631" s="16">
        <v>75942</v>
      </c>
    </row>
    <row r="2632" spans="1:17" ht="28.8" x14ac:dyDescent="0.3">
      <c r="A2632" s="16" t="s">
        <v>7665</v>
      </c>
      <c r="B2632" s="16" t="s">
        <v>7650</v>
      </c>
      <c r="C2632" s="16" t="s">
        <v>8870</v>
      </c>
      <c r="D2632" s="16" t="s">
        <v>7597</v>
      </c>
      <c r="E2632" s="16" t="s">
        <v>6641</v>
      </c>
      <c r="F2632" s="16" t="s">
        <v>6642</v>
      </c>
      <c r="G2632" s="16" t="s">
        <v>32</v>
      </c>
      <c r="H2632" s="16" t="s">
        <v>2025</v>
      </c>
      <c r="I2632" s="16"/>
      <c r="J2632" s="16" t="s">
        <v>403</v>
      </c>
      <c r="K2632" s="16"/>
      <c r="L2632" s="16"/>
      <c r="M2632" s="19" t="s">
        <v>6643</v>
      </c>
      <c r="N2632" s="16"/>
      <c r="O2632" s="16" t="s">
        <v>6644</v>
      </c>
      <c r="P2632" s="16" t="str">
        <f>HYPERLINK("https://ceds.ed.gov/cedselementdetails.aspx?termid=26988")</f>
        <v>https://ceds.ed.gov/cedselementdetails.aspx?termid=26988</v>
      </c>
      <c r="Q2632" s="16">
        <v>75943</v>
      </c>
    </row>
    <row r="2633" spans="1:17" ht="28.8" x14ac:dyDescent="0.3">
      <c r="A2633" s="16" t="s">
        <v>7665</v>
      </c>
      <c r="B2633" s="16" t="s">
        <v>7650</v>
      </c>
      <c r="C2633" s="16" t="s">
        <v>8870</v>
      </c>
      <c r="D2633" s="16" t="s">
        <v>7597</v>
      </c>
      <c r="E2633" s="16" t="s">
        <v>6653</v>
      </c>
      <c r="F2633" s="16" t="s">
        <v>6654</v>
      </c>
      <c r="G2633" s="16" t="s">
        <v>32</v>
      </c>
      <c r="H2633" s="16" t="s">
        <v>2025</v>
      </c>
      <c r="I2633" s="16"/>
      <c r="J2633" s="16" t="s">
        <v>403</v>
      </c>
      <c r="K2633" s="16"/>
      <c r="L2633" s="16"/>
      <c r="M2633" s="19" t="s">
        <v>6655</v>
      </c>
      <c r="N2633" s="16"/>
      <c r="O2633" s="16" t="s">
        <v>6656</v>
      </c>
      <c r="P2633" s="16" t="str">
        <f>HYPERLINK("https://ceds.ed.gov/cedselementdetails.aspx?termid=26986")</f>
        <v>https://ceds.ed.gov/cedselementdetails.aspx?termid=26986</v>
      </c>
      <c r="Q2633" s="16">
        <v>75944</v>
      </c>
    </row>
    <row r="2634" spans="1:17" ht="100.8" x14ac:dyDescent="0.3">
      <c r="A2634" s="16" t="s">
        <v>7665</v>
      </c>
      <c r="B2634" s="16" t="s">
        <v>7650</v>
      </c>
      <c r="C2634" s="16" t="s">
        <v>8870</v>
      </c>
      <c r="D2634" s="16" t="s">
        <v>7597</v>
      </c>
      <c r="E2634" s="16" t="s">
        <v>8159</v>
      </c>
      <c r="F2634" s="16" t="s">
        <v>8160</v>
      </c>
      <c r="G2634" s="16" t="s">
        <v>8204</v>
      </c>
      <c r="H2634" s="16"/>
      <c r="I2634" s="16"/>
      <c r="J2634" s="16" t="s">
        <v>2</v>
      </c>
      <c r="K2634" s="16"/>
      <c r="L2634" s="16"/>
      <c r="M2634" s="19" t="s">
        <v>8196</v>
      </c>
      <c r="N2634" s="16"/>
      <c r="O2634" s="16" t="s">
        <v>8161</v>
      </c>
      <c r="P2634" s="16" t="str">
        <f>HYPERLINK("https://ceds.ed.gov/cedselementdetails.aspx?termid=27994")</f>
        <v>https://ceds.ed.gov/cedselementdetails.aspx?termid=27994</v>
      </c>
      <c r="Q2634" s="16">
        <v>75945</v>
      </c>
    </row>
    <row r="2635" spans="1:17" ht="172.8" x14ac:dyDescent="0.3">
      <c r="A2635" s="16" t="s">
        <v>7665</v>
      </c>
      <c r="B2635" s="16" t="s">
        <v>7720</v>
      </c>
      <c r="C2635" s="16"/>
      <c r="D2635" s="16" t="s">
        <v>7597</v>
      </c>
      <c r="E2635" s="16" t="s">
        <v>4477</v>
      </c>
      <c r="F2635" s="16" t="s">
        <v>4478</v>
      </c>
      <c r="G2635" s="16" t="s">
        <v>32</v>
      </c>
      <c r="H2635" s="16"/>
      <c r="I2635" s="16"/>
      <c r="J2635" s="16" t="s">
        <v>120</v>
      </c>
      <c r="K2635" s="16"/>
      <c r="L2635" s="16" t="s">
        <v>7817</v>
      </c>
      <c r="M2635" s="19" t="s">
        <v>4479</v>
      </c>
      <c r="N2635" s="16"/>
      <c r="O2635" s="16" t="s">
        <v>4480</v>
      </c>
      <c r="P2635" s="16" t="str">
        <f>HYPERLINK("https://ceds.ed.gov/cedselementdetails.aspx?termid=26492")</f>
        <v>https://ceds.ed.gov/cedselementdetails.aspx?termid=26492</v>
      </c>
      <c r="Q2635" s="16">
        <v>71041</v>
      </c>
    </row>
    <row r="2636" spans="1:17" ht="28.8" x14ac:dyDescent="0.3">
      <c r="A2636" s="16" t="s">
        <v>7665</v>
      </c>
      <c r="B2636" s="16" t="s">
        <v>7720</v>
      </c>
      <c r="C2636" s="16"/>
      <c r="D2636" s="16" t="s">
        <v>7597</v>
      </c>
      <c r="E2636" s="16" t="s">
        <v>4469</v>
      </c>
      <c r="F2636" s="16" t="s">
        <v>4470</v>
      </c>
      <c r="G2636" s="16" t="s">
        <v>32</v>
      </c>
      <c r="H2636" s="16"/>
      <c r="I2636" s="16"/>
      <c r="J2636" s="16" t="s">
        <v>106</v>
      </c>
      <c r="K2636" s="16"/>
      <c r="L2636" s="16"/>
      <c r="M2636" s="19" t="s">
        <v>4471</v>
      </c>
      <c r="N2636" s="16"/>
      <c r="O2636" s="16" t="s">
        <v>4472</v>
      </c>
      <c r="P2636" s="16" t="str">
        <f>HYPERLINK("https://ceds.ed.gov/cedselementdetails.aspx?termid=26493")</f>
        <v>https://ceds.ed.gov/cedselementdetails.aspx?termid=26493</v>
      </c>
      <c r="Q2636" s="16">
        <v>71042</v>
      </c>
    </row>
    <row r="2637" spans="1:17" ht="28.8" x14ac:dyDescent="0.3">
      <c r="A2637" s="16" t="s">
        <v>7665</v>
      </c>
      <c r="B2637" s="16" t="s">
        <v>7720</v>
      </c>
      <c r="C2637" s="16"/>
      <c r="D2637" s="16" t="s">
        <v>7597</v>
      </c>
      <c r="E2637" s="16" t="s">
        <v>4523</v>
      </c>
      <c r="F2637" s="16" t="s">
        <v>4524</v>
      </c>
      <c r="G2637" s="16" t="s">
        <v>32</v>
      </c>
      <c r="H2637" s="16"/>
      <c r="I2637" s="16"/>
      <c r="J2637" s="16" t="s">
        <v>403</v>
      </c>
      <c r="K2637" s="16"/>
      <c r="L2637" s="16"/>
      <c r="M2637" s="19" t="s">
        <v>4525</v>
      </c>
      <c r="N2637" s="16"/>
      <c r="O2637" s="16" t="s">
        <v>4526</v>
      </c>
      <c r="P2637" s="16" t="str">
        <f>HYPERLINK("https://ceds.ed.gov/cedselementdetails.aspx?termid=26494")</f>
        <v>https://ceds.ed.gov/cedselementdetails.aspx?termid=26494</v>
      </c>
      <c r="Q2637" s="16">
        <v>71043</v>
      </c>
    </row>
    <row r="2638" spans="1:17" ht="187.2" x14ac:dyDescent="0.3">
      <c r="A2638" s="16" t="s">
        <v>7665</v>
      </c>
      <c r="B2638" s="16" t="s">
        <v>7720</v>
      </c>
      <c r="C2638" s="16"/>
      <c r="D2638" s="16" t="s">
        <v>7597</v>
      </c>
      <c r="E2638" s="16" t="s">
        <v>4527</v>
      </c>
      <c r="F2638" s="16" t="s">
        <v>4528</v>
      </c>
      <c r="G2638" s="16" t="s">
        <v>8648</v>
      </c>
      <c r="H2638" s="16"/>
      <c r="I2638" s="16"/>
      <c r="J2638" s="16"/>
      <c r="K2638" s="16"/>
      <c r="L2638" s="16"/>
      <c r="M2638" s="19" t="s">
        <v>4529</v>
      </c>
      <c r="N2638" s="16"/>
      <c r="O2638" s="16" t="s">
        <v>4530</v>
      </c>
      <c r="P2638" s="16" t="str">
        <f>HYPERLINK("https://ceds.ed.gov/cedselementdetails.aspx?termid=26506")</f>
        <v>https://ceds.ed.gov/cedselementdetails.aspx?termid=26506</v>
      </c>
      <c r="Q2638" s="16">
        <v>71054</v>
      </c>
    </row>
    <row r="2639" spans="1:17" x14ac:dyDescent="0.3">
      <c r="A2639" s="16" t="s">
        <v>7665</v>
      </c>
      <c r="B2639" s="16" t="s">
        <v>7720</v>
      </c>
      <c r="C2639" s="16"/>
      <c r="D2639" s="16" t="s">
        <v>7597</v>
      </c>
      <c r="E2639" s="16" t="s">
        <v>4473</v>
      </c>
      <c r="F2639" s="16" t="s">
        <v>4474</v>
      </c>
      <c r="G2639" s="16" t="s">
        <v>32</v>
      </c>
      <c r="H2639" s="16"/>
      <c r="I2639" s="16"/>
      <c r="J2639" s="16" t="s">
        <v>316</v>
      </c>
      <c r="K2639" s="16"/>
      <c r="L2639" s="16"/>
      <c r="M2639" s="19" t="s">
        <v>4475</v>
      </c>
      <c r="N2639" s="16"/>
      <c r="O2639" s="16" t="s">
        <v>4476</v>
      </c>
      <c r="P2639" s="16" t="str">
        <f>HYPERLINK("https://ceds.ed.gov/cedselementdetails.aspx?termid=26499")</f>
        <v>https://ceds.ed.gov/cedselementdetails.aspx?termid=26499</v>
      </c>
      <c r="Q2639" s="16">
        <v>71047</v>
      </c>
    </row>
    <row r="2640" spans="1:17" ht="409.6" x14ac:dyDescent="0.3">
      <c r="A2640" s="16" t="s">
        <v>7665</v>
      </c>
      <c r="B2640" s="16" t="s">
        <v>7720</v>
      </c>
      <c r="C2640" s="16"/>
      <c r="D2640" s="16" t="s">
        <v>7597</v>
      </c>
      <c r="E2640" s="16" t="s">
        <v>4462</v>
      </c>
      <c r="F2640" s="16" t="s">
        <v>4463</v>
      </c>
      <c r="G2640" s="16" t="s">
        <v>9430</v>
      </c>
      <c r="H2640" s="16"/>
      <c r="I2640" s="16"/>
      <c r="J2640" s="16"/>
      <c r="K2640" s="16"/>
      <c r="L2640" s="16"/>
      <c r="M2640" s="19" t="s">
        <v>4464</v>
      </c>
      <c r="N2640" s="16"/>
      <c r="O2640" s="16" t="s">
        <v>4465</v>
      </c>
      <c r="P2640" s="16" t="str">
        <f>HYPERLINK("https://ceds.ed.gov/cedselementdetails.aspx?termid=26500")</f>
        <v>https://ceds.ed.gov/cedselementdetails.aspx?termid=26500</v>
      </c>
      <c r="Q2640" s="16">
        <v>71048</v>
      </c>
    </row>
    <row r="2641" spans="1:17" ht="129.6" x14ac:dyDescent="0.3">
      <c r="A2641" s="16" t="s">
        <v>7665</v>
      </c>
      <c r="B2641" s="16" t="s">
        <v>7720</v>
      </c>
      <c r="C2641" s="16"/>
      <c r="D2641" s="16" t="s">
        <v>7597</v>
      </c>
      <c r="E2641" s="16" t="s">
        <v>6571</v>
      </c>
      <c r="F2641" s="16" t="s">
        <v>6572</v>
      </c>
      <c r="G2641" s="16" t="s">
        <v>8827</v>
      </c>
      <c r="H2641" s="16"/>
      <c r="I2641" s="16"/>
      <c r="J2641" s="16"/>
      <c r="K2641" s="16"/>
      <c r="L2641" s="16"/>
      <c r="M2641" s="19" t="s">
        <v>6573</v>
      </c>
      <c r="N2641" s="16"/>
      <c r="O2641" s="16" t="s">
        <v>6574</v>
      </c>
      <c r="P2641" s="16" t="str">
        <f>HYPERLINK("https://ceds.ed.gov/cedselementdetails.aspx?termid=26620")</f>
        <v>https://ceds.ed.gov/cedselementdetails.aspx?termid=26620</v>
      </c>
      <c r="Q2641" s="16">
        <v>71062</v>
      </c>
    </row>
    <row r="2642" spans="1:17" ht="374.4" x14ac:dyDescent="0.3">
      <c r="A2642" s="16" t="s">
        <v>7665</v>
      </c>
      <c r="B2642" s="16" t="s">
        <v>7720</v>
      </c>
      <c r="C2642" s="16"/>
      <c r="D2642" s="16" t="s">
        <v>7597</v>
      </c>
      <c r="E2642" s="16" t="s">
        <v>4486</v>
      </c>
      <c r="F2642" s="16" t="s">
        <v>4487</v>
      </c>
      <c r="G2642" s="16" t="s">
        <v>8643</v>
      </c>
      <c r="H2642" s="16"/>
      <c r="I2642" s="16"/>
      <c r="J2642" s="16"/>
      <c r="K2642" s="16"/>
      <c r="L2642" s="16"/>
      <c r="M2642" s="19" t="s">
        <v>4488</v>
      </c>
      <c r="N2642" s="16"/>
      <c r="O2642" s="16" t="s">
        <v>4489</v>
      </c>
      <c r="P2642" s="16" t="str">
        <f>HYPERLINK("https://ceds.ed.gov/cedselementdetails.aspx?termid=26610")</f>
        <v>https://ceds.ed.gov/cedselementdetails.aspx?termid=26610</v>
      </c>
      <c r="Q2642" s="16">
        <v>71061</v>
      </c>
    </row>
    <row r="2643" spans="1:17" ht="86.4" x14ac:dyDescent="0.3">
      <c r="A2643" s="16" t="s">
        <v>7665</v>
      </c>
      <c r="B2643" s="16" t="s">
        <v>7720</v>
      </c>
      <c r="C2643" s="16"/>
      <c r="D2643" s="16" t="s">
        <v>7597</v>
      </c>
      <c r="E2643" s="16" t="s">
        <v>4481</v>
      </c>
      <c r="F2643" s="16" t="s">
        <v>4482</v>
      </c>
      <c r="G2643" s="16" t="s">
        <v>8642</v>
      </c>
      <c r="H2643" s="16"/>
      <c r="I2643" s="16"/>
      <c r="J2643" s="16"/>
      <c r="K2643" s="16"/>
      <c r="L2643" s="16" t="s">
        <v>4483</v>
      </c>
      <c r="M2643" s="19" t="s">
        <v>4484</v>
      </c>
      <c r="N2643" s="16"/>
      <c r="O2643" s="16" t="s">
        <v>4485</v>
      </c>
      <c r="P2643" s="16" t="str">
        <f>HYPERLINK("https://ceds.ed.gov/cedselementdetails.aspx?termid=26501")</f>
        <v>https://ceds.ed.gov/cedselementdetails.aspx?termid=26501</v>
      </c>
      <c r="Q2643" s="16">
        <v>71049</v>
      </c>
    </row>
    <row r="2644" spans="1:17" ht="172.8" x14ac:dyDescent="0.3">
      <c r="A2644" s="16" t="s">
        <v>7665</v>
      </c>
      <c r="B2644" s="16" t="s">
        <v>7720</v>
      </c>
      <c r="C2644" s="16"/>
      <c r="D2644" s="16" t="s">
        <v>7597</v>
      </c>
      <c r="E2644" s="16" t="s">
        <v>6328</v>
      </c>
      <c r="F2644" s="16" t="s">
        <v>8126</v>
      </c>
      <c r="G2644" s="16" t="s">
        <v>32</v>
      </c>
      <c r="H2644" s="16"/>
      <c r="I2644" s="16"/>
      <c r="J2644" s="16" t="s">
        <v>120</v>
      </c>
      <c r="K2644" s="16"/>
      <c r="L2644" s="16" t="s">
        <v>7817</v>
      </c>
      <c r="M2644" s="19" t="s">
        <v>6329</v>
      </c>
      <c r="N2644" s="16"/>
      <c r="O2644" s="16" t="s">
        <v>6330</v>
      </c>
      <c r="P2644" s="16" t="str">
        <f>HYPERLINK("https://ceds.ed.gov/cedselementdetails.aspx?termid=26498")</f>
        <v>https://ceds.ed.gov/cedselementdetails.aspx?termid=26498</v>
      </c>
      <c r="Q2644" s="16">
        <v>71046</v>
      </c>
    </row>
    <row r="2645" spans="1:17" ht="409.6" x14ac:dyDescent="0.3">
      <c r="A2645" s="16" t="s">
        <v>7665</v>
      </c>
      <c r="B2645" s="16" t="s">
        <v>7720</v>
      </c>
      <c r="C2645" s="16"/>
      <c r="D2645" s="16" t="s">
        <v>7597</v>
      </c>
      <c r="E2645" s="16" t="s">
        <v>4519</v>
      </c>
      <c r="F2645" s="16" t="s">
        <v>4520</v>
      </c>
      <c r="G2645" s="16" t="s">
        <v>8647</v>
      </c>
      <c r="H2645" s="16"/>
      <c r="I2645" s="16"/>
      <c r="J2645" s="16"/>
      <c r="K2645" s="16"/>
      <c r="L2645" s="16"/>
      <c r="M2645" s="19" t="s">
        <v>4521</v>
      </c>
      <c r="N2645" s="16"/>
      <c r="O2645" s="16" t="s">
        <v>4522</v>
      </c>
      <c r="P2645" s="16" t="str">
        <f>HYPERLINK("https://ceds.ed.gov/cedselementdetails.aspx?termid=26497")</f>
        <v>https://ceds.ed.gov/cedselementdetails.aspx?termid=26497</v>
      </c>
      <c r="Q2645" s="16">
        <v>71045</v>
      </c>
    </row>
    <row r="2646" spans="1:17" ht="57.6" x14ac:dyDescent="0.3">
      <c r="A2646" s="16" t="s">
        <v>7665</v>
      </c>
      <c r="B2646" s="16" t="s">
        <v>7720</v>
      </c>
      <c r="C2646" s="16"/>
      <c r="D2646" s="16" t="s">
        <v>7597</v>
      </c>
      <c r="E2646" s="16" t="s">
        <v>4490</v>
      </c>
      <c r="F2646" s="16" t="s">
        <v>4491</v>
      </c>
      <c r="G2646" s="16" t="s">
        <v>8644</v>
      </c>
      <c r="H2646" s="16"/>
      <c r="I2646" s="16"/>
      <c r="J2646" s="16"/>
      <c r="K2646" s="16"/>
      <c r="L2646" s="16"/>
      <c r="M2646" s="19" t="s">
        <v>4492</v>
      </c>
      <c r="N2646" s="16"/>
      <c r="O2646" s="16" t="s">
        <v>4493</v>
      </c>
      <c r="P2646" s="16" t="str">
        <f>HYPERLINK("https://ceds.ed.gov/cedselementdetails.aspx?termid=27337")</f>
        <v>https://ceds.ed.gov/cedselementdetails.aspx?termid=27337</v>
      </c>
      <c r="Q2646" s="16">
        <v>73491</v>
      </c>
    </row>
    <row r="2647" spans="1:17" ht="172.8" x14ac:dyDescent="0.3">
      <c r="A2647" s="16" t="s">
        <v>7665</v>
      </c>
      <c r="B2647" s="16" t="s">
        <v>7720</v>
      </c>
      <c r="C2647" s="16"/>
      <c r="D2647" s="16" t="s">
        <v>7597</v>
      </c>
      <c r="E2647" s="16" t="s">
        <v>4494</v>
      </c>
      <c r="F2647" s="16" t="s">
        <v>4495</v>
      </c>
      <c r="G2647" s="16" t="s">
        <v>32</v>
      </c>
      <c r="H2647" s="16"/>
      <c r="I2647" s="16"/>
      <c r="J2647" s="16" t="s">
        <v>120</v>
      </c>
      <c r="K2647" s="16"/>
      <c r="L2647" s="16" t="s">
        <v>7817</v>
      </c>
      <c r="M2647" s="19" t="s">
        <v>4496</v>
      </c>
      <c r="N2647" s="16"/>
      <c r="O2647" s="16" t="s">
        <v>4497</v>
      </c>
      <c r="P2647" s="16" t="str">
        <f>HYPERLINK("https://ceds.ed.gov/cedselementdetails.aspx?termid=27338")</f>
        <v>https://ceds.ed.gov/cedselementdetails.aspx?termid=27338</v>
      </c>
      <c r="Q2647" s="16">
        <v>73492</v>
      </c>
    </row>
    <row r="2648" spans="1:17" ht="86.4" x14ac:dyDescent="0.3">
      <c r="A2648" s="16" t="s">
        <v>7665</v>
      </c>
      <c r="B2648" s="16" t="s">
        <v>7720</v>
      </c>
      <c r="C2648" s="16"/>
      <c r="D2648" s="16" t="s">
        <v>7597</v>
      </c>
      <c r="E2648" s="16" t="s">
        <v>4498</v>
      </c>
      <c r="F2648" s="16" t="s">
        <v>13001</v>
      </c>
      <c r="G2648" s="16" t="s">
        <v>8642</v>
      </c>
      <c r="H2648" s="16"/>
      <c r="I2648" s="16"/>
      <c r="J2648" s="16"/>
      <c r="K2648" s="16"/>
      <c r="L2648" s="16"/>
      <c r="M2648" s="19" t="s">
        <v>4499</v>
      </c>
      <c r="N2648" s="16"/>
      <c r="O2648" s="16" t="s">
        <v>4500</v>
      </c>
      <c r="P2648" s="16" t="str">
        <f>HYPERLINK("https://ceds.ed.gov/cedselementdetails.aspx?termid=27339")</f>
        <v>https://ceds.ed.gov/cedselementdetails.aspx?termid=27339</v>
      </c>
      <c r="Q2648" s="16">
        <v>73493</v>
      </c>
    </row>
    <row r="2649" spans="1:17" ht="409.6" x14ac:dyDescent="0.3">
      <c r="A2649" s="16" t="s">
        <v>7665</v>
      </c>
      <c r="B2649" s="16" t="s">
        <v>7720</v>
      </c>
      <c r="C2649" s="16"/>
      <c r="D2649" s="16" t="s">
        <v>7597</v>
      </c>
      <c r="E2649" s="16" t="s">
        <v>4501</v>
      </c>
      <c r="F2649" s="16" t="s">
        <v>4502</v>
      </c>
      <c r="G2649" s="16" t="s">
        <v>8645</v>
      </c>
      <c r="H2649" s="16"/>
      <c r="I2649" s="16"/>
      <c r="J2649" s="16"/>
      <c r="K2649" s="16"/>
      <c r="L2649" s="16"/>
      <c r="M2649" s="19" t="s">
        <v>4503</v>
      </c>
      <c r="N2649" s="16"/>
      <c r="O2649" s="16" t="s">
        <v>4504</v>
      </c>
      <c r="P2649" s="16" t="str">
        <f>HYPERLINK("https://ceds.ed.gov/cedselementdetails.aspx?termid=27340")</f>
        <v>https://ceds.ed.gov/cedselementdetails.aspx?termid=27340</v>
      </c>
      <c r="Q2649" s="16">
        <v>73494</v>
      </c>
    </row>
    <row r="2650" spans="1:17" ht="72" x14ac:dyDescent="0.3">
      <c r="A2650" s="16" t="s">
        <v>7665</v>
      </c>
      <c r="B2650" s="16" t="s">
        <v>7720</v>
      </c>
      <c r="C2650" s="16"/>
      <c r="D2650" s="16" t="s">
        <v>7597</v>
      </c>
      <c r="E2650" s="16" t="s">
        <v>4505</v>
      </c>
      <c r="F2650" s="16" t="s">
        <v>4506</v>
      </c>
      <c r="G2650" s="16" t="s">
        <v>8646</v>
      </c>
      <c r="H2650" s="16"/>
      <c r="I2650" s="16"/>
      <c r="J2650" s="16"/>
      <c r="K2650" s="16"/>
      <c r="L2650" s="16"/>
      <c r="M2650" s="19" t="s">
        <v>4507</v>
      </c>
      <c r="N2650" s="16"/>
      <c r="O2650" s="16" t="s">
        <v>4508</v>
      </c>
      <c r="P2650" s="16" t="str">
        <f>HYPERLINK("https://ceds.ed.gov/cedselementdetails.aspx?termid=27341")</f>
        <v>https://ceds.ed.gov/cedselementdetails.aspx?termid=27341</v>
      </c>
      <c r="Q2650" s="16">
        <v>73224</v>
      </c>
    </row>
    <row r="2651" spans="1:17" ht="172.8" x14ac:dyDescent="0.3">
      <c r="A2651" s="16" t="s">
        <v>7665</v>
      </c>
      <c r="B2651" s="16" t="s">
        <v>7720</v>
      </c>
      <c r="C2651" s="16"/>
      <c r="D2651" s="16" t="s">
        <v>7597</v>
      </c>
      <c r="E2651" s="16" t="s">
        <v>4531</v>
      </c>
      <c r="F2651" s="16" t="s">
        <v>4532</v>
      </c>
      <c r="G2651" s="16" t="s">
        <v>32</v>
      </c>
      <c r="H2651" s="16"/>
      <c r="I2651" s="16"/>
      <c r="J2651" s="16" t="s">
        <v>120</v>
      </c>
      <c r="K2651" s="16"/>
      <c r="L2651" s="16" t="s">
        <v>7817</v>
      </c>
      <c r="M2651" s="19" t="s">
        <v>4533</v>
      </c>
      <c r="N2651" s="16"/>
      <c r="O2651" s="16" t="s">
        <v>4534</v>
      </c>
      <c r="P2651" s="16" t="str">
        <f>HYPERLINK("https://ceds.ed.gov/cedselementdetails.aspx?termid=27346")</f>
        <v>https://ceds.ed.gov/cedselementdetails.aspx?termid=27346</v>
      </c>
      <c r="Q2651" s="16">
        <v>73499</v>
      </c>
    </row>
    <row r="2652" spans="1:17" ht="409.6" x14ac:dyDescent="0.3">
      <c r="A2652" s="16" t="s">
        <v>7665</v>
      </c>
      <c r="B2652" s="16" t="s">
        <v>7720</v>
      </c>
      <c r="C2652" s="16"/>
      <c r="D2652" s="16" t="s">
        <v>7597</v>
      </c>
      <c r="E2652" s="16" t="s">
        <v>4535</v>
      </c>
      <c r="F2652" s="16" t="s">
        <v>4536</v>
      </c>
      <c r="G2652" s="16" t="s">
        <v>8645</v>
      </c>
      <c r="H2652" s="16"/>
      <c r="I2652" s="16"/>
      <c r="J2652" s="16"/>
      <c r="K2652" s="16"/>
      <c r="L2652" s="16"/>
      <c r="M2652" s="19" t="s">
        <v>4537</v>
      </c>
      <c r="N2652" s="16"/>
      <c r="O2652" s="16" t="s">
        <v>4538</v>
      </c>
      <c r="P2652" s="16" t="str">
        <f>HYPERLINK("https://ceds.ed.gov/cedselementdetails.aspx?termid=27347")</f>
        <v>https://ceds.ed.gov/cedselementdetails.aspx?termid=27347</v>
      </c>
      <c r="Q2652" s="16">
        <v>73500</v>
      </c>
    </row>
    <row r="2653" spans="1:17" ht="172.8" x14ac:dyDescent="0.3">
      <c r="A2653" s="16" t="s">
        <v>7665</v>
      </c>
      <c r="B2653" s="16" t="s">
        <v>7720</v>
      </c>
      <c r="C2653" s="16"/>
      <c r="D2653" s="16" t="s">
        <v>7597</v>
      </c>
      <c r="E2653" s="16" t="s">
        <v>4539</v>
      </c>
      <c r="F2653" s="16" t="s">
        <v>4540</v>
      </c>
      <c r="G2653" s="16" t="s">
        <v>32</v>
      </c>
      <c r="H2653" s="16"/>
      <c r="I2653" s="16"/>
      <c r="J2653" s="16" t="s">
        <v>120</v>
      </c>
      <c r="K2653" s="16"/>
      <c r="L2653" s="16" t="s">
        <v>7817</v>
      </c>
      <c r="M2653" s="19" t="s">
        <v>4541</v>
      </c>
      <c r="N2653" s="16"/>
      <c r="O2653" s="16" t="s">
        <v>4542</v>
      </c>
      <c r="P2653" s="16" t="str">
        <f>HYPERLINK("https://ceds.ed.gov/cedselementdetails.aspx?termid=27348")</f>
        <v>https://ceds.ed.gov/cedselementdetails.aspx?termid=27348</v>
      </c>
      <c r="Q2653" s="16">
        <v>73501</v>
      </c>
    </row>
    <row r="2654" spans="1:17" ht="409.6" x14ac:dyDescent="0.3">
      <c r="A2654" s="16" t="s">
        <v>7665</v>
      </c>
      <c r="B2654" s="16" t="s">
        <v>7720</v>
      </c>
      <c r="C2654" s="16"/>
      <c r="D2654" s="16" t="s">
        <v>7597</v>
      </c>
      <c r="E2654" s="16" t="s">
        <v>4543</v>
      </c>
      <c r="F2654" s="16" t="s">
        <v>13004</v>
      </c>
      <c r="G2654" s="16" t="s">
        <v>8645</v>
      </c>
      <c r="H2654" s="16"/>
      <c r="I2654" s="16"/>
      <c r="J2654" s="16"/>
      <c r="K2654" s="16"/>
      <c r="L2654" s="16"/>
      <c r="M2654" s="19" t="s">
        <v>4544</v>
      </c>
      <c r="N2654" s="16"/>
      <c r="O2654" s="16" t="s">
        <v>4545</v>
      </c>
      <c r="P2654" s="16" t="str">
        <f>HYPERLINK("https://ceds.ed.gov/cedselementdetails.aspx?termid=27349")</f>
        <v>https://ceds.ed.gov/cedselementdetails.aspx?termid=27349</v>
      </c>
      <c r="Q2654" s="16">
        <v>73502</v>
      </c>
    </row>
    <row r="2655" spans="1:17" ht="57.6" x14ac:dyDescent="0.3">
      <c r="A2655" s="16" t="s">
        <v>7665</v>
      </c>
      <c r="B2655" s="16" t="s">
        <v>7720</v>
      </c>
      <c r="C2655" s="16"/>
      <c r="D2655" s="16" t="s">
        <v>7597</v>
      </c>
      <c r="E2655" s="16" t="s">
        <v>6320</v>
      </c>
      <c r="F2655" s="16" t="s">
        <v>6321</v>
      </c>
      <c r="G2655" s="16" t="s">
        <v>22</v>
      </c>
      <c r="H2655" s="16"/>
      <c r="I2655" s="16"/>
      <c r="J2655" s="16"/>
      <c r="K2655" s="16"/>
      <c r="L2655" s="16"/>
      <c r="M2655" s="19" t="s">
        <v>6322</v>
      </c>
      <c r="N2655" s="16"/>
      <c r="O2655" s="16" t="s">
        <v>6323</v>
      </c>
      <c r="P2655" s="16" t="str">
        <f>HYPERLINK("https://ceds.ed.gov/cedselementdetails.aspx?termid=26503")</f>
        <v>https://ceds.ed.gov/cedselementdetails.aspx?termid=26503</v>
      </c>
      <c r="Q2655" s="16">
        <v>71051</v>
      </c>
    </row>
    <row r="2656" spans="1:17" ht="72" x14ac:dyDescent="0.3">
      <c r="A2656" s="16" t="s">
        <v>7665</v>
      </c>
      <c r="B2656" s="16" t="s">
        <v>7720</v>
      </c>
      <c r="C2656" s="16"/>
      <c r="D2656" s="16" t="s">
        <v>7597</v>
      </c>
      <c r="E2656" s="16" t="s">
        <v>4509</v>
      </c>
      <c r="F2656" s="16" t="s">
        <v>11429</v>
      </c>
      <c r="G2656" s="16" t="s">
        <v>32</v>
      </c>
      <c r="H2656" s="16"/>
      <c r="I2656" s="16"/>
      <c r="J2656" s="16" t="s">
        <v>747</v>
      </c>
      <c r="K2656" s="16"/>
      <c r="L2656" s="16"/>
      <c r="M2656" s="19" t="s">
        <v>4510</v>
      </c>
      <c r="N2656" s="16"/>
      <c r="O2656" s="16" t="s">
        <v>4511</v>
      </c>
      <c r="P2656" s="16" t="str">
        <f>HYPERLINK("https://ceds.ed.gov/cedselementdetails.aspx?termid=27342")</f>
        <v>https://ceds.ed.gov/cedselementdetails.aspx?termid=27342</v>
      </c>
      <c r="Q2656" s="16">
        <v>73495</v>
      </c>
    </row>
    <row r="2657" spans="1:17" ht="72" x14ac:dyDescent="0.3">
      <c r="A2657" s="16" t="s">
        <v>7665</v>
      </c>
      <c r="B2657" s="16" t="s">
        <v>7720</v>
      </c>
      <c r="C2657" s="16"/>
      <c r="D2657" s="16" t="s">
        <v>7597</v>
      </c>
      <c r="E2657" s="16" t="s">
        <v>4512</v>
      </c>
      <c r="F2657" s="16" t="s">
        <v>13002</v>
      </c>
      <c r="G2657" s="16" t="s">
        <v>22</v>
      </c>
      <c r="H2657" s="16"/>
      <c r="I2657" s="16"/>
      <c r="J2657" s="16"/>
      <c r="K2657" s="16"/>
      <c r="L2657" s="16" t="s">
        <v>4513</v>
      </c>
      <c r="M2657" s="19" t="s">
        <v>4514</v>
      </c>
      <c r="N2657" s="16"/>
      <c r="O2657" s="16" t="s">
        <v>4515</v>
      </c>
      <c r="P2657" s="16" t="str">
        <f>HYPERLINK("https://ceds.ed.gov/cedselementdetails.aspx?termid=27343")</f>
        <v>https://ceds.ed.gov/cedselementdetails.aspx?termid=27343</v>
      </c>
      <c r="Q2657" s="16">
        <v>73496</v>
      </c>
    </row>
    <row r="2658" spans="1:17" ht="72" x14ac:dyDescent="0.3">
      <c r="A2658" s="16" t="s">
        <v>7665</v>
      </c>
      <c r="B2658" s="16" t="s">
        <v>7720</v>
      </c>
      <c r="C2658" s="16"/>
      <c r="D2658" s="16" t="s">
        <v>7597</v>
      </c>
      <c r="E2658" s="16" t="s">
        <v>4516</v>
      </c>
      <c r="F2658" s="16" t="s">
        <v>13003</v>
      </c>
      <c r="G2658" s="16" t="s">
        <v>22</v>
      </c>
      <c r="H2658" s="16"/>
      <c r="I2658" s="16"/>
      <c r="J2658" s="16"/>
      <c r="K2658" s="16"/>
      <c r="L2658" s="16"/>
      <c r="M2658" s="19" t="s">
        <v>4517</v>
      </c>
      <c r="N2658" s="16"/>
      <c r="O2658" s="16" t="s">
        <v>4518</v>
      </c>
      <c r="P2658" s="16" t="str">
        <f>HYPERLINK("https://ceds.ed.gov/cedselementdetails.aspx?termid=27345")</f>
        <v>https://ceds.ed.gov/cedselementdetails.aspx?termid=27345</v>
      </c>
      <c r="Q2658" s="16">
        <v>73498</v>
      </c>
    </row>
    <row r="2659" spans="1:17" ht="288" x14ac:dyDescent="0.3">
      <c r="A2659" s="16" t="s">
        <v>7665</v>
      </c>
      <c r="B2659" s="16" t="s">
        <v>7720</v>
      </c>
      <c r="C2659" s="16"/>
      <c r="D2659" s="16" t="s">
        <v>7597</v>
      </c>
      <c r="E2659" s="16" t="s">
        <v>7257</v>
      </c>
      <c r="F2659" s="16" t="s">
        <v>7258</v>
      </c>
      <c r="G2659" s="16" t="s">
        <v>9346</v>
      </c>
      <c r="H2659" s="16"/>
      <c r="I2659" s="16"/>
      <c r="J2659" s="16"/>
      <c r="K2659" s="16"/>
      <c r="L2659" s="16" t="s">
        <v>7259</v>
      </c>
      <c r="M2659" s="19" t="s">
        <v>7260</v>
      </c>
      <c r="N2659" s="16"/>
      <c r="O2659" s="16" t="s">
        <v>7261</v>
      </c>
      <c r="P2659" s="16" t="str">
        <f>HYPERLINK("https://ceds.ed.gov/cedselementdetails.aspx?termid=27178")</f>
        <v>https://ceds.ed.gov/cedselementdetails.aspx?termid=27178</v>
      </c>
      <c r="Q2659" s="16">
        <v>71624</v>
      </c>
    </row>
    <row r="2660" spans="1:17" ht="72" x14ac:dyDescent="0.3">
      <c r="A2660" s="16" t="s">
        <v>7665</v>
      </c>
      <c r="B2660" s="16" t="s">
        <v>7720</v>
      </c>
      <c r="C2660" s="16"/>
      <c r="D2660" s="16" t="s">
        <v>7597</v>
      </c>
      <c r="E2660" s="16" t="s">
        <v>3972</v>
      </c>
      <c r="F2660" s="16" t="s">
        <v>3973</v>
      </c>
      <c r="G2660" s="16" t="s">
        <v>8603</v>
      </c>
      <c r="H2660" s="16" t="s">
        <v>214</v>
      </c>
      <c r="I2660" s="16"/>
      <c r="J2660" s="16"/>
      <c r="K2660" s="16"/>
      <c r="L2660" s="16"/>
      <c r="M2660" s="19" t="s">
        <v>3975</v>
      </c>
      <c r="N2660" s="16"/>
      <c r="O2660" s="16" t="s">
        <v>3976</v>
      </c>
      <c r="P2660" s="16" t="str">
        <f>HYPERLINK("https://ceds.ed.gov/cedselementdetails.aspx?termid=26548")</f>
        <v>https://ceds.ed.gov/cedselementdetails.aspx?termid=26548</v>
      </c>
      <c r="Q2660" s="16">
        <v>71058</v>
      </c>
    </row>
    <row r="2661" spans="1:17" ht="115.2" x14ac:dyDescent="0.3">
      <c r="A2661" s="16" t="s">
        <v>7665</v>
      </c>
      <c r="B2661" s="16" t="s">
        <v>7720</v>
      </c>
      <c r="C2661" s="16"/>
      <c r="D2661" s="16" t="s">
        <v>7597</v>
      </c>
      <c r="E2661" s="16" t="s">
        <v>3151</v>
      </c>
      <c r="F2661" s="16" t="s">
        <v>3152</v>
      </c>
      <c r="G2661" s="16" t="s">
        <v>8512</v>
      </c>
      <c r="H2661" s="16" t="s">
        <v>214</v>
      </c>
      <c r="I2661" s="16"/>
      <c r="J2661" s="16"/>
      <c r="K2661" s="16"/>
      <c r="L2661" s="16"/>
      <c r="M2661" s="19" t="s">
        <v>3153</v>
      </c>
      <c r="N2661" s="16"/>
      <c r="O2661" s="16" t="s">
        <v>3154</v>
      </c>
      <c r="P2661" s="16" t="str">
        <f>HYPERLINK("https://ceds.ed.gov/cedselementdetails.aspx?termid=26536")</f>
        <v>https://ceds.ed.gov/cedselementdetails.aspx?termid=26536</v>
      </c>
      <c r="Q2661" s="16">
        <v>71057</v>
      </c>
    </row>
    <row r="2662" spans="1:17" ht="28.8" x14ac:dyDescent="0.3">
      <c r="A2662" s="16" t="s">
        <v>7665</v>
      </c>
      <c r="B2662" s="16" t="s">
        <v>7720</v>
      </c>
      <c r="C2662" s="16"/>
      <c r="D2662" s="16" t="s">
        <v>7597</v>
      </c>
      <c r="E2662" s="16" t="s">
        <v>3131</v>
      </c>
      <c r="F2662" s="16" t="s">
        <v>3132</v>
      </c>
      <c r="G2662" s="16" t="s">
        <v>32</v>
      </c>
      <c r="H2662" s="16" t="s">
        <v>25</v>
      </c>
      <c r="I2662" s="16"/>
      <c r="J2662" s="16" t="s">
        <v>106</v>
      </c>
      <c r="K2662" s="16"/>
      <c r="L2662" s="16"/>
      <c r="M2662" s="19" t="s">
        <v>3133</v>
      </c>
      <c r="N2662" s="16"/>
      <c r="O2662" s="16" t="s">
        <v>3134</v>
      </c>
      <c r="P2662" s="16" t="str">
        <f>HYPERLINK("https://ceds.ed.gov/cedselementdetails.aspx?termid=26083")</f>
        <v>https://ceds.ed.gov/cedselementdetails.aspx?termid=26083</v>
      </c>
      <c r="Q2662" s="16">
        <v>71039</v>
      </c>
    </row>
    <row r="2663" spans="1:17" ht="57.6" x14ac:dyDescent="0.3">
      <c r="A2663" s="16" t="s">
        <v>7665</v>
      </c>
      <c r="B2663" s="16" t="s">
        <v>7720</v>
      </c>
      <c r="C2663" s="16"/>
      <c r="D2663" s="16" t="s">
        <v>7597</v>
      </c>
      <c r="E2663" s="16" t="s">
        <v>3121</v>
      </c>
      <c r="F2663" s="16" t="s">
        <v>3122</v>
      </c>
      <c r="G2663" s="16" t="s">
        <v>32</v>
      </c>
      <c r="H2663" s="16" t="s">
        <v>25</v>
      </c>
      <c r="I2663" s="16"/>
      <c r="J2663" s="16" t="s">
        <v>106</v>
      </c>
      <c r="K2663" s="16"/>
      <c r="L2663" s="16" t="s">
        <v>131</v>
      </c>
      <c r="M2663" s="19" t="s">
        <v>3124</v>
      </c>
      <c r="N2663" s="16"/>
      <c r="O2663" s="16" t="s">
        <v>3125</v>
      </c>
      <c r="P2663" s="16" t="str">
        <f>HYPERLINK("https://ceds.ed.gov/cedselementdetails.aspx?termid=26082")</f>
        <v>https://ceds.ed.gov/cedselementdetails.aspx?termid=26082</v>
      </c>
      <c r="Q2663" s="16">
        <v>71038</v>
      </c>
    </row>
    <row r="2664" spans="1:17" ht="409.6" x14ac:dyDescent="0.3">
      <c r="A2664" s="16" t="s">
        <v>7665</v>
      </c>
      <c r="B2664" s="16" t="s">
        <v>7720</v>
      </c>
      <c r="C2664" s="16"/>
      <c r="D2664" s="16" t="s">
        <v>7597</v>
      </c>
      <c r="E2664" s="16" t="s">
        <v>3135</v>
      </c>
      <c r="F2664" s="16" t="s">
        <v>3136</v>
      </c>
      <c r="G2664" s="16" t="s">
        <v>9429</v>
      </c>
      <c r="H2664" s="16" t="s">
        <v>25</v>
      </c>
      <c r="I2664" s="16"/>
      <c r="J2664" s="16"/>
      <c r="K2664" s="16"/>
      <c r="L2664" s="16"/>
      <c r="M2664" s="19" t="s">
        <v>3137</v>
      </c>
      <c r="N2664" s="16"/>
      <c r="O2664" s="16" t="s">
        <v>3138</v>
      </c>
      <c r="P2664" s="16" t="str">
        <f>HYPERLINK("https://ceds.ed.gov/cedselementdetails.aspx?termid=26479")</f>
        <v>https://ceds.ed.gov/cedselementdetails.aspx?termid=26479</v>
      </c>
      <c r="Q2664" s="16">
        <v>71040</v>
      </c>
    </row>
    <row r="2665" spans="1:17" ht="28.8" x14ac:dyDescent="0.3">
      <c r="A2665" s="16" t="s">
        <v>7665</v>
      </c>
      <c r="B2665" s="16" t="s">
        <v>7720</v>
      </c>
      <c r="C2665" s="16"/>
      <c r="D2665" s="16" t="s">
        <v>7597</v>
      </c>
      <c r="E2665" s="16" t="s">
        <v>3207</v>
      </c>
      <c r="F2665" s="16" t="s">
        <v>3208</v>
      </c>
      <c r="G2665" s="16" t="s">
        <v>32</v>
      </c>
      <c r="H2665" s="16"/>
      <c r="I2665" s="16"/>
      <c r="J2665" s="16" t="s">
        <v>1481</v>
      </c>
      <c r="K2665" s="16"/>
      <c r="L2665" s="16"/>
      <c r="M2665" s="19" t="s">
        <v>3209</v>
      </c>
      <c r="N2665" s="16"/>
      <c r="O2665" s="16" t="s">
        <v>3210</v>
      </c>
      <c r="P2665" s="16" t="str">
        <f>HYPERLINK("https://ceds.ed.gov/cedselementdetails.aspx?termid=26502")</f>
        <v>https://ceds.ed.gov/cedselementdetails.aspx?termid=26502</v>
      </c>
      <c r="Q2665" s="16">
        <v>71050</v>
      </c>
    </row>
    <row r="2666" spans="1:17" ht="244.8" x14ac:dyDescent="0.3">
      <c r="A2666" s="16" t="s">
        <v>7665</v>
      </c>
      <c r="B2666" s="16" t="s">
        <v>7720</v>
      </c>
      <c r="C2666" s="16"/>
      <c r="D2666" s="16" t="s">
        <v>7597</v>
      </c>
      <c r="E2666" s="16" t="s">
        <v>3139</v>
      </c>
      <c r="F2666" s="16" t="s">
        <v>3140</v>
      </c>
      <c r="G2666" s="16" t="s">
        <v>8509</v>
      </c>
      <c r="H2666" s="16"/>
      <c r="I2666" s="16"/>
      <c r="J2666" s="16"/>
      <c r="K2666" s="16"/>
      <c r="L2666" s="16"/>
      <c r="M2666" s="19" t="s">
        <v>3141</v>
      </c>
      <c r="N2666" s="16"/>
      <c r="O2666" s="16" t="s">
        <v>3142</v>
      </c>
      <c r="P2666" s="16" t="str">
        <f>HYPERLINK("https://ceds.ed.gov/cedselementdetails.aspx?termid=26602")</f>
        <v>https://ceds.ed.gov/cedselementdetails.aspx?termid=26602</v>
      </c>
      <c r="Q2666" s="16">
        <v>71060</v>
      </c>
    </row>
    <row r="2667" spans="1:17" ht="43.2" x14ac:dyDescent="0.3">
      <c r="A2667" s="16" t="s">
        <v>7665</v>
      </c>
      <c r="B2667" s="16" t="s">
        <v>7720</v>
      </c>
      <c r="C2667" s="16"/>
      <c r="D2667" s="16" t="s">
        <v>7597</v>
      </c>
      <c r="E2667" s="16" t="s">
        <v>4033</v>
      </c>
      <c r="F2667" s="16" t="s">
        <v>4034</v>
      </c>
      <c r="G2667" s="16" t="s">
        <v>22</v>
      </c>
      <c r="H2667" s="16"/>
      <c r="I2667" s="16"/>
      <c r="J2667" s="16"/>
      <c r="K2667" s="16"/>
      <c r="L2667" s="16"/>
      <c r="M2667" s="19" t="s">
        <v>4035</v>
      </c>
      <c r="N2667" s="16"/>
      <c r="O2667" s="16" t="s">
        <v>4036</v>
      </c>
      <c r="P2667" s="16" t="str">
        <f>HYPERLINK("https://ceds.ed.gov/cedselementdetails.aspx?termid=26504")</f>
        <v>https://ceds.ed.gov/cedselementdetails.aspx?termid=26504</v>
      </c>
      <c r="Q2667" s="16">
        <v>71052</v>
      </c>
    </row>
    <row r="2668" spans="1:17" ht="57.6" x14ac:dyDescent="0.3">
      <c r="A2668" s="16" t="s">
        <v>7665</v>
      </c>
      <c r="B2668" s="16" t="s">
        <v>7720</v>
      </c>
      <c r="C2668" s="16"/>
      <c r="D2668" s="16" t="s">
        <v>7597</v>
      </c>
      <c r="E2668" s="16" t="s">
        <v>6673</v>
      </c>
      <c r="F2668" s="16" t="s">
        <v>6674</v>
      </c>
      <c r="G2668" s="16" t="s">
        <v>22</v>
      </c>
      <c r="H2668" s="16"/>
      <c r="I2668" s="16"/>
      <c r="J2668" s="16"/>
      <c r="K2668" s="16"/>
      <c r="L2668" s="16"/>
      <c r="M2668" s="19" t="s">
        <v>6675</v>
      </c>
      <c r="N2668" s="16"/>
      <c r="O2668" s="16" t="s">
        <v>6676</v>
      </c>
      <c r="P2668" s="16" t="str">
        <f>HYPERLINK("https://ceds.ed.gov/cedselementdetails.aspx?termid=26505")</f>
        <v>https://ceds.ed.gov/cedselementdetails.aspx?termid=26505</v>
      </c>
      <c r="Q2668" s="16">
        <v>71053</v>
      </c>
    </row>
    <row r="2669" spans="1:17" ht="57.6" x14ac:dyDescent="0.3">
      <c r="A2669" s="16" t="s">
        <v>7665</v>
      </c>
      <c r="B2669" s="16" t="s">
        <v>7720</v>
      </c>
      <c r="C2669" s="16"/>
      <c r="D2669" s="16" t="s">
        <v>7597</v>
      </c>
      <c r="E2669" s="16" t="s">
        <v>4355</v>
      </c>
      <c r="F2669" s="16" t="s">
        <v>4356</v>
      </c>
      <c r="G2669" s="16" t="s">
        <v>8635</v>
      </c>
      <c r="H2669" s="16" t="s">
        <v>214</v>
      </c>
      <c r="I2669" s="16"/>
      <c r="J2669" s="16"/>
      <c r="K2669" s="16"/>
      <c r="L2669" s="16"/>
      <c r="M2669" s="19" t="s">
        <v>4357</v>
      </c>
      <c r="N2669" s="16"/>
      <c r="O2669" s="16" t="s">
        <v>4358</v>
      </c>
      <c r="P2669" s="16" t="str">
        <f>HYPERLINK("https://ceds.ed.gov/cedselementdetails.aspx?termid=26530")</f>
        <v>https://ceds.ed.gov/cedselementdetails.aspx?termid=26530</v>
      </c>
      <c r="Q2669" s="16">
        <v>71055</v>
      </c>
    </row>
    <row r="2670" spans="1:17" ht="43.2" x14ac:dyDescent="0.3">
      <c r="A2670" s="16" t="s">
        <v>7665</v>
      </c>
      <c r="B2670" s="16" t="s">
        <v>7720</v>
      </c>
      <c r="C2670" s="16"/>
      <c r="D2670" s="16" t="s">
        <v>7597</v>
      </c>
      <c r="E2670" s="16" t="s">
        <v>4351</v>
      </c>
      <c r="F2670" s="16" t="s">
        <v>4352</v>
      </c>
      <c r="G2670" s="16" t="s">
        <v>8634</v>
      </c>
      <c r="H2670" s="16" t="s">
        <v>214</v>
      </c>
      <c r="I2670" s="16"/>
      <c r="J2670" s="16"/>
      <c r="K2670" s="16"/>
      <c r="L2670" s="16"/>
      <c r="M2670" s="19" t="s">
        <v>4353</v>
      </c>
      <c r="N2670" s="16"/>
      <c r="O2670" s="16" t="s">
        <v>4354</v>
      </c>
      <c r="P2670" s="16" t="str">
        <f>HYPERLINK("https://ceds.ed.gov/cedselementdetails.aspx?termid=26532")</f>
        <v>https://ceds.ed.gov/cedselementdetails.aspx?termid=26532</v>
      </c>
      <c r="Q2670" s="16">
        <v>71056</v>
      </c>
    </row>
    <row r="2671" spans="1:17" ht="57.6" x14ac:dyDescent="0.3">
      <c r="A2671" s="16" t="s">
        <v>7665</v>
      </c>
      <c r="B2671" s="16" t="s">
        <v>7720</v>
      </c>
      <c r="C2671" s="16"/>
      <c r="D2671" s="16" t="s">
        <v>7597</v>
      </c>
      <c r="E2671" s="16" t="s">
        <v>3402</v>
      </c>
      <c r="F2671" s="16" t="s">
        <v>3403</v>
      </c>
      <c r="G2671" s="16" t="s">
        <v>22</v>
      </c>
      <c r="H2671" s="16"/>
      <c r="I2671" s="16"/>
      <c r="J2671" s="16"/>
      <c r="K2671" s="16"/>
      <c r="L2671" s="16"/>
      <c r="M2671" s="19" t="s">
        <v>3404</v>
      </c>
      <c r="N2671" s="16"/>
      <c r="O2671" s="16" t="s">
        <v>3405</v>
      </c>
      <c r="P2671" s="16" t="str">
        <f>HYPERLINK("https://ceds.ed.gov/cedselementdetails.aspx?termid=26570")</f>
        <v>https://ceds.ed.gov/cedselementdetails.aspx?termid=26570</v>
      </c>
      <c r="Q2671" s="16">
        <v>71059</v>
      </c>
    </row>
    <row r="2672" spans="1:17" ht="172.8" x14ac:dyDescent="0.3">
      <c r="A2672" s="16" t="s">
        <v>7665</v>
      </c>
      <c r="B2672" s="16" t="s">
        <v>7720</v>
      </c>
      <c r="C2672" s="16"/>
      <c r="D2672" s="16" t="s">
        <v>7597</v>
      </c>
      <c r="E2672" s="16" t="s">
        <v>4466</v>
      </c>
      <c r="F2672" s="16" t="s">
        <v>8061</v>
      </c>
      <c r="G2672" s="16" t="s">
        <v>32</v>
      </c>
      <c r="H2672" s="16"/>
      <c r="I2672" s="16"/>
      <c r="J2672" s="16" t="s">
        <v>81</v>
      </c>
      <c r="K2672" s="16"/>
      <c r="L2672" s="16"/>
      <c r="M2672" s="19" t="s">
        <v>4467</v>
      </c>
      <c r="N2672" s="16"/>
      <c r="O2672" s="16" t="s">
        <v>4468</v>
      </c>
      <c r="P2672" s="16" t="str">
        <f>HYPERLINK("https://ceds.ed.gov/cedselementdetails.aspx?termid=26496")</f>
        <v>https://ceds.ed.gov/cedselementdetails.aspx?termid=26496</v>
      </c>
      <c r="Q2672" s="16">
        <v>71044</v>
      </c>
    </row>
    <row r="2673" spans="1:17" ht="115.2" x14ac:dyDescent="0.3">
      <c r="A2673" s="16" t="s">
        <v>7665</v>
      </c>
      <c r="B2673" s="16" t="s">
        <v>7720</v>
      </c>
      <c r="C2673" s="16"/>
      <c r="D2673" s="16" t="s">
        <v>7597</v>
      </c>
      <c r="E2673" s="16" t="s">
        <v>8991</v>
      </c>
      <c r="F2673" s="16" t="s">
        <v>8992</v>
      </c>
      <c r="G2673" s="16" t="s">
        <v>9292</v>
      </c>
      <c r="H2673" s="16"/>
      <c r="I2673" s="16"/>
      <c r="J2673" s="16" t="s">
        <v>2</v>
      </c>
      <c r="K2673" s="16"/>
      <c r="L2673" s="16"/>
      <c r="M2673" s="19" t="s">
        <v>8993</v>
      </c>
      <c r="N2673" s="16"/>
      <c r="O2673" s="16" t="s">
        <v>8994</v>
      </c>
      <c r="P2673" s="16" t="str">
        <f>HYPERLINK("https://ceds.ed.gov/cedselementdetails.aspx?termid=28024")</f>
        <v>https://ceds.ed.gov/cedselementdetails.aspx?termid=28024</v>
      </c>
      <c r="Q2673" s="16">
        <v>76132</v>
      </c>
    </row>
    <row r="2674" spans="1:17" ht="43.2" x14ac:dyDescent="0.3">
      <c r="A2674" s="16" t="s">
        <v>7665</v>
      </c>
      <c r="B2674" s="16" t="s">
        <v>7721</v>
      </c>
      <c r="C2674" s="16" t="s">
        <v>7673</v>
      </c>
      <c r="D2674" s="16" t="s">
        <v>7597</v>
      </c>
      <c r="E2674" s="16" t="s">
        <v>6562</v>
      </c>
      <c r="F2674" s="16" t="s">
        <v>6563</v>
      </c>
      <c r="G2674" s="16" t="s">
        <v>32</v>
      </c>
      <c r="H2674" s="16" t="s">
        <v>2450</v>
      </c>
      <c r="I2674" s="16"/>
      <c r="J2674" s="16" t="s">
        <v>1807</v>
      </c>
      <c r="K2674" s="16"/>
      <c r="L2674" s="16" t="s">
        <v>8141</v>
      </c>
      <c r="M2674" s="19" t="s">
        <v>6565</v>
      </c>
      <c r="N2674" s="16"/>
      <c r="O2674" s="16" t="s">
        <v>6566</v>
      </c>
      <c r="P2674" s="16" t="str">
        <f>HYPERLINK("https://ceds.ed.gov/cedselementdetails.aspx?termid=26243")</f>
        <v>https://ceds.ed.gov/cedselementdetails.aspx?termid=26243</v>
      </c>
      <c r="Q2674" s="16">
        <v>71063</v>
      </c>
    </row>
    <row r="2675" spans="1:17" ht="28.8" x14ac:dyDescent="0.3">
      <c r="A2675" s="16" t="s">
        <v>7665</v>
      </c>
      <c r="B2675" s="16" t="s">
        <v>7721</v>
      </c>
      <c r="C2675" s="16" t="s">
        <v>7673</v>
      </c>
      <c r="D2675" s="16" t="s">
        <v>7597</v>
      </c>
      <c r="E2675" s="16" t="s">
        <v>1814</v>
      </c>
      <c r="F2675" s="16" t="s">
        <v>1815</v>
      </c>
      <c r="G2675" s="16" t="s">
        <v>32</v>
      </c>
      <c r="H2675" s="16"/>
      <c r="I2675" s="16"/>
      <c r="J2675" s="16" t="s">
        <v>81</v>
      </c>
      <c r="K2675" s="16"/>
      <c r="L2675" s="16"/>
      <c r="M2675" s="19" t="s">
        <v>1816</v>
      </c>
      <c r="N2675" s="16"/>
      <c r="O2675" s="16" t="s">
        <v>1817</v>
      </c>
      <c r="P2675" s="16" t="str">
        <f>HYPERLINK("https://ceds.ed.gov/cedselementdetails.aspx?termid=26485")</f>
        <v>https://ceds.ed.gov/cedselementdetails.aspx?termid=26485</v>
      </c>
      <c r="Q2675" s="16">
        <v>71064</v>
      </c>
    </row>
    <row r="2676" spans="1:17" ht="28.8" x14ac:dyDescent="0.3">
      <c r="A2676" s="16" t="s">
        <v>7665</v>
      </c>
      <c r="B2676" s="16" t="s">
        <v>7721</v>
      </c>
      <c r="C2676" s="16" t="s">
        <v>7673</v>
      </c>
      <c r="D2676" s="16" t="s">
        <v>7597</v>
      </c>
      <c r="E2676" s="16" t="s">
        <v>1818</v>
      </c>
      <c r="F2676" s="16" t="s">
        <v>1819</v>
      </c>
      <c r="G2676" s="16" t="s">
        <v>32</v>
      </c>
      <c r="H2676" s="16"/>
      <c r="I2676" s="16"/>
      <c r="J2676" s="16" t="s">
        <v>145</v>
      </c>
      <c r="K2676" s="16"/>
      <c r="L2676" s="16"/>
      <c r="M2676" s="19" t="s">
        <v>1820</v>
      </c>
      <c r="N2676" s="16"/>
      <c r="O2676" s="16" t="s">
        <v>1821</v>
      </c>
      <c r="P2676" s="16" t="str">
        <f>HYPERLINK("https://ceds.ed.gov/cedselementdetails.aspx?termid=26486")</f>
        <v>https://ceds.ed.gov/cedselementdetails.aspx?termid=26486</v>
      </c>
      <c r="Q2676" s="16">
        <v>71065</v>
      </c>
    </row>
    <row r="2677" spans="1:17" ht="43.2" x14ac:dyDescent="0.3">
      <c r="A2677" s="16" t="s">
        <v>7665</v>
      </c>
      <c r="B2677" s="16" t="s">
        <v>7721</v>
      </c>
      <c r="C2677" s="16" t="s">
        <v>7673</v>
      </c>
      <c r="D2677" s="16" t="s">
        <v>7597</v>
      </c>
      <c r="E2677" s="16" t="s">
        <v>333</v>
      </c>
      <c r="F2677" s="16" t="s">
        <v>334</v>
      </c>
      <c r="G2677" s="16" t="s">
        <v>32</v>
      </c>
      <c r="H2677" s="16"/>
      <c r="I2677" s="16"/>
      <c r="J2677" s="16" t="s">
        <v>81</v>
      </c>
      <c r="K2677" s="16"/>
      <c r="L2677" s="16"/>
      <c r="M2677" s="19" t="s">
        <v>336</v>
      </c>
      <c r="N2677" s="16"/>
      <c r="O2677" s="16" t="s">
        <v>337</v>
      </c>
      <c r="P2677" s="16" t="str">
        <f>HYPERLINK("https://ceds.ed.gov/cedselementdetails.aspx?termid=26591")</f>
        <v>https://ceds.ed.gov/cedselementdetails.aspx?termid=26591</v>
      </c>
      <c r="Q2677" s="16">
        <v>71066</v>
      </c>
    </row>
    <row r="2678" spans="1:17" ht="43.2" x14ac:dyDescent="0.3">
      <c r="A2678" s="16" t="s">
        <v>7665</v>
      </c>
      <c r="B2678" s="16" t="s">
        <v>7721</v>
      </c>
      <c r="C2678" s="16" t="s">
        <v>7673</v>
      </c>
      <c r="D2678" s="16" t="s">
        <v>7597</v>
      </c>
      <c r="E2678" s="16" t="s">
        <v>6624</v>
      </c>
      <c r="F2678" s="16" t="s">
        <v>6625</v>
      </c>
      <c r="G2678" s="16" t="s">
        <v>32</v>
      </c>
      <c r="H2678" s="16"/>
      <c r="I2678" s="16"/>
      <c r="J2678" s="16" t="s">
        <v>81</v>
      </c>
      <c r="K2678" s="16"/>
      <c r="L2678" s="16"/>
      <c r="M2678" s="19" t="s">
        <v>6626</v>
      </c>
      <c r="N2678" s="16"/>
      <c r="O2678" s="16" t="s">
        <v>6627</v>
      </c>
      <c r="P2678" s="16" t="str">
        <f>HYPERLINK("https://ceds.ed.gov/cedselementdetails.aspx?termid=27236")</f>
        <v>https://ceds.ed.gov/cedselementdetails.aspx?termid=27236</v>
      </c>
      <c r="Q2678" s="16">
        <v>72900</v>
      </c>
    </row>
    <row r="2679" spans="1:17" x14ac:dyDescent="0.3">
      <c r="A2679" s="16" t="s">
        <v>7665</v>
      </c>
      <c r="B2679" s="16" t="s">
        <v>7721</v>
      </c>
      <c r="C2679" s="16" t="s">
        <v>7673</v>
      </c>
      <c r="D2679" s="16" t="s">
        <v>7597</v>
      </c>
      <c r="E2679" s="16" t="s">
        <v>6628</v>
      </c>
      <c r="F2679" s="16" t="s">
        <v>6629</v>
      </c>
      <c r="G2679" s="16" t="s">
        <v>32</v>
      </c>
      <c r="H2679" s="16"/>
      <c r="I2679" s="16"/>
      <c r="J2679" s="16" t="s">
        <v>316</v>
      </c>
      <c r="K2679" s="16"/>
      <c r="L2679" s="16"/>
      <c r="M2679" s="19" t="s">
        <v>6630</v>
      </c>
      <c r="N2679" s="16"/>
      <c r="O2679" s="16" t="s">
        <v>6631</v>
      </c>
      <c r="P2679" s="16" t="str">
        <f>HYPERLINK("https://ceds.ed.gov/cedselementdetails.aspx?termid=27237")</f>
        <v>https://ceds.ed.gov/cedselementdetails.aspx?termid=27237</v>
      </c>
      <c r="Q2679" s="16">
        <v>73029</v>
      </c>
    </row>
    <row r="2680" spans="1:17" ht="43.2" x14ac:dyDescent="0.3">
      <c r="A2680" s="16" t="s">
        <v>7665</v>
      </c>
      <c r="B2680" s="16" t="s">
        <v>7721</v>
      </c>
      <c r="C2680" s="16" t="s">
        <v>7673</v>
      </c>
      <c r="D2680" s="16" t="s">
        <v>7597</v>
      </c>
      <c r="E2680" s="16" t="s">
        <v>6645</v>
      </c>
      <c r="F2680" s="16" t="s">
        <v>6646</v>
      </c>
      <c r="G2680" s="16" t="s">
        <v>22</v>
      </c>
      <c r="H2680" s="16"/>
      <c r="I2680" s="16"/>
      <c r="J2680" s="16"/>
      <c r="K2680" s="16"/>
      <c r="L2680" s="16"/>
      <c r="M2680" s="19" t="s">
        <v>6647</v>
      </c>
      <c r="N2680" s="16"/>
      <c r="O2680" s="16" t="s">
        <v>6648</v>
      </c>
      <c r="P2680" s="16" t="str">
        <f>HYPERLINK("https://ceds.ed.gov/cedselementdetails.aspx?termid=27238")</f>
        <v>https://ceds.ed.gov/cedselementdetails.aspx?termid=27238</v>
      </c>
      <c r="Q2680" s="16">
        <v>72901</v>
      </c>
    </row>
    <row r="2681" spans="1:17" ht="43.2" x14ac:dyDescent="0.3">
      <c r="A2681" s="16" t="s">
        <v>7665</v>
      </c>
      <c r="B2681" s="16" t="s">
        <v>7721</v>
      </c>
      <c r="C2681" s="16" t="s">
        <v>7673</v>
      </c>
      <c r="D2681" s="16" t="s">
        <v>7597</v>
      </c>
      <c r="E2681" s="16" t="s">
        <v>6649</v>
      </c>
      <c r="F2681" s="16" t="s">
        <v>6650</v>
      </c>
      <c r="G2681" s="16" t="s">
        <v>22</v>
      </c>
      <c r="H2681" s="16"/>
      <c r="I2681" s="16"/>
      <c r="J2681" s="16"/>
      <c r="K2681" s="16"/>
      <c r="L2681" s="16"/>
      <c r="M2681" s="19" t="s">
        <v>6651</v>
      </c>
      <c r="N2681" s="16"/>
      <c r="O2681" s="16" t="s">
        <v>6652</v>
      </c>
      <c r="P2681" s="16" t="str">
        <f>HYPERLINK("https://ceds.ed.gov/cedselementdetails.aspx?termid=27239")</f>
        <v>https://ceds.ed.gov/cedselementdetails.aspx?termid=27239</v>
      </c>
      <c r="Q2681" s="16">
        <v>72902</v>
      </c>
    </row>
    <row r="2682" spans="1:17" ht="43.2" x14ac:dyDescent="0.3">
      <c r="A2682" s="16" t="s">
        <v>7665</v>
      </c>
      <c r="B2682" s="16" t="s">
        <v>7721</v>
      </c>
      <c r="C2682" s="16" t="s">
        <v>7673</v>
      </c>
      <c r="D2682" s="16" t="s">
        <v>7597</v>
      </c>
      <c r="E2682" s="16" t="s">
        <v>6615</v>
      </c>
      <c r="F2682" s="16" t="s">
        <v>6616</v>
      </c>
      <c r="G2682" s="16" t="s">
        <v>22</v>
      </c>
      <c r="H2682" s="16"/>
      <c r="I2682" s="16"/>
      <c r="J2682" s="16"/>
      <c r="K2682" s="16"/>
      <c r="L2682" s="16"/>
      <c r="M2682" s="19" t="s">
        <v>6618</v>
      </c>
      <c r="N2682" s="16"/>
      <c r="O2682" s="16" t="s">
        <v>6619</v>
      </c>
      <c r="P2682" s="16" t="str">
        <f>HYPERLINK("https://ceds.ed.gov/cedselementdetails.aspx?termid=27240")</f>
        <v>https://ceds.ed.gov/cedselementdetails.aspx?termid=27240</v>
      </c>
      <c r="Q2682" s="16">
        <v>72903</v>
      </c>
    </row>
    <row r="2683" spans="1:17" ht="100.8" x14ac:dyDescent="0.3">
      <c r="A2683" s="16" t="s">
        <v>7665</v>
      </c>
      <c r="B2683" s="16" t="s">
        <v>7721</v>
      </c>
      <c r="C2683" s="16" t="s">
        <v>7673</v>
      </c>
      <c r="D2683" s="16" t="s">
        <v>7597</v>
      </c>
      <c r="E2683" s="16" t="s">
        <v>6620</v>
      </c>
      <c r="F2683" s="16" t="s">
        <v>6621</v>
      </c>
      <c r="G2683" s="16" t="s">
        <v>32</v>
      </c>
      <c r="H2683" s="16" t="s">
        <v>1484</v>
      </c>
      <c r="I2683" s="16"/>
      <c r="J2683" s="16" t="s">
        <v>106</v>
      </c>
      <c r="K2683" s="16"/>
      <c r="L2683" s="16"/>
      <c r="M2683" s="19" t="s">
        <v>6622</v>
      </c>
      <c r="N2683" s="16"/>
      <c r="O2683" s="16" t="s">
        <v>6623</v>
      </c>
      <c r="P2683" s="16" t="str">
        <f>HYPERLINK("https://ceds.ed.gov/cedselementdetails.aspx?termid=26251")</f>
        <v>https://ceds.ed.gov/cedselementdetails.aspx?termid=26251</v>
      </c>
      <c r="Q2683" s="16">
        <v>73916</v>
      </c>
    </row>
    <row r="2684" spans="1:17" ht="100.8" x14ac:dyDescent="0.3">
      <c r="A2684" s="16" t="s">
        <v>7665</v>
      </c>
      <c r="B2684" s="16" t="s">
        <v>7721</v>
      </c>
      <c r="C2684" s="16" t="s">
        <v>7673</v>
      </c>
      <c r="D2684" s="16" t="s">
        <v>7597</v>
      </c>
      <c r="E2684" s="16" t="s">
        <v>6637</v>
      </c>
      <c r="F2684" s="16" t="s">
        <v>6638</v>
      </c>
      <c r="G2684" s="16" t="s">
        <v>32</v>
      </c>
      <c r="H2684" s="16" t="s">
        <v>1484</v>
      </c>
      <c r="I2684" s="16"/>
      <c r="J2684" s="16" t="s">
        <v>106</v>
      </c>
      <c r="K2684" s="16"/>
      <c r="L2684" s="16" t="s">
        <v>131</v>
      </c>
      <c r="M2684" s="19" t="s">
        <v>6639</v>
      </c>
      <c r="N2684" s="16"/>
      <c r="O2684" s="16" t="s">
        <v>6640</v>
      </c>
      <c r="P2684" s="16" t="str">
        <f>HYPERLINK("https://ceds.ed.gov/cedselementdetails.aspx?termid=26253")</f>
        <v>https://ceds.ed.gov/cedselementdetails.aspx?termid=26253</v>
      </c>
      <c r="Q2684" s="16">
        <v>73917</v>
      </c>
    </row>
    <row r="2685" spans="1:17" ht="28.8" x14ac:dyDescent="0.3">
      <c r="A2685" s="16" t="s">
        <v>7665</v>
      </c>
      <c r="B2685" s="16" t="s">
        <v>7721</v>
      </c>
      <c r="C2685" s="16" t="s">
        <v>7673</v>
      </c>
      <c r="D2685" s="16" t="s">
        <v>7597</v>
      </c>
      <c r="E2685" s="16" t="s">
        <v>6653</v>
      </c>
      <c r="F2685" s="16" t="s">
        <v>6654</v>
      </c>
      <c r="G2685" s="16" t="s">
        <v>32</v>
      </c>
      <c r="H2685" s="16" t="s">
        <v>2025</v>
      </c>
      <c r="I2685" s="16"/>
      <c r="J2685" s="16" t="s">
        <v>403</v>
      </c>
      <c r="K2685" s="16"/>
      <c r="L2685" s="16"/>
      <c r="M2685" s="19" t="s">
        <v>6655</v>
      </c>
      <c r="N2685" s="16"/>
      <c r="O2685" s="16" t="s">
        <v>6656</v>
      </c>
      <c r="P2685" s="16" t="str">
        <f>HYPERLINK("https://ceds.ed.gov/cedselementdetails.aspx?termid=26986")</f>
        <v>https://ceds.ed.gov/cedselementdetails.aspx?termid=26986</v>
      </c>
      <c r="Q2685" s="16">
        <v>73919</v>
      </c>
    </row>
    <row r="2686" spans="1:17" ht="28.8" x14ac:dyDescent="0.3">
      <c r="A2686" s="16" t="s">
        <v>7665</v>
      </c>
      <c r="B2686" s="16" t="s">
        <v>7721</v>
      </c>
      <c r="C2686" s="16" t="s">
        <v>7673</v>
      </c>
      <c r="D2686" s="16" t="s">
        <v>7597</v>
      </c>
      <c r="E2686" s="16" t="s">
        <v>6641</v>
      </c>
      <c r="F2686" s="16" t="s">
        <v>6642</v>
      </c>
      <c r="G2686" s="16" t="s">
        <v>32</v>
      </c>
      <c r="H2686" s="16" t="s">
        <v>2025</v>
      </c>
      <c r="I2686" s="16"/>
      <c r="J2686" s="16" t="s">
        <v>403</v>
      </c>
      <c r="K2686" s="16"/>
      <c r="L2686" s="16"/>
      <c r="M2686" s="19" t="s">
        <v>6643</v>
      </c>
      <c r="N2686" s="16"/>
      <c r="O2686" s="16" t="s">
        <v>6644</v>
      </c>
      <c r="P2686" s="16" t="str">
        <f>HYPERLINK("https://ceds.ed.gov/cedselementdetails.aspx?termid=26988")</f>
        <v>https://ceds.ed.gov/cedselementdetails.aspx?termid=26988</v>
      </c>
      <c r="Q2686" s="16">
        <v>73918</v>
      </c>
    </row>
    <row r="2687" spans="1:17" ht="172.8" x14ac:dyDescent="0.3">
      <c r="A2687" s="16" t="s">
        <v>7665</v>
      </c>
      <c r="B2687" s="16" t="s">
        <v>7721</v>
      </c>
      <c r="C2687" s="16" t="s">
        <v>7722</v>
      </c>
      <c r="D2687" s="16" t="s">
        <v>7597</v>
      </c>
      <c r="E2687" s="16" t="s">
        <v>2940</v>
      </c>
      <c r="F2687" s="16" t="s">
        <v>2941</v>
      </c>
      <c r="G2687" s="16" t="s">
        <v>32</v>
      </c>
      <c r="H2687" s="16"/>
      <c r="I2687" s="16"/>
      <c r="J2687" s="16" t="s">
        <v>81</v>
      </c>
      <c r="K2687" s="16"/>
      <c r="L2687" s="16"/>
      <c r="M2687" s="19" t="s">
        <v>2943</v>
      </c>
      <c r="N2687" s="16"/>
      <c r="O2687" s="16" t="s">
        <v>2944</v>
      </c>
      <c r="P2687" s="16" t="str">
        <f>HYPERLINK("https://ceds.ed.gov/cedselementdetails.aspx?termid=26604")</f>
        <v>https://ceds.ed.gov/cedselementdetails.aspx?termid=26604</v>
      </c>
      <c r="Q2687" s="16">
        <v>71068</v>
      </c>
    </row>
    <row r="2688" spans="1:17" ht="28.8" x14ac:dyDescent="0.3">
      <c r="A2688" s="16" t="s">
        <v>7665</v>
      </c>
      <c r="B2688" s="16" t="s">
        <v>7721</v>
      </c>
      <c r="C2688" s="16" t="s">
        <v>7722</v>
      </c>
      <c r="D2688" s="16" t="s">
        <v>7597</v>
      </c>
      <c r="E2688" s="16" t="s">
        <v>2953</v>
      </c>
      <c r="F2688" s="16" t="s">
        <v>2954</v>
      </c>
      <c r="G2688" s="16" t="s">
        <v>32</v>
      </c>
      <c r="H2688" s="16"/>
      <c r="I2688" s="16"/>
      <c r="J2688" s="16" t="s">
        <v>1304</v>
      </c>
      <c r="K2688" s="16"/>
      <c r="L2688" s="16"/>
      <c r="M2688" s="19" t="s">
        <v>2955</v>
      </c>
      <c r="N2688" s="16"/>
      <c r="O2688" s="16" t="s">
        <v>2956</v>
      </c>
      <c r="P2688" s="16" t="str">
        <f>HYPERLINK("https://ceds.ed.gov/cedselementdetails.aspx?termid=26605")</f>
        <v>https://ceds.ed.gov/cedselementdetails.aspx?termid=26605</v>
      </c>
      <c r="Q2688" s="16">
        <v>71069</v>
      </c>
    </row>
    <row r="2689" spans="1:17" ht="28.8" x14ac:dyDescent="0.3">
      <c r="A2689" s="16" t="s">
        <v>7665</v>
      </c>
      <c r="B2689" s="16" t="s">
        <v>7721</v>
      </c>
      <c r="C2689" s="16" t="s">
        <v>7722</v>
      </c>
      <c r="D2689" s="16" t="s">
        <v>7597</v>
      </c>
      <c r="E2689" s="16" t="s">
        <v>2961</v>
      </c>
      <c r="F2689" s="16" t="s">
        <v>2962</v>
      </c>
      <c r="G2689" s="16" t="s">
        <v>32</v>
      </c>
      <c r="H2689" s="16"/>
      <c r="I2689" s="16"/>
      <c r="J2689" s="16" t="s">
        <v>1304</v>
      </c>
      <c r="K2689" s="16"/>
      <c r="L2689" s="16"/>
      <c r="M2689" s="19" t="s">
        <v>2963</v>
      </c>
      <c r="N2689" s="16"/>
      <c r="O2689" s="16" t="s">
        <v>2964</v>
      </c>
      <c r="P2689" s="16" t="str">
        <f>HYPERLINK("https://ceds.ed.gov/cedselementdetails.aspx?termid=26606")</f>
        <v>https://ceds.ed.gov/cedselementdetails.aspx?termid=26606</v>
      </c>
      <c r="Q2689" s="16">
        <v>71070</v>
      </c>
    </row>
    <row r="2690" spans="1:17" ht="28.8" x14ac:dyDescent="0.3">
      <c r="A2690" s="16" t="s">
        <v>7665</v>
      </c>
      <c r="B2690" s="16" t="s">
        <v>7721</v>
      </c>
      <c r="C2690" s="16" t="s">
        <v>7722</v>
      </c>
      <c r="D2690" s="16" t="s">
        <v>7597</v>
      </c>
      <c r="E2690" s="16" t="s">
        <v>2945</v>
      </c>
      <c r="F2690" s="16" t="s">
        <v>2946</v>
      </c>
      <c r="G2690" s="16" t="s">
        <v>32</v>
      </c>
      <c r="H2690" s="16"/>
      <c r="I2690" s="16"/>
      <c r="J2690" s="16" t="s">
        <v>101</v>
      </c>
      <c r="K2690" s="16"/>
      <c r="L2690" s="16"/>
      <c r="M2690" s="19" t="s">
        <v>2947</v>
      </c>
      <c r="N2690" s="16"/>
      <c r="O2690" s="16" t="s">
        <v>2948</v>
      </c>
      <c r="P2690" s="16" t="str">
        <f>HYPERLINK("https://ceds.ed.gov/cedselementdetails.aspx?termid=27526")</f>
        <v>https://ceds.ed.gov/cedselementdetails.aspx?termid=27526</v>
      </c>
      <c r="Q2690" s="16">
        <v>73837</v>
      </c>
    </row>
    <row r="2691" spans="1:17" ht="72" x14ac:dyDescent="0.3">
      <c r="A2691" s="16" t="s">
        <v>7665</v>
      </c>
      <c r="B2691" s="16" t="s">
        <v>7721</v>
      </c>
      <c r="C2691" s="16" t="s">
        <v>7722</v>
      </c>
      <c r="D2691" s="16" t="s">
        <v>7597</v>
      </c>
      <c r="E2691" s="16" t="s">
        <v>2957</v>
      </c>
      <c r="F2691" s="16" t="s">
        <v>2958</v>
      </c>
      <c r="G2691" s="16" t="s">
        <v>32</v>
      </c>
      <c r="H2691" s="16"/>
      <c r="I2691" s="16"/>
      <c r="J2691" s="16" t="s">
        <v>106</v>
      </c>
      <c r="K2691" s="16"/>
      <c r="L2691" s="16"/>
      <c r="M2691" s="19" t="s">
        <v>2959</v>
      </c>
      <c r="N2691" s="16"/>
      <c r="O2691" s="16" t="s">
        <v>2960</v>
      </c>
      <c r="P2691" s="16" t="str">
        <f>HYPERLINK("https://ceds.ed.gov/cedselementdetails.aspx?termid=26607")</f>
        <v>https://ceds.ed.gov/cedselementdetails.aspx?termid=26607</v>
      </c>
      <c r="Q2691" s="16">
        <v>71071</v>
      </c>
    </row>
    <row r="2692" spans="1:17" ht="57.6" x14ac:dyDescent="0.3">
      <c r="A2692" s="16" t="s">
        <v>7665</v>
      </c>
      <c r="B2692" s="16" t="s">
        <v>7721</v>
      </c>
      <c r="C2692" s="16" t="s">
        <v>7722</v>
      </c>
      <c r="D2692" s="16" t="s">
        <v>7597</v>
      </c>
      <c r="E2692" s="16" t="s">
        <v>2949</v>
      </c>
      <c r="F2692" s="16" t="s">
        <v>2950</v>
      </c>
      <c r="G2692" s="16" t="s">
        <v>32</v>
      </c>
      <c r="H2692" s="16"/>
      <c r="I2692" s="16"/>
      <c r="J2692" s="16" t="s">
        <v>106</v>
      </c>
      <c r="K2692" s="16"/>
      <c r="L2692" s="16" t="s">
        <v>131</v>
      </c>
      <c r="M2692" s="19" t="s">
        <v>2951</v>
      </c>
      <c r="N2692" s="16"/>
      <c r="O2692" s="16" t="s">
        <v>2952</v>
      </c>
      <c r="P2692" s="16" t="str">
        <f>HYPERLINK("https://ceds.ed.gov/cedselementdetails.aspx?termid=27528")</f>
        <v>https://ceds.ed.gov/cedselementdetails.aspx?termid=27528</v>
      </c>
      <c r="Q2692" s="16">
        <v>73839</v>
      </c>
    </row>
    <row r="2693" spans="1:17" ht="115.2" x14ac:dyDescent="0.3">
      <c r="A2693" s="16" t="s">
        <v>7665</v>
      </c>
      <c r="B2693" s="16" t="s">
        <v>7721</v>
      </c>
      <c r="C2693" s="16" t="s">
        <v>7723</v>
      </c>
      <c r="D2693" s="16" t="s">
        <v>7597</v>
      </c>
      <c r="E2693" s="16" t="s">
        <v>1831</v>
      </c>
      <c r="F2693" s="16" t="s">
        <v>1832</v>
      </c>
      <c r="G2693" s="16" t="s">
        <v>8420</v>
      </c>
      <c r="H2693" s="16"/>
      <c r="I2693" s="16"/>
      <c r="J2693" s="16"/>
      <c r="K2693" s="16"/>
      <c r="L2693" s="16"/>
      <c r="M2693" s="19" t="s">
        <v>1833</v>
      </c>
      <c r="N2693" s="16"/>
      <c r="O2693" s="16" t="s">
        <v>1834</v>
      </c>
      <c r="P2693" s="16" t="str">
        <f>HYPERLINK("https://ceds.ed.gov/cedselementdetails.aspx?termid=26596")</f>
        <v>https://ceds.ed.gov/cedselementdetails.aspx?termid=26596</v>
      </c>
      <c r="Q2693" s="16">
        <v>71067</v>
      </c>
    </row>
    <row r="2694" spans="1:17" ht="28.8" x14ac:dyDescent="0.3">
      <c r="A2694" s="16" t="s">
        <v>7665</v>
      </c>
      <c r="B2694" s="16" t="s">
        <v>7721</v>
      </c>
      <c r="C2694" s="16" t="s">
        <v>7723</v>
      </c>
      <c r="D2694" s="16" t="s">
        <v>7597</v>
      </c>
      <c r="E2694" s="16" t="s">
        <v>1822</v>
      </c>
      <c r="F2694" s="16" t="s">
        <v>1823</v>
      </c>
      <c r="G2694" s="16" t="s">
        <v>32</v>
      </c>
      <c r="H2694" s="16"/>
      <c r="I2694" s="16"/>
      <c r="J2694" s="16" t="s">
        <v>106</v>
      </c>
      <c r="K2694" s="16"/>
      <c r="L2694" s="16"/>
      <c r="M2694" s="19" t="s">
        <v>1825</v>
      </c>
      <c r="N2694" s="16"/>
      <c r="O2694" s="16" t="s">
        <v>1826</v>
      </c>
      <c r="P2694" s="16" t="str">
        <f>HYPERLINK("https://ceds.ed.gov/cedselementdetails.aspx?termid=27241")</f>
        <v>https://ceds.ed.gov/cedselementdetails.aspx?termid=27241</v>
      </c>
      <c r="Q2694" s="16">
        <v>72915</v>
      </c>
    </row>
    <row r="2695" spans="1:17" ht="28.8" x14ac:dyDescent="0.3">
      <c r="A2695" s="16" t="s">
        <v>7665</v>
      </c>
      <c r="B2695" s="16" t="s">
        <v>7721</v>
      </c>
      <c r="C2695" s="16" t="s">
        <v>7723</v>
      </c>
      <c r="D2695" s="16" t="s">
        <v>7597</v>
      </c>
      <c r="E2695" s="16" t="s">
        <v>1827</v>
      </c>
      <c r="F2695" s="16" t="s">
        <v>1828</v>
      </c>
      <c r="G2695" s="16" t="s">
        <v>32</v>
      </c>
      <c r="H2695" s="16"/>
      <c r="I2695" s="16"/>
      <c r="J2695" s="16" t="s">
        <v>81</v>
      </c>
      <c r="K2695" s="16"/>
      <c r="L2695" s="16"/>
      <c r="M2695" s="19" t="s">
        <v>1829</v>
      </c>
      <c r="N2695" s="16"/>
      <c r="O2695" s="16" t="s">
        <v>1830</v>
      </c>
      <c r="P2695" s="16" t="str">
        <f>HYPERLINK("https://ceds.ed.gov/cedselementdetails.aspx?termid=27242")</f>
        <v>https://ceds.ed.gov/cedselementdetails.aspx?termid=27242</v>
      </c>
      <c r="Q2695" s="16">
        <v>72916</v>
      </c>
    </row>
    <row r="2696" spans="1:17" x14ac:dyDescent="0.3">
      <c r="A2696" s="16" t="s">
        <v>7665</v>
      </c>
      <c r="B2696" s="16" t="s">
        <v>7721</v>
      </c>
      <c r="C2696" s="16" t="s">
        <v>7723</v>
      </c>
      <c r="D2696" s="16" t="s">
        <v>7597</v>
      </c>
      <c r="E2696" s="16" t="s">
        <v>3514</v>
      </c>
      <c r="F2696" s="16" t="s">
        <v>3515</v>
      </c>
      <c r="G2696" s="16" t="s">
        <v>32</v>
      </c>
      <c r="H2696" s="16"/>
      <c r="I2696" s="16"/>
      <c r="J2696" s="16"/>
      <c r="K2696" s="16"/>
      <c r="L2696" s="16"/>
      <c r="M2696" s="19" t="s">
        <v>3517</v>
      </c>
      <c r="N2696" s="16"/>
      <c r="O2696" s="16" t="s">
        <v>3518</v>
      </c>
      <c r="P2696" s="16" t="str">
        <f>HYPERLINK("https://ceds.ed.gov/cedselementdetails.aspx?termid=27901")</f>
        <v>https://ceds.ed.gov/cedselementdetails.aspx?termid=27901</v>
      </c>
      <c r="Q2696" s="16">
        <v>75193</v>
      </c>
    </row>
    <row r="2697" spans="1:17" x14ac:dyDescent="0.3">
      <c r="A2697" s="16" t="s">
        <v>7665</v>
      </c>
      <c r="B2697" s="16" t="s">
        <v>7721</v>
      </c>
      <c r="C2697" s="16" t="s">
        <v>7723</v>
      </c>
      <c r="D2697" s="16" t="s">
        <v>7597</v>
      </c>
      <c r="E2697" s="16" t="s">
        <v>6836</v>
      </c>
      <c r="F2697" s="16" t="s">
        <v>6837</v>
      </c>
      <c r="G2697" s="16" t="s">
        <v>32</v>
      </c>
      <c r="H2697" s="16"/>
      <c r="I2697" s="16"/>
      <c r="J2697" s="16"/>
      <c r="K2697" s="16"/>
      <c r="L2697" s="16"/>
      <c r="M2697" s="19" t="s">
        <v>6838</v>
      </c>
      <c r="N2697" s="16"/>
      <c r="O2697" s="16" t="s">
        <v>6839</v>
      </c>
      <c r="P2697" s="16" t="str">
        <f>HYPERLINK("https://ceds.ed.gov/cedselementdetails.aspx?termid=27900")</f>
        <v>https://ceds.ed.gov/cedselementdetails.aspx?termid=27900</v>
      </c>
      <c r="Q2697" s="16">
        <v>75194</v>
      </c>
    </row>
    <row r="2698" spans="1:17" ht="43.2" x14ac:dyDescent="0.3">
      <c r="A2698" s="16" t="s">
        <v>7724</v>
      </c>
      <c r="B2698" s="16" t="s">
        <v>7666</v>
      </c>
      <c r="C2698" s="16"/>
      <c r="D2698" s="16" t="s">
        <v>7597</v>
      </c>
      <c r="E2698" s="16" t="s">
        <v>5602</v>
      </c>
      <c r="F2698" s="16" t="s">
        <v>5603</v>
      </c>
      <c r="G2698" s="16" t="s">
        <v>8248</v>
      </c>
      <c r="H2698" s="16"/>
      <c r="I2698" s="16"/>
      <c r="J2698" s="16"/>
      <c r="K2698" s="16"/>
      <c r="L2698" s="16"/>
      <c r="M2698" s="19" t="s">
        <v>5604</v>
      </c>
      <c r="N2698" s="16"/>
      <c r="O2698" s="16" t="s">
        <v>5605</v>
      </c>
      <c r="P2698" s="16" t="str">
        <f>HYPERLINK("https://ceds.ed.gov/cedselementdetails.aspx?termid=27387")</f>
        <v>https://ceds.ed.gov/cedselementdetails.aspx?termid=27387</v>
      </c>
      <c r="Q2698" s="16">
        <v>74397</v>
      </c>
    </row>
    <row r="2699" spans="1:17" ht="43.2" x14ac:dyDescent="0.3">
      <c r="A2699" s="16" t="s">
        <v>7724</v>
      </c>
      <c r="B2699" s="16" t="s">
        <v>7666</v>
      </c>
      <c r="C2699" s="16"/>
      <c r="D2699" s="16" t="s">
        <v>7597</v>
      </c>
      <c r="E2699" s="16" t="s">
        <v>5590</v>
      </c>
      <c r="F2699" s="16" t="s">
        <v>5591</v>
      </c>
      <c r="G2699" s="16" t="s">
        <v>32</v>
      </c>
      <c r="H2699" s="16"/>
      <c r="I2699" s="16"/>
      <c r="J2699" s="16" t="s">
        <v>50</v>
      </c>
      <c r="K2699" s="16"/>
      <c r="L2699" s="16"/>
      <c r="M2699" s="19" t="s">
        <v>5592</v>
      </c>
      <c r="N2699" s="16"/>
      <c r="O2699" s="16" t="s">
        <v>5593</v>
      </c>
      <c r="P2699" s="16" t="str">
        <f>HYPERLINK("https://ceds.ed.gov/cedselementdetails.aspx?termid=27644")</f>
        <v>https://ceds.ed.gov/cedselementdetails.aspx?termid=27644</v>
      </c>
      <c r="Q2699" s="16">
        <v>74980</v>
      </c>
    </row>
    <row r="2700" spans="1:17" ht="28.8" x14ac:dyDescent="0.3">
      <c r="A2700" s="16" t="s">
        <v>7724</v>
      </c>
      <c r="B2700" s="16" t="s">
        <v>7666</v>
      </c>
      <c r="C2700" s="16"/>
      <c r="D2700" s="16" t="s">
        <v>7597</v>
      </c>
      <c r="E2700" s="16" t="s">
        <v>5606</v>
      </c>
      <c r="F2700" s="16" t="s">
        <v>5607</v>
      </c>
      <c r="G2700" s="16" t="s">
        <v>32</v>
      </c>
      <c r="H2700" s="16"/>
      <c r="I2700" s="16"/>
      <c r="J2700" s="16" t="s">
        <v>2807</v>
      </c>
      <c r="K2700" s="16"/>
      <c r="L2700" s="16"/>
      <c r="M2700" s="19" t="s">
        <v>5608</v>
      </c>
      <c r="N2700" s="16"/>
      <c r="O2700" s="16" t="s">
        <v>5609</v>
      </c>
      <c r="P2700" s="16" t="str">
        <f>HYPERLINK("https://ceds.ed.gov/cedselementdetails.aspx?termid=27731")</f>
        <v>https://ceds.ed.gov/cedselementdetails.aspx?termid=27731</v>
      </c>
      <c r="Q2700" s="16">
        <v>74987</v>
      </c>
    </row>
    <row r="2701" spans="1:17" ht="172.8" x14ac:dyDescent="0.3">
      <c r="A2701" s="16" t="s">
        <v>7724</v>
      </c>
      <c r="B2701" s="16" t="s">
        <v>7666</v>
      </c>
      <c r="C2701" s="16" t="s">
        <v>7598</v>
      </c>
      <c r="D2701" s="16" t="s">
        <v>7597</v>
      </c>
      <c r="E2701" s="16" t="s">
        <v>5586</v>
      </c>
      <c r="F2701" s="16" t="s">
        <v>5587</v>
      </c>
      <c r="G2701" s="16" t="s">
        <v>32</v>
      </c>
      <c r="H2701" s="16" t="s">
        <v>98</v>
      </c>
      <c r="I2701" s="16"/>
      <c r="J2701" s="16" t="s">
        <v>120</v>
      </c>
      <c r="K2701" s="16"/>
      <c r="L2701" s="16" t="s">
        <v>7817</v>
      </c>
      <c r="M2701" s="19" t="s">
        <v>5588</v>
      </c>
      <c r="N2701" s="16"/>
      <c r="O2701" s="16" t="s">
        <v>5589</v>
      </c>
      <c r="P2701" s="16" t="str">
        <f>HYPERLINK("https://ceds.ed.gov/cedselementdetails.aspx?termid=26825")</f>
        <v>https://ceds.ed.gov/cedselementdetails.aspx?termid=26825</v>
      </c>
      <c r="Q2701" s="16">
        <v>74400</v>
      </c>
    </row>
    <row r="2702" spans="1:17" ht="187.2" x14ac:dyDescent="0.3">
      <c r="A2702" s="16" t="s">
        <v>7724</v>
      </c>
      <c r="B2702" s="16" t="s">
        <v>7666</v>
      </c>
      <c r="C2702" s="16" t="s">
        <v>7598</v>
      </c>
      <c r="D2702" s="16" t="s">
        <v>7597</v>
      </c>
      <c r="E2702" s="16" t="s">
        <v>5582</v>
      </c>
      <c r="F2702" s="16" t="s">
        <v>5583</v>
      </c>
      <c r="G2702" s="16" t="s">
        <v>8247</v>
      </c>
      <c r="H2702" s="16" t="s">
        <v>98</v>
      </c>
      <c r="I2702" s="16"/>
      <c r="J2702" s="16"/>
      <c r="K2702" s="16"/>
      <c r="L2702" s="16"/>
      <c r="M2702" s="19" t="s">
        <v>5584</v>
      </c>
      <c r="N2702" s="16"/>
      <c r="O2702" s="16" t="s">
        <v>5585</v>
      </c>
      <c r="P2702" s="16" t="str">
        <f>HYPERLINK("https://ceds.ed.gov/cedselementdetails.aspx?termid=26827")</f>
        <v>https://ceds.ed.gov/cedselementdetails.aspx?termid=26827</v>
      </c>
      <c r="Q2702" s="16">
        <v>74401</v>
      </c>
    </row>
    <row r="2703" spans="1:17" ht="43.2" x14ac:dyDescent="0.3">
      <c r="A2703" s="16" t="s">
        <v>7724</v>
      </c>
      <c r="B2703" s="16" t="s">
        <v>7666</v>
      </c>
      <c r="C2703" s="16" t="s">
        <v>7598</v>
      </c>
      <c r="D2703" s="16" t="s">
        <v>7597</v>
      </c>
      <c r="E2703" s="16" t="s">
        <v>5598</v>
      </c>
      <c r="F2703" s="16" t="s">
        <v>5599</v>
      </c>
      <c r="G2703" s="16" t="s">
        <v>32</v>
      </c>
      <c r="H2703" s="16" t="s">
        <v>195</v>
      </c>
      <c r="I2703" s="16"/>
      <c r="J2703" s="16" t="s">
        <v>145</v>
      </c>
      <c r="K2703" s="16"/>
      <c r="L2703" s="16"/>
      <c r="M2703" s="19" t="s">
        <v>5600</v>
      </c>
      <c r="N2703" s="16"/>
      <c r="O2703" s="16" t="s">
        <v>5601</v>
      </c>
      <c r="P2703" s="16" t="str">
        <f>HYPERLINK("https://ceds.ed.gov/cedselementdetails.aspx?termid=26204")</f>
        <v>https://ceds.ed.gov/cedselementdetails.aspx?termid=26204</v>
      </c>
      <c r="Q2703" s="16">
        <v>74399</v>
      </c>
    </row>
    <row r="2704" spans="1:17" ht="409.6" x14ac:dyDescent="0.3">
      <c r="A2704" s="16" t="s">
        <v>7724</v>
      </c>
      <c r="B2704" s="16" t="s">
        <v>7666</v>
      </c>
      <c r="C2704" s="16" t="s">
        <v>7598</v>
      </c>
      <c r="D2704" s="16" t="s">
        <v>7597</v>
      </c>
      <c r="E2704" s="16" t="s">
        <v>5618</v>
      </c>
      <c r="F2704" s="16" t="s">
        <v>5619</v>
      </c>
      <c r="G2704" s="16" t="s">
        <v>9335</v>
      </c>
      <c r="H2704" s="16"/>
      <c r="I2704" s="16"/>
      <c r="J2704" s="16"/>
      <c r="K2704" s="16"/>
      <c r="L2704" s="16" t="s">
        <v>5620</v>
      </c>
      <c r="M2704" s="19" t="s">
        <v>5621</v>
      </c>
      <c r="N2704" s="16"/>
      <c r="O2704" s="16" t="s">
        <v>5622</v>
      </c>
      <c r="P2704" s="16" t="str">
        <f>HYPERLINK("https://ceds.ed.gov/cedselementdetails.aspx?termid=27165")</f>
        <v>https://ceds.ed.gov/cedselementdetails.aspx?termid=27165</v>
      </c>
      <c r="Q2704" s="16">
        <v>74402</v>
      </c>
    </row>
    <row r="2705" spans="1:17" ht="86.4" x14ac:dyDescent="0.3">
      <c r="A2705" s="16" t="s">
        <v>7724</v>
      </c>
      <c r="B2705" s="16" t="s">
        <v>7666</v>
      </c>
      <c r="C2705" s="16" t="s">
        <v>7598</v>
      </c>
      <c r="D2705" s="16" t="s">
        <v>7597</v>
      </c>
      <c r="E2705" s="16" t="s">
        <v>5610</v>
      </c>
      <c r="F2705" s="16" t="s">
        <v>5611</v>
      </c>
      <c r="G2705" s="16" t="s">
        <v>8249</v>
      </c>
      <c r="H2705" s="16"/>
      <c r="I2705" s="16"/>
      <c r="J2705" s="16"/>
      <c r="K2705" s="16"/>
      <c r="L2705" s="16" t="s">
        <v>8099</v>
      </c>
      <c r="M2705" s="19" t="s">
        <v>5612</v>
      </c>
      <c r="N2705" s="16"/>
      <c r="O2705" s="16" t="s">
        <v>5613</v>
      </c>
      <c r="P2705" s="16" t="str">
        <f>HYPERLINK("https://ceds.ed.gov/cedselementdetails.aspx?termid=27886")</f>
        <v>https://ceds.ed.gov/cedselementdetails.aspx?termid=27886</v>
      </c>
      <c r="Q2705" s="16">
        <v>75156</v>
      </c>
    </row>
    <row r="2706" spans="1:17" ht="86.4" x14ac:dyDescent="0.3">
      <c r="A2706" s="16" t="s">
        <v>7724</v>
      </c>
      <c r="B2706" s="16" t="s">
        <v>7666</v>
      </c>
      <c r="C2706" s="16" t="s">
        <v>7598</v>
      </c>
      <c r="D2706" s="16" t="s">
        <v>7597</v>
      </c>
      <c r="E2706" s="16" t="s">
        <v>8142</v>
      </c>
      <c r="F2706" s="16" t="s">
        <v>8143</v>
      </c>
      <c r="G2706" s="16" t="s">
        <v>32</v>
      </c>
      <c r="H2706" s="16"/>
      <c r="I2706" s="16"/>
      <c r="J2706" s="16" t="s">
        <v>81</v>
      </c>
      <c r="K2706" s="16"/>
      <c r="L2706" s="16" t="s">
        <v>6671</v>
      </c>
      <c r="M2706" s="19" t="s">
        <v>6672</v>
      </c>
      <c r="N2706" s="16"/>
      <c r="O2706" s="16" t="s">
        <v>8144</v>
      </c>
      <c r="P2706" s="16" t="str">
        <f>HYPERLINK("https://ceds.ed.gov/cedselementdetails.aspx?termid=27459")</f>
        <v>https://ceds.ed.gov/cedselementdetails.aspx?termid=27459</v>
      </c>
      <c r="Q2706" s="16">
        <v>75949</v>
      </c>
    </row>
    <row r="2707" spans="1:17" ht="72" x14ac:dyDescent="0.3">
      <c r="A2707" s="16" t="s">
        <v>7724</v>
      </c>
      <c r="B2707" s="16" t="s">
        <v>7666</v>
      </c>
      <c r="C2707" s="16" t="s">
        <v>7599</v>
      </c>
      <c r="D2707" s="16" t="s">
        <v>7597</v>
      </c>
      <c r="E2707" s="16" t="s">
        <v>187</v>
      </c>
      <c r="F2707" s="16" t="s">
        <v>188</v>
      </c>
      <c r="G2707" s="16" t="s">
        <v>8205</v>
      </c>
      <c r="H2707" s="16" t="s">
        <v>64</v>
      </c>
      <c r="I2707" s="16"/>
      <c r="J2707" s="16" t="s">
        <v>81</v>
      </c>
      <c r="K2707" s="16"/>
      <c r="L2707" s="16"/>
      <c r="M2707" s="19" t="s">
        <v>189</v>
      </c>
      <c r="N2707" s="16"/>
      <c r="O2707" s="16" t="s">
        <v>190</v>
      </c>
      <c r="P2707" s="16" t="str">
        <f>HYPERLINK("https://ceds.ed.gov/cedselementdetails.aspx?termid=26644")</f>
        <v>https://ceds.ed.gov/cedselementdetails.aspx?termid=26644</v>
      </c>
      <c r="Q2707" s="16">
        <v>74403</v>
      </c>
    </row>
    <row r="2708" spans="1:17" ht="187.2" x14ac:dyDescent="0.3">
      <c r="A2708" s="16" t="s">
        <v>7724</v>
      </c>
      <c r="B2708" s="16" t="s">
        <v>7666</v>
      </c>
      <c r="C2708" s="16" t="s">
        <v>7599</v>
      </c>
      <c r="D2708" s="16" t="s">
        <v>7597</v>
      </c>
      <c r="E2708" s="16" t="s">
        <v>177</v>
      </c>
      <c r="F2708" s="16" t="s">
        <v>178</v>
      </c>
      <c r="G2708" s="16" t="s">
        <v>32</v>
      </c>
      <c r="H2708" s="16" t="s">
        <v>163</v>
      </c>
      <c r="I2708" s="16"/>
      <c r="J2708" s="16" t="s">
        <v>179</v>
      </c>
      <c r="K2708" s="16"/>
      <c r="L2708" s="16"/>
      <c r="M2708" s="19" t="s">
        <v>180</v>
      </c>
      <c r="N2708" s="16"/>
      <c r="O2708" s="16" t="s">
        <v>181</v>
      </c>
      <c r="P2708" s="16" t="str">
        <f>HYPERLINK("https://ceds.ed.gov/cedselementdetails.aspx?termid=26269")</f>
        <v>https://ceds.ed.gov/cedselementdetails.aspx?termid=26269</v>
      </c>
      <c r="Q2708" s="16">
        <v>74404</v>
      </c>
    </row>
    <row r="2709" spans="1:17" ht="187.2" x14ac:dyDescent="0.3">
      <c r="A2709" s="16" t="s">
        <v>7724</v>
      </c>
      <c r="B2709" s="16" t="s">
        <v>7666</v>
      </c>
      <c r="C2709" s="16" t="s">
        <v>7599</v>
      </c>
      <c r="D2709" s="16" t="s">
        <v>7597</v>
      </c>
      <c r="E2709" s="16" t="s">
        <v>158</v>
      </c>
      <c r="F2709" s="16" t="s">
        <v>159</v>
      </c>
      <c r="G2709" s="16" t="s">
        <v>32</v>
      </c>
      <c r="H2709" s="16" t="s">
        <v>163</v>
      </c>
      <c r="I2709" s="16"/>
      <c r="J2709" s="16" t="s">
        <v>145</v>
      </c>
      <c r="K2709" s="16"/>
      <c r="L2709" s="16"/>
      <c r="M2709" s="19" t="s">
        <v>161</v>
      </c>
      <c r="N2709" s="16"/>
      <c r="O2709" s="16" t="s">
        <v>162</v>
      </c>
      <c r="P2709" s="16" t="str">
        <f>HYPERLINK("https://ceds.ed.gov/cedselementdetails.aspx?termid=26019")</f>
        <v>https://ceds.ed.gov/cedselementdetails.aspx?termid=26019</v>
      </c>
      <c r="Q2709" s="16">
        <v>74405</v>
      </c>
    </row>
    <row r="2710" spans="1:17" ht="187.2" x14ac:dyDescent="0.3">
      <c r="A2710" s="16" t="s">
        <v>7724</v>
      </c>
      <c r="B2710" s="16" t="s">
        <v>7666</v>
      </c>
      <c r="C2710" s="16" t="s">
        <v>7599</v>
      </c>
      <c r="D2710" s="16" t="s">
        <v>7597</v>
      </c>
      <c r="E2710" s="16" t="s">
        <v>164</v>
      </c>
      <c r="F2710" s="16" t="s">
        <v>165</v>
      </c>
      <c r="G2710" s="16" t="s">
        <v>32</v>
      </c>
      <c r="H2710" s="16" t="s">
        <v>163</v>
      </c>
      <c r="I2710" s="16"/>
      <c r="J2710" s="16" t="s">
        <v>81</v>
      </c>
      <c r="K2710" s="16"/>
      <c r="L2710" s="16"/>
      <c r="M2710" s="19" t="s">
        <v>166</v>
      </c>
      <c r="N2710" s="16"/>
      <c r="O2710" s="16" t="s">
        <v>167</v>
      </c>
      <c r="P2710" s="16" t="str">
        <f>HYPERLINK("https://ceds.ed.gov/cedselementdetails.aspx?termid=26040")</f>
        <v>https://ceds.ed.gov/cedselementdetails.aspx?termid=26040</v>
      </c>
      <c r="Q2710" s="16">
        <v>74406</v>
      </c>
    </row>
    <row r="2711" spans="1:17" ht="409.6" x14ac:dyDescent="0.3">
      <c r="A2711" s="16" t="s">
        <v>7724</v>
      </c>
      <c r="B2711" s="16" t="s">
        <v>7666</v>
      </c>
      <c r="C2711" s="16" t="s">
        <v>7599</v>
      </c>
      <c r="D2711" s="16" t="s">
        <v>7597</v>
      </c>
      <c r="E2711" s="16" t="s">
        <v>6840</v>
      </c>
      <c r="F2711" s="16" t="s">
        <v>6841</v>
      </c>
      <c r="G2711" s="16" t="s">
        <v>8266</v>
      </c>
      <c r="H2711" s="16" t="s">
        <v>6844</v>
      </c>
      <c r="I2711" s="16"/>
      <c r="J2711" s="16"/>
      <c r="K2711" s="16"/>
      <c r="L2711" s="16"/>
      <c r="M2711" s="19" t="s">
        <v>6842</v>
      </c>
      <c r="N2711" s="16"/>
      <c r="O2711" s="16" t="s">
        <v>6843</v>
      </c>
      <c r="P2711" s="16" t="str">
        <f>HYPERLINK("https://ceds.ed.gov/cedselementdetails.aspx?termid=26267")</f>
        <v>https://ceds.ed.gov/cedselementdetails.aspx?termid=26267</v>
      </c>
      <c r="Q2711" s="16">
        <v>74407</v>
      </c>
    </row>
    <row r="2712" spans="1:17" ht="187.2" x14ac:dyDescent="0.3">
      <c r="A2712" s="16" t="s">
        <v>7724</v>
      </c>
      <c r="B2712" s="16" t="s">
        <v>7666</v>
      </c>
      <c r="C2712" s="16" t="s">
        <v>7599</v>
      </c>
      <c r="D2712" s="16" t="s">
        <v>7597</v>
      </c>
      <c r="E2712" s="16" t="s">
        <v>172</v>
      </c>
      <c r="F2712" s="16" t="s">
        <v>173</v>
      </c>
      <c r="G2712" s="16" t="s">
        <v>32</v>
      </c>
      <c r="H2712" s="16" t="s">
        <v>163</v>
      </c>
      <c r="I2712" s="16"/>
      <c r="J2712" s="16" t="s">
        <v>174</v>
      </c>
      <c r="K2712" s="16"/>
      <c r="L2712" s="16"/>
      <c r="M2712" s="19" t="s">
        <v>175</v>
      </c>
      <c r="N2712" s="16"/>
      <c r="O2712" s="16" t="s">
        <v>176</v>
      </c>
      <c r="P2712" s="16" t="str">
        <f>HYPERLINK("https://ceds.ed.gov/cedselementdetails.aspx?termid=26214")</f>
        <v>https://ceds.ed.gov/cedselementdetails.aspx?termid=26214</v>
      </c>
      <c r="Q2712" s="16">
        <v>74408</v>
      </c>
    </row>
    <row r="2713" spans="1:17" ht="187.2" x14ac:dyDescent="0.3">
      <c r="A2713" s="16" t="s">
        <v>7724</v>
      </c>
      <c r="B2713" s="16" t="s">
        <v>7666</v>
      </c>
      <c r="C2713" s="16" t="s">
        <v>7599</v>
      </c>
      <c r="D2713" s="16" t="s">
        <v>7597</v>
      </c>
      <c r="E2713" s="16" t="s">
        <v>168</v>
      </c>
      <c r="F2713" s="16" t="s">
        <v>169</v>
      </c>
      <c r="G2713" s="16" t="s">
        <v>32</v>
      </c>
      <c r="H2713" s="16" t="s">
        <v>163</v>
      </c>
      <c r="I2713" s="16"/>
      <c r="J2713" s="16" t="s">
        <v>81</v>
      </c>
      <c r="K2713" s="16"/>
      <c r="L2713" s="16"/>
      <c r="M2713" s="19" t="s">
        <v>170</v>
      </c>
      <c r="N2713" s="16"/>
      <c r="O2713" s="16" t="s">
        <v>171</v>
      </c>
      <c r="P2713" s="16" t="str">
        <f>HYPERLINK("https://ceds.ed.gov/cedselementdetails.aspx?termid=26190")</f>
        <v>https://ceds.ed.gov/cedselementdetails.aspx?termid=26190</v>
      </c>
      <c r="Q2713" s="16">
        <v>74409</v>
      </c>
    </row>
    <row r="2714" spans="1:17" ht="158.4" x14ac:dyDescent="0.3">
      <c r="A2714" s="16" t="s">
        <v>7724</v>
      </c>
      <c r="B2714" s="16" t="s">
        <v>7666</v>
      </c>
      <c r="C2714" s="16" t="s">
        <v>7599</v>
      </c>
      <c r="D2714" s="16" t="s">
        <v>7597</v>
      </c>
      <c r="E2714" s="16" t="s">
        <v>2493</v>
      </c>
      <c r="F2714" s="16" t="s">
        <v>2494</v>
      </c>
      <c r="G2714" s="16" t="s">
        <v>32</v>
      </c>
      <c r="H2714" s="16"/>
      <c r="I2714" s="16"/>
      <c r="J2714" s="16" t="s">
        <v>2495</v>
      </c>
      <c r="K2714" s="16"/>
      <c r="L2714" s="16"/>
      <c r="M2714" s="19" t="s">
        <v>2496</v>
      </c>
      <c r="N2714" s="16"/>
      <c r="O2714" s="16" t="s">
        <v>2497</v>
      </c>
      <c r="P2714" s="16" t="str">
        <f>HYPERLINK("https://ceds.ed.gov/cedselementdetails.aspx?termid=27176")</f>
        <v>https://ceds.ed.gov/cedselementdetails.aspx?termid=27176</v>
      </c>
      <c r="Q2714" s="16">
        <v>74413</v>
      </c>
    </row>
    <row r="2715" spans="1:17" ht="43.2" x14ac:dyDescent="0.3">
      <c r="A2715" s="16" t="s">
        <v>7724</v>
      </c>
      <c r="B2715" s="16" t="s">
        <v>7666</v>
      </c>
      <c r="C2715" s="16" t="s">
        <v>7599</v>
      </c>
      <c r="D2715" s="16" t="s">
        <v>7597</v>
      </c>
      <c r="E2715" s="16" t="s">
        <v>1761</v>
      </c>
      <c r="F2715" s="16" t="s">
        <v>1762</v>
      </c>
      <c r="G2715" s="16" t="s">
        <v>32</v>
      </c>
      <c r="H2715" s="16"/>
      <c r="I2715" s="16"/>
      <c r="J2715" s="16" t="s">
        <v>145</v>
      </c>
      <c r="K2715" s="16"/>
      <c r="L2715" s="16"/>
      <c r="M2715" s="19" t="s">
        <v>1763</v>
      </c>
      <c r="N2715" s="16"/>
      <c r="O2715" s="16" t="s">
        <v>1764</v>
      </c>
      <c r="P2715" s="16" t="str">
        <f>HYPERLINK("https://ceds.ed.gov/cedselementdetails.aspx?termid=26595")</f>
        <v>https://ceds.ed.gov/cedselementdetails.aspx?termid=26595</v>
      </c>
      <c r="Q2715" s="16">
        <v>74410</v>
      </c>
    </row>
    <row r="2716" spans="1:17" ht="57.6" x14ac:dyDescent="0.3">
      <c r="A2716" s="16" t="s">
        <v>7724</v>
      </c>
      <c r="B2716" s="16" t="s">
        <v>7666</v>
      </c>
      <c r="C2716" s="16" t="s">
        <v>7599</v>
      </c>
      <c r="D2716" s="16" t="s">
        <v>7597</v>
      </c>
      <c r="E2716" s="16" t="s">
        <v>4902</v>
      </c>
      <c r="F2716" s="16" t="s">
        <v>4903</v>
      </c>
      <c r="G2716" s="16" t="s">
        <v>32</v>
      </c>
      <c r="H2716" s="16"/>
      <c r="I2716" s="16"/>
      <c r="J2716" s="16" t="s">
        <v>1130</v>
      </c>
      <c r="K2716" s="16"/>
      <c r="L2716" s="16"/>
      <c r="M2716" s="19" t="s">
        <v>4904</v>
      </c>
      <c r="N2716" s="16"/>
      <c r="O2716" s="16" t="s">
        <v>4902</v>
      </c>
      <c r="P2716" s="16" t="str">
        <f>HYPERLINK("https://ceds.ed.gov/cedselementdetails.aspx?termid=26599")</f>
        <v>https://ceds.ed.gov/cedselementdetails.aspx?termid=26599</v>
      </c>
      <c r="Q2716" s="16">
        <v>74411</v>
      </c>
    </row>
    <row r="2717" spans="1:17" ht="57.6" x14ac:dyDescent="0.3">
      <c r="A2717" s="16" t="s">
        <v>7724</v>
      </c>
      <c r="B2717" s="16" t="s">
        <v>7666</v>
      </c>
      <c r="C2717" s="16" t="s">
        <v>7599</v>
      </c>
      <c r="D2717" s="16" t="s">
        <v>7597</v>
      </c>
      <c r="E2717" s="16" t="s">
        <v>5285</v>
      </c>
      <c r="F2717" s="16" t="s">
        <v>5286</v>
      </c>
      <c r="G2717" s="16" t="s">
        <v>32</v>
      </c>
      <c r="H2717" s="16"/>
      <c r="I2717" s="16"/>
      <c r="J2717" s="16" t="s">
        <v>1130</v>
      </c>
      <c r="K2717" s="16"/>
      <c r="L2717" s="16"/>
      <c r="M2717" s="19" t="s">
        <v>5287</v>
      </c>
      <c r="N2717" s="16"/>
      <c r="O2717" s="16" t="s">
        <v>5285</v>
      </c>
      <c r="P2717" s="16" t="str">
        <f>HYPERLINK("https://ceds.ed.gov/cedselementdetails.aspx?termid=26600")</f>
        <v>https://ceds.ed.gov/cedselementdetails.aspx?termid=26600</v>
      </c>
      <c r="Q2717" s="16">
        <v>74412</v>
      </c>
    </row>
    <row r="2718" spans="1:17" ht="57.6" x14ac:dyDescent="0.3">
      <c r="A2718" s="16" t="s">
        <v>7724</v>
      </c>
      <c r="B2718" s="16" t="s">
        <v>7666</v>
      </c>
      <c r="C2718" s="16" t="s">
        <v>7599</v>
      </c>
      <c r="D2718" s="16" t="s">
        <v>7597</v>
      </c>
      <c r="E2718" s="16" t="s">
        <v>3175</v>
      </c>
      <c r="F2718" s="16" t="s">
        <v>3176</v>
      </c>
      <c r="G2718" s="16" t="s">
        <v>2987</v>
      </c>
      <c r="H2718" s="16"/>
      <c r="I2718" s="16"/>
      <c r="J2718" s="16"/>
      <c r="K2718" s="16"/>
      <c r="L2718" s="16"/>
      <c r="M2718" s="19" t="s">
        <v>3177</v>
      </c>
      <c r="N2718" s="16"/>
      <c r="O2718" s="16" t="s">
        <v>3178</v>
      </c>
      <c r="P2718" s="16" t="str">
        <f>HYPERLINK("https://ceds.ed.gov/cedselementdetails.aspx?termid=27905")</f>
        <v>https://ceds.ed.gov/cedselementdetails.aspx?termid=27905</v>
      </c>
      <c r="Q2718" s="16">
        <v>75388</v>
      </c>
    </row>
    <row r="2719" spans="1:17" ht="216" x14ac:dyDescent="0.3">
      <c r="A2719" s="16" t="s">
        <v>7724</v>
      </c>
      <c r="B2719" s="16" t="s">
        <v>7666</v>
      </c>
      <c r="C2719" s="16" t="s">
        <v>7599</v>
      </c>
      <c r="D2719" s="16" t="s">
        <v>7597</v>
      </c>
      <c r="E2719" s="16" t="s">
        <v>12811</v>
      </c>
      <c r="F2719" s="16" t="s">
        <v>12812</v>
      </c>
      <c r="G2719" s="16" t="s">
        <v>12913</v>
      </c>
      <c r="H2719" s="16"/>
      <c r="I2719" s="16" t="s">
        <v>155</v>
      </c>
      <c r="J2719" s="16" t="s">
        <v>12813</v>
      </c>
      <c r="K2719" s="16" t="s">
        <v>12636</v>
      </c>
      <c r="L2719" s="16" t="s">
        <v>12814</v>
      </c>
      <c r="M2719" s="19" t="s">
        <v>12815</v>
      </c>
      <c r="N2719" s="16"/>
      <c r="O2719" s="16" t="s">
        <v>12816</v>
      </c>
      <c r="P2719" s="16" t="str">
        <f>HYPERLINK("https://ceds.ed.gov/cedselementdetails.aspx?termid=28111")</f>
        <v>https://ceds.ed.gov/cedselementdetails.aspx?termid=28111</v>
      </c>
      <c r="Q2719" s="16">
        <v>76590</v>
      </c>
    </row>
    <row r="2720" spans="1:17" ht="72" x14ac:dyDescent="0.3">
      <c r="A2720" s="16" t="s">
        <v>7724</v>
      </c>
      <c r="B2720" s="16" t="s">
        <v>7666</v>
      </c>
      <c r="C2720" s="16" t="s">
        <v>7600</v>
      </c>
      <c r="D2720" s="16" t="s">
        <v>7597</v>
      </c>
      <c r="E2720" s="16" t="s">
        <v>7053</v>
      </c>
      <c r="F2720" s="16" t="s">
        <v>7054</v>
      </c>
      <c r="G2720" s="16" t="s">
        <v>32</v>
      </c>
      <c r="H2720" s="16" t="s">
        <v>64</v>
      </c>
      <c r="I2720" s="16"/>
      <c r="J2720" s="16" t="s">
        <v>7055</v>
      </c>
      <c r="K2720" s="16"/>
      <c r="L2720" s="16"/>
      <c r="M2720" s="19" t="s">
        <v>7056</v>
      </c>
      <c r="N2720" s="16"/>
      <c r="O2720" s="16" t="s">
        <v>7057</v>
      </c>
      <c r="P2720" s="16" t="str">
        <f>HYPERLINK("https://ceds.ed.gov/cedselementdetails.aspx?termid=26279")</f>
        <v>https://ceds.ed.gov/cedselementdetails.aspx?termid=26279</v>
      </c>
      <c r="Q2720" s="16">
        <v>74416</v>
      </c>
    </row>
    <row r="2721" spans="1:17" ht="115.2" x14ac:dyDescent="0.3">
      <c r="A2721" s="16" t="s">
        <v>7724</v>
      </c>
      <c r="B2721" s="16" t="s">
        <v>7666</v>
      </c>
      <c r="C2721" s="16" t="s">
        <v>7600</v>
      </c>
      <c r="D2721" s="16" t="s">
        <v>7597</v>
      </c>
      <c r="E2721" s="16" t="s">
        <v>4703</v>
      </c>
      <c r="F2721" s="16" t="s">
        <v>4704</v>
      </c>
      <c r="G2721" s="16" t="s">
        <v>8662</v>
      </c>
      <c r="H2721" s="16"/>
      <c r="I2721" s="16"/>
      <c r="J2721" s="16"/>
      <c r="K2721" s="16"/>
      <c r="L2721" s="16"/>
      <c r="M2721" s="19" t="s">
        <v>4705</v>
      </c>
      <c r="N2721" s="16"/>
      <c r="O2721" s="16" t="s">
        <v>4706</v>
      </c>
      <c r="P2721" s="16" t="str">
        <f>HYPERLINK("https://ceds.ed.gov/cedselementdetails.aspx?termid=26167")</f>
        <v>https://ceds.ed.gov/cedselementdetails.aspx?termid=26167</v>
      </c>
      <c r="Q2721" s="16">
        <v>74414</v>
      </c>
    </row>
    <row r="2722" spans="1:17" ht="72" x14ac:dyDescent="0.3">
      <c r="A2722" s="16" t="s">
        <v>7724</v>
      </c>
      <c r="B2722" s="16" t="s">
        <v>7666</v>
      </c>
      <c r="C2722" s="16" t="s">
        <v>7600</v>
      </c>
      <c r="D2722" s="16" t="s">
        <v>7597</v>
      </c>
      <c r="E2722" s="16" t="s">
        <v>5865</v>
      </c>
      <c r="F2722" s="16" t="s">
        <v>5866</v>
      </c>
      <c r="G2722" s="16" t="s">
        <v>22</v>
      </c>
      <c r="H2722" s="16" t="s">
        <v>64</v>
      </c>
      <c r="I2722" s="16"/>
      <c r="J2722" s="16"/>
      <c r="K2722" s="16"/>
      <c r="L2722" s="16"/>
      <c r="M2722" s="19" t="s">
        <v>5867</v>
      </c>
      <c r="N2722" s="16"/>
      <c r="O2722" s="16" t="s">
        <v>5868</v>
      </c>
      <c r="P2722" s="16" t="str">
        <f>HYPERLINK("https://ceds.ed.gov/cedselementdetails.aspx?termid=26219")</f>
        <v>https://ceds.ed.gov/cedselementdetails.aspx?termid=26219</v>
      </c>
      <c r="Q2722" s="16">
        <v>74415</v>
      </c>
    </row>
    <row r="2723" spans="1:17" ht="57.6" x14ac:dyDescent="0.3">
      <c r="A2723" s="16" t="s">
        <v>7724</v>
      </c>
      <c r="B2723" s="16" t="s">
        <v>7666</v>
      </c>
      <c r="C2723" s="16" t="s">
        <v>7600</v>
      </c>
      <c r="D2723" s="16" t="s">
        <v>7597</v>
      </c>
      <c r="E2723" s="16" t="s">
        <v>3175</v>
      </c>
      <c r="F2723" s="16" t="s">
        <v>3176</v>
      </c>
      <c r="G2723" s="16" t="s">
        <v>2987</v>
      </c>
      <c r="H2723" s="16"/>
      <c r="I2723" s="16"/>
      <c r="J2723" s="16"/>
      <c r="K2723" s="16"/>
      <c r="L2723" s="16"/>
      <c r="M2723" s="19" t="s">
        <v>3177</v>
      </c>
      <c r="N2723" s="16"/>
      <c r="O2723" s="16" t="s">
        <v>3178</v>
      </c>
      <c r="P2723" s="16" t="str">
        <f>HYPERLINK("https://ceds.ed.gov/cedselementdetails.aspx?termid=27905")</f>
        <v>https://ceds.ed.gov/cedselementdetails.aspx?termid=27905</v>
      </c>
      <c r="Q2723" s="16">
        <v>75395</v>
      </c>
    </row>
    <row r="2724" spans="1:17" ht="57.6" x14ac:dyDescent="0.3">
      <c r="A2724" s="16" t="s">
        <v>7724</v>
      </c>
      <c r="B2724" s="16" t="s">
        <v>7666</v>
      </c>
      <c r="C2724" s="16" t="s">
        <v>7600</v>
      </c>
      <c r="D2724" s="16" t="s">
        <v>7597</v>
      </c>
      <c r="E2724" s="16" t="s">
        <v>7058</v>
      </c>
      <c r="F2724" s="16" t="s">
        <v>7059</v>
      </c>
      <c r="G2724" s="16" t="s">
        <v>8848</v>
      </c>
      <c r="H2724" s="16"/>
      <c r="I2724" s="16"/>
      <c r="J2724" s="16"/>
      <c r="K2724" s="16"/>
      <c r="L2724" s="16"/>
      <c r="M2724" s="19" t="s">
        <v>7060</v>
      </c>
      <c r="N2724" s="16"/>
      <c r="O2724" s="16" t="s">
        <v>7061</v>
      </c>
      <c r="P2724" s="16" t="str">
        <f>HYPERLINK("https://ceds.ed.gov/cedselementdetails.aspx?termid=27911")</f>
        <v>https://ceds.ed.gov/cedselementdetails.aspx?termid=27911</v>
      </c>
      <c r="Q2724" s="16">
        <v>75396</v>
      </c>
    </row>
    <row r="2725" spans="1:17" ht="72" x14ac:dyDescent="0.3">
      <c r="A2725" s="16" t="s">
        <v>7724</v>
      </c>
      <c r="B2725" s="16" t="s">
        <v>7666</v>
      </c>
      <c r="C2725" s="16" t="s">
        <v>7601</v>
      </c>
      <c r="D2725" s="16" t="s">
        <v>7597</v>
      </c>
      <c r="E2725" s="16" t="s">
        <v>5773</v>
      </c>
      <c r="F2725" s="16" t="s">
        <v>5774</v>
      </c>
      <c r="G2725" s="16" t="s">
        <v>32</v>
      </c>
      <c r="H2725" s="16" t="s">
        <v>64</v>
      </c>
      <c r="I2725" s="16"/>
      <c r="J2725" s="16" t="s">
        <v>1304</v>
      </c>
      <c r="K2725" s="16"/>
      <c r="L2725" s="16"/>
      <c r="M2725" s="19" t="s">
        <v>5775</v>
      </c>
      <c r="N2725" s="16"/>
      <c r="O2725" s="16" t="s">
        <v>5776</v>
      </c>
      <c r="P2725" s="16" t="str">
        <f>HYPERLINK("https://ceds.ed.gov/cedselementdetails.aspx?termid=26213")</f>
        <v>https://ceds.ed.gov/cedselementdetails.aspx?termid=26213</v>
      </c>
      <c r="Q2725" s="16">
        <v>74417</v>
      </c>
    </row>
    <row r="2726" spans="1:17" ht="86.4" x14ac:dyDescent="0.3">
      <c r="A2726" s="16" t="s">
        <v>7724</v>
      </c>
      <c r="B2726" s="16" t="s">
        <v>7666</v>
      </c>
      <c r="C2726" s="16" t="s">
        <v>7601</v>
      </c>
      <c r="D2726" s="16" t="s">
        <v>7597</v>
      </c>
      <c r="E2726" s="16" t="s">
        <v>5855</v>
      </c>
      <c r="F2726" s="16" t="s">
        <v>5856</v>
      </c>
      <c r="G2726" s="16" t="s">
        <v>22</v>
      </c>
      <c r="H2726" s="16"/>
      <c r="I2726" s="16"/>
      <c r="J2726" s="16"/>
      <c r="K2726" s="16"/>
      <c r="L2726" s="16"/>
      <c r="M2726" s="19" t="s">
        <v>5857</v>
      </c>
      <c r="N2726" s="16"/>
      <c r="O2726" s="16" t="s">
        <v>5858</v>
      </c>
      <c r="P2726" s="16" t="str">
        <f>HYPERLINK("https://ceds.ed.gov/cedselementdetails.aspx?termid=27397")</f>
        <v>https://ceds.ed.gov/cedselementdetails.aspx?termid=27397</v>
      </c>
      <c r="Q2726" s="16">
        <v>74419</v>
      </c>
    </row>
    <row r="2727" spans="1:17" ht="28.8" x14ac:dyDescent="0.3">
      <c r="A2727" s="16" t="s">
        <v>7724</v>
      </c>
      <c r="B2727" s="16" t="s">
        <v>7666</v>
      </c>
      <c r="C2727" s="16" t="s">
        <v>7601</v>
      </c>
      <c r="D2727" s="16" t="s">
        <v>7597</v>
      </c>
      <c r="E2727" s="16" t="s">
        <v>7262</v>
      </c>
      <c r="F2727" s="16" t="s">
        <v>7263</v>
      </c>
      <c r="G2727" s="16" t="s">
        <v>32</v>
      </c>
      <c r="H2727" s="16" t="s">
        <v>214</v>
      </c>
      <c r="I2727" s="16"/>
      <c r="J2727" s="16" t="s">
        <v>101</v>
      </c>
      <c r="K2727" s="16"/>
      <c r="L2727" s="16"/>
      <c r="M2727" s="19" t="s">
        <v>7264</v>
      </c>
      <c r="N2727" s="16"/>
      <c r="O2727" s="16" t="s">
        <v>7265</v>
      </c>
      <c r="P2727" s="16" t="str">
        <f>HYPERLINK("https://ceds.ed.gov/cedselementdetails.aspx?termid=26300")</f>
        <v>https://ceds.ed.gov/cedselementdetails.aspx?termid=26300</v>
      </c>
      <c r="Q2727" s="16">
        <v>74418</v>
      </c>
    </row>
    <row r="2728" spans="1:17" ht="158.4" x14ac:dyDescent="0.3">
      <c r="A2728" s="16" t="s">
        <v>7724</v>
      </c>
      <c r="B2728" s="16" t="s">
        <v>7666</v>
      </c>
      <c r="C2728" s="16" t="s">
        <v>7602</v>
      </c>
      <c r="D2728" s="16" t="s">
        <v>7597</v>
      </c>
      <c r="E2728" s="16" t="s">
        <v>3990</v>
      </c>
      <c r="F2728" s="16" t="s">
        <v>3991</v>
      </c>
      <c r="G2728" s="16" t="s">
        <v>32</v>
      </c>
      <c r="H2728" s="16" t="s">
        <v>3994</v>
      </c>
      <c r="I2728" s="16"/>
      <c r="J2728" s="16" t="s">
        <v>7426</v>
      </c>
      <c r="K2728" s="16"/>
      <c r="L2728" s="16" t="s">
        <v>8047</v>
      </c>
      <c r="M2728" s="19" t="s">
        <v>3992</v>
      </c>
      <c r="N2728" s="16"/>
      <c r="O2728" s="16" t="s">
        <v>3993</v>
      </c>
      <c r="P2728" s="16" t="str">
        <f>HYPERLINK("https://ceds.ed.gov/cedselementdetails.aspx?termid=26115")</f>
        <v>https://ceds.ed.gov/cedselementdetails.aspx?termid=26115</v>
      </c>
      <c r="Q2728" s="16">
        <v>74420</v>
      </c>
    </row>
    <row r="2729" spans="1:17" ht="158.4" x14ac:dyDescent="0.3">
      <c r="A2729" s="16" t="s">
        <v>7724</v>
      </c>
      <c r="B2729" s="16" t="s">
        <v>7666</v>
      </c>
      <c r="C2729" s="16" t="s">
        <v>7602</v>
      </c>
      <c r="D2729" s="16" t="s">
        <v>7597</v>
      </c>
      <c r="E2729" s="16" t="s">
        <v>5328</v>
      </c>
      <c r="F2729" s="16" t="s">
        <v>5329</v>
      </c>
      <c r="G2729" s="16" t="s">
        <v>32</v>
      </c>
      <c r="H2729" s="16" t="s">
        <v>3994</v>
      </c>
      <c r="I2729" s="16"/>
      <c r="J2729" s="16" t="s">
        <v>7426</v>
      </c>
      <c r="K2729" s="16"/>
      <c r="L2729" s="16" t="s">
        <v>8053</v>
      </c>
      <c r="M2729" s="19" t="s">
        <v>5330</v>
      </c>
      <c r="N2729" s="16"/>
      <c r="O2729" s="16" t="s">
        <v>5331</v>
      </c>
      <c r="P2729" s="16" t="str">
        <f>HYPERLINK("https://ceds.ed.gov/cedselementdetails.aspx?termid=26184")</f>
        <v>https://ceds.ed.gov/cedselementdetails.aspx?termid=26184</v>
      </c>
      <c r="Q2729" s="16">
        <v>74421</v>
      </c>
    </row>
    <row r="2730" spans="1:17" ht="158.4" x14ac:dyDescent="0.3">
      <c r="A2730" s="16" t="s">
        <v>7724</v>
      </c>
      <c r="B2730" s="16" t="s">
        <v>7666</v>
      </c>
      <c r="C2730" s="16" t="s">
        <v>7602</v>
      </c>
      <c r="D2730" s="16" t="s">
        <v>7597</v>
      </c>
      <c r="E2730" s="16" t="s">
        <v>4893</v>
      </c>
      <c r="F2730" s="16" t="s">
        <v>4894</v>
      </c>
      <c r="G2730" s="16" t="s">
        <v>32</v>
      </c>
      <c r="H2730" s="16" t="s">
        <v>3994</v>
      </c>
      <c r="I2730" s="16"/>
      <c r="J2730" s="16" t="s">
        <v>7426</v>
      </c>
      <c r="K2730" s="16"/>
      <c r="L2730" s="16" t="s">
        <v>8053</v>
      </c>
      <c r="M2730" s="19" t="s">
        <v>4895</v>
      </c>
      <c r="N2730" s="16" t="s">
        <v>4896</v>
      </c>
      <c r="O2730" s="16" t="s">
        <v>4897</v>
      </c>
      <c r="P2730" s="16" t="str">
        <f>HYPERLINK("https://ceds.ed.gov/cedselementdetails.aspx?termid=26172")</f>
        <v>https://ceds.ed.gov/cedselementdetails.aspx?termid=26172</v>
      </c>
      <c r="Q2730" s="16">
        <v>74422</v>
      </c>
    </row>
    <row r="2731" spans="1:17" ht="129.6" x14ac:dyDescent="0.3">
      <c r="A2731" s="16" t="s">
        <v>7724</v>
      </c>
      <c r="B2731" s="16" t="s">
        <v>7666</v>
      </c>
      <c r="C2731" s="16" t="s">
        <v>7602</v>
      </c>
      <c r="D2731" s="16" t="s">
        <v>7597</v>
      </c>
      <c r="E2731" s="16" t="s">
        <v>4054</v>
      </c>
      <c r="F2731" s="16" t="s">
        <v>4055</v>
      </c>
      <c r="G2731" s="16" t="s">
        <v>32</v>
      </c>
      <c r="H2731" s="16" t="s">
        <v>4059</v>
      </c>
      <c r="I2731" s="16"/>
      <c r="J2731" s="16" t="s">
        <v>2697</v>
      </c>
      <c r="K2731" s="16"/>
      <c r="L2731" s="16" t="s">
        <v>8053</v>
      </c>
      <c r="M2731" s="19" t="s">
        <v>4057</v>
      </c>
      <c r="N2731" s="16"/>
      <c r="O2731" s="16" t="s">
        <v>4058</v>
      </c>
      <c r="P2731" s="16" t="str">
        <f>HYPERLINK("https://ceds.ed.gov/cedselementdetails.aspx?termid=26121")</f>
        <v>https://ceds.ed.gov/cedselementdetails.aspx?termid=26121</v>
      </c>
      <c r="Q2731" s="16">
        <v>74423</v>
      </c>
    </row>
    <row r="2732" spans="1:17" ht="86.4" x14ac:dyDescent="0.3">
      <c r="A2732" s="16" t="s">
        <v>7724</v>
      </c>
      <c r="B2732" s="16" t="s">
        <v>7666</v>
      </c>
      <c r="C2732" s="16" t="s">
        <v>7602</v>
      </c>
      <c r="D2732" s="16" t="s">
        <v>7597</v>
      </c>
      <c r="E2732" s="16" t="s">
        <v>5760</v>
      </c>
      <c r="F2732" s="16" t="s">
        <v>5761</v>
      </c>
      <c r="G2732" s="16" t="s">
        <v>32</v>
      </c>
      <c r="H2732" s="16" t="s">
        <v>5765</v>
      </c>
      <c r="I2732" s="16"/>
      <c r="J2732" s="16" t="s">
        <v>81</v>
      </c>
      <c r="K2732" s="16"/>
      <c r="L2732" s="16"/>
      <c r="M2732" s="19" t="s">
        <v>5762</v>
      </c>
      <c r="N2732" s="16" t="s">
        <v>5763</v>
      </c>
      <c r="O2732" s="16" t="s">
        <v>5764</v>
      </c>
      <c r="P2732" s="16" t="str">
        <f>HYPERLINK("https://ceds.ed.gov/cedselementdetails.aspx?termid=26212")</f>
        <v>https://ceds.ed.gov/cedselementdetails.aspx?termid=26212</v>
      </c>
      <c r="Q2732" s="16">
        <v>74424</v>
      </c>
    </row>
    <row r="2733" spans="1:17" ht="72" x14ac:dyDescent="0.3">
      <c r="A2733" s="16" t="s">
        <v>7724</v>
      </c>
      <c r="B2733" s="16" t="s">
        <v>7666</v>
      </c>
      <c r="C2733" s="16" t="s">
        <v>7603</v>
      </c>
      <c r="D2733" s="16" t="s">
        <v>7597</v>
      </c>
      <c r="E2733" s="16" t="s">
        <v>187</v>
      </c>
      <c r="F2733" s="16" t="s">
        <v>188</v>
      </c>
      <c r="G2733" s="16" t="s">
        <v>8205</v>
      </c>
      <c r="H2733" s="16" t="s">
        <v>64</v>
      </c>
      <c r="I2733" s="16"/>
      <c r="J2733" s="16" t="s">
        <v>81</v>
      </c>
      <c r="K2733" s="16"/>
      <c r="L2733" s="16"/>
      <c r="M2733" s="19" t="s">
        <v>189</v>
      </c>
      <c r="N2733" s="16"/>
      <c r="O2733" s="16" t="s">
        <v>190</v>
      </c>
      <c r="P2733" s="16" t="str">
        <f>HYPERLINK("https://ceds.ed.gov/cedselementdetails.aspx?termid=26644")</f>
        <v>https://ceds.ed.gov/cedselementdetails.aspx?termid=26644</v>
      </c>
      <c r="Q2733" s="16">
        <v>74425</v>
      </c>
    </row>
    <row r="2734" spans="1:17" ht="187.2" x14ac:dyDescent="0.3">
      <c r="A2734" s="16" t="s">
        <v>7724</v>
      </c>
      <c r="B2734" s="16" t="s">
        <v>7666</v>
      </c>
      <c r="C2734" s="16" t="s">
        <v>7603</v>
      </c>
      <c r="D2734" s="16" t="s">
        <v>7597</v>
      </c>
      <c r="E2734" s="16" t="s">
        <v>177</v>
      </c>
      <c r="F2734" s="16" t="s">
        <v>178</v>
      </c>
      <c r="G2734" s="16" t="s">
        <v>32</v>
      </c>
      <c r="H2734" s="16" t="s">
        <v>163</v>
      </c>
      <c r="I2734" s="16"/>
      <c r="J2734" s="16" t="s">
        <v>179</v>
      </c>
      <c r="K2734" s="16"/>
      <c r="L2734" s="16"/>
      <c r="M2734" s="19" t="s">
        <v>180</v>
      </c>
      <c r="N2734" s="16"/>
      <c r="O2734" s="16" t="s">
        <v>181</v>
      </c>
      <c r="P2734" s="16" t="str">
        <f>HYPERLINK("https://ceds.ed.gov/cedselementdetails.aspx?termid=26269")</f>
        <v>https://ceds.ed.gov/cedselementdetails.aspx?termid=26269</v>
      </c>
      <c r="Q2734" s="16">
        <v>74426</v>
      </c>
    </row>
    <row r="2735" spans="1:17" ht="187.2" x14ac:dyDescent="0.3">
      <c r="A2735" s="16" t="s">
        <v>7724</v>
      </c>
      <c r="B2735" s="16" t="s">
        <v>7666</v>
      </c>
      <c r="C2735" s="16" t="s">
        <v>7603</v>
      </c>
      <c r="D2735" s="16" t="s">
        <v>7597</v>
      </c>
      <c r="E2735" s="16" t="s">
        <v>158</v>
      </c>
      <c r="F2735" s="16" t="s">
        <v>159</v>
      </c>
      <c r="G2735" s="16" t="s">
        <v>32</v>
      </c>
      <c r="H2735" s="16" t="s">
        <v>163</v>
      </c>
      <c r="I2735" s="16"/>
      <c r="J2735" s="16" t="s">
        <v>145</v>
      </c>
      <c r="K2735" s="16"/>
      <c r="L2735" s="16"/>
      <c r="M2735" s="19" t="s">
        <v>161</v>
      </c>
      <c r="N2735" s="16"/>
      <c r="O2735" s="16" t="s">
        <v>162</v>
      </c>
      <c r="P2735" s="16" t="str">
        <f>HYPERLINK("https://ceds.ed.gov/cedselementdetails.aspx?termid=26019")</f>
        <v>https://ceds.ed.gov/cedselementdetails.aspx?termid=26019</v>
      </c>
      <c r="Q2735" s="16">
        <v>74427</v>
      </c>
    </row>
    <row r="2736" spans="1:17" ht="187.2" x14ac:dyDescent="0.3">
      <c r="A2736" s="16" t="s">
        <v>7724</v>
      </c>
      <c r="B2736" s="16" t="s">
        <v>7666</v>
      </c>
      <c r="C2736" s="16" t="s">
        <v>7603</v>
      </c>
      <c r="D2736" s="16" t="s">
        <v>7597</v>
      </c>
      <c r="E2736" s="16" t="s">
        <v>164</v>
      </c>
      <c r="F2736" s="16" t="s">
        <v>165</v>
      </c>
      <c r="G2736" s="16" t="s">
        <v>32</v>
      </c>
      <c r="H2736" s="16" t="s">
        <v>163</v>
      </c>
      <c r="I2736" s="16"/>
      <c r="J2736" s="16" t="s">
        <v>81</v>
      </c>
      <c r="K2736" s="16"/>
      <c r="L2736" s="16"/>
      <c r="M2736" s="19" t="s">
        <v>166</v>
      </c>
      <c r="N2736" s="16"/>
      <c r="O2736" s="16" t="s">
        <v>167</v>
      </c>
      <c r="P2736" s="16" t="str">
        <f>HYPERLINK("https://ceds.ed.gov/cedselementdetails.aspx?termid=26040")</f>
        <v>https://ceds.ed.gov/cedselementdetails.aspx?termid=26040</v>
      </c>
      <c r="Q2736" s="16">
        <v>74428</v>
      </c>
    </row>
    <row r="2737" spans="1:17" ht="409.6" x14ac:dyDescent="0.3">
      <c r="A2737" s="16" t="s">
        <v>7724</v>
      </c>
      <c r="B2737" s="16" t="s">
        <v>7666</v>
      </c>
      <c r="C2737" s="16" t="s">
        <v>7603</v>
      </c>
      <c r="D2737" s="16" t="s">
        <v>7597</v>
      </c>
      <c r="E2737" s="16" t="s">
        <v>6840</v>
      </c>
      <c r="F2737" s="16" t="s">
        <v>6841</v>
      </c>
      <c r="G2737" s="16" t="s">
        <v>8266</v>
      </c>
      <c r="H2737" s="16" t="s">
        <v>6844</v>
      </c>
      <c r="I2737" s="16"/>
      <c r="J2737" s="16"/>
      <c r="K2737" s="16"/>
      <c r="L2737" s="16"/>
      <c r="M2737" s="19" t="s">
        <v>6842</v>
      </c>
      <c r="N2737" s="16"/>
      <c r="O2737" s="16" t="s">
        <v>6843</v>
      </c>
      <c r="P2737" s="16" t="str">
        <f>HYPERLINK("https://ceds.ed.gov/cedselementdetails.aspx?termid=26267")</f>
        <v>https://ceds.ed.gov/cedselementdetails.aspx?termid=26267</v>
      </c>
      <c r="Q2737" s="16">
        <v>74429</v>
      </c>
    </row>
    <row r="2738" spans="1:17" ht="187.2" x14ac:dyDescent="0.3">
      <c r="A2738" s="16" t="s">
        <v>7724</v>
      </c>
      <c r="B2738" s="16" t="s">
        <v>7666</v>
      </c>
      <c r="C2738" s="16" t="s">
        <v>7603</v>
      </c>
      <c r="D2738" s="16" t="s">
        <v>7597</v>
      </c>
      <c r="E2738" s="16" t="s">
        <v>172</v>
      </c>
      <c r="F2738" s="16" t="s">
        <v>173</v>
      </c>
      <c r="G2738" s="16" t="s">
        <v>32</v>
      </c>
      <c r="H2738" s="16" t="s">
        <v>163</v>
      </c>
      <c r="I2738" s="16"/>
      <c r="J2738" s="16" t="s">
        <v>174</v>
      </c>
      <c r="K2738" s="16"/>
      <c r="L2738" s="16"/>
      <c r="M2738" s="19" t="s">
        <v>175</v>
      </c>
      <c r="N2738" s="16"/>
      <c r="O2738" s="16" t="s">
        <v>176</v>
      </c>
      <c r="P2738" s="16" t="str">
        <f>HYPERLINK("https://ceds.ed.gov/cedselementdetails.aspx?termid=26214")</f>
        <v>https://ceds.ed.gov/cedselementdetails.aspx?termid=26214</v>
      </c>
      <c r="Q2738" s="16">
        <v>74430</v>
      </c>
    </row>
    <row r="2739" spans="1:17" ht="187.2" x14ac:dyDescent="0.3">
      <c r="A2739" s="16" t="s">
        <v>7724</v>
      </c>
      <c r="B2739" s="16" t="s">
        <v>7666</v>
      </c>
      <c r="C2739" s="16" t="s">
        <v>7603</v>
      </c>
      <c r="D2739" s="16" t="s">
        <v>7597</v>
      </c>
      <c r="E2739" s="16" t="s">
        <v>168</v>
      </c>
      <c r="F2739" s="16" t="s">
        <v>169</v>
      </c>
      <c r="G2739" s="16" t="s">
        <v>32</v>
      </c>
      <c r="H2739" s="16" t="s">
        <v>163</v>
      </c>
      <c r="I2739" s="16"/>
      <c r="J2739" s="16" t="s">
        <v>81</v>
      </c>
      <c r="K2739" s="16"/>
      <c r="L2739" s="16"/>
      <c r="M2739" s="19" t="s">
        <v>170</v>
      </c>
      <c r="N2739" s="16"/>
      <c r="O2739" s="16" t="s">
        <v>171</v>
      </c>
      <c r="P2739" s="16" t="str">
        <f>HYPERLINK("https://ceds.ed.gov/cedselementdetails.aspx?termid=26190")</f>
        <v>https://ceds.ed.gov/cedselementdetails.aspx?termid=26190</v>
      </c>
      <c r="Q2739" s="16">
        <v>74431</v>
      </c>
    </row>
    <row r="2740" spans="1:17" ht="409.6" x14ac:dyDescent="0.3">
      <c r="A2740" s="16" t="s">
        <v>7724</v>
      </c>
      <c r="B2740" s="16" t="s">
        <v>7666</v>
      </c>
      <c r="C2740" s="16" t="s">
        <v>7603</v>
      </c>
      <c r="D2740" s="16" t="s">
        <v>7597</v>
      </c>
      <c r="E2740" s="16" t="s">
        <v>2483</v>
      </c>
      <c r="F2740" s="16" t="s">
        <v>2484</v>
      </c>
      <c r="G2740" s="16" t="s">
        <v>8454</v>
      </c>
      <c r="H2740" s="16" t="s">
        <v>2487</v>
      </c>
      <c r="I2740" s="16"/>
      <c r="J2740" s="16"/>
      <c r="K2740" s="16"/>
      <c r="L2740" s="16" t="s">
        <v>7915</v>
      </c>
      <c r="M2740" s="19" t="s">
        <v>2485</v>
      </c>
      <c r="N2740" s="16"/>
      <c r="O2740" s="16" t="s">
        <v>2486</v>
      </c>
      <c r="P2740" s="16" t="str">
        <f>HYPERLINK("https://ceds.ed.gov/cedselementdetails.aspx?termid=26050")</f>
        <v>https://ceds.ed.gov/cedselementdetails.aspx?termid=26050</v>
      </c>
      <c r="Q2740" s="16">
        <v>74432</v>
      </c>
    </row>
    <row r="2741" spans="1:17" ht="158.4" x14ac:dyDescent="0.3">
      <c r="A2741" s="16" t="s">
        <v>7724</v>
      </c>
      <c r="B2741" s="16" t="s">
        <v>7666</v>
      </c>
      <c r="C2741" s="16" t="s">
        <v>7603</v>
      </c>
      <c r="D2741" s="16" t="s">
        <v>7597</v>
      </c>
      <c r="E2741" s="16" t="s">
        <v>2493</v>
      </c>
      <c r="F2741" s="16" t="s">
        <v>2494</v>
      </c>
      <c r="G2741" s="16" t="s">
        <v>32</v>
      </c>
      <c r="H2741" s="16"/>
      <c r="I2741" s="16"/>
      <c r="J2741" s="16" t="s">
        <v>2495</v>
      </c>
      <c r="K2741" s="16"/>
      <c r="L2741" s="16"/>
      <c r="M2741" s="19" t="s">
        <v>2496</v>
      </c>
      <c r="N2741" s="16"/>
      <c r="O2741" s="16" t="s">
        <v>2497</v>
      </c>
      <c r="P2741" s="16" t="str">
        <f>HYPERLINK("https://ceds.ed.gov/cedselementdetails.aspx?termid=27176")</f>
        <v>https://ceds.ed.gov/cedselementdetails.aspx?termid=27176</v>
      </c>
      <c r="Q2741" s="16">
        <v>74435</v>
      </c>
    </row>
    <row r="2742" spans="1:17" ht="57.6" x14ac:dyDescent="0.3">
      <c r="A2742" s="16" t="s">
        <v>7724</v>
      </c>
      <c r="B2742" s="16" t="s">
        <v>7666</v>
      </c>
      <c r="C2742" s="16" t="s">
        <v>7603</v>
      </c>
      <c r="D2742" s="16" t="s">
        <v>7597</v>
      </c>
      <c r="E2742" s="16" t="s">
        <v>4902</v>
      </c>
      <c r="F2742" s="16" t="s">
        <v>4903</v>
      </c>
      <c r="G2742" s="16" t="s">
        <v>32</v>
      </c>
      <c r="H2742" s="16"/>
      <c r="I2742" s="16"/>
      <c r="J2742" s="16" t="s">
        <v>1130</v>
      </c>
      <c r="K2742" s="16"/>
      <c r="L2742" s="16"/>
      <c r="M2742" s="19" t="s">
        <v>4904</v>
      </c>
      <c r="N2742" s="16"/>
      <c r="O2742" s="16" t="s">
        <v>4902</v>
      </c>
      <c r="P2742" s="16" t="str">
        <f>HYPERLINK("https://ceds.ed.gov/cedselementdetails.aspx?termid=26599")</f>
        <v>https://ceds.ed.gov/cedselementdetails.aspx?termid=26599</v>
      </c>
      <c r="Q2742" s="16">
        <v>74433</v>
      </c>
    </row>
    <row r="2743" spans="1:17" ht="57.6" x14ac:dyDescent="0.3">
      <c r="A2743" s="16" t="s">
        <v>7724</v>
      </c>
      <c r="B2743" s="16" t="s">
        <v>7666</v>
      </c>
      <c r="C2743" s="16" t="s">
        <v>7603</v>
      </c>
      <c r="D2743" s="16" t="s">
        <v>7597</v>
      </c>
      <c r="E2743" s="16" t="s">
        <v>5285</v>
      </c>
      <c r="F2743" s="16" t="s">
        <v>5286</v>
      </c>
      <c r="G2743" s="16" t="s">
        <v>32</v>
      </c>
      <c r="H2743" s="16"/>
      <c r="I2743" s="16"/>
      <c r="J2743" s="16" t="s">
        <v>1130</v>
      </c>
      <c r="K2743" s="16"/>
      <c r="L2743" s="16"/>
      <c r="M2743" s="19" t="s">
        <v>5287</v>
      </c>
      <c r="N2743" s="16"/>
      <c r="O2743" s="16" t="s">
        <v>5285</v>
      </c>
      <c r="P2743" s="16" t="str">
        <f>HYPERLINK("https://ceds.ed.gov/cedselementdetails.aspx?termid=26600")</f>
        <v>https://ceds.ed.gov/cedselementdetails.aspx?termid=26600</v>
      </c>
      <c r="Q2743" s="16">
        <v>74434</v>
      </c>
    </row>
    <row r="2744" spans="1:17" ht="57.6" x14ac:dyDescent="0.3">
      <c r="A2744" s="16" t="s">
        <v>7724</v>
      </c>
      <c r="B2744" s="16" t="s">
        <v>7666</v>
      </c>
      <c r="C2744" s="16" t="s">
        <v>7603</v>
      </c>
      <c r="D2744" s="16" t="s">
        <v>7597</v>
      </c>
      <c r="E2744" s="16" t="s">
        <v>3175</v>
      </c>
      <c r="F2744" s="16" t="s">
        <v>3176</v>
      </c>
      <c r="G2744" s="16" t="s">
        <v>2987</v>
      </c>
      <c r="H2744" s="16"/>
      <c r="I2744" s="16"/>
      <c r="J2744" s="16"/>
      <c r="K2744" s="16"/>
      <c r="L2744" s="16"/>
      <c r="M2744" s="19" t="s">
        <v>3177</v>
      </c>
      <c r="N2744" s="16"/>
      <c r="O2744" s="16" t="s">
        <v>3178</v>
      </c>
      <c r="P2744" s="16" t="str">
        <f>HYPERLINK("https://ceds.ed.gov/cedselementdetails.aspx?termid=27905")</f>
        <v>https://ceds.ed.gov/cedselementdetails.aspx?termid=27905</v>
      </c>
      <c r="Q2744" s="16">
        <v>75389</v>
      </c>
    </row>
    <row r="2745" spans="1:17" ht="72" x14ac:dyDescent="0.3">
      <c r="A2745" s="16" t="s">
        <v>7724</v>
      </c>
      <c r="B2745" s="16" t="s">
        <v>7666</v>
      </c>
      <c r="C2745" s="16" t="s">
        <v>7605</v>
      </c>
      <c r="D2745" s="16" t="s">
        <v>7597</v>
      </c>
      <c r="E2745" s="16" t="s">
        <v>3406</v>
      </c>
      <c r="F2745" s="16" t="s">
        <v>3407</v>
      </c>
      <c r="G2745" s="16" t="s">
        <v>32</v>
      </c>
      <c r="H2745" s="16" t="s">
        <v>64</v>
      </c>
      <c r="I2745" s="16"/>
      <c r="J2745" s="16" t="s">
        <v>3408</v>
      </c>
      <c r="K2745" s="16"/>
      <c r="L2745" s="16"/>
      <c r="M2745" s="19" t="s">
        <v>3409</v>
      </c>
      <c r="N2745" s="16" t="s">
        <v>3410</v>
      </c>
      <c r="O2745" s="16" t="s">
        <v>3411</v>
      </c>
      <c r="P2745" s="16" t="str">
        <f>HYPERLINK("https://ceds.ed.gov/cedselementdetails.aspx?termid=26088")</f>
        <v>https://ceds.ed.gov/cedselementdetails.aspx?termid=26088</v>
      </c>
      <c r="Q2745" s="16">
        <v>74436</v>
      </c>
    </row>
    <row r="2746" spans="1:17" ht="72" x14ac:dyDescent="0.3">
      <c r="A2746" s="16" t="s">
        <v>7724</v>
      </c>
      <c r="B2746" s="16" t="s">
        <v>7666</v>
      </c>
      <c r="C2746" s="16" t="s">
        <v>7605</v>
      </c>
      <c r="D2746" s="16" t="s">
        <v>7597</v>
      </c>
      <c r="E2746" s="16" t="s">
        <v>3412</v>
      </c>
      <c r="F2746" s="16" t="s">
        <v>3413</v>
      </c>
      <c r="G2746" s="16" t="s">
        <v>9330</v>
      </c>
      <c r="H2746" s="16" t="s">
        <v>64</v>
      </c>
      <c r="I2746" s="16"/>
      <c r="J2746" s="16"/>
      <c r="K2746" s="16"/>
      <c r="L2746" s="16"/>
      <c r="M2746" s="19" t="s">
        <v>3414</v>
      </c>
      <c r="N2746" s="16" t="s">
        <v>3415</v>
      </c>
      <c r="O2746" s="16" t="s">
        <v>3416</v>
      </c>
      <c r="P2746" s="16" t="str">
        <f>HYPERLINK("https://ceds.ed.gov/cedselementdetails.aspx?termid=26089")</f>
        <v>https://ceds.ed.gov/cedselementdetails.aspx?termid=26089</v>
      </c>
      <c r="Q2746" s="16">
        <v>74437</v>
      </c>
    </row>
    <row r="2747" spans="1:17" ht="57.6" x14ac:dyDescent="0.3">
      <c r="A2747" s="16" t="s">
        <v>7724</v>
      </c>
      <c r="B2747" s="16" t="s">
        <v>7666</v>
      </c>
      <c r="C2747" s="16" t="s">
        <v>7605</v>
      </c>
      <c r="D2747" s="16" t="s">
        <v>7597</v>
      </c>
      <c r="E2747" s="16" t="s">
        <v>3175</v>
      </c>
      <c r="F2747" s="16" t="s">
        <v>3176</v>
      </c>
      <c r="G2747" s="16" t="s">
        <v>2987</v>
      </c>
      <c r="H2747" s="16"/>
      <c r="I2747" s="16"/>
      <c r="J2747" s="16"/>
      <c r="K2747" s="16"/>
      <c r="L2747" s="16"/>
      <c r="M2747" s="19" t="s">
        <v>3177</v>
      </c>
      <c r="N2747" s="16"/>
      <c r="O2747" s="16" t="s">
        <v>3178</v>
      </c>
      <c r="P2747" s="16" t="str">
        <f>HYPERLINK("https://ceds.ed.gov/cedselementdetails.aspx?termid=27905")</f>
        <v>https://ceds.ed.gov/cedselementdetails.aspx?termid=27905</v>
      </c>
      <c r="Q2747" s="16">
        <v>75390</v>
      </c>
    </row>
    <row r="2748" spans="1:17" ht="72" x14ac:dyDescent="0.3">
      <c r="A2748" s="16" t="s">
        <v>7724</v>
      </c>
      <c r="B2748" s="16" t="s">
        <v>7666</v>
      </c>
      <c r="C2748" s="16" t="s">
        <v>7604</v>
      </c>
      <c r="D2748" s="16" t="s">
        <v>7597</v>
      </c>
      <c r="E2748" s="16" t="s">
        <v>7053</v>
      </c>
      <c r="F2748" s="16" t="s">
        <v>7054</v>
      </c>
      <c r="G2748" s="16" t="s">
        <v>32</v>
      </c>
      <c r="H2748" s="16" t="s">
        <v>64</v>
      </c>
      <c r="I2748" s="16"/>
      <c r="J2748" s="16" t="s">
        <v>7055</v>
      </c>
      <c r="K2748" s="16"/>
      <c r="L2748" s="16"/>
      <c r="M2748" s="19" t="s">
        <v>7056</v>
      </c>
      <c r="N2748" s="16"/>
      <c r="O2748" s="16" t="s">
        <v>7057</v>
      </c>
      <c r="P2748" s="16" t="str">
        <f>HYPERLINK("https://ceds.ed.gov/cedselementdetails.aspx?termid=26279")</f>
        <v>https://ceds.ed.gov/cedselementdetails.aspx?termid=26279</v>
      </c>
      <c r="Q2748" s="16">
        <v>74438</v>
      </c>
    </row>
    <row r="2749" spans="1:17" ht="86.4" x14ac:dyDescent="0.3">
      <c r="A2749" s="16" t="s">
        <v>7724</v>
      </c>
      <c r="B2749" s="16" t="s">
        <v>7666</v>
      </c>
      <c r="C2749" s="16" t="s">
        <v>7604</v>
      </c>
      <c r="D2749" s="16" t="s">
        <v>7597</v>
      </c>
      <c r="E2749" s="16" t="s">
        <v>7062</v>
      </c>
      <c r="F2749" s="16" t="s">
        <v>7063</v>
      </c>
      <c r="G2749" s="16" t="s">
        <v>8849</v>
      </c>
      <c r="H2749" s="16" t="s">
        <v>64</v>
      </c>
      <c r="I2749" s="16"/>
      <c r="J2749" s="16" t="s">
        <v>2500</v>
      </c>
      <c r="K2749" s="16"/>
      <c r="L2749" s="16"/>
      <c r="M2749" s="19" t="s">
        <v>7064</v>
      </c>
      <c r="N2749" s="16"/>
      <c r="O2749" s="16" t="s">
        <v>7065</v>
      </c>
      <c r="P2749" s="16" t="str">
        <f>HYPERLINK("https://ceds.ed.gov/cedselementdetails.aspx?termid=26280")</f>
        <v>https://ceds.ed.gov/cedselementdetails.aspx?termid=26280</v>
      </c>
      <c r="Q2749" s="16">
        <v>74439</v>
      </c>
    </row>
    <row r="2750" spans="1:17" ht="72" x14ac:dyDescent="0.3">
      <c r="A2750" s="16" t="s">
        <v>7724</v>
      </c>
      <c r="B2750" s="16" t="s">
        <v>7666</v>
      </c>
      <c r="C2750" s="16" t="s">
        <v>7604</v>
      </c>
      <c r="D2750" s="16" t="s">
        <v>7597</v>
      </c>
      <c r="E2750" s="16" t="s">
        <v>5865</v>
      </c>
      <c r="F2750" s="16" t="s">
        <v>5866</v>
      </c>
      <c r="G2750" s="16" t="s">
        <v>22</v>
      </c>
      <c r="H2750" s="16" t="s">
        <v>64</v>
      </c>
      <c r="I2750" s="16"/>
      <c r="J2750" s="16"/>
      <c r="K2750" s="16"/>
      <c r="L2750" s="16"/>
      <c r="M2750" s="19" t="s">
        <v>5867</v>
      </c>
      <c r="N2750" s="16"/>
      <c r="O2750" s="16" t="s">
        <v>5868</v>
      </c>
      <c r="P2750" s="16" t="str">
        <f>HYPERLINK("https://ceds.ed.gov/cedselementdetails.aspx?termid=26219")</f>
        <v>https://ceds.ed.gov/cedselementdetails.aspx?termid=26219</v>
      </c>
      <c r="Q2750" s="16">
        <v>74440</v>
      </c>
    </row>
    <row r="2751" spans="1:17" ht="57.6" x14ac:dyDescent="0.3">
      <c r="A2751" s="16" t="s">
        <v>7724</v>
      </c>
      <c r="B2751" s="16" t="s">
        <v>7666</v>
      </c>
      <c r="C2751" s="16" t="s">
        <v>7604</v>
      </c>
      <c r="D2751" s="16" t="s">
        <v>7597</v>
      </c>
      <c r="E2751" s="16" t="s">
        <v>3175</v>
      </c>
      <c r="F2751" s="16" t="s">
        <v>3176</v>
      </c>
      <c r="G2751" s="16" t="s">
        <v>2987</v>
      </c>
      <c r="H2751" s="16"/>
      <c r="I2751" s="16"/>
      <c r="J2751" s="16"/>
      <c r="K2751" s="16"/>
      <c r="L2751" s="16"/>
      <c r="M2751" s="19" t="s">
        <v>3177</v>
      </c>
      <c r="N2751" s="16"/>
      <c r="O2751" s="16" t="s">
        <v>3178</v>
      </c>
      <c r="P2751" s="16" t="str">
        <f>HYPERLINK("https://ceds.ed.gov/cedselementdetails.aspx?termid=27905")</f>
        <v>https://ceds.ed.gov/cedselementdetails.aspx?termid=27905</v>
      </c>
      <c r="Q2751" s="16">
        <v>75391</v>
      </c>
    </row>
    <row r="2752" spans="1:17" ht="57.6" x14ac:dyDescent="0.3">
      <c r="A2752" s="16" t="s">
        <v>7724</v>
      </c>
      <c r="B2752" s="16" t="s">
        <v>7666</v>
      </c>
      <c r="C2752" s="16" t="s">
        <v>7604</v>
      </c>
      <c r="D2752" s="16" t="s">
        <v>7597</v>
      </c>
      <c r="E2752" s="16" t="s">
        <v>7058</v>
      </c>
      <c r="F2752" s="16" t="s">
        <v>7059</v>
      </c>
      <c r="G2752" s="16" t="s">
        <v>8848</v>
      </c>
      <c r="H2752" s="16"/>
      <c r="I2752" s="16"/>
      <c r="J2752" s="16"/>
      <c r="K2752" s="16"/>
      <c r="L2752" s="16"/>
      <c r="M2752" s="19" t="s">
        <v>7060</v>
      </c>
      <c r="N2752" s="16"/>
      <c r="O2752" s="16" t="s">
        <v>7061</v>
      </c>
      <c r="P2752" s="16" t="str">
        <f>HYPERLINK("https://ceds.ed.gov/cedselementdetails.aspx?termid=27911")</f>
        <v>https://ceds.ed.gov/cedselementdetails.aspx?termid=27911</v>
      </c>
      <c r="Q2752" s="16">
        <v>75392</v>
      </c>
    </row>
    <row r="2753" spans="1:17" ht="28.8" x14ac:dyDescent="0.3">
      <c r="A2753" s="16" t="s">
        <v>7724</v>
      </c>
      <c r="B2753" s="16" t="s">
        <v>7666</v>
      </c>
      <c r="C2753" s="16" t="s">
        <v>7606</v>
      </c>
      <c r="D2753" s="16" t="s">
        <v>7597</v>
      </c>
      <c r="E2753" s="16" t="s">
        <v>5631</v>
      </c>
      <c r="F2753" s="16" t="s">
        <v>5632</v>
      </c>
      <c r="G2753" s="16" t="s">
        <v>32</v>
      </c>
      <c r="H2753" s="16"/>
      <c r="I2753" s="16"/>
      <c r="J2753" s="16" t="s">
        <v>1266</v>
      </c>
      <c r="K2753" s="16"/>
      <c r="L2753" s="16" t="s">
        <v>5633</v>
      </c>
      <c r="M2753" s="19" t="s">
        <v>5634</v>
      </c>
      <c r="N2753" s="16"/>
      <c r="O2753" s="16" t="s">
        <v>5635</v>
      </c>
      <c r="P2753" s="16" t="str">
        <f>HYPERLINK("https://ceds.ed.gov/cedselementdetails.aspx?termid=27486")</f>
        <v>https://ceds.ed.gov/cedselementdetails.aspx?termid=27486</v>
      </c>
      <c r="Q2753" s="16">
        <v>74444</v>
      </c>
    </row>
    <row r="2754" spans="1:17" ht="28.8" x14ac:dyDescent="0.3">
      <c r="A2754" s="16" t="s">
        <v>7724</v>
      </c>
      <c r="B2754" s="16" t="s">
        <v>7666</v>
      </c>
      <c r="C2754" s="16" t="s">
        <v>7606</v>
      </c>
      <c r="D2754" s="16" t="s">
        <v>7597</v>
      </c>
      <c r="E2754" s="16" t="s">
        <v>5636</v>
      </c>
      <c r="F2754" s="16" t="s">
        <v>5637</v>
      </c>
      <c r="G2754" s="16" t="s">
        <v>32</v>
      </c>
      <c r="H2754" s="16"/>
      <c r="I2754" s="16"/>
      <c r="J2754" s="16" t="s">
        <v>1266</v>
      </c>
      <c r="K2754" s="16"/>
      <c r="L2754" s="16" t="s">
        <v>5638</v>
      </c>
      <c r="M2754" s="19" t="s">
        <v>5639</v>
      </c>
      <c r="N2754" s="16"/>
      <c r="O2754" s="16" t="s">
        <v>5640</v>
      </c>
      <c r="P2754" s="16" t="str">
        <f>HYPERLINK("https://ceds.ed.gov/cedselementdetails.aspx?termid=27485")</f>
        <v>https://ceds.ed.gov/cedselementdetails.aspx?termid=27485</v>
      </c>
      <c r="Q2754" s="16">
        <v>74443</v>
      </c>
    </row>
    <row r="2755" spans="1:17" ht="28.8" x14ac:dyDescent="0.3">
      <c r="A2755" s="16" t="s">
        <v>7724</v>
      </c>
      <c r="B2755" s="16" t="s">
        <v>7666</v>
      </c>
      <c r="C2755" s="16" t="s">
        <v>7606</v>
      </c>
      <c r="D2755" s="16" t="s">
        <v>7597</v>
      </c>
      <c r="E2755" s="16" t="s">
        <v>5641</v>
      </c>
      <c r="F2755" s="16" t="s">
        <v>5642</v>
      </c>
      <c r="G2755" s="16" t="s">
        <v>32</v>
      </c>
      <c r="H2755" s="16"/>
      <c r="I2755" s="16"/>
      <c r="J2755" s="16" t="s">
        <v>1266</v>
      </c>
      <c r="K2755" s="16"/>
      <c r="L2755" s="16" t="s">
        <v>5643</v>
      </c>
      <c r="M2755" s="19" t="s">
        <v>5644</v>
      </c>
      <c r="N2755" s="16"/>
      <c r="O2755" s="16" t="s">
        <v>5645</v>
      </c>
      <c r="P2755" s="16" t="str">
        <f>HYPERLINK("https://ceds.ed.gov/cedselementdetails.aspx?termid=27487")</f>
        <v>https://ceds.ed.gov/cedselementdetails.aspx?termid=27487</v>
      </c>
      <c r="Q2755" s="16">
        <v>74445</v>
      </c>
    </row>
    <row r="2756" spans="1:17" ht="129.6" x14ac:dyDescent="0.3">
      <c r="A2756" s="16" t="s">
        <v>7724</v>
      </c>
      <c r="B2756" s="16" t="s">
        <v>7666</v>
      </c>
      <c r="C2756" s="16" t="s">
        <v>7606</v>
      </c>
      <c r="D2756" s="16" t="s">
        <v>7597</v>
      </c>
      <c r="E2756" s="16" t="s">
        <v>5646</v>
      </c>
      <c r="F2756" s="16" t="s">
        <v>5647</v>
      </c>
      <c r="G2756" s="16" t="s">
        <v>32</v>
      </c>
      <c r="H2756" s="16" t="s">
        <v>4059</v>
      </c>
      <c r="I2756" s="16"/>
      <c r="J2756" s="16" t="s">
        <v>120</v>
      </c>
      <c r="K2756" s="16"/>
      <c r="L2756" s="16"/>
      <c r="M2756" s="19" t="s">
        <v>5648</v>
      </c>
      <c r="N2756" s="16"/>
      <c r="O2756" s="16" t="s">
        <v>5649</v>
      </c>
      <c r="P2756" s="16" t="str">
        <f>HYPERLINK("https://ceds.ed.gov/cedselementdetails.aspx?termid=26206")</f>
        <v>https://ceds.ed.gov/cedselementdetails.aspx?termid=26206</v>
      </c>
      <c r="Q2756" s="16">
        <v>74441</v>
      </c>
    </row>
    <row r="2757" spans="1:17" ht="115.2" x14ac:dyDescent="0.3">
      <c r="A2757" s="16" t="s">
        <v>7724</v>
      </c>
      <c r="B2757" s="16" t="s">
        <v>7666</v>
      </c>
      <c r="C2757" s="16" t="s">
        <v>7606</v>
      </c>
      <c r="D2757" s="16" t="s">
        <v>7597</v>
      </c>
      <c r="E2757" s="16" t="s">
        <v>5650</v>
      </c>
      <c r="F2757" s="16" t="s">
        <v>5651</v>
      </c>
      <c r="G2757" s="16" t="s">
        <v>8746</v>
      </c>
      <c r="H2757" s="16" t="s">
        <v>5654</v>
      </c>
      <c r="I2757" s="16"/>
      <c r="J2757" s="16" t="s">
        <v>81</v>
      </c>
      <c r="K2757" s="16"/>
      <c r="L2757" s="16"/>
      <c r="M2757" s="19" t="s">
        <v>5652</v>
      </c>
      <c r="N2757" s="16"/>
      <c r="O2757" s="16" t="s">
        <v>5653</v>
      </c>
      <c r="P2757" s="16" t="str">
        <f>HYPERLINK("https://ceds.ed.gov/cedselementdetails.aspx?termid=26627")</f>
        <v>https://ceds.ed.gov/cedselementdetails.aspx?termid=26627</v>
      </c>
      <c r="Q2757" s="16">
        <v>74442</v>
      </c>
    </row>
    <row r="2758" spans="1:17" ht="409.6" x14ac:dyDescent="0.3">
      <c r="A2758" s="16" t="s">
        <v>7724</v>
      </c>
      <c r="B2758" s="16" t="s">
        <v>7666</v>
      </c>
      <c r="C2758" s="16" t="s">
        <v>7607</v>
      </c>
      <c r="D2758" s="16" t="s">
        <v>7597</v>
      </c>
      <c r="E2758" s="16" t="s">
        <v>4037</v>
      </c>
      <c r="F2758" s="16" t="s">
        <v>4038</v>
      </c>
      <c r="G2758" s="16" t="s">
        <v>8606</v>
      </c>
      <c r="H2758" s="16" t="s">
        <v>3397</v>
      </c>
      <c r="I2758" s="16"/>
      <c r="J2758" s="16"/>
      <c r="K2758" s="16"/>
      <c r="L2758" s="16"/>
      <c r="M2758" s="19" t="s">
        <v>4039</v>
      </c>
      <c r="N2758" s="16"/>
      <c r="O2758" s="16" t="s">
        <v>4040</v>
      </c>
      <c r="P2758" s="16" t="str">
        <f>HYPERLINK("https://ceds.ed.gov/cedselementdetails.aspx?termid=26866")</f>
        <v>https://ceds.ed.gov/cedselementdetails.aspx?termid=26866</v>
      </c>
      <c r="Q2758" s="16">
        <v>75393</v>
      </c>
    </row>
    <row r="2759" spans="1:17" ht="409.6" x14ac:dyDescent="0.3">
      <c r="A2759" s="16" t="s">
        <v>7724</v>
      </c>
      <c r="B2759" s="16" t="s">
        <v>7666</v>
      </c>
      <c r="C2759" s="16" t="s">
        <v>7607</v>
      </c>
      <c r="D2759" s="16" t="s">
        <v>7597</v>
      </c>
      <c r="E2759" s="16" t="s">
        <v>5680</v>
      </c>
      <c r="F2759" s="16" t="s">
        <v>5681</v>
      </c>
      <c r="G2759" s="16" t="s">
        <v>8606</v>
      </c>
      <c r="H2759" s="16" t="s">
        <v>3397</v>
      </c>
      <c r="I2759" s="16"/>
      <c r="J2759" s="16"/>
      <c r="K2759" s="16"/>
      <c r="L2759" s="16"/>
      <c r="M2759" s="19" t="s">
        <v>5682</v>
      </c>
      <c r="N2759" s="16"/>
      <c r="O2759" s="16" t="s">
        <v>5683</v>
      </c>
      <c r="P2759" s="16" t="str">
        <f>HYPERLINK("https://ceds.ed.gov/cedselementdetails.aspx?termid=26867")</f>
        <v>https://ceds.ed.gov/cedselementdetails.aspx?termid=26867</v>
      </c>
      <c r="Q2759" s="16">
        <v>75394</v>
      </c>
    </row>
    <row r="2760" spans="1:17" ht="115.2" x14ac:dyDescent="0.3">
      <c r="A2760" s="16" t="s">
        <v>7724</v>
      </c>
      <c r="B2760" s="16" t="s">
        <v>7666</v>
      </c>
      <c r="C2760" s="16" t="s">
        <v>7607</v>
      </c>
      <c r="D2760" s="16" t="s">
        <v>7597</v>
      </c>
      <c r="E2760" s="16" t="s">
        <v>6705</v>
      </c>
      <c r="F2760" s="16" t="s">
        <v>6706</v>
      </c>
      <c r="G2760" s="16" t="s">
        <v>8834</v>
      </c>
      <c r="H2760" s="16" t="s">
        <v>98</v>
      </c>
      <c r="I2760" s="16"/>
      <c r="J2760" s="16"/>
      <c r="K2760" s="16"/>
      <c r="L2760" s="16"/>
      <c r="M2760" s="19" t="s">
        <v>6707</v>
      </c>
      <c r="N2760" s="16"/>
      <c r="O2760" s="16" t="s">
        <v>6708</v>
      </c>
      <c r="P2760" s="16" t="str">
        <f>HYPERLINK("https://ceds.ed.gov/cedselementdetails.aspx?termid=26852")</f>
        <v>https://ceds.ed.gov/cedselementdetails.aspx?termid=26852</v>
      </c>
      <c r="Q2760" s="16">
        <v>75582</v>
      </c>
    </row>
    <row r="2761" spans="1:17" ht="43.2" x14ac:dyDescent="0.3">
      <c r="A2761" s="16" t="s">
        <v>7724</v>
      </c>
      <c r="B2761" s="16" t="s">
        <v>7666</v>
      </c>
      <c r="C2761" s="16" t="s">
        <v>7607</v>
      </c>
      <c r="D2761" s="16" t="s">
        <v>7597</v>
      </c>
      <c r="E2761" s="16" t="s">
        <v>9229</v>
      </c>
      <c r="F2761" s="16" t="s">
        <v>9230</v>
      </c>
      <c r="G2761" s="16" t="s">
        <v>32</v>
      </c>
      <c r="H2761" s="16"/>
      <c r="I2761" s="16"/>
      <c r="J2761" s="16" t="s">
        <v>316</v>
      </c>
      <c r="K2761" s="16"/>
      <c r="L2761" s="16"/>
      <c r="M2761" s="19" t="s">
        <v>9231</v>
      </c>
      <c r="N2761" s="16"/>
      <c r="O2761" s="16" t="s">
        <v>9232</v>
      </c>
      <c r="P2761" s="16" t="str">
        <f>HYPERLINK("https://ceds.ed.gov/cedselementdetails.aspx?termid=28081")</f>
        <v>https://ceds.ed.gov/cedselementdetails.aspx?termid=28081</v>
      </c>
      <c r="Q2761" s="16">
        <v>76369</v>
      </c>
    </row>
    <row r="2762" spans="1:17" ht="28.8" x14ac:dyDescent="0.3">
      <c r="A2762" s="16" t="s">
        <v>7724</v>
      </c>
      <c r="B2762" s="16" t="s">
        <v>7666</v>
      </c>
      <c r="C2762" s="16" t="s">
        <v>7607</v>
      </c>
      <c r="D2762" s="16" t="s">
        <v>7597</v>
      </c>
      <c r="E2762" s="16" t="s">
        <v>9233</v>
      </c>
      <c r="F2762" s="16" t="s">
        <v>9234</v>
      </c>
      <c r="G2762" s="16" t="s">
        <v>32</v>
      </c>
      <c r="H2762" s="16"/>
      <c r="I2762" s="16"/>
      <c r="J2762" s="16" t="s">
        <v>145</v>
      </c>
      <c r="K2762" s="16"/>
      <c r="L2762" s="16"/>
      <c r="M2762" s="19" t="s">
        <v>9235</v>
      </c>
      <c r="N2762" s="16"/>
      <c r="O2762" s="16" t="s">
        <v>9236</v>
      </c>
      <c r="P2762" s="16" t="str">
        <f>HYPERLINK("https://ceds.ed.gov/cedselementdetails.aspx?termid=28082")</f>
        <v>https://ceds.ed.gov/cedselementdetails.aspx?termid=28082</v>
      </c>
      <c r="Q2762" s="16">
        <v>76370</v>
      </c>
    </row>
    <row r="2763" spans="1:17" ht="57.6" x14ac:dyDescent="0.3">
      <c r="A2763" s="16" t="s">
        <v>7724</v>
      </c>
      <c r="B2763" s="16" t="s">
        <v>7666</v>
      </c>
      <c r="C2763" s="16" t="s">
        <v>7607</v>
      </c>
      <c r="D2763" s="16" t="s">
        <v>7597</v>
      </c>
      <c r="E2763" s="16" t="s">
        <v>9237</v>
      </c>
      <c r="F2763" s="16" t="s">
        <v>9238</v>
      </c>
      <c r="G2763" s="16" t="s">
        <v>32</v>
      </c>
      <c r="H2763" s="16"/>
      <c r="I2763" s="16"/>
      <c r="J2763" s="16" t="s">
        <v>145</v>
      </c>
      <c r="K2763" s="16"/>
      <c r="L2763" s="16"/>
      <c r="M2763" s="19" t="s">
        <v>9239</v>
      </c>
      <c r="N2763" s="16"/>
      <c r="O2763" s="16" t="s">
        <v>9240</v>
      </c>
      <c r="P2763" s="16" t="str">
        <f>HYPERLINK("https://ceds.ed.gov/cedselementdetails.aspx?termid=28083")</f>
        <v>https://ceds.ed.gov/cedselementdetails.aspx?termid=28083</v>
      </c>
      <c r="Q2763" s="16">
        <v>76371</v>
      </c>
    </row>
    <row r="2764" spans="1:17" ht="28.8" x14ac:dyDescent="0.3">
      <c r="A2764" s="16" t="s">
        <v>7724</v>
      </c>
      <c r="B2764" s="16" t="s">
        <v>7666</v>
      </c>
      <c r="C2764" s="16" t="s">
        <v>7607</v>
      </c>
      <c r="D2764" s="16" t="s">
        <v>7597</v>
      </c>
      <c r="E2764" s="16" t="s">
        <v>9241</v>
      </c>
      <c r="F2764" s="16" t="s">
        <v>9242</v>
      </c>
      <c r="G2764" s="16" t="s">
        <v>32</v>
      </c>
      <c r="H2764" s="16"/>
      <c r="I2764" s="16"/>
      <c r="J2764" s="16" t="s">
        <v>1481</v>
      </c>
      <c r="K2764" s="16"/>
      <c r="L2764" s="16"/>
      <c r="M2764" s="19" t="s">
        <v>9243</v>
      </c>
      <c r="N2764" s="16"/>
      <c r="O2764" s="16" t="s">
        <v>9244</v>
      </c>
      <c r="P2764" s="16" t="str">
        <f>HYPERLINK("https://ceds.ed.gov/cedselementdetails.aspx?termid=28084")</f>
        <v>https://ceds.ed.gov/cedselementdetails.aspx?termid=28084</v>
      </c>
      <c r="Q2764" s="16">
        <v>76372</v>
      </c>
    </row>
    <row r="2765" spans="1:17" ht="28.8" x14ac:dyDescent="0.3">
      <c r="A2765" s="16" t="s">
        <v>7724</v>
      </c>
      <c r="B2765" s="16" t="s">
        <v>7666</v>
      </c>
      <c r="C2765" s="16" t="s">
        <v>7725</v>
      </c>
      <c r="D2765" s="16" t="s">
        <v>7597</v>
      </c>
      <c r="E2765" s="16" t="s">
        <v>99</v>
      </c>
      <c r="F2765" s="16" t="s">
        <v>100</v>
      </c>
      <c r="G2765" s="16" t="s">
        <v>32</v>
      </c>
      <c r="H2765" s="16"/>
      <c r="I2765" s="16"/>
      <c r="J2765" s="16" t="s">
        <v>101</v>
      </c>
      <c r="K2765" s="16"/>
      <c r="L2765" s="16"/>
      <c r="M2765" s="19" t="s">
        <v>102</v>
      </c>
      <c r="N2765" s="16"/>
      <c r="O2765" s="16" t="s">
        <v>103</v>
      </c>
      <c r="P2765" s="16" t="str">
        <f>HYPERLINK("https://ceds.ed.gov/cedselementdetails.aspx?termid=27500")</f>
        <v>https://ceds.ed.gov/cedselementdetails.aspx?termid=27500</v>
      </c>
      <c r="Q2765" s="16">
        <v>75580</v>
      </c>
    </row>
    <row r="2766" spans="1:17" ht="43.2" x14ac:dyDescent="0.3">
      <c r="A2766" s="16" t="s">
        <v>7724</v>
      </c>
      <c r="B2766" s="16" t="s">
        <v>7666</v>
      </c>
      <c r="C2766" s="16" t="s">
        <v>7725</v>
      </c>
      <c r="D2766" s="16" t="s">
        <v>7597</v>
      </c>
      <c r="E2766" s="16" t="s">
        <v>5614</v>
      </c>
      <c r="F2766" s="16" t="s">
        <v>5615</v>
      </c>
      <c r="G2766" s="16" t="s">
        <v>32</v>
      </c>
      <c r="H2766" s="16"/>
      <c r="I2766" s="16"/>
      <c r="J2766" s="16" t="s">
        <v>106</v>
      </c>
      <c r="K2766" s="16"/>
      <c r="L2766" s="16"/>
      <c r="M2766" s="19" t="s">
        <v>5616</v>
      </c>
      <c r="N2766" s="16"/>
      <c r="O2766" s="16" t="s">
        <v>5617</v>
      </c>
      <c r="P2766" s="16" t="str">
        <f>HYPERLINK("https://ceds.ed.gov/cedselementdetails.aspx?termid=27388")</f>
        <v>https://ceds.ed.gov/cedselementdetails.aspx?termid=27388</v>
      </c>
      <c r="Q2766" s="16">
        <v>75581</v>
      </c>
    </row>
    <row r="2767" spans="1:17" ht="100.8" x14ac:dyDescent="0.3">
      <c r="A2767" s="16" t="s">
        <v>7724</v>
      </c>
      <c r="B2767" s="16" t="s">
        <v>7666</v>
      </c>
      <c r="C2767" s="16" t="s">
        <v>9409</v>
      </c>
      <c r="D2767" s="16" t="s">
        <v>7597</v>
      </c>
      <c r="E2767" s="16" t="s">
        <v>8909</v>
      </c>
      <c r="F2767" s="16" t="s">
        <v>8910</v>
      </c>
      <c r="G2767" s="16" t="s">
        <v>9288</v>
      </c>
      <c r="H2767" s="16"/>
      <c r="I2767" s="16"/>
      <c r="J2767" s="16" t="s">
        <v>2</v>
      </c>
      <c r="K2767" s="16"/>
      <c r="L2767" s="16"/>
      <c r="M2767" s="19" t="s">
        <v>8911</v>
      </c>
      <c r="N2767" s="16"/>
      <c r="O2767" s="16" t="s">
        <v>8912</v>
      </c>
      <c r="P2767" s="16" t="str">
        <f>HYPERLINK("https://ceds.ed.gov/cedselementdetails.aspx?termid=28004")</f>
        <v>https://ceds.ed.gov/cedselementdetails.aspx?termid=28004</v>
      </c>
      <c r="Q2767" s="16">
        <v>76352</v>
      </c>
    </row>
    <row r="2768" spans="1:17" ht="28.8" x14ac:dyDescent="0.3">
      <c r="A2768" s="16" t="s">
        <v>7724</v>
      </c>
      <c r="B2768" s="16" t="s">
        <v>7666</v>
      </c>
      <c r="C2768" s="16" t="s">
        <v>9409</v>
      </c>
      <c r="D2768" s="16" t="s">
        <v>7597</v>
      </c>
      <c r="E2768" s="16" t="s">
        <v>8913</v>
      </c>
      <c r="F2768" s="16" t="s">
        <v>8914</v>
      </c>
      <c r="G2768" s="16" t="s">
        <v>32</v>
      </c>
      <c r="H2768" s="16"/>
      <c r="I2768" s="16"/>
      <c r="J2768" s="16" t="s">
        <v>106</v>
      </c>
      <c r="K2768" s="16"/>
      <c r="L2768" s="16"/>
      <c r="M2768" s="19" t="s">
        <v>8915</v>
      </c>
      <c r="N2768" s="16"/>
      <c r="O2768" s="16" t="s">
        <v>8916</v>
      </c>
      <c r="P2768" s="16" t="str">
        <f>HYPERLINK("https://ceds.ed.gov/cedselementdetails.aspx?termid=28005")</f>
        <v>https://ceds.ed.gov/cedselementdetails.aspx?termid=28005</v>
      </c>
      <c r="Q2768" s="16">
        <v>76353</v>
      </c>
    </row>
    <row r="2769" spans="1:17" ht="28.8" x14ac:dyDescent="0.3">
      <c r="A2769" s="16" t="s">
        <v>7724</v>
      </c>
      <c r="B2769" s="16" t="s">
        <v>7666</v>
      </c>
      <c r="C2769" s="16" t="s">
        <v>9409</v>
      </c>
      <c r="D2769" s="16" t="s">
        <v>7597</v>
      </c>
      <c r="E2769" s="16" t="s">
        <v>8917</v>
      </c>
      <c r="F2769" s="16" t="s">
        <v>8918</v>
      </c>
      <c r="G2769" s="16" t="s">
        <v>32</v>
      </c>
      <c r="H2769" s="16"/>
      <c r="I2769" s="16"/>
      <c r="J2769" s="16" t="s">
        <v>106</v>
      </c>
      <c r="K2769" s="16"/>
      <c r="L2769" s="16"/>
      <c r="M2769" s="19" t="s">
        <v>8919</v>
      </c>
      <c r="N2769" s="16"/>
      <c r="O2769" s="16" t="s">
        <v>8920</v>
      </c>
      <c r="P2769" s="16" t="str">
        <f>HYPERLINK("https://ceds.ed.gov/cedselementdetails.aspx?termid=28006")</f>
        <v>https://ceds.ed.gov/cedselementdetails.aspx?termid=28006</v>
      </c>
      <c r="Q2769" s="16">
        <v>76354</v>
      </c>
    </row>
    <row r="2770" spans="1:17" ht="57.6" x14ac:dyDescent="0.3">
      <c r="A2770" s="16" t="s">
        <v>7724</v>
      </c>
      <c r="B2770" s="16" t="s">
        <v>7666</v>
      </c>
      <c r="C2770" s="16" t="s">
        <v>9409</v>
      </c>
      <c r="D2770" s="16" t="s">
        <v>7597</v>
      </c>
      <c r="E2770" s="16" t="s">
        <v>8921</v>
      </c>
      <c r="F2770" s="16" t="s">
        <v>8922</v>
      </c>
      <c r="G2770" s="16" t="s">
        <v>9289</v>
      </c>
      <c r="H2770" s="16"/>
      <c r="I2770" s="16"/>
      <c r="J2770" s="16" t="s">
        <v>2</v>
      </c>
      <c r="K2770" s="16"/>
      <c r="L2770" s="16"/>
      <c r="M2770" s="19" t="s">
        <v>8923</v>
      </c>
      <c r="N2770" s="16"/>
      <c r="O2770" s="16" t="s">
        <v>8924</v>
      </c>
      <c r="P2770" s="16" t="str">
        <f>HYPERLINK("https://ceds.ed.gov/cedselementdetails.aspx?termid=28007")</f>
        <v>https://ceds.ed.gov/cedselementdetails.aspx?termid=28007</v>
      </c>
      <c r="Q2770" s="16">
        <v>76355</v>
      </c>
    </row>
    <row r="2771" spans="1:17" ht="57.6" x14ac:dyDescent="0.3">
      <c r="A2771" s="16" t="s">
        <v>7724</v>
      </c>
      <c r="B2771" s="16" t="s">
        <v>7666</v>
      </c>
      <c r="C2771" s="16" t="s">
        <v>9410</v>
      </c>
      <c r="D2771" s="16" t="s">
        <v>7597</v>
      </c>
      <c r="E2771" s="16" t="s">
        <v>8929</v>
      </c>
      <c r="F2771" s="16" t="s">
        <v>8930</v>
      </c>
      <c r="G2771" s="16" t="s">
        <v>9290</v>
      </c>
      <c r="H2771" s="16"/>
      <c r="I2771" s="16"/>
      <c r="J2771" s="16" t="s">
        <v>2</v>
      </c>
      <c r="K2771" s="16"/>
      <c r="L2771" s="16"/>
      <c r="M2771" s="19" t="s">
        <v>8931</v>
      </c>
      <c r="N2771" s="16"/>
      <c r="O2771" s="16" t="s">
        <v>8932</v>
      </c>
      <c r="P2771" s="16" t="str">
        <f>HYPERLINK("https://ceds.ed.gov/cedselementdetails.aspx?termid=28009")</f>
        <v>https://ceds.ed.gov/cedselementdetails.aspx?termid=28009</v>
      </c>
      <c r="Q2771" s="16">
        <v>76356</v>
      </c>
    </row>
    <row r="2772" spans="1:17" ht="72" x14ac:dyDescent="0.3">
      <c r="A2772" s="16" t="s">
        <v>7724</v>
      </c>
      <c r="B2772" s="16" t="s">
        <v>7666</v>
      </c>
      <c r="C2772" s="16" t="s">
        <v>9410</v>
      </c>
      <c r="D2772" s="16" t="s">
        <v>7597</v>
      </c>
      <c r="E2772" s="16" t="s">
        <v>8954</v>
      </c>
      <c r="F2772" s="16" t="s">
        <v>8955</v>
      </c>
      <c r="G2772" s="16" t="s">
        <v>9422</v>
      </c>
      <c r="H2772" s="16"/>
      <c r="I2772" s="16"/>
      <c r="J2772" s="16" t="s">
        <v>2</v>
      </c>
      <c r="K2772" s="16"/>
      <c r="L2772" s="16"/>
      <c r="M2772" s="19" t="s">
        <v>8956</v>
      </c>
      <c r="N2772" s="16"/>
      <c r="O2772" s="16" t="s">
        <v>8957</v>
      </c>
      <c r="P2772" s="16" t="str">
        <f>HYPERLINK("https://ceds.ed.gov/cedselementdetails.aspx?termid=28015")</f>
        <v>https://ceds.ed.gov/cedselementdetails.aspx?termid=28015</v>
      </c>
      <c r="Q2772" s="16">
        <v>76357</v>
      </c>
    </row>
    <row r="2773" spans="1:17" ht="72" x14ac:dyDescent="0.3">
      <c r="A2773" s="16" t="s">
        <v>7724</v>
      </c>
      <c r="B2773" s="16" t="s">
        <v>7666</v>
      </c>
      <c r="C2773" s="16" t="s">
        <v>9410</v>
      </c>
      <c r="D2773" s="16" t="s">
        <v>7597</v>
      </c>
      <c r="E2773" s="16" t="s">
        <v>9000</v>
      </c>
      <c r="F2773" s="16" t="s">
        <v>9001</v>
      </c>
      <c r="G2773" s="16" t="s">
        <v>9293</v>
      </c>
      <c r="H2773" s="16"/>
      <c r="I2773" s="16"/>
      <c r="J2773" s="16" t="s">
        <v>2</v>
      </c>
      <c r="K2773" s="16"/>
      <c r="L2773" s="16"/>
      <c r="M2773" s="19" t="s">
        <v>9002</v>
      </c>
      <c r="N2773" s="16"/>
      <c r="O2773" s="16" t="s">
        <v>9003</v>
      </c>
      <c r="P2773" s="16" t="str">
        <f>HYPERLINK("https://ceds.ed.gov/cedselementdetails.aspx?termid=28026")</f>
        <v>https://ceds.ed.gov/cedselementdetails.aspx?termid=28026</v>
      </c>
      <c r="Q2773" s="16">
        <v>76358</v>
      </c>
    </row>
    <row r="2774" spans="1:17" ht="28.8" x14ac:dyDescent="0.3">
      <c r="A2774" s="16" t="s">
        <v>7724</v>
      </c>
      <c r="B2774" s="16" t="s">
        <v>7666</v>
      </c>
      <c r="C2774" s="16" t="s">
        <v>9410</v>
      </c>
      <c r="D2774" s="16" t="s">
        <v>7597</v>
      </c>
      <c r="E2774" s="16" t="s">
        <v>9004</v>
      </c>
      <c r="F2774" s="16" t="s">
        <v>9005</v>
      </c>
      <c r="G2774" s="16" t="s">
        <v>32</v>
      </c>
      <c r="H2774" s="16"/>
      <c r="I2774" s="16"/>
      <c r="J2774" s="16" t="s">
        <v>120</v>
      </c>
      <c r="K2774" s="16"/>
      <c r="L2774" s="16"/>
      <c r="M2774" s="19" t="s">
        <v>9006</v>
      </c>
      <c r="N2774" s="16"/>
      <c r="O2774" s="16" t="s">
        <v>9007</v>
      </c>
      <c r="P2774" s="16" t="str">
        <f>HYPERLINK("https://ceds.ed.gov/cedselementdetails.aspx?termid=28027")</f>
        <v>https://ceds.ed.gov/cedselementdetails.aspx?termid=28027</v>
      </c>
      <c r="Q2774" s="16">
        <v>76359</v>
      </c>
    </row>
    <row r="2775" spans="1:17" ht="57.6" x14ac:dyDescent="0.3">
      <c r="A2775" s="16" t="s">
        <v>7724</v>
      </c>
      <c r="B2775" s="16" t="s">
        <v>7666</v>
      </c>
      <c r="C2775" s="16" t="s">
        <v>9410</v>
      </c>
      <c r="D2775" s="16" t="s">
        <v>7597</v>
      </c>
      <c r="E2775" s="16" t="s">
        <v>9008</v>
      </c>
      <c r="F2775" s="16" t="s">
        <v>9009</v>
      </c>
      <c r="G2775" s="16" t="s">
        <v>32</v>
      </c>
      <c r="H2775" s="16"/>
      <c r="I2775" s="16"/>
      <c r="J2775" s="16" t="s">
        <v>106</v>
      </c>
      <c r="K2775" s="16"/>
      <c r="L2775" s="16"/>
      <c r="M2775" s="19" t="s">
        <v>9010</v>
      </c>
      <c r="N2775" s="16"/>
      <c r="O2775" s="16" t="s">
        <v>9011</v>
      </c>
      <c r="P2775" s="16" t="str">
        <f>HYPERLINK("https://ceds.ed.gov/cedselementdetails.aspx?termid=28028")</f>
        <v>https://ceds.ed.gov/cedselementdetails.aspx?termid=28028</v>
      </c>
      <c r="Q2775" s="16">
        <v>76360</v>
      </c>
    </row>
    <row r="2776" spans="1:17" ht="72" x14ac:dyDescent="0.3">
      <c r="A2776" s="16" t="s">
        <v>7724</v>
      </c>
      <c r="B2776" s="16" t="s">
        <v>7666</v>
      </c>
      <c r="C2776" s="16" t="s">
        <v>9410</v>
      </c>
      <c r="D2776" s="16" t="s">
        <v>7597</v>
      </c>
      <c r="E2776" s="16" t="s">
        <v>9012</v>
      </c>
      <c r="F2776" s="16" t="s">
        <v>9013</v>
      </c>
      <c r="G2776" s="16" t="s">
        <v>9293</v>
      </c>
      <c r="H2776" s="16"/>
      <c r="I2776" s="16"/>
      <c r="J2776" s="16" t="s">
        <v>2</v>
      </c>
      <c r="K2776" s="16"/>
      <c r="L2776" s="16"/>
      <c r="M2776" s="19" t="s">
        <v>9014</v>
      </c>
      <c r="N2776" s="16"/>
      <c r="O2776" s="16" t="s">
        <v>9015</v>
      </c>
      <c r="P2776" s="16" t="str">
        <f>HYPERLINK("https://ceds.ed.gov/cedselementdetails.aspx?termid=28029")</f>
        <v>https://ceds.ed.gov/cedselementdetails.aspx?termid=28029</v>
      </c>
      <c r="Q2776" s="16">
        <v>76361</v>
      </c>
    </row>
    <row r="2777" spans="1:17" ht="28.8" x14ac:dyDescent="0.3">
      <c r="A2777" s="16" t="s">
        <v>7724</v>
      </c>
      <c r="B2777" s="16" t="s">
        <v>7666</v>
      </c>
      <c r="C2777" s="16" t="s">
        <v>9410</v>
      </c>
      <c r="D2777" s="16" t="s">
        <v>7597</v>
      </c>
      <c r="E2777" s="16" t="s">
        <v>9016</v>
      </c>
      <c r="F2777" s="16" t="s">
        <v>9017</v>
      </c>
      <c r="G2777" s="16" t="s">
        <v>32</v>
      </c>
      <c r="H2777" s="16"/>
      <c r="I2777" s="16"/>
      <c r="J2777" s="16" t="s">
        <v>120</v>
      </c>
      <c r="K2777" s="16"/>
      <c r="L2777" s="16"/>
      <c r="M2777" s="19" t="s">
        <v>9018</v>
      </c>
      <c r="N2777" s="16"/>
      <c r="O2777" s="16" t="s">
        <v>9019</v>
      </c>
      <c r="P2777" s="16" t="str">
        <f>HYPERLINK("https://ceds.ed.gov/cedselementdetails.aspx?termid=28030")</f>
        <v>https://ceds.ed.gov/cedselementdetails.aspx?termid=28030</v>
      </c>
      <c r="Q2777" s="16">
        <v>76362</v>
      </c>
    </row>
    <row r="2778" spans="1:17" ht="86.4" x14ac:dyDescent="0.3">
      <c r="A2778" s="16" t="s">
        <v>7724</v>
      </c>
      <c r="B2778" s="16" t="s">
        <v>7666</v>
      </c>
      <c r="C2778" s="16" t="s">
        <v>9410</v>
      </c>
      <c r="D2778" s="16" t="s">
        <v>7597</v>
      </c>
      <c r="E2778" s="16" t="s">
        <v>9020</v>
      </c>
      <c r="F2778" s="16" t="s">
        <v>9021</v>
      </c>
      <c r="G2778" s="16" t="s">
        <v>9294</v>
      </c>
      <c r="H2778" s="16"/>
      <c r="I2778" s="16"/>
      <c r="J2778" s="16" t="s">
        <v>2</v>
      </c>
      <c r="K2778" s="16"/>
      <c r="L2778" s="16"/>
      <c r="M2778" s="19" t="s">
        <v>9022</v>
      </c>
      <c r="N2778" s="16"/>
      <c r="O2778" s="16" t="s">
        <v>9023</v>
      </c>
      <c r="P2778" s="16" t="str">
        <f>HYPERLINK("https://ceds.ed.gov/cedselementdetails.aspx?termid=28031")</f>
        <v>https://ceds.ed.gov/cedselementdetails.aspx?termid=28031</v>
      </c>
      <c r="Q2778" s="16">
        <v>76363</v>
      </c>
    </row>
    <row r="2779" spans="1:17" ht="86.4" x14ac:dyDescent="0.3">
      <c r="A2779" s="16" t="s">
        <v>7724</v>
      </c>
      <c r="B2779" s="16" t="s">
        <v>7666</v>
      </c>
      <c r="C2779" s="16" t="s">
        <v>9410</v>
      </c>
      <c r="D2779" s="16" t="s">
        <v>7597</v>
      </c>
      <c r="E2779" s="16" t="s">
        <v>9024</v>
      </c>
      <c r="F2779" s="16" t="s">
        <v>9025</v>
      </c>
      <c r="G2779" s="16" t="s">
        <v>9423</v>
      </c>
      <c r="H2779" s="16"/>
      <c r="I2779" s="16"/>
      <c r="J2779" s="16" t="s">
        <v>2</v>
      </c>
      <c r="K2779" s="16"/>
      <c r="L2779" s="16" t="s">
        <v>9026</v>
      </c>
      <c r="M2779" s="19" t="s">
        <v>9027</v>
      </c>
      <c r="N2779" s="16"/>
      <c r="O2779" s="16" t="s">
        <v>9028</v>
      </c>
      <c r="P2779" s="16" t="str">
        <f>HYPERLINK("https://ceds.ed.gov/cedselementdetails.aspx?termid=28032")</f>
        <v>https://ceds.ed.gov/cedselementdetails.aspx?termid=28032</v>
      </c>
      <c r="Q2779" s="16">
        <v>76364</v>
      </c>
    </row>
    <row r="2780" spans="1:17" ht="28.8" x14ac:dyDescent="0.3">
      <c r="A2780" s="16" t="s">
        <v>7724</v>
      </c>
      <c r="B2780" s="16" t="s">
        <v>7666</v>
      </c>
      <c r="C2780" s="16" t="s">
        <v>9410</v>
      </c>
      <c r="D2780" s="16" t="s">
        <v>7597</v>
      </c>
      <c r="E2780" s="16" t="s">
        <v>9029</v>
      </c>
      <c r="F2780" s="16" t="s">
        <v>9030</v>
      </c>
      <c r="G2780" s="16" t="s">
        <v>32</v>
      </c>
      <c r="H2780" s="16"/>
      <c r="I2780" s="16"/>
      <c r="J2780" s="16" t="s">
        <v>106</v>
      </c>
      <c r="K2780" s="16"/>
      <c r="L2780" s="16" t="s">
        <v>9031</v>
      </c>
      <c r="M2780" s="19" t="s">
        <v>9032</v>
      </c>
      <c r="N2780" s="16"/>
      <c r="O2780" s="16" t="s">
        <v>9033</v>
      </c>
      <c r="P2780" s="16" t="str">
        <f>HYPERLINK("https://ceds.ed.gov/cedselementdetails.aspx?termid=28033")</f>
        <v>https://ceds.ed.gov/cedselementdetails.aspx?termid=28033</v>
      </c>
      <c r="Q2780" s="16">
        <v>76365</v>
      </c>
    </row>
    <row r="2781" spans="1:17" ht="28.8" x14ac:dyDescent="0.3">
      <c r="A2781" s="16" t="s">
        <v>7724</v>
      </c>
      <c r="B2781" s="16" t="s">
        <v>7666</v>
      </c>
      <c r="C2781" s="16" t="s">
        <v>9410</v>
      </c>
      <c r="D2781" s="16" t="s">
        <v>7597</v>
      </c>
      <c r="E2781" s="16" t="s">
        <v>9071</v>
      </c>
      <c r="F2781" s="16" t="s">
        <v>9072</v>
      </c>
      <c r="G2781" s="16" t="s">
        <v>8200</v>
      </c>
      <c r="H2781" s="16"/>
      <c r="I2781" s="16"/>
      <c r="J2781" s="16" t="s">
        <v>2</v>
      </c>
      <c r="K2781" s="16"/>
      <c r="L2781" s="16"/>
      <c r="M2781" s="19" t="s">
        <v>9073</v>
      </c>
      <c r="N2781" s="16"/>
      <c r="O2781" s="16" t="s">
        <v>9074</v>
      </c>
      <c r="P2781" s="16" t="str">
        <f>HYPERLINK("https://ceds.ed.gov/cedselementdetails.aspx?termid=28043")</f>
        <v>https://ceds.ed.gov/cedselementdetails.aspx?termid=28043</v>
      </c>
      <c r="Q2781" s="16">
        <v>76366</v>
      </c>
    </row>
    <row r="2782" spans="1:17" ht="28.8" x14ac:dyDescent="0.3">
      <c r="A2782" s="16" t="s">
        <v>7724</v>
      </c>
      <c r="B2782" s="16" t="s">
        <v>7666</v>
      </c>
      <c r="C2782" s="16" t="s">
        <v>9410</v>
      </c>
      <c r="D2782" s="16" t="s">
        <v>7597</v>
      </c>
      <c r="E2782" s="16" t="s">
        <v>9075</v>
      </c>
      <c r="F2782" s="16" t="s">
        <v>9076</v>
      </c>
      <c r="G2782" s="16" t="s">
        <v>8200</v>
      </c>
      <c r="H2782" s="16"/>
      <c r="I2782" s="16"/>
      <c r="J2782" s="16" t="s">
        <v>2</v>
      </c>
      <c r="K2782" s="16"/>
      <c r="L2782" s="16"/>
      <c r="M2782" s="19" t="s">
        <v>9077</v>
      </c>
      <c r="N2782" s="16"/>
      <c r="O2782" s="16" t="s">
        <v>9078</v>
      </c>
      <c r="P2782" s="16" t="str">
        <f>HYPERLINK("https://ceds.ed.gov/cedselementdetails.aspx?termid=28044")</f>
        <v>https://ceds.ed.gov/cedselementdetails.aspx?termid=28044</v>
      </c>
      <c r="Q2782" s="16">
        <v>76367</v>
      </c>
    </row>
    <row r="2783" spans="1:17" ht="72" x14ac:dyDescent="0.3">
      <c r="A2783" s="16" t="s">
        <v>7724</v>
      </c>
      <c r="B2783" s="16" t="s">
        <v>7666</v>
      </c>
      <c r="C2783" s="16" t="s">
        <v>9411</v>
      </c>
      <c r="D2783" s="16" t="s">
        <v>7597</v>
      </c>
      <c r="E2783" s="16" t="s">
        <v>9201</v>
      </c>
      <c r="F2783" s="16" t="s">
        <v>9202</v>
      </c>
      <c r="G2783" s="16" t="s">
        <v>32</v>
      </c>
      <c r="H2783" s="16"/>
      <c r="I2783" s="16"/>
      <c r="J2783" s="16" t="s">
        <v>955</v>
      </c>
      <c r="K2783" s="16"/>
      <c r="L2783" s="16"/>
      <c r="M2783" s="19" t="s">
        <v>9203</v>
      </c>
      <c r="N2783" s="16"/>
      <c r="O2783" s="16" t="s">
        <v>9204</v>
      </c>
      <c r="P2783" s="16" t="str">
        <f>HYPERLINK("https://ceds.ed.gov/cedselementdetails.aspx?termid=28074")</f>
        <v>https://ceds.ed.gov/cedselementdetails.aspx?termid=28074</v>
      </c>
      <c r="Q2783" s="16">
        <v>76368</v>
      </c>
    </row>
    <row r="2784" spans="1:17" ht="43.2" x14ac:dyDescent="0.3">
      <c r="A2784" s="16" t="s">
        <v>7724</v>
      </c>
      <c r="B2784" s="16" t="s">
        <v>7726</v>
      </c>
      <c r="C2784" s="16"/>
      <c r="D2784" s="16" t="s">
        <v>7597</v>
      </c>
      <c r="E2784" s="16" t="s">
        <v>5590</v>
      </c>
      <c r="F2784" s="16" t="s">
        <v>5591</v>
      </c>
      <c r="G2784" s="16" t="s">
        <v>32</v>
      </c>
      <c r="H2784" s="16"/>
      <c r="I2784" s="16"/>
      <c r="J2784" s="16" t="s">
        <v>50</v>
      </c>
      <c r="K2784" s="16"/>
      <c r="L2784" s="16"/>
      <c r="M2784" s="19" t="s">
        <v>5592</v>
      </c>
      <c r="N2784" s="16"/>
      <c r="O2784" s="16" t="s">
        <v>5593</v>
      </c>
      <c r="P2784" s="16" t="str">
        <f>HYPERLINK("https://ceds.ed.gov/cedselementdetails.aspx?termid=27644")</f>
        <v>https://ceds.ed.gov/cedselementdetails.aspx?termid=27644</v>
      </c>
      <c r="Q2784" s="16">
        <v>74979</v>
      </c>
    </row>
    <row r="2785" spans="1:17" ht="28.8" x14ac:dyDescent="0.3">
      <c r="A2785" s="16" t="s">
        <v>7724</v>
      </c>
      <c r="B2785" s="16" t="s">
        <v>7726</v>
      </c>
      <c r="C2785" s="16"/>
      <c r="D2785" s="16" t="s">
        <v>7597</v>
      </c>
      <c r="E2785" s="16" t="s">
        <v>5606</v>
      </c>
      <c r="F2785" s="16" t="s">
        <v>5607</v>
      </c>
      <c r="G2785" s="16" t="s">
        <v>32</v>
      </c>
      <c r="H2785" s="16"/>
      <c r="I2785" s="16"/>
      <c r="J2785" s="16" t="s">
        <v>2807</v>
      </c>
      <c r="K2785" s="16"/>
      <c r="L2785" s="16"/>
      <c r="M2785" s="19" t="s">
        <v>5608</v>
      </c>
      <c r="N2785" s="16"/>
      <c r="O2785" s="16" t="s">
        <v>5609</v>
      </c>
      <c r="P2785" s="16" t="str">
        <f>HYPERLINK("https://ceds.ed.gov/cedselementdetails.aspx?termid=27731")</f>
        <v>https://ceds.ed.gov/cedselementdetails.aspx?termid=27731</v>
      </c>
      <c r="Q2785" s="16">
        <v>74986</v>
      </c>
    </row>
    <row r="2786" spans="1:17" ht="72" x14ac:dyDescent="0.3">
      <c r="A2786" s="16" t="s">
        <v>7724</v>
      </c>
      <c r="B2786" s="16" t="s">
        <v>7726</v>
      </c>
      <c r="C2786" s="16" t="s">
        <v>7599</v>
      </c>
      <c r="D2786" s="16" t="s">
        <v>7597</v>
      </c>
      <c r="E2786" s="16" t="s">
        <v>187</v>
      </c>
      <c r="F2786" s="16" t="s">
        <v>188</v>
      </c>
      <c r="G2786" s="16" t="s">
        <v>8205</v>
      </c>
      <c r="H2786" s="16" t="s">
        <v>64</v>
      </c>
      <c r="I2786" s="16"/>
      <c r="J2786" s="16" t="s">
        <v>81</v>
      </c>
      <c r="K2786" s="16"/>
      <c r="L2786" s="16"/>
      <c r="M2786" s="19" t="s">
        <v>189</v>
      </c>
      <c r="N2786" s="16"/>
      <c r="O2786" s="16" t="s">
        <v>190</v>
      </c>
      <c r="P2786" s="16" t="str">
        <f>HYPERLINK("https://ceds.ed.gov/cedselementdetails.aspx?termid=26644")</f>
        <v>https://ceds.ed.gov/cedselementdetails.aspx?termid=26644</v>
      </c>
      <c r="Q2786" s="16">
        <v>72190</v>
      </c>
    </row>
    <row r="2787" spans="1:17" ht="187.2" x14ac:dyDescent="0.3">
      <c r="A2787" s="16" t="s">
        <v>7724</v>
      </c>
      <c r="B2787" s="16" t="s">
        <v>7726</v>
      </c>
      <c r="C2787" s="16" t="s">
        <v>7599</v>
      </c>
      <c r="D2787" s="16" t="s">
        <v>7597</v>
      </c>
      <c r="E2787" s="16" t="s">
        <v>177</v>
      </c>
      <c r="F2787" s="16" t="s">
        <v>178</v>
      </c>
      <c r="G2787" s="16" t="s">
        <v>32</v>
      </c>
      <c r="H2787" s="16" t="s">
        <v>163</v>
      </c>
      <c r="I2787" s="16"/>
      <c r="J2787" s="16" t="s">
        <v>179</v>
      </c>
      <c r="K2787" s="16"/>
      <c r="L2787" s="16"/>
      <c r="M2787" s="19" t="s">
        <v>180</v>
      </c>
      <c r="N2787" s="16"/>
      <c r="O2787" s="16" t="s">
        <v>181</v>
      </c>
      <c r="P2787" s="16" t="str">
        <f>HYPERLINK("https://ceds.ed.gov/cedselementdetails.aspx?termid=26269")</f>
        <v>https://ceds.ed.gov/cedselementdetails.aspx?termid=26269</v>
      </c>
      <c r="Q2787" s="16">
        <v>72191</v>
      </c>
    </row>
    <row r="2788" spans="1:17" ht="187.2" x14ac:dyDescent="0.3">
      <c r="A2788" s="16" t="s">
        <v>7724</v>
      </c>
      <c r="B2788" s="16" t="s">
        <v>7726</v>
      </c>
      <c r="C2788" s="16" t="s">
        <v>7599</v>
      </c>
      <c r="D2788" s="16" t="s">
        <v>7597</v>
      </c>
      <c r="E2788" s="16" t="s">
        <v>158</v>
      </c>
      <c r="F2788" s="16" t="s">
        <v>159</v>
      </c>
      <c r="G2788" s="16" t="s">
        <v>32</v>
      </c>
      <c r="H2788" s="16" t="s">
        <v>163</v>
      </c>
      <c r="I2788" s="16"/>
      <c r="J2788" s="16" t="s">
        <v>145</v>
      </c>
      <c r="K2788" s="16"/>
      <c r="L2788" s="16"/>
      <c r="M2788" s="19" t="s">
        <v>161</v>
      </c>
      <c r="N2788" s="16"/>
      <c r="O2788" s="16" t="s">
        <v>162</v>
      </c>
      <c r="P2788" s="16" t="str">
        <f>HYPERLINK("https://ceds.ed.gov/cedselementdetails.aspx?termid=26019")</f>
        <v>https://ceds.ed.gov/cedselementdetails.aspx?termid=26019</v>
      </c>
      <c r="Q2788" s="16">
        <v>72205</v>
      </c>
    </row>
    <row r="2789" spans="1:17" ht="187.2" x14ac:dyDescent="0.3">
      <c r="A2789" s="16" t="s">
        <v>7724</v>
      </c>
      <c r="B2789" s="16" t="s">
        <v>7726</v>
      </c>
      <c r="C2789" s="16" t="s">
        <v>7599</v>
      </c>
      <c r="D2789" s="16" t="s">
        <v>7597</v>
      </c>
      <c r="E2789" s="16" t="s">
        <v>164</v>
      </c>
      <c r="F2789" s="16" t="s">
        <v>165</v>
      </c>
      <c r="G2789" s="16" t="s">
        <v>32</v>
      </c>
      <c r="H2789" s="16" t="s">
        <v>163</v>
      </c>
      <c r="I2789" s="16"/>
      <c r="J2789" s="16" t="s">
        <v>81</v>
      </c>
      <c r="K2789" s="16"/>
      <c r="L2789" s="16"/>
      <c r="M2789" s="19" t="s">
        <v>166</v>
      </c>
      <c r="N2789" s="16"/>
      <c r="O2789" s="16" t="s">
        <v>167</v>
      </c>
      <c r="P2789" s="16" t="str">
        <f>HYPERLINK("https://ceds.ed.gov/cedselementdetails.aspx?termid=26040")</f>
        <v>https://ceds.ed.gov/cedselementdetails.aspx?termid=26040</v>
      </c>
      <c r="Q2789" s="16">
        <v>72206</v>
      </c>
    </row>
    <row r="2790" spans="1:17" ht="409.6" x14ac:dyDescent="0.3">
      <c r="A2790" s="16" t="s">
        <v>7724</v>
      </c>
      <c r="B2790" s="16" t="s">
        <v>7726</v>
      </c>
      <c r="C2790" s="16" t="s">
        <v>7599</v>
      </c>
      <c r="D2790" s="16" t="s">
        <v>7597</v>
      </c>
      <c r="E2790" s="16" t="s">
        <v>6840</v>
      </c>
      <c r="F2790" s="16" t="s">
        <v>6841</v>
      </c>
      <c r="G2790" s="16" t="s">
        <v>8266</v>
      </c>
      <c r="H2790" s="16" t="s">
        <v>6844</v>
      </c>
      <c r="I2790" s="16"/>
      <c r="J2790" s="16"/>
      <c r="K2790" s="16"/>
      <c r="L2790" s="16"/>
      <c r="M2790" s="19" t="s">
        <v>6842</v>
      </c>
      <c r="N2790" s="16"/>
      <c r="O2790" s="16" t="s">
        <v>6843</v>
      </c>
      <c r="P2790" s="16" t="str">
        <f>HYPERLINK("https://ceds.ed.gov/cedselementdetails.aspx?termid=26267")</f>
        <v>https://ceds.ed.gov/cedselementdetails.aspx?termid=26267</v>
      </c>
      <c r="Q2790" s="16">
        <v>72207</v>
      </c>
    </row>
    <row r="2791" spans="1:17" ht="187.2" x14ac:dyDescent="0.3">
      <c r="A2791" s="16" t="s">
        <v>7724</v>
      </c>
      <c r="B2791" s="16" t="s">
        <v>7726</v>
      </c>
      <c r="C2791" s="16" t="s">
        <v>7599</v>
      </c>
      <c r="D2791" s="16" t="s">
        <v>7597</v>
      </c>
      <c r="E2791" s="16" t="s">
        <v>172</v>
      </c>
      <c r="F2791" s="16" t="s">
        <v>173</v>
      </c>
      <c r="G2791" s="16" t="s">
        <v>32</v>
      </c>
      <c r="H2791" s="16" t="s">
        <v>163</v>
      </c>
      <c r="I2791" s="16"/>
      <c r="J2791" s="16" t="s">
        <v>174</v>
      </c>
      <c r="K2791" s="16"/>
      <c r="L2791" s="16"/>
      <c r="M2791" s="19" t="s">
        <v>175</v>
      </c>
      <c r="N2791" s="16"/>
      <c r="O2791" s="16" t="s">
        <v>176</v>
      </c>
      <c r="P2791" s="16" t="str">
        <f>HYPERLINK("https://ceds.ed.gov/cedselementdetails.aspx?termid=26214")</f>
        <v>https://ceds.ed.gov/cedselementdetails.aspx?termid=26214</v>
      </c>
      <c r="Q2791" s="16">
        <v>72208</v>
      </c>
    </row>
    <row r="2792" spans="1:17" ht="187.2" x14ac:dyDescent="0.3">
      <c r="A2792" s="16" t="s">
        <v>7724</v>
      </c>
      <c r="B2792" s="16" t="s">
        <v>7726</v>
      </c>
      <c r="C2792" s="16" t="s">
        <v>7599</v>
      </c>
      <c r="D2792" s="16" t="s">
        <v>7597</v>
      </c>
      <c r="E2792" s="16" t="s">
        <v>168</v>
      </c>
      <c r="F2792" s="16" t="s">
        <v>169</v>
      </c>
      <c r="G2792" s="16" t="s">
        <v>32</v>
      </c>
      <c r="H2792" s="16" t="s">
        <v>163</v>
      </c>
      <c r="I2792" s="16"/>
      <c r="J2792" s="16" t="s">
        <v>81</v>
      </c>
      <c r="K2792" s="16"/>
      <c r="L2792" s="16"/>
      <c r="M2792" s="19" t="s">
        <v>170</v>
      </c>
      <c r="N2792" s="16"/>
      <c r="O2792" s="16" t="s">
        <v>171</v>
      </c>
      <c r="P2792" s="16" t="str">
        <f>HYPERLINK("https://ceds.ed.gov/cedselementdetails.aspx?termid=26190")</f>
        <v>https://ceds.ed.gov/cedselementdetails.aspx?termid=26190</v>
      </c>
      <c r="Q2792" s="16">
        <v>72209</v>
      </c>
    </row>
    <row r="2793" spans="1:17" ht="158.4" x14ac:dyDescent="0.3">
      <c r="A2793" s="16" t="s">
        <v>7724</v>
      </c>
      <c r="B2793" s="16" t="s">
        <v>7726</v>
      </c>
      <c r="C2793" s="16" t="s">
        <v>7599</v>
      </c>
      <c r="D2793" s="16" t="s">
        <v>7597</v>
      </c>
      <c r="E2793" s="16" t="s">
        <v>2493</v>
      </c>
      <c r="F2793" s="16" t="s">
        <v>2494</v>
      </c>
      <c r="G2793" s="16" t="s">
        <v>32</v>
      </c>
      <c r="H2793" s="16"/>
      <c r="I2793" s="16"/>
      <c r="J2793" s="16" t="s">
        <v>2495</v>
      </c>
      <c r="K2793" s="16"/>
      <c r="L2793" s="16"/>
      <c r="M2793" s="19" t="s">
        <v>2496</v>
      </c>
      <c r="N2793" s="16"/>
      <c r="O2793" s="16" t="s">
        <v>2497</v>
      </c>
      <c r="P2793" s="16" t="str">
        <f>HYPERLINK("https://ceds.ed.gov/cedselementdetails.aspx?termid=27176")</f>
        <v>https://ceds.ed.gov/cedselementdetails.aspx?termid=27176</v>
      </c>
      <c r="Q2793" s="16">
        <v>72141</v>
      </c>
    </row>
    <row r="2794" spans="1:17" ht="57.6" x14ac:dyDescent="0.3">
      <c r="A2794" s="16" t="s">
        <v>7724</v>
      </c>
      <c r="B2794" s="16" t="s">
        <v>7726</v>
      </c>
      <c r="C2794" s="16" t="s">
        <v>7599</v>
      </c>
      <c r="D2794" s="16" t="s">
        <v>7597</v>
      </c>
      <c r="E2794" s="16" t="s">
        <v>4902</v>
      </c>
      <c r="F2794" s="16" t="s">
        <v>4903</v>
      </c>
      <c r="G2794" s="16" t="s">
        <v>32</v>
      </c>
      <c r="H2794" s="16"/>
      <c r="I2794" s="16"/>
      <c r="J2794" s="16" t="s">
        <v>1130</v>
      </c>
      <c r="K2794" s="16"/>
      <c r="L2794" s="16"/>
      <c r="M2794" s="19" t="s">
        <v>4904</v>
      </c>
      <c r="N2794" s="16"/>
      <c r="O2794" s="16" t="s">
        <v>4902</v>
      </c>
      <c r="P2794" s="16" t="str">
        <f>HYPERLINK("https://ceds.ed.gov/cedselementdetails.aspx?termid=26599")</f>
        <v>https://ceds.ed.gov/cedselementdetails.aspx?termid=26599</v>
      </c>
      <c r="Q2794" s="16">
        <v>72143</v>
      </c>
    </row>
    <row r="2795" spans="1:17" ht="57.6" x14ac:dyDescent="0.3">
      <c r="A2795" s="16" t="s">
        <v>7724</v>
      </c>
      <c r="B2795" s="16" t="s">
        <v>7726</v>
      </c>
      <c r="C2795" s="16" t="s">
        <v>7599</v>
      </c>
      <c r="D2795" s="16" t="s">
        <v>7597</v>
      </c>
      <c r="E2795" s="16" t="s">
        <v>5285</v>
      </c>
      <c r="F2795" s="16" t="s">
        <v>5286</v>
      </c>
      <c r="G2795" s="16" t="s">
        <v>32</v>
      </c>
      <c r="H2795" s="16"/>
      <c r="I2795" s="16"/>
      <c r="J2795" s="16" t="s">
        <v>1130</v>
      </c>
      <c r="K2795" s="16"/>
      <c r="L2795" s="16"/>
      <c r="M2795" s="19" t="s">
        <v>5287</v>
      </c>
      <c r="N2795" s="16"/>
      <c r="O2795" s="16" t="s">
        <v>5285</v>
      </c>
      <c r="P2795" s="16" t="str">
        <f>HYPERLINK("https://ceds.ed.gov/cedselementdetails.aspx?termid=26600")</f>
        <v>https://ceds.ed.gov/cedselementdetails.aspx?termid=26600</v>
      </c>
      <c r="Q2795" s="16">
        <v>72144</v>
      </c>
    </row>
    <row r="2796" spans="1:17" ht="57.6" x14ac:dyDescent="0.3">
      <c r="A2796" s="16" t="s">
        <v>7724</v>
      </c>
      <c r="B2796" s="16" t="s">
        <v>7726</v>
      </c>
      <c r="C2796" s="16" t="s">
        <v>7599</v>
      </c>
      <c r="D2796" s="16" t="s">
        <v>7597</v>
      </c>
      <c r="E2796" s="16" t="s">
        <v>3175</v>
      </c>
      <c r="F2796" s="16" t="s">
        <v>3176</v>
      </c>
      <c r="G2796" s="16" t="s">
        <v>2987</v>
      </c>
      <c r="H2796" s="16"/>
      <c r="I2796" s="16"/>
      <c r="J2796" s="16"/>
      <c r="K2796" s="16"/>
      <c r="L2796" s="16"/>
      <c r="M2796" s="19" t="s">
        <v>3177</v>
      </c>
      <c r="N2796" s="16"/>
      <c r="O2796" s="16" t="s">
        <v>3178</v>
      </c>
      <c r="P2796" s="16" t="str">
        <f>HYPERLINK("https://ceds.ed.gov/cedselementdetails.aspx?termid=27905")</f>
        <v>https://ceds.ed.gov/cedselementdetails.aspx?termid=27905</v>
      </c>
      <c r="Q2796" s="16">
        <v>75412</v>
      </c>
    </row>
    <row r="2797" spans="1:17" ht="216" x14ac:dyDescent="0.3">
      <c r="A2797" s="16" t="s">
        <v>7724</v>
      </c>
      <c r="B2797" s="16" t="s">
        <v>7726</v>
      </c>
      <c r="C2797" s="16" t="s">
        <v>7599</v>
      </c>
      <c r="D2797" s="16" t="s">
        <v>7597</v>
      </c>
      <c r="E2797" s="16" t="s">
        <v>12811</v>
      </c>
      <c r="F2797" s="16" t="s">
        <v>12812</v>
      </c>
      <c r="G2797" s="16" t="s">
        <v>12913</v>
      </c>
      <c r="H2797" s="16"/>
      <c r="I2797" s="16" t="s">
        <v>155</v>
      </c>
      <c r="J2797" s="16" t="s">
        <v>12813</v>
      </c>
      <c r="K2797" s="16" t="s">
        <v>12636</v>
      </c>
      <c r="L2797" s="16" t="s">
        <v>12814</v>
      </c>
      <c r="M2797" s="19" t="s">
        <v>12815</v>
      </c>
      <c r="N2797" s="16"/>
      <c r="O2797" s="16" t="s">
        <v>12816</v>
      </c>
      <c r="P2797" s="16" t="str">
        <f>HYPERLINK("https://ceds.ed.gov/cedselementdetails.aspx?termid=28111")</f>
        <v>https://ceds.ed.gov/cedselementdetails.aspx?termid=28111</v>
      </c>
      <c r="Q2797" s="16">
        <v>76591</v>
      </c>
    </row>
    <row r="2798" spans="1:17" ht="187.2" x14ac:dyDescent="0.3">
      <c r="A2798" s="16" t="s">
        <v>7724</v>
      </c>
      <c r="B2798" s="16" t="s">
        <v>7726</v>
      </c>
      <c r="C2798" s="16" t="s">
        <v>7608</v>
      </c>
      <c r="D2798" s="16" t="s">
        <v>7597</v>
      </c>
      <c r="E2798" s="16" t="s">
        <v>5431</v>
      </c>
      <c r="F2798" s="16" t="s">
        <v>5432</v>
      </c>
      <c r="G2798" s="16" t="s">
        <v>32</v>
      </c>
      <c r="H2798" s="16" t="s">
        <v>5435</v>
      </c>
      <c r="I2798" s="16"/>
      <c r="J2798" s="16" t="s">
        <v>145</v>
      </c>
      <c r="K2798" s="16"/>
      <c r="L2798" s="16"/>
      <c r="M2798" s="19" t="s">
        <v>5433</v>
      </c>
      <c r="N2798" s="16"/>
      <c r="O2798" s="16" t="s">
        <v>5434</v>
      </c>
      <c r="P2798" s="16" t="str">
        <f>HYPERLINK("https://ceds.ed.gov/cedselementdetails.aspx?termid=26191")</f>
        <v>https://ceds.ed.gov/cedselementdetails.aspx?termid=26191</v>
      </c>
      <c r="Q2798" s="16">
        <v>70808</v>
      </c>
    </row>
    <row r="2799" spans="1:17" ht="86.4" x14ac:dyDescent="0.3">
      <c r="A2799" s="16" t="s">
        <v>7724</v>
      </c>
      <c r="B2799" s="16" t="s">
        <v>7726</v>
      </c>
      <c r="C2799" s="16" t="s">
        <v>7608</v>
      </c>
      <c r="D2799" s="16" t="s">
        <v>7597</v>
      </c>
      <c r="E2799" s="16" t="s">
        <v>8142</v>
      </c>
      <c r="F2799" s="16" t="s">
        <v>8143</v>
      </c>
      <c r="G2799" s="16" t="s">
        <v>32</v>
      </c>
      <c r="H2799" s="16"/>
      <c r="I2799" s="16"/>
      <c r="J2799" s="16" t="s">
        <v>81</v>
      </c>
      <c r="K2799" s="16"/>
      <c r="L2799" s="16" t="s">
        <v>6671</v>
      </c>
      <c r="M2799" s="19" t="s">
        <v>6672</v>
      </c>
      <c r="N2799" s="16"/>
      <c r="O2799" s="16" t="s">
        <v>8144</v>
      </c>
      <c r="P2799" s="16" t="str">
        <f>HYPERLINK("https://ceds.ed.gov/cedselementdetails.aspx?termid=27459")</f>
        <v>https://ceds.ed.gov/cedselementdetails.aspx?termid=27459</v>
      </c>
      <c r="Q2799" s="16">
        <v>73422</v>
      </c>
    </row>
    <row r="2800" spans="1:17" ht="172.8" x14ac:dyDescent="0.3">
      <c r="A2800" s="16" t="s">
        <v>7724</v>
      </c>
      <c r="B2800" s="16" t="s">
        <v>7726</v>
      </c>
      <c r="C2800" s="16" t="s">
        <v>7608</v>
      </c>
      <c r="D2800" s="16" t="s">
        <v>7597</v>
      </c>
      <c r="E2800" s="16" t="s">
        <v>5556</v>
      </c>
      <c r="F2800" s="16" t="s">
        <v>5557</v>
      </c>
      <c r="G2800" s="16" t="s">
        <v>32</v>
      </c>
      <c r="H2800" s="16"/>
      <c r="I2800" s="16"/>
      <c r="J2800" s="16" t="s">
        <v>5559</v>
      </c>
      <c r="K2800" s="16"/>
      <c r="L2800" s="16"/>
      <c r="M2800" s="19" t="s">
        <v>5560</v>
      </c>
      <c r="N2800" s="16" t="s">
        <v>5561</v>
      </c>
      <c r="O2800" s="16" t="s">
        <v>5561</v>
      </c>
      <c r="P2800" s="16" t="str">
        <f>HYPERLINK("https://ceds.ed.gov/cedselementdetails.aspx?termid=26203")</f>
        <v>https://ceds.ed.gov/cedselementdetails.aspx?termid=26203</v>
      </c>
      <c r="Q2800" s="16">
        <v>70809</v>
      </c>
    </row>
    <row r="2801" spans="1:17" ht="129.6" x14ac:dyDescent="0.3">
      <c r="A2801" s="16" t="s">
        <v>7724</v>
      </c>
      <c r="B2801" s="16" t="s">
        <v>7726</v>
      </c>
      <c r="C2801" s="16" t="s">
        <v>7608</v>
      </c>
      <c r="D2801" s="16" t="s">
        <v>7597</v>
      </c>
      <c r="E2801" s="16" t="s">
        <v>3869</v>
      </c>
      <c r="F2801" s="16" t="s">
        <v>7980</v>
      </c>
      <c r="G2801" s="16" t="s">
        <v>3870</v>
      </c>
      <c r="H2801" s="16" t="s">
        <v>230</v>
      </c>
      <c r="I2801" s="16"/>
      <c r="J2801" s="16" t="s">
        <v>3871</v>
      </c>
      <c r="K2801" s="16"/>
      <c r="L2801" s="16"/>
      <c r="M2801" s="19" t="s">
        <v>3872</v>
      </c>
      <c r="N2801" s="16"/>
      <c r="O2801" s="16" t="s">
        <v>3873</v>
      </c>
      <c r="P2801" s="16" t="str">
        <f>HYPERLINK("https://ceds.ed.gov/cedselementdetails.aspx?termid=26111")</f>
        <v>https://ceds.ed.gov/cedselementdetails.aspx?termid=26111</v>
      </c>
      <c r="Q2801" s="16">
        <v>70805</v>
      </c>
    </row>
    <row r="2802" spans="1:17" ht="28.8" x14ac:dyDescent="0.3">
      <c r="A2802" s="16" t="s">
        <v>7724</v>
      </c>
      <c r="B2802" s="16" t="s">
        <v>7726</v>
      </c>
      <c r="C2802" s="16" t="s">
        <v>7608</v>
      </c>
      <c r="D2802" s="16" t="s">
        <v>7597</v>
      </c>
      <c r="E2802" s="16" t="s">
        <v>7262</v>
      </c>
      <c r="F2802" s="16" t="s">
        <v>7263</v>
      </c>
      <c r="G2802" s="16" t="s">
        <v>32</v>
      </c>
      <c r="H2802" s="16" t="s">
        <v>214</v>
      </c>
      <c r="I2802" s="16"/>
      <c r="J2802" s="16" t="s">
        <v>101</v>
      </c>
      <c r="K2802" s="16"/>
      <c r="L2802" s="16"/>
      <c r="M2802" s="19" t="s">
        <v>7264</v>
      </c>
      <c r="N2802" s="16"/>
      <c r="O2802" s="16" t="s">
        <v>7265</v>
      </c>
      <c r="P2802" s="16" t="str">
        <f>HYPERLINK("https://ceds.ed.gov/cedselementdetails.aspx?termid=26300")</f>
        <v>https://ceds.ed.gov/cedselementdetails.aspx?termid=26300</v>
      </c>
      <c r="Q2802" s="16">
        <v>74175</v>
      </c>
    </row>
    <row r="2803" spans="1:17" ht="72" x14ac:dyDescent="0.3">
      <c r="A2803" s="16" t="s">
        <v>7724</v>
      </c>
      <c r="B2803" s="16" t="s">
        <v>7726</v>
      </c>
      <c r="C2803" s="16" t="s">
        <v>7608</v>
      </c>
      <c r="D2803" s="16" t="s">
        <v>7597</v>
      </c>
      <c r="E2803" s="16" t="s">
        <v>5212</v>
      </c>
      <c r="F2803" s="16" t="s">
        <v>5213</v>
      </c>
      <c r="G2803" s="16" t="s">
        <v>8709</v>
      </c>
      <c r="H2803" s="16" t="s">
        <v>1927</v>
      </c>
      <c r="I2803" s="16"/>
      <c r="J2803" s="16"/>
      <c r="K2803" s="16"/>
      <c r="L2803" s="16"/>
      <c r="M2803" s="19" t="s">
        <v>5215</v>
      </c>
      <c r="N2803" s="16"/>
      <c r="O2803" s="16" t="s">
        <v>5216</v>
      </c>
      <c r="P2803" s="16" t="str">
        <f>HYPERLINK("https://ceds.ed.gov/cedselementdetails.aspx?termid=26178")</f>
        <v>https://ceds.ed.gov/cedselementdetails.aspx?termid=26178</v>
      </c>
      <c r="Q2803" s="16">
        <v>70807</v>
      </c>
    </row>
    <row r="2804" spans="1:17" ht="100.8" x14ac:dyDescent="0.3">
      <c r="A2804" s="16" t="s">
        <v>7724</v>
      </c>
      <c r="B2804" s="16" t="s">
        <v>7726</v>
      </c>
      <c r="C2804" s="16" t="s">
        <v>7608</v>
      </c>
      <c r="D2804" s="16" t="s">
        <v>7597</v>
      </c>
      <c r="E2804" s="16" t="s">
        <v>2456</v>
      </c>
      <c r="F2804" s="16" t="s">
        <v>7914</v>
      </c>
      <c r="G2804" s="16" t="s">
        <v>8216</v>
      </c>
      <c r="H2804" s="16" t="s">
        <v>1927</v>
      </c>
      <c r="I2804" s="16"/>
      <c r="J2804" s="16"/>
      <c r="K2804" s="16"/>
      <c r="L2804" s="16"/>
      <c r="M2804" s="19" t="s">
        <v>2457</v>
      </c>
      <c r="N2804" s="16"/>
      <c r="O2804" s="16" t="s">
        <v>2458</v>
      </c>
      <c r="P2804" s="16" t="str">
        <f>HYPERLINK("https://ceds.ed.gov/cedselementdetails.aspx?termid=26048")</f>
        <v>https://ceds.ed.gov/cedselementdetails.aspx?termid=26048</v>
      </c>
      <c r="Q2804" s="16">
        <v>70804</v>
      </c>
    </row>
    <row r="2805" spans="1:17" ht="115.2" x14ac:dyDescent="0.3">
      <c r="A2805" s="16" t="s">
        <v>7724</v>
      </c>
      <c r="B2805" s="16" t="s">
        <v>7726</v>
      </c>
      <c r="C2805" s="16" t="s">
        <v>7608</v>
      </c>
      <c r="D2805" s="16" t="s">
        <v>7597</v>
      </c>
      <c r="E2805" s="16" t="s">
        <v>7227</v>
      </c>
      <c r="F2805" s="16" t="s">
        <v>8171</v>
      </c>
      <c r="G2805" s="16" t="s">
        <v>22</v>
      </c>
      <c r="H2805" s="16"/>
      <c r="I2805" s="16"/>
      <c r="J2805" s="16"/>
      <c r="K2805" s="16"/>
      <c r="L2805" s="16"/>
      <c r="M2805" s="19" t="s">
        <v>7228</v>
      </c>
      <c r="N2805" s="16"/>
      <c r="O2805" s="16" t="s">
        <v>7229</v>
      </c>
      <c r="P2805" s="16" t="str">
        <f>HYPERLINK("https://ceds.ed.gov/cedselementdetails.aspx?termid=27167")</f>
        <v>https://ceds.ed.gov/cedselementdetails.aspx?termid=27167</v>
      </c>
      <c r="Q2805" s="16">
        <v>71577</v>
      </c>
    </row>
    <row r="2806" spans="1:17" ht="409.6" x14ac:dyDescent="0.3">
      <c r="A2806" s="16" t="s">
        <v>7724</v>
      </c>
      <c r="B2806" s="16" t="s">
        <v>7726</v>
      </c>
      <c r="C2806" s="16" t="s">
        <v>7608</v>
      </c>
      <c r="D2806" s="16" t="s">
        <v>7597</v>
      </c>
      <c r="E2806" s="16" t="s">
        <v>1922</v>
      </c>
      <c r="F2806" s="16" t="s">
        <v>1923</v>
      </c>
      <c r="G2806" s="16" t="s">
        <v>8429</v>
      </c>
      <c r="H2806" s="16" t="s">
        <v>1927</v>
      </c>
      <c r="I2806" s="16"/>
      <c r="J2806" s="16"/>
      <c r="K2806" s="16"/>
      <c r="L2806" s="16"/>
      <c r="M2806" s="19" t="s">
        <v>1925</v>
      </c>
      <c r="N2806" s="16"/>
      <c r="O2806" s="16" t="s">
        <v>1926</v>
      </c>
      <c r="P2806" s="16" t="str">
        <f>HYPERLINK("https://ceds.ed.gov/cedselementdetails.aspx?termid=26038")</f>
        <v>https://ceds.ed.gov/cedselementdetails.aspx?termid=26038</v>
      </c>
      <c r="Q2806" s="16">
        <v>70803</v>
      </c>
    </row>
    <row r="2807" spans="1:17" ht="28.8" x14ac:dyDescent="0.3">
      <c r="A2807" s="16" t="s">
        <v>7724</v>
      </c>
      <c r="B2807" s="16" t="s">
        <v>7726</v>
      </c>
      <c r="C2807" s="16" t="s">
        <v>7608</v>
      </c>
      <c r="D2807" s="16" t="s">
        <v>7597</v>
      </c>
      <c r="E2807" s="16" t="s">
        <v>6632</v>
      </c>
      <c r="F2807" s="16" t="s">
        <v>6633</v>
      </c>
      <c r="G2807" s="16" t="s">
        <v>32</v>
      </c>
      <c r="H2807" s="16" t="s">
        <v>1927</v>
      </c>
      <c r="I2807" s="16"/>
      <c r="J2807" s="16" t="s">
        <v>3093</v>
      </c>
      <c r="K2807" s="16"/>
      <c r="L2807" s="16"/>
      <c r="M2807" s="19" t="s">
        <v>6635</v>
      </c>
      <c r="N2807" s="16"/>
      <c r="O2807" s="16" t="s">
        <v>6636</v>
      </c>
      <c r="P2807" s="16" t="str">
        <f>HYPERLINK("https://ceds.ed.gov/cedselementdetails.aspx?termid=26252")</f>
        <v>https://ceds.ed.gov/cedselementdetails.aspx?termid=26252</v>
      </c>
      <c r="Q2807" s="16">
        <v>70810</v>
      </c>
    </row>
    <row r="2808" spans="1:17" ht="115.2" x14ac:dyDescent="0.3">
      <c r="A2808" s="16" t="s">
        <v>7724</v>
      </c>
      <c r="B2808" s="16" t="s">
        <v>7726</v>
      </c>
      <c r="C2808" s="16" t="s">
        <v>7608</v>
      </c>
      <c r="D2808" s="16" t="s">
        <v>7597</v>
      </c>
      <c r="E2808" s="16" t="s">
        <v>5827</v>
      </c>
      <c r="F2808" s="16" t="s">
        <v>5828</v>
      </c>
      <c r="G2808" s="16" t="s">
        <v>8253</v>
      </c>
      <c r="H2808" s="16" t="s">
        <v>5832</v>
      </c>
      <c r="I2808" s="16"/>
      <c r="J2808" s="16"/>
      <c r="K2808" s="16"/>
      <c r="L2808" s="16" t="s">
        <v>5829</v>
      </c>
      <c r="M2808" s="19" t="s">
        <v>5830</v>
      </c>
      <c r="N2808" s="16"/>
      <c r="O2808" s="16" t="s">
        <v>5831</v>
      </c>
      <c r="P2808" s="16" t="str">
        <f>HYPERLINK("https://ceds.ed.gov/cedselementdetails.aspx?termid=26705")</f>
        <v>https://ceds.ed.gov/cedselementdetails.aspx?termid=26705</v>
      </c>
      <c r="Q2808" s="16">
        <v>72151</v>
      </c>
    </row>
    <row r="2809" spans="1:17" ht="43.2" x14ac:dyDescent="0.3">
      <c r="A2809" s="16" t="s">
        <v>7724</v>
      </c>
      <c r="B2809" s="16" t="s">
        <v>7726</v>
      </c>
      <c r="C2809" s="16" t="s">
        <v>7608</v>
      </c>
      <c r="D2809" s="16" t="s">
        <v>7597</v>
      </c>
      <c r="E2809" s="16" t="s">
        <v>7066</v>
      </c>
      <c r="F2809" s="16" t="s">
        <v>7067</v>
      </c>
      <c r="G2809" s="16" t="s">
        <v>22</v>
      </c>
      <c r="H2809" s="16" t="s">
        <v>69</v>
      </c>
      <c r="I2809" s="16"/>
      <c r="J2809" s="16"/>
      <c r="K2809" s="16"/>
      <c r="L2809" s="16"/>
      <c r="M2809" s="19" t="s">
        <v>7068</v>
      </c>
      <c r="N2809" s="16"/>
      <c r="O2809" s="16" t="s">
        <v>7069</v>
      </c>
      <c r="P2809" s="16" t="str">
        <f>HYPERLINK("https://ceds.ed.gov/cedselementdetails.aspx?termid=26715")</f>
        <v>https://ceds.ed.gov/cedselementdetails.aspx?termid=26715</v>
      </c>
      <c r="Q2809" s="16">
        <v>72163</v>
      </c>
    </row>
    <row r="2810" spans="1:17" ht="57.6" x14ac:dyDescent="0.3">
      <c r="A2810" s="16" t="s">
        <v>7724</v>
      </c>
      <c r="B2810" s="16" t="s">
        <v>7726</v>
      </c>
      <c r="C2810" s="16" t="s">
        <v>7608</v>
      </c>
      <c r="D2810" s="16" t="s">
        <v>7597</v>
      </c>
      <c r="E2810" s="16" t="s">
        <v>215</v>
      </c>
      <c r="F2810" s="16" t="s">
        <v>216</v>
      </c>
      <c r="G2810" s="16" t="s">
        <v>8206</v>
      </c>
      <c r="H2810" s="16"/>
      <c r="I2810" s="16"/>
      <c r="J2810" s="16"/>
      <c r="K2810" s="16"/>
      <c r="L2810" s="16"/>
      <c r="M2810" s="19" t="s">
        <v>218</v>
      </c>
      <c r="N2810" s="16"/>
      <c r="O2810" s="16" t="s">
        <v>219</v>
      </c>
      <c r="P2810" s="16" t="str">
        <f>HYPERLINK("https://ceds.ed.gov/cedselementdetails.aspx?termid=26012")</f>
        <v>https://ceds.ed.gov/cedselementdetails.aspx?termid=26012</v>
      </c>
      <c r="Q2810" s="16">
        <v>75590</v>
      </c>
    </row>
    <row r="2811" spans="1:17" ht="43.2" x14ac:dyDescent="0.3">
      <c r="A2811" s="16" t="s">
        <v>7724</v>
      </c>
      <c r="B2811" s="16" t="s">
        <v>7726</v>
      </c>
      <c r="C2811" s="16" t="s">
        <v>7608</v>
      </c>
      <c r="D2811" s="16" t="s">
        <v>7597</v>
      </c>
      <c r="E2811" s="16" t="s">
        <v>7966</v>
      </c>
      <c r="F2811" s="16" t="s">
        <v>7967</v>
      </c>
      <c r="G2811" s="16" t="s">
        <v>32</v>
      </c>
      <c r="H2811" s="16"/>
      <c r="I2811" s="16"/>
      <c r="J2811" s="16" t="s">
        <v>1662</v>
      </c>
      <c r="K2811" s="16"/>
      <c r="L2811" s="16" t="s">
        <v>7968</v>
      </c>
      <c r="M2811" s="19" t="s">
        <v>8181</v>
      </c>
      <c r="N2811" s="16"/>
      <c r="O2811" s="16" t="s">
        <v>7969</v>
      </c>
      <c r="P2811" s="16" t="str">
        <f>HYPERLINK("https://ceds.ed.gov/cedselementdetails.aspx?termid=27979")</f>
        <v>https://ceds.ed.gov/cedselementdetails.aspx?termid=27979</v>
      </c>
      <c r="Q2811" s="16">
        <v>75950</v>
      </c>
    </row>
    <row r="2812" spans="1:17" ht="28.8" x14ac:dyDescent="0.3">
      <c r="A2812" s="16" t="s">
        <v>7724</v>
      </c>
      <c r="B2812" s="16" t="s">
        <v>7726</v>
      </c>
      <c r="C2812" s="16" t="s">
        <v>7608</v>
      </c>
      <c r="D2812" s="16" t="s">
        <v>7597</v>
      </c>
      <c r="E2812" s="16" t="s">
        <v>5570</v>
      </c>
      <c r="F2812" s="16" t="s">
        <v>5571</v>
      </c>
      <c r="G2812" s="16" t="s">
        <v>32</v>
      </c>
      <c r="H2812" s="16" t="s">
        <v>214</v>
      </c>
      <c r="I2812" s="16"/>
      <c r="J2812" s="16" t="s">
        <v>106</v>
      </c>
      <c r="K2812" s="16"/>
      <c r="L2812" s="16"/>
      <c r="M2812" s="19" t="s">
        <v>5572</v>
      </c>
      <c r="N2812" s="16"/>
      <c r="O2812" s="16" t="s">
        <v>5573</v>
      </c>
      <c r="P2812" s="16" t="str">
        <f>HYPERLINK("https://ceds.ed.gov/cedselementdetails.aspx?termid=26525")</f>
        <v>https://ceds.ed.gov/cedselementdetails.aspx?termid=26525</v>
      </c>
      <c r="Q2812" s="16">
        <v>75951</v>
      </c>
    </row>
    <row r="2813" spans="1:17" ht="28.8" x14ac:dyDescent="0.3">
      <c r="A2813" s="16" t="s">
        <v>7724</v>
      </c>
      <c r="B2813" s="16" t="s">
        <v>7726</v>
      </c>
      <c r="C2813" s="16" t="s">
        <v>7617</v>
      </c>
      <c r="D2813" s="16" t="s">
        <v>7597</v>
      </c>
      <c r="E2813" s="16" t="s">
        <v>3888</v>
      </c>
      <c r="F2813" s="16" t="s">
        <v>8003</v>
      </c>
      <c r="G2813" s="16" t="s">
        <v>32</v>
      </c>
      <c r="H2813" s="16"/>
      <c r="I2813" s="16"/>
      <c r="J2813" s="16" t="s">
        <v>747</v>
      </c>
      <c r="K2813" s="16"/>
      <c r="L2813" s="16"/>
      <c r="M2813" s="19" t="s">
        <v>3889</v>
      </c>
      <c r="N2813" s="16"/>
      <c r="O2813" s="16" t="s">
        <v>3890</v>
      </c>
      <c r="P2813" s="16" t="str">
        <f>HYPERLINK("https://ceds.ed.gov/cedselementdetails.aspx?termid=27315")</f>
        <v>https://ceds.ed.gov/cedselementdetails.aspx?termid=27315</v>
      </c>
      <c r="Q2813" s="16">
        <v>74825</v>
      </c>
    </row>
    <row r="2814" spans="1:17" ht="86.4" x14ac:dyDescent="0.3">
      <c r="A2814" s="16" t="s">
        <v>7724</v>
      </c>
      <c r="B2814" s="16" t="s">
        <v>7726</v>
      </c>
      <c r="C2814" s="16" t="s">
        <v>7617</v>
      </c>
      <c r="D2814" s="16" t="s">
        <v>7597</v>
      </c>
      <c r="E2814" s="16" t="s">
        <v>3891</v>
      </c>
      <c r="F2814" s="16" t="s">
        <v>8004</v>
      </c>
      <c r="G2814" s="16" t="s">
        <v>32</v>
      </c>
      <c r="H2814" s="16"/>
      <c r="I2814" s="16"/>
      <c r="J2814" s="16" t="s">
        <v>81</v>
      </c>
      <c r="K2814" s="16"/>
      <c r="L2814" s="16"/>
      <c r="M2814" s="19" t="s">
        <v>3892</v>
      </c>
      <c r="N2814" s="16"/>
      <c r="O2814" s="16" t="s">
        <v>3893</v>
      </c>
      <c r="P2814" s="16" t="str">
        <f>HYPERLINK("https://ceds.ed.gov/cedselementdetails.aspx?termid=27530")</f>
        <v>https://ceds.ed.gov/cedselementdetails.aspx?termid=27530</v>
      </c>
      <c r="Q2814" s="16">
        <v>74836</v>
      </c>
    </row>
    <row r="2815" spans="1:17" ht="86.4" x14ac:dyDescent="0.3">
      <c r="A2815" s="16" t="s">
        <v>7724</v>
      </c>
      <c r="B2815" s="16" t="s">
        <v>7726</v>
      </c>
      <c r="C2815" s="16" t="s">
        <v>7617</v>
      </c>
      <c r="D2815" s="16" t="s">
        <v>7597</v>
      </c>
      <c r="E2815" s="16" t="s">
        <v>3874</v>
      </c>
      <c r="F2815" s="16" t="s">
        <v>3875</v>
      </c>
      <c r="G2815" s="16" t="s">
        <v>8224</v>
      </c>
      <c r="H2815" s="16"/>
      <c r="I2815" s="16"/>
      <c r="J2815" s="16"/>
      <c r="K2815" s="16"/>
      <c r="L2815" s="16"/>
      <c r="M2815" s="19" t="s">
        <v>3876</v>
      </c>
      <c r="N2815" s="16"/>
      <c r="O2815" s="16" t="s">
        <v>3877</v>
      </c>
      <c r="P2815" s="16" t="str">
        <f>HYPERLINK("https://ceds.ed.gov/cedselementdetails.aspx?termid=27312")</f>
        <v>https://ceds.ed.gov/cedselementdetails.aspx?termid=27312</v>
      </c>
      <c r="Q2815" s="16">
        <v>74823</v>
      </c>
    </row>
    <row r="2816" spans="1:17" ht="28.8" x14ac:dyDescent="0.3">
      <c r="A2816" s="16" t="s">
        <v>7724</v>
      </c>
      <c r="B2816" s="16" t="s">
        <v>7726</v>
      </c>
      <c r="C2816" s="16" t="s">
        <v>7617</v>
      </c>
      <c r="D2816" s="16" t="s">
        <v>7597</v>
      </c>
      <c r="E2816" s="16" t="s">
        <v>3878</v>
      </c>
      <c r="F2816" s="16" t="s">
        <v>7987</v>
      </c>
      <c r="G2816" s="16" t="s">
        <v>32</v>
      </c>
      <c r="H2816" s="16"/>
      <c r="I2816" s="16"/>
      <c r="J2816" s="16" t="s">
        <v>101</v>
      </c>
      <c r="K2816" s="16"/>
      <c r="L2816" s="16"/>
      <c r="M2816" s="19" t="s">
        <v>3879</v>
      </c>
      <c r="N2816" s="16"/>
      <c r="O2816" s="16" t="s">
        <v>3880</v>
      </c>
      <c r="P2816" s="16" t="str">
        <f>HYPERLINK("https://ceds.ed.gov/cedselementdetails.aspx?termid=27313")</f>
        <v>https://ceds.ed.gov/cedselementdetails.aspx?termid=27313</v>
      </c>
      <c r="Q2816" s="16">
        <v>74824</v>
      </c>
    </row>
    <row r="2817" spans="1:17" ht="28.8" x14ac:dyDescent="0.3">
      <c r="A2817" s="16" t="s">
        <v>7724</v>
      </c>
      <c r="B2817" s="16" t="s">
        <v>7726</v>
      </c>
      <c r="C2817" s="16" t="s">
        <v>7617</v>
      </c>
      <c r="D2817" s="16" t="s">
        <v>7597</v>
      </c>
      <c r="E2817" s="16" t="s">
        <v>3894</v>
      </c>
      <c r="F2817" s="16" t="s">
        <v>8009</v>
      </c>
      <c r="G2817" s="16" t="s">
        <v>32</v>
      </c>
      <c r="H2817" s="16"/>
      <c r="I2817" s="16"/>
      <c r="J2817" s="16" t="s">
        <v>747</v>
      </c>
      <c r="K2817" s="16"/>
      <c r="L2817" s="16"/>
      <c r="M2817" s="19" t="s">
        <v>3895</v>
      </c>
      <c r="N2817" s="16"/>
      <c r="O2817" s="16" t="s">
        <v>3896</v>
      </c>
      <c r="P2817" s="16" t="str">
        <f>HYPERLINK("https://ceds.ed.gov/cedselementdetails.aspx?termid=27626")</f>
        <v>https://ceds.ed.gov/cedselementdetails.aspx?termid=27626</v>
      </c>
      <c r="Q2817" s="16">
        <v>74861</v>
      </c>
    </row>
    <row r="2818" spans="1:17" ht="28.8" x14ac:dyDescent="0.3">
      <c r="A2818" s="16" t="s">
        <v>7724</v>
      </c>
      <c r="B2818" s="16" t="s">
        <v>7726</v>
      </c>
      <c r="C2818" s="16" t="s">
        <v>7617</v>
      </c>
      <c r="D2818" s="16" t="s">
        <v>7597</v>
      </c>
      <c r="E2818" s="16" t="s">
        <v>3897</v>
      </c>
      <c r="F2818" s="16" t="s">
        <v>8010</v>
      </c>
      <c r="G2818" s="16" t="s">
        <v>32</v>
      </c>
      <c r="H2818" s="16"/>
      <c r="I2818" s="16"/>
      <c r="J2818" s="16" t="s">
        <v>81</v>
      </c>
      <c r="K2818" s="16"/>
      <c r="L2818" s="16"/>
      <c r="M2818" s="19" t="s">
        <v>3898</v>
      </c>
      <c r="N2818" s="16"/>
      <c r="O2818" s="16" t="s">
        <v>3899</v>
      </c>
      <c r="P2818" s="16" t="str">
        <f>HYPERLINK("https://ceds.ed.gov/cedselementdetails.aspx?termid=27627")</f>
        <v>https://ceds.ed.gov/cedselementdetails.aspx?termid=27627</v>
      </c>
      <c r="Q2818" s="16">
        <v>74862</v>
      </c>
    </row>
    <row r="2819" spans="1:17" ht="28.8" x14ac:dyDescent="0.3">
      <c r="A2819" s="16" t="s">
        <v>7724</v>
      </c>
      <c r="B2819" s="16" t="s">
        <v>7726</v>
      </c>
      <c r="C2819" s="16" t="s">
        <v>7617</v>
      </c>
      <c r="D2819" s="16" t="s">
        <v>7597</v>
      </c>
      <c r="E2819" s="16" t="s">
        <v>3900</v>
      </c>
      <c r="F2819" s="16" t="s">
        <v>3901</v>
      </c>
      <c r="G2819" s="16" t="s">
        <v>32</v>
      </c>
      <c r="H2819" s="16"/>
      <c r="I2819" s="16"/>
      <c r="J2819" s="16" t="s">
        <v>106</v>
      </c>
      <c r="K2819" s="16"/>
      <c r="L2819" s="16"/>
      <c r="M2819" s="19" t="s">
        <v>3902</v>
      </c>
      <c r="N2819" s="16"/>
      <c r="O2819" s="16" t="s">
        <v>3903</v>
      </c>
      <c r="P2819" s="16" t="str">
        <f>HYPERLINK("https://ceds.ed.gov/cedselementdetails.aspx?termid=27629")</f>
        <v>https://ceds.ed.gov/cedselementdetails.aspx?termid=27629</v>
      </c>
      <c r="Q2819" s="16">
        <v>74864</v>
      </c>
    </row>
    <row r="2820" spans="1:17" ht="43.2" x14ac:dyDescent="0.3">
      <c r="A2820" s="16" t="s">
        <v>7724</v>
      </c>
      <c r="B2820" s="16" t="s">
        <v>7726</v>
      </c>
      <c r="C2820" s="16" t="s">
        <v>7617</v>
      </c>
      <c r="D2820" s="16" t="s">
        <v>7597</v>
      </c>
      <c r="E2820" s="16" t="s">
        <v>3908</v>
      </c>
      <c r="F2820" s="16" t="s">
        <v>3909</v>
      </c>
      <c r="G2820" s="16" t="s">
        <v>32</v>
      </c>
      <c r="H2820" s="16"/>
      <c r="I2820" s="16"/>
      <c r="J2820" s="16" t="s">
        <v>1481</v>
      </c>
      <c r="K2820" s="16"/>
      <c r="L2820" s="16"/>
      <c r="M2820" s="19" t="s">
        <v>3910</v>
      </c>
      <c r="N2820" s="16"/>
      <c r="O2820" s="16" t="s">
        <v>3911</v>
      </c>
      <c r="P2820" s="16" t="str">
        <f>HYPERLINK("https://ceds.ed.gov/cedselementdetails.aspx?termid=27318")</f>
        <v>https://ceds.ed.gov/cedselementdetails.aspx?termid=27318</v>
      </c>
      <c r="Q2820" s="16">
        <v>74827</v>
      </c>
    </row>
    <row r="2821" spans="1:17" ht="57.6" x14ac:dyDescent="0.3">
      <c r="A2821" s="16" t="s">
        <v>7724</v>
      </c>
      <c r="B2821" s="16" t="s">
        <v>7726</v>
      </c>
      <c r="C2821" s="16" t="s">
        <v>7617</v>
      </c>
      <c r="D2821" s="16" t="s">
        <v>7597</v>
      </c>
      <c r="E2821" s="16" t="s">
        <v>3912</v>
      </c>
      <c r="F2821" s="16" t="s">
        <v>3913</v>
      </c>
      <c r="G2821" s="16" t="s">
        <v>32</v>
      </c>
      <c r="H2821" s="16"/>
      <c r="I2821" s="16"/>
      <c r="J2821" s="16" t="s">
        <v>1481</v>
      </c>
      <c r="K2821" s="16"/>
      <c r="L2821" s="16" t="s">
        <v>3914</v>
      </c>
      <c r="M2821" s="19" t="s">
        <v>3915</v>
      </c>
      <c r="N2821" s="16"/>
      <c r="O2821" s="16" t="s">
        <v>3916</v>
      </c>
      <c r="P2821" s="16" t="str">
        <f>HYPERLINK("https://ceds.ed.gov/cedselementdetails.aspx?termid=27625")</f>
        <v>https://ceds.ed.gov/cedselementdetails.aspx?termid=27625</v>
      </c>
      <c r="Q2821" s="16">
        <v>74860</v>
      </c>
    </row>
    <row r="2822" spans="1:17" ht="43.2" x14ac:dyDescent="0.3">
      <c r="A2822" s="16" t="s">
        <v>7724</v>
      </c>
      <c r="B2822" s="16" t="s">
        <v>7726</v>
      </c>
      <c r="C2822" s="16" t="s">
        <v>7617</v>
      </c>
      <c r="D2822" s="16" t="s">
        <v>7597</v>
      </c>
      <c r="E2822" s="16" t="s">
        <v>3904</v>
      </c>
      <c r="F2822" s="16" t="s">
        <v>3905</v>
      </c>
      <c r="G2822" s="16" t="s">
        <v>32</v>
      </c>
      <c r="H2822" s="16"/>
      <c r="I2822" s="16"/>
      <c r="J2822" s="16" t="s">
        <v>1481</v>
      </c>
      <c r="K2822" s="16"/>
      <c r="L2822" s="16"/>
      <c r="M2822" s="19" t="s">
        <v>3906</v>
      </c>
      <c r="N2822" s="16"/>
      <c r="O2822" s="16" t="s">
        <v>3907</v>
      </c>
      <c r="P2822" s="16" t="str">
        <f>HYPERLINK("https://ceds.ed.gov/cedselementdetails.aspx?termid=27317")</f>
        <v>https://ceds.ed.gov/cedselementdetails.aspx?termid=27317</v>
      </c>
      <c r="Q2822" s="16">
        <v>74826</v>
      </c>
    </row>
    <row r="2823" spans="1:17" ht="129.6" x14ac:dyDescent="0.3">
      <c r="A2823" s="16" t="s">
        <v>7724</v>
      </c>
      <c r="B2823" s="16" t="s">
        <v>7726</v>
      </c>
      <c r="C2823" s="16" t="s">
        <v>7617</v>
      </c>
      <c r="D2823" s="16" t="s">
        <v>7597</v>
      </c>
      <c r="E2823" s="16" t="s">
        <v>3917</v>
      </c>
      <c r="F2823" s="16" t="s">
        <v>3918</v>
      </c>
      <c r="G2823" s="16" t="s">
        <v>32</v>
      </c>
      <c r="H2823" s="16"/>
      <c r="I2823" s="16"/>
      <c r="J2823" s="16" t="s">
        <v>1481</v>
      </c>
      <c r="K2823" s="16"/>
      <c r="L2823" s="16" t="s">
        <v>3919</v>
      </c>
      <c r="M2823" s="19" t="s">
        <v>3920</v>
      </c>
      <c r="N2823" s="16"/>
      <c r="O2823" s="16" t="s">
        <v>3921</v>
      </c>
      <c r="P2823" s="16" t="str">
        <f>HYPERLINK("https://ceds.ed.gov/cedselementdetails.aspx?termid=27628")</f>
        <v>https://ceds.ed.gov/cedselementdetails.aspx?termid=27628</v>
      </c>
      <c r="Q2823" s="16">
        <v>74863</v>
      </c>
    </row>
    <row r="2824" spans="1:17" ht="28.8" x14ac:dyDescent="0.3">
      <c r="A2824" s="16" t="s">
        <v>7724</v>
      </c>
      <c r="B2824" s="16" t="s">
        <v>7726</v>
      </c>
      <c r="C2824" s="16" t="s">
        <v>7617</v>
      </c>
      <c r="D2824" s="16" t="s">
        <v>7597</v>
      </c>
      <c r="E2824" s="16" t="s">
        <v>3998</v>
      </c>
      <c r="F2824" s="16" t="s">
        <v>3999</v>
      </c>
      <c r="G2824" s="16" t="s">
        <v>32</v>
      </c>
      <c r="H2824" s="16"/>
      <c r="I2824" s="16"/>
      <c r="J2824" s="16" t="s">
        <v>106</v>
      </c>
      <c r="K2824" s="16"/>
      <c r="L2824" s="16"/>
      <c r="M2824" s="19" t="s">
        <v>4000</v>
      </c>
      <c r="N2824" s="16"/>
      <c r="O2824" s="16" t="s">
        <v>4001</v>
      </c>
      <c r="P2824" s="16" t="str">
        <f>HYPERLINK("https://ceds.ed.gov/cedselementdetails.aspx?termid=27623")</f>
        <v>https://ceds.ed.gov/cedselementdetails.aspx?termid=27623</v>
      </c>
      <c r="Q2824" s="16">
        <v>74858</v>
      </c>
    </row>
    <row r="2825" spans="1:17" ht="57.6" x14ac:dyDescent="0.3">
      <c r="A2825" s="16" t="s">
        <v>7724</v>
      </c>
      <c r="B2825" s="16" t="s">
        <v>7726</v>
      </c>
      <c r="C2825" s="16" t="s">
        <v>7617</v>
      </c>
      <c r="D2825" s="16" t="s">
        <v>7597</v>
      </c>
      <c r="E2825" s="16" t="s">
        <v>4002</v>
      </c>
      <c r="F2825" s="16" t="s">
        <v>4003</v>
      </c>
      <c r="G2825" s="16" t="s">
        <v>32</v>
      </c>
      <c r="H2825" s="16"/>
      <c r="I2825" s="16"/>
      <c r="J2825" s="16" t="s">
        <v>106</v>
      </c>
      <c r="K2825" s="16"/>
      <c r="L2825" s="16" t="s">
        <v>131</v>
      </c>
      <c r="M2825" s="19" t="s">
        <v>4004</v>
      </c>
      <c r="N2825" s="16"/>
      <c r="O2825" s="16" t="s">
        <v>4005</v>
      </c>
      <c r="P2825" s="16" t="str">
        <f>HYPERLINK("https://ceds.ed.gov/cedselementdetails.aspx?termid=27624")</f>
        <v>https://ceds.ed.gov/cedselementdetails.aspx?termid=27624</v>
      </c>
      <c r="Q2825" s="16">
        <v>74859</v>
      </c>
    </row>
    <row r="2826" spans="1:17" ht="43.2" x14ac:dyDescent="0.3">
      <c r="A2826" s="16" t="s">
        <v>7724</v>
      </c>
      <c r="B2826" s="16" t="s">
        <v>7726</v>
      </c>
      <c r="C2826" s="16" t="s">
        <v>7617</v>
      </c>
      <c r="D2826" s="16" t="s">
        <v>7597</v>
      </c>
      <c r="E2826" s="16" t="s">
        <v>4006</v>
      </c>
      <c r="F2826" s="16" t="s">
        <v>8049</v>
      </c>
      <c r="G2826" s="16" t="s">
        <v>32</v>
      </c>
      <c r="H2826" s="16"/>
      <c r="I2826" s="16"/>
      <c r="J2826" s="16" t="s">
        <v>1807</v>
      </c>
      <c r="K2826" s="16"/>
      <c r="L2826" s="16"/>
      <c r="M2826" s="19" t="s">
        <v>4007</v>
      </c>
      <c r="N2826" s="16"/>
      <c r="O2826" s="16" t="s">
        <v>4008</v>
      </c>
      <c r="P2826" s="16" t="str">
        <f>HYPERLINK("https://ceds.ed.gov/cedselementdetails.aspx?termid=27620")</f>
        <v>https://ceds.ed.gov/cedselementdetails.aspx?termid=27620</v>
      </c>
      <c r="Q2826" s="16">
        <v>74857</v>
      </c>
    </row>
    <row r="2827" spans="1:17" ht="409.6" x14ac:dyDescent="0.3">
      <c r="A2827" s="16" t="s">
        <v>7724</v>
      </c>
      <c r="B2827" s="16" t="s">
        <v>7726</v>
      </c>
      <c r="C2827" s="16" t="s">
        <v>7617</v>
      </c>
      <c r="D2827" s="16" t="s">
        <v>7597</v>
      </c>
      <c r="E2827" s="16" t="s">
        <v>4794</v>
      </c>
      <c r="F2827" s="16" t="s">
        <v>4795</v>
      </c>
      <c r="G2827" s="16" t="s">
        <v>8671</v>
      </c>
      <c r="H2827" s="16"/>
      <c r="I2827" s="16"/>
      <c r="J2827" s="16"/>
      <c r="K2827" s="16"/>
      <c r="L2827" s="16"/>
      <c r="M2827" s="19" t="s">
        <v>4797</v>
      </c>
      <c r="N2827" s="16"/>
      <c r="O2827" s="16" t="s">
        <v>4798</v>
      </c>
      <c r="P2827" s="16" t="str">
        <f>HYPERLINK("https://ceds.ed.gov/cedselementdetails.aspx?termid=27652")</f>
        <v>https://ceds.ed.gov/cedselementdetails.aspx?termid=27652</v>
      </c>
      <c r="Q2827" s="16">
        <v>74960</v>
      </c>
    </row>
    <row r="2828" spans="1:17" ht="172.8" x14ac:dyDescent="0.3">
      <c r="A2828" s="16" t="s">
        <v>7724</v>
      </c>
      <c r="B2828" s="16" t="s">
        <v>7726</v>
      </c>
      <c r="C2828" s="16" t="s">
        <v>7617</v>
      </c>
      <c r="D2828" s="16" t="s">
        <v>7597</v>
      </c>
      <c r="E2828" s="16" t="s">
        <v>4799</v>
      </c>
      <c r="F2828" s="16" t="s">
        <v>4824</v>
      </c>
      <c r="G2828" s="16" t="s">
        <v>8672</v>
      </c>
      <c r="H2828" s="16"/>
      <c r="I2828" s="16"/>
      <c r="J2828" s="16"/>
      <c r="K2828" s="16"/>
      <c r="L2828" s="16" t="s">
        <v>4800</v>
      </c>
      <c r="M2828" s="19" t="s">
        <v>4801</v>
      </c>
      <c r="N2828" s="16"/>
      <c r="O2828" s="16" t="s">
        <v>4802</v>
      </c>
      <c r="P2828" s="16" t="str">
        <f>HYPERLINK("https://ceds.ed.gov/cedselementdetails.aspx?termid=27640")</f>
        <v>https://ceds.ed.gov/cedselementdetails.aspx?termid=27640</v>
      </c>
      <c r="Q2828" s="16">
        <v>74961</v>
      </c>
    </row>
    <row r="2829" spans="1:17" ht="57.6" x14ac:dyDescent="0.3">
      <c r="A2829" s="16" t="s">
        <v>7724</v>
      </c>
      <c r="B2829" s="16" t="s">
        <v>7726</v>
      </c>
      <c r="C2829" s="16" t="s">
        <v>7617</v>
      </c>
      <c r="D2829" s="16" t="s">
        <v>7597</v>
      </c>
      <c r="E2829" s="16" t="s">
        <v>4803</v>
      </c>
      <c r="F2829" s="16" t="s">
        <v>4804</v>
      </c>
      <c r="G2829" s="16" t="s">
        <v>8673</v>
      </c>
      <c r="H2829" s="16"/>
      <c r="I2829" s="16"/>
      <c r="J2829" s="16"/>
      <c r="K2829" s="16"/>
      <c r="L2829" s="16"/>
      <c r="M2829" s="19" t="s">
        <v>4805</v>
      </c>
      <c r="N2829" s="16"/>
      <c r="O2829" s="16" t="s">
        <v>4806</v>
      </c>
      <c r="P2829" s="16" t="str">
        <f>HYPERLINK("https://ceds.ed.gov/cedselementdetails.aspx?termid=27661")</f>
        <v>https://ceds.ed.gov/cedselementdetails.aspx?termid=27661</v>
      </c>
      <c r="Q2829" s="16">
        <v>74962</v>
      </c>
    </row>
    <row r="2830" spans="1:17" ht="345.6" x14ac:dyDescent="0.3">
      <c r="A2830" s="16" t="s">
        <v>7724</v>
      </c>
      <c r="B2830" s="16" t="s">
        <v>7726</v>
      </c>
      <c r="C2830" s="16" t="s">
        <v>7617</v>
      </c>
      <c r="D2830" s="16" t="s">
        <v>7597</v>
      </c>
      <c r="E2830" s="16" t="s">
        <v>4807</v>
      </c>
      <c r="F2830" s="16" t="s">
        <v>4808</v>
      </c>
      <c r="G2830" s="16" t="s">
        <v>8674</v>
      </c>
      <c r="H2830" s="16"/>
      <c r="I2830" s="16"/>
      <c r="J2830" s="16"/>
      <c r="K2830" s="16"/>
      <c r="L2830" s="16"/>
      <c r="M2830" s="19" t="s">
        <v>4809</v>
      </c>
      <c r="N2830" s="16"/>
      <c r="O2830" s="16" t="s">
        <v>4810</v>
      </c>
      <c r="P2830" s="16" t="str">
        <f>HYPERLINK("https://ceds.ed.gov/cedselementdetails.aspx?termid=27654")</f>
        <v>https://ceds.ed.gov/cedselementdetails.aspx?termid=27654</v>
      </c>
      <c r="Q2830" s="16">
        <v>74963</v>
      </c>
    </row>
    <row r="2831" spans="1:17" ht="72" x14ac:dyDescent="0.3">
      <c r="A2831" s="16" t="s">
        <v>7724</v>
      </c>
      <c r="B2831" s="16" t="s">
        <v>7726</v>
      </c>
      <c r="C2831" s="16" t="s">
        <v>7617</v>
      </c>
      <c r="D2831" s="16" t="s">
        <v>7597</v>
      </c>
      <c r="E2831" s="16" t="s">
        <v>4811</v>
      </c>
      <c r="F2831" s="16" t="s">
        <v>4812</v>
      </c>
      <c r="G2831" s="16" t="s">
        <v>8675</v>
      </c>
      <c r="H2831" s="16"/>
      <c r="I2831" s="16"/>
      <c r="J2831" s="16"/>
      <c r="K2831" s="16"/>
      <c r="L2831" s="16"/>
      <c r="M2831" s="19" t="s">
        <v>4813</v>
      </c>
      <c r="N2831" s="16"/>
      <c r="O2831" s="16" t="s">
        <v>4814</v>
      </c>
      <c r="P2831" s="16" t="str">
        <f>HYPERLINK("https://ceds.ed.gov/cedselementdetails.aspx?termid=27655")</f>
        <v>https://ceds.ed.gov/cedselementdetails.aspx?termid=27655</v>
      </c>
      <c r="Q2831" s="16">
        <v>74964</v>
      </c>
    </row>
    <row r="2832" spans="1:17" ht="158.4" x14ac:dyDescent="0.3">
      <c r="A2832" s="16" t="s">
        <v>7724</v>
      </c>
      <c r="B2832" s="16" t="s">
        <v>7726</v>
      </c>
      <c r="C2832" s="16" t="s">
        <v>7617</v>
      </c>
      <c r="D2832" s="16" t="s">
        <v>7597</v>
      </c>
      <c r="E2832" s="16" t="s">
        <v>4815</v>
      </c>
      <c r="F2832" s="16" t="s">
        <v>4816</v>
      </c>
      <c r="G2832" s="16" t="s">
        <v>8676</v>
      </c>
      <c r="H2832" s="16"/>
      <c r="I2832" s="16"/>
      <c r="J2832" s="16"/>
      <c r="K2832" s="16"/>
      <c r="L2832" s="16"/>
      <c r="M2832" s="19" t="s">
        <v>4817</v>
      </c>
      <c r="N2832" s="16"/>
      <c r="O2832" s="16" t="s">
        <v>4818</v>
      </c>
      <c r="P2832" s="16" t="str">
        <f>HYPERLINK("https://ceds.ed.gov/cedselementdetails.aspx?termid=27659")</f>
        <v>https://ceds.ed.gov/cedselementdetails.aspx?termid=27659</v>
      </c>
      <c r="Q2832" s="16">
        <v>74965</v>
      </c>
    </row>
    <row r="2833" spans="1:17" ht="409.6" x14ac:dyDescent="0.3">
      <c r="A2833" s="16" t="s">
        <v>7724</v>
      </c>
      <c r="B2833" s="16" t="s">
        <v>7726</v>
      </c>
      <c r="C2833" s="16" t="s">
        <v>7617</v>
      </c>
      <c r="D2833" s="16" t="s">
        <v>7597</v>
      </c>
      <c r="E2833" s="16" t="s">
        <v>4819</v>
      </c>
      <c r="F2833" s="16" t="s">
        <v>4820</v>
      </c>
      <c r="G2833" s="16" t="s">
        <v>8677</v>
      </c>
      <c r="H2833" s="16"/>
      <c r="I2833" s="16"/>
      <c r="J2833" s="16"/>
      <c r="K2833" s="16"/>
      <c r="L2833" s="16"/>
      <c r="M2833" s="19" t="s">
        <v>4821</v>
      </c>
      <c r="N2833" s="16"/>
      <c r="O2833" s="16" t="s">
        <v>4822</v>
      </c>
      <c r="P2833" s="16" t="str">
        <f>HYPERLINK("https://ceds.ed.gov/cedselementdetails.aspx?termid=27651")</f>
        <v>https://ceds.ed.gov/cedselementdetails.aspx?termid=27651</v>
      </c>
      <c r="Q2833" s="16">
        <v>74966</v>
      </c>
    </row>
    <row r="2834" spans="1:17" ht="172.8" x14ac:dyDescent="0.3">
      <c r="A2834" s="16" t="s">
        <v>7724</v>
      </c>
      <c r="B2834" s="16" t="s">
        <v>7726</v>
      </c>
      <c r="C2834" s="16" t="s">
        <v>7617</v>
      </c>
      <c r="D2834" s="16" t="s">
        <v>7597</v>
      </c>
      <c r="E2834" s="16" t="s">
        <v>4823</v>
      </c>
      <c r="F2834" s="16" t="s">
        <v>4824</v>
      </c>
      <c r="G2834" s="16" t="s">
        <v>8678</v>
      </c>
      <c r="H2834" s="16"/>
      <c r="I2834" s="16"/>
      <c r="J2834" s="16"/>
      <c r="K2834" s="16"/>
      <c r="L2834" s="16" t="s">
        <v>4800</v>
      </c>
      <c r="M2834" s="19" t="s">
        <v>4825</v>
      </c>
      <c r="N2834" s="16"/>
      <c r="O2834" s="16" t="s">
        <v>4826</v>
      </c>
      <c r="P2834" s="16" t="str">
        <f>HYPERLINK("https://ceds.ed.gov/cedselementdetails.aspx?termid=27656")</f>
        <v>https://ceds.ed.gov/cedselementdetails.aspx?termid=27656</v>
      </c>
      <c r="Q2834" s="16">
        <v>74967</v>
      </c>
    </row>
    <row r="2835" spans="1:17" ht="409.6" x14ac:dyDescent="0.3">
      <c r="A2835" s="16" t="s">
        <v>7724</v>
      </c>
      <c r="B2835" s="16" t="s">
        <v>7726</v>
      </c>
      <c r="C2835" s="16" t="s">
        <v>7617</v>
      </c>
      <c r="D2835" s="16" t="s">
        <v>7597</v>
      </c>
      <c r="E2835" s="16" t="s">
        <v>4827</v>
      </c>
      <c r="F2835" s="16" t="s">
        <v>4828</v>
      </c>
      <c r="G2835" s="16" t="s">
        <v>8679</v>
      </c>
      <c r="H2835" s="16"/>
      <c r="I2835" s="16"/>
      <c r="J2835" s="16"/>
      <c r="K2835" s="16"/>
      <c r="L2835" s="16"/>
      <c r="M2835" s="19" t="s">
        <v>4829</v>
      </c>
      <c r="N2835" s="16"/>
      <c r="O2835" s="16" t="s">
        <v>4830</v>
      </c>
      <c r="P2835" s="16" t="str">
        <f>HYPERLINK("https://ceds.ed.gov/cedselementdetails.aspx?termid=27653")</f>
        <v>https://ceds.ed.gov/cedselementdetails.aspx?termid=27653</v>
      </c>
      <c r="Q2835" s="16">
        <v>74968</v>
      </c>
    </row>
    <row r="2836" spans="1:17" ht="187.2" x14ac:dyDescent="0.3">
      <c r="A2836" s="16" t="s">
        <v>7724</v>
      </c>
      <c r="B2836" s="16" t="s">
        <v>7726</v>
      </c>
      <c r="C2836" s="16" t="s">
        <v>7617</v>
      </c>
      <c r="D2836" s="16" t="s">
        <v>7597</v>
      </c>
      <c r="E2836" s="16" t="s">
        <v>4831</v>
      </c>
      <c r="F2836" s="16" t="s">
        <v>4832</v>
      </c>
      <c r="G2836" s="16" t="s">
        <v>8680</v>
      </c>
      <c r="H2836" s="16"/>
      <c r="I2836" s="16"/>
      <c r="J2836" s="16"/>
      <c r="K2836" s="16"/>
      <c r="L2836" s="16"/>
      <c r="M2836" s="19" t="s">
        <v>4833</v>
      </c>
      <c r="N2836" s="16"/>
      <c r="O2836" s="16" t="s">
        <v>4834</v>
      </c>
      <c r="P2836" s="16" t="str">
        <f>HYPERLINK("https://ceds.ed.gov/cedselementdetails.aspx?termid=27658")</f>
        <v>https://ceds.ed.gov/cedselementdetails.aspx?termid=27658</v>
      </c>
      <c r="Q2836" s="16">
        <v>74969</v>
      </c>
    </row>
    <row r="2837" spans="1:17" ht="86.4" x14ac:dyDescent="0.3">
      <c r="A2837" s="16" t="s">
        <v>7724</v>
      </c>
      <c r="B2837" s="16" t="s">
        <v>7726</v>
      </c>
      <c r="C2837" s="16" t="s">
        <v>7617</v>
      </c>
      <c r="D2837" s="16" t="s">
        <v>7597</v>
      </c>
      <c r="E2837" s="16" t="s">
        <v>4835</v>
      </c>
      <c r="F2837" s="16" t="s">
        <v>4836</v>
      </c>
      <c r="G2837" s="16" t="s">
        <v>8681</v>
      </c>
      <c r="H2837" s="16"/>
      <c r="I2837" s="16"/>
      <c r="J2837" s="16"/>
      <c r="K2837" s="16"/>
      <c r="L2837" s="16"/>
      <c r="M2837" s="19" t="s">
        <v>4837</v>
      </c>
      <c r="N2837" s="16"/>
      <c r="O2837" s="16" t="s">
        <v>4838</v>
      </c>
      <c r="P2837" s="16" t="str">
        <f>HYPERLINK("https://ceds.ed.gov/cedselementdetails.aspx?termid=27660")</f>
        <v>https://ceds.ed.gov/cedselementdetails.aspx?termid=27660</v>
      </c>
      <c r="Q2837" s="16">
        <v>74970</v>
      </c>
    </row>
    <row r="2838" spans="1:17" ht="115.2" x14ac:dyDescent="0.3">
      <c r="A2838" s="16" t="s">
        <v>7724</v>
      </c>
      <c r="B2838" s="16" t="s">
        <v>7726</v>
      </c>
      <c r="C2838" s="16" t="s">
        <v>7617</v>
      </c>
      <c r="D2838" s="16" t="s">
        <v>7597</v>
      </c>
      <c r="E2838" s="16" t="s">
        <v>4839</v>
      </c>
      <c r="F2838" s="16" t="s">
        <v>4840</v>
      </c>
      <c r="G2838" s="16" t="s">
        <v>8682</v>
      </c>
      <c r="H2838" s="16"/>
      <c r="I2838" s="16"/>
      <c r="J2838" s="16"/>
      <c r="K2838" s="16"/>
      <c r="L2838" s="16" t="s">
        <v>4841</v>
      </c>
      <c r="M2838" s="19" t="s">
        <v>4842</v>
      </c>
      <c r="N2838" s="16"/>
      <c r="O2838" s="16" t="s">
        <v>4843</v>
      </c>
      <c r="P2838" s="16" t="str">
        <f>HYPERLINK("https://ceds.ed.gov/cedselementdetails.aspx?termid=27657")</f>
        <v>https://ceds.ed.gov/cedselementdetails.aspx?termid=27657</v>
      </c>
      <c r="Q2838" s="16">
        <v>74971</v>
      </c>
    </row>
    <row r="2839" spans="1:17" ht="72" x14ac:dyDescent="0.3">
      <c r="A2839" s="16" t="s">
        <v>7724</v>
      </c>
      <c r="B2839" s="16" t="s">
        <v>7726</v>
      </c>
      <c r="C2839" s="16" t="s">
        <v>7617</v>
      </c>
      <c r="D2839" s="16" t="s">
        <v>7597</v>
      </c>
      <c r="E2839" s="16" t="s">
        <v>8974</v>
      </c>
      <c r="F2839" s="16" t="s">
        <v>8975</v>
      </c>
      <c r="G2839" s="16" t="s">
        <v>32</v>
      </c>
      <c r="H2839" s="16"/>
      <c r="I2839" s="16"/>
      <c r="J2839" s="16" t="s">
        <v>120</v>
      </c>
      <c r="K2839" s="16"/>
      <c r="L2839" s="16" t="s">
        <v>8976</v>
      </c>
      <c r="M2839" s="19" t="s">
        <v>8977</v>
      </c>
      <c r="N2839" s="16"/>
      <c r="O2839" s="16" t="s">
        <v>8978</v>
      </c>
      <c r="P2839" s="16" t="str">
        <f>HYPERLINK("https://ceds.ed.gov/cedselementdetails.aspx?termid=28020")</f>
        <v>https://ceds.ed.gov/cedselementdetails.aspx?termid=28020</v>
      </c>
      <c r="Q2839" s="16">
        <v>76400</v>
      </c>
    </row>
    <row r="2840" spans="1:17" ht="72" x14ac:dyDescent="0.3">
      <c r="A2840" s="16" t="s">
        <v>7724</v>
      </c>
      <c r="B2840" s="16" t="s">
        <v>7726</v>
      </c>
      <c r="C2840" s="16" t="s">
        <v>7617</v>
      </c>
      <c r="D2840" s="16" t="s">
        <v>7597</v>
      </c>
      <c r="E2840" s="16" t="s">
        <v>8979</v>
      </c>
      <c r="F2840" s="16" t="s">
        <v>8980</v>
      </c>
      <c r="G2840" s="16" t="s">
        <v>32</v>
      </c>
      <c r="H2840" s="16"/>
      <c r="I2840" s="16"/>
      <c r="J2840" s="16" t="s">
        <v>1481</v>
      </c>
      <c r="K2840" s="16"/>
      <c r="L2840" s="16" t="s">
        <v>8976</v>
      </c>
      <c r="M2840" s="19" t="s">
        <v>8981</v>
      </c>
      <c r="N2840" s="16"/>
      <c r="O2840" s="16" t="s">
        <v>8982</v>
      </c>
      <c r="P2840" s="16" t="str">
        <f>HYPERLINK("https://ceds.ed.gov/cedselementdetails.aspx?termid=28021")</f>
        <v>https://ceds.ed.gov/cedselementdetails.aspx?termid=28021</v>
      </c>
      <c r="Q2840" s="16">
        <v>76401</v>
      </c>
    </row>
    <row r="2841" spans="1:17" ht="57.6" x14ac:dyDescent="0.3">
      <c r="A2841" s="16" t="s">
        <v>7724</v>
      </c>
      <c r="B2841" s="16" t="s">
        <v>7726</v>
      </c>
      <c r="C2841" s="16" t="s">
        <v>7617</v>
      </c>
      <c r="D2841" s="16" t="s">
        <v>7597</v>
      </c>
      <c r="E2841" s="16" t="s">
        <v>12783</v>
      </c>
      <c r="F2841" s="16" t="s">
        <v>12784</v>
      </c>
      <c r="G2841" s="16" t="s">
        <v>32</v>
      </c>
      <c r="H2841" s="16"/>
      <c r="I2841" s="16" t="s">
        <v>155</v>
      </c>
      <c r="J2841" s="16" t="s">
        <v>136</v>
      </c>
      <c r="K2841" s="16" t="s">
        <v>12636</v>
      </c>
      <c r="L2841" s="16"/>
      <c r="M2841" s="19" t="s">
        <v>12785</v>
      </c>
      <c r="N2841" s="16"/>
      <c r="O2841" s="16" t="s">
        <v>12786</v>
      </c>
      <c r="P2841" s="16" t="str">
        <f>HYPERLINK("https://ceds.ed.gov/cedselementdetails.aspx?termid=28118")</f>
        <v>https://ceds.ed.gov/cedselementdetails.aspx?termid=28118</v>
      </c>
      <c r="Q2841" s="16">
        <v>76635</v>
      </c>
    </row>
    <row r="2842" spans="1:17" ht="43.2" x14ac:dyDescent="0.3">
      <c r="A2842" s="16" t="s">
        <v>7724</v>
      </c>
      <c r="B2842" s="16" t="s">
        <v>7726</v>
      </c>
      <c r="C2842" s="16" t="s">
        <v>7617</v>
      </c>
      <c r="D2842" s="16" t="s">
        <v>7597</v>
      </c>
      <c r="E2842" s="16" t="s">
        <v>12787</v>
      </c>
      <c r="F2842" s="16" t="s">
        <v>12788</v>
      </c>
      <c r="G2842" s="16" t="s">
        <v>32</v>
      </c>
      <c r="H2842" s="16"/>
      <c r="I2842" s="16" t="s">
        <v>155</v>
      </c>
      <c r="J2842" s="16" t="s">
        <v>9103</v>
      </c>
      <c r="K2842" s="16" t="s">
        <v>12636</v>
      </c>
      <c r="L2842" s="16"/>
      <c r="M2842" s="19" t="s">
        <v>12789</v>
      </c>
      <c r="N2842" s="16"/>
      <c r="O2842" s="16" t="s">
        <v>12790</v>
      </c>
      <c r="P2842" s="16" t="str">
        <f>HYPERLINK("https://ceds.ed.gov/cedselementdetails.aspx?termid=28117")</f>
        <v>https://ceds.ed.gov/cedselementdetails.aspx?termid=28117</v>
      </c>
      <c r="Q2842" s="16">
        <v>76628</v>
      </c>
    </row>
    <row r="2843" spans="1:17" ht="43.2" x14ac:dyDescent="0.3">
      <c r="A2843" s="16" t="s">
        <v>7724</v>
      </c>
      <c r="B2843" s="16" t="s">
        <v>7726</v>
      </c>
      <c r="C2843" s="16" t="s">
        <v>7617</v>
      </c>
      <c r="D2843" s="16" t="s">
        <v>7597</v>
      </c>
      <c r="E2843" s="16" t="s">
        <v>12791</v>
      </c>
      <c r="F2843" s="16" t="s">
        <v>12792</v>
      </c>
      <c r="G2843" s="16" t="s">
        <v>32</v>
      </c>
      <c r="H2843" s="16"/>
      <c r="I2843" s="16" t="s">
        <v>155</v>
      </c>
      <c r="J2843" s="16" t="s">
        <v>106</v>
      </c>
      <c r="K2843" s="16" t="s">
        <v>12636</v>
      </c>
      <c r="L2843" s="16"/>
      <c r="M2843" s="19" t="s">
        <v>12793</v>
      </c>
      <c r="N2843" s="16"/>
      <c r="O2843" s="16" t="s">
        <v>12794</v>
      </c>
      <c r="P2843" s="16" t="str">
        <f>HYPERLINK("https://ceds.ed.gov/cedselementdetails.aspx?termid=28116")</f>
        <v>https://ceds.ed.gov/cedselementdetails.aspx?termid=28116</v>
      </c>
      <c r="Q2843" s="16">
        <v>76621</v>
      </c>
    </row>
    <row r="2844" spans="1:17" ht="43.2" x14ac:dyDescent="0.3">
      <c r="A2844" s="16" t="s">
        <v>7724</v>
      </c>
      <c r="B2844" s="16" t="s">
        <v>7726</v>
      </c>
      <c r="C2844" s="16" t="s">
        <v>7617</v>
      </c>
      <c r="D2844" s="16" t="s">
        <v>7597</v>
      </c>
      <c r="E2844" s="16" t="s">
        <v>12795</v>
      </c>
      <c r="F2844" s="16" t="s">
        <v>12796</v>
      </c>
      <c r="G2844" s="16" t="s">
        <v>12891</v>
      </c>
      <c r="H2844" s="16"/>
      <c r="I2844" s="16" t="s">
        <v>155</v>
      </c>
      <c r="J2844" s="16" t="s">
        <v>2</v>
      </c>
      <c r="K2844" s="16" t="s">
        <v>12636</v>
      </c>
      <c r="L2844" s="16"/>
      <c r="M2844" s="19" t="s">
        <v>12797</v>
      </c>
      <c r="N2844" s="16"/>
      <c r="O2844" s="16" t="s">
        <v>12798</v>
      </c>
      <c r="P2844" s="16" t="str">
        <f>HYPERLINK("https://ceds.ed.gov/cedselementdetails.aspx?termid=28114")</f>
        <v>https://ceds.ed.gov/cedselementdetails.aspx?termid=28114</v>
      </c>
      <c r="Q2844" s="16">
        <v>76607</v>
      </c>
    </row>
    <row r="2845" spans="1:17" ht="43.2" x14ac:dyDescent="0.3">
      <c r="A2845" s="16" t="s">
        <v>7724</v>
      </c>
      <c r="B2845" s="16" t="s">
        <v>7726</v>
      </c>
      <c r="C2845" s="16" t="s">
        <v>7617</v>
      </c>
      <c r="D2845" s="16" t="s">
        <v>7597</v>
      </c>
      <c r="E2845" s="16" t="s">
        <v>12799</v>
      </c>
      <c r="F2845" s="16" t="s">
        <v>12800</v>
      </c>
      <c r="G2845" s="16" t="s">
        <v>32</v>
      </c>
      <c r="H2845" s="16"/>
      <c r="I2845" s="16" t="s">
        <v>155</v>
      </c>
      <c r="J2845" s="16" t="s">
        <v>106</v>
      </c>
      <c r="K2845" s="16" t="s">
        <v>12636</v>
      </c>
      <c r="L2845" s="16"/>
      <c r="M2845" s="19" t="s">
        <v>12801</v>
      </c>
      <c r="N2845" s="16"/>
      <c r="O2845" s="16" t="s">
        <v>12802</v>
      </c>
      <c r="P2845" s="16" t="str">
        <f>HYPERLINK("https://ceds.ed.gov/cedselementdetails.aspx?termid=28115")</f>
        <v>https://ceds.ed.gov/cedselementdetails.aspx?termid=28115</v>
      </c>
      <c r="Q2845" s="16">
        <v>76614</v>
      </c>
    </row>
    <row r="2846" spans="1:17" ht="100.8" x14ac:dyDescent="0.3">
      <c r="A2846" s="16" t="s">
        <v>7724</v>
      </c>
      <c r="B2846" s="16" t="s">
        <v>7726</v>
      </c>
      <c r="C2846" s="16" t="s">
        <v>7617</v>
      </c>
      <c r="D2846" s="16" t="s">
        <v>7597</v>
      </c>
      <c r="E2846" s="16" t="s">
        <v>12803</v>
      </c>
      <c r="F2846" s="16" t="s">
        <v>12804</v>
      </c>
      <c r="G2846" s="16" t="s">
        <v>12911</v>
      </c>
      <c r="H2846" s="16"/>
      <c r="I2846" s="16" t="s">
        <v>155</v>
      </c>
      <c r="J2846" s="16" t="s">
        <v>2</v>
      </c>
      <c r="K2846" s="16" t="s">
        <v>12636</v>
      </c>
      <c r="L2846" s="16"/>
      <c r="M2846" s="19" t="s">
        <v>12805</v>
      </c>
      <c r="N2846" s="16"/>
      <c r="O2846" s="16" t="s">
        <v>12806</v>
      </c>
      <c r="P2846" s="16" t="str">
        <f>HYPERLINK("https://ceds.ed.gov/cedselementdetails.aspx?termid=28120")</f>
        <v>https://ceds.ed.gov/cedselementdetails.aspx?termid=28120</v>
      </c>
      <c r="Q2846" s="16">
        <v>76649</v>
      </c>
    </row>
    <row r="2847" spans="1:17" ht="72" x14ac:dyDescent="0.3">
      <c r="A2847" s="16" t="s">
        <v>7724</v>
      </c>
      <c r="B2847" s="16" t="s">
        <v>7726</v>
      </c>
      <c r="C2847" s="16" t="s">
        <v>7617</v>
      </c>
      <c r="D2847" s="16" t="s">
        <v>7597</v>
      </c>
      <c r="E2847" s="16" t="s">
        <v>12807</v>
      </c>
      <c r="F2847" s="16" t="s">
        <v>12808</v>
      </c>
      <c r="G2847" s="16" t="s">
        <v>12912</v>
      </c>
      <c r="H2847" s="16"/>
      <c r="I2847" s="16" t="s">
        <v>155</v>
      </c>
      <c r="J2847" s="16" t="s">
        <v>2</v>
      </c>
      <c r="K2847" s="16" t="s">
        <v>12636</v>
      </c>
      <c r="L2847" s="16"/>
      <c r="M2847" s="19" t="s">
        <v>12809</v>
      </c>
      <c r="N2847" s="16"/>
      <c r="O2847" s="16" t="s">
        <v>12810</v>
      </c>
      <c r="P2847" s="16" t="str">
        <f>HYPERLINK("https://ceds.ed.gov/cedselementdetails.aspx?termid=28119")</f>
        <v>https://ceds.ed.gov/cedselementdetails.aspx?termid=28119</v>
      </c>
      <c r="Q2847" s="16">
        <v>76642</v>
      </c>
    </row>
    <row r="2848" spans="1:17" ht="72" x14ac:dyDescent="0.3">
      <c r="A2848" s="16" t="s">
        <v>7724</v>
      </c>
      <c r="B2848" s="16" t="s">
        <v>7726</v>
      </c>
      <c r="C2848" s="16" t="s">
        <v>7727</v>
      </c>
      <c r="D2848" s="16" t="s">
        <v>7597</v>
      </c>
      <c r="E2848" s="16" t="s">
        <v>4698</v>
      </c>
      <c r="F2848" s="16" t="s">
        <v>4699</v>
      </c>
      <c r="G2848" s="16" t="s">
        <v>32</v>
      </c>
      <c r="H2848" s="16" t="s">
        <v>186</v>
      </c>
      <c r="I2848" s="16"/>
      <c r="J2848" s="16" t="s">
        <v>2839</v>
      </c>
      <c r="K2848" s="16"/>
      <c r="L2848" s="16"/>
      <c r="M2848" s="19" t="s">
        <v>4700</v>
      </c>
      <c r="N2848" s="16" t="s">
        <v>4701</v>
      </c>
      <c r="O2848" s="16" t="s">
        <v>4702</v>
      </c>
      <c r="P2848" s="16" t="str">
        <f>HYPERLINK("https://ceds.ed.gov/cedselementdetails.aspx?termid=26166")</f>
        <v>https://ceds.ed.gov/cedselementdetails.aspx?termid=26166</v>
      </c>
      <c r="Q2848" s="16">
        <v>70806</v>
      </c>
    </row>
    <row r="2849" spans="1:17" ht="72" x14ac:dyDescent="0.3">
      <c r="A2849" s="16" t="s">
        <v>7724</v>
      </c>
      <c r="B2849" s="16" t="s">
        <v>7726</v>
      </c>
      <c r="C2849" s="16" t="s">
        <v>7727</v>
      </c>
      <c r="D2849" s="16" t="s">
        <v>7597</v>
      </c>
      <c r="E2849" s="16" t="s">
        <v>7193</v>
      </c>
      <c r="F2849" s="16" t="s">
        <v>8169</v>
      </c>
      <c r="G2849" s="16" t="s">
        <v>32</v>
      </c>
      <c r="H2849" s="16" t="s">
        <v>1531</v>
      </c>
      <c r="I2849" s="16"/>
      <c r="J2849" s="16" t="s">
        <v>1481</v>
      </c>
      <c r="K2849" s="16"/>
      <c r="L2849" s="16" t="s">
        <v>7194</v>
      </c>
      <c r="M2849" s="19" t="s">
        <v>7195</v>
      </c>
      <c r="N2849" s="16"/>
      <c r="O2849" s="16" t="s">
        <v>7196</v>
      </c>
      <c r="P2849" s="16" t="str">
        <f>HYPERLINK("https://ceds.ed.gov/cedselementdetails.aspx?termid=26723")</f>
        <v>https://ceds.ed.gov/cedselementdetails.aspx?termid=26723</v>
      </c>
      <c r="Q2849" s="16">
        <v>72178</v>
      </c>
    </row>
    <row r="2850" spans="1:17" ht="86.4" x14ac:dyDescent="0.3">
      <c r="A2850" s="16" t="s">
        <v>7724</v>
      </c>
      <c r="B2850" s="16" t="s">
        <v>7726</v>
      </c>
      <c r="C2850" s="16" t="s">
        <v>7727</v>
      </c>
      <c r="D2850" s="16" t="s">
        <v>7597</v>
      </c>
      <c r="E2850" s="16" t="s">
        <v>7206</v>
      </c>
      <c r="F2850" s="16" t="s">
        <v>8170</v>
      </c>
      <c r="G2850" s="16" t="s">
        <v>8860</v>
      </c>
      <c r="H2850" s="16" t="s">
        <v>1531</v>
      </c>
      <c r="I2850" s="16"/>
      <c r="J2850" s="16"/>
      <c r="K2850" s="16"/>
      <c r="L2850" s="16" t="s">
        <v>356</v>
      </c>
      <c r="M2850" s="19" t="s">
        <v>7207</v>
      </c>
      <c r="N2850" s="16"/>
      <c r="O2850" s="16" t="s">
        <v>7208</v>
      </c>
      <c r="P2850" s="16" t="str">
        <f>HYPERLINK("https://ceds.ed.gov/cedselementdetails.aspx?termid=26725")</f>
        <v>https://ceds.ed.gov/cedselementdetails.aspx?termid=26725</v>
      </c>
      <c r="Q2850" s="16">
        <v>72179</v>
      </c>
    </row>
    <row r="2851" spans="1:17" ht="43.2" x14ac:dyDescent="0.3">
      <c r="A2851" s="16" t="s">
        <v>7724</v>
      </c>
      <c r="B2851" s="16" t="s">
        <v>7726</v>
      </c>
      <c r="C2851" s="16" t="s">
        <v>7727</v>
      </c>
      <c r="D2851" s="16" t="s">
        <v>7597</v>
      </c>
      <c r="E2851" s="16" t="s">
        <v>1527</v>
      </c>
      <c r="F2851" s="16" t="s">
        <v>1528</v>
      </c>
      <c r="G2851" s="16" t="s">
        <v>32</v>
      </c>
      <c r="H2851" s="16" t="s">
        <v>1531</v>
      </c>
      <c r="I2851" s="16"/>
      <c r="J2851" s="16" t="s">
        <v>1481</v>
      </c>
      <c r="K2851" s="16"/>
      <c r="L2851" s="16" t="s">
        <v>356</v>
      </c>
      <c r="M2851" s="19" t="s">
        <v>1529</v>
      </c>
      <c r="N2851" s="16"/>
      <c r="O2851" s="16" t="s">
        <v>1530</v>
      </c>
      <c r="P2851" s="16" t="str">
        <f>HYPERLINK("https://ceds.ed.gov/cedselementdetails.aspx?termid=26729")</f>
        <v>https://ceds.ed.gov/cedselementdetails.aspx?termid=26729</v>
      </c>
      <c r="Q2851" s="16">
        <v>72183</v>
      </c>
    </row>
    <row r="2852" spans="1:17" ht="57.6" x14ac:dyDescent="0.3">
      <c r="A2852" s="16" t="s">
        <v>7724</v>
      </c>
      <c r="B2852" s="16" t="s">
        <v>7726</v>
      </c>
      <c r="C2852" s="16" t="s">
        <v>7727</v>
      </c>
      <c r="D2852" s="16" t="s">
        <v>7597</v>
      </c>
      <c r="E2852" s="16" t="s">
        <v>6370</v>
      </c>
      <c r="F2852" s="16" t="s">
        <v>6371</v>
      </c>
      <c r="G2852" s="16" t="s">
        <v>32</v>
      </c>
      <c r="H2852" s="16" t="s">
        <v>1531</v>
      </c>
      <c r="I2852" s="16"/>
      <c r="J2852" s="16" t="s">
        <v>1481</v>
      </c>
      <c r="K2852" s="16"/>
      <c r="L2852" s="16" t="s">
        <v>356</v>
      </c>
      <c r="M2852" s="19" t="s">
        <v>6372</v>
      </c>
      <c r="N2852" s="16"/>
      <c r="O2852" s="16" t="s">
        <v>6373</v>
      </c>
      <c r="P2852" s="16" t="str">
        <f>HYPERLINK("https://ceds.ed.gov/cedselementdetails.aspx?termid=26728")</f>
        <v>https://ceds.ed.gov/cedselementdetails.aspx?termid=26728</v>
      </c>
      <c r="Q2852" s="16">
        <v>72182</v>
      </c>
    </row>
    <row r="2853" spans="1:17" ht="100.8" x14ac:dyDescent="0.3">
      <c r="A2853" s="16" t="s">
        <v>7724</v>
      </c>
      <c r="B2853" s="16" t="s">
        <v>7726</v>
      </c>
      <c r="C2853" s="16" t="s">
        <v>7727</v>
      </c>
      <c r="D2853" s="16" t="s">
        <v>7597</v>
      </c>
      <c r="E2853" s="16" t="s">
        <v>1532</v>
      </c>
      <c r="F2853" s="16" t="s">
        <v>1533</v>
      </c>
      <c r="G2853" s="16" t="s">
        <v>32</v>
      </c>
      <c r="H2853" s="16" t="s">
        <v>1531</v>
      </c>
      <c r="I2853" s="16"/>
      <c r="J2853" s="16" t="s">
        <v>1481</v>
      </c>
      <c r="K2853" s="16"/>
      <c r="L2853" s="16" t="s">
        <v>356</v>
      </c>
      <c r="M2853" s="19" t="s">
        <v>1534</v>
      </c>
      <c r="N2853" s="16"/>
      <c r="O2853" s="16" t="s">
        <v>1535</v>
      </c>
      <c r="P2853" s="16" t="str">
        <f>HYPERLINK("https://ceds.ed.gov/cedselementdetails.aspx?termid=26730")</f>
        <v>https://ceds.ed.gov/cedselementdetails.aspx?termid=26730</v>
      </c>
      <c r="Q2853" s="16">
        <v>72184</v>
      </c>
    </row>
    <row r="2854" spans="1:17" ht="72" x14ac:dyDescent="0.3">
      <c r="A2854" s="16" t="s">
        <v>7724</v>
      </c>
      <c r="B2854" s="16" t="s">
        <v>7726</v>
      </c>
      <c r="C2854" s="16" t="s">
        <v>7727</v>
      </c>
      <c r="D2854" s="16" t="s">
        <v>7597</v>
      </c>
      <c r="E2854" s="16" t="s">
        <v>6335</v>
      </c>
      <c r="F2854" s="16" t="s">
        <v>6336</v>
      </c>
      <c r="G2854" s="16" t="s">
        <v>32</v>
      </c>
      <c r="H2854" s="16" t="s">
        <v>1531</v>
      </c>
      <c r="I2854" s="16"/>
      <c r="J2854" s="16" t="s">
        <v>1481</v>
      </c>
      <c r="K2854" s="16"/>
      <c r="L2854" s="16" t="s">
        <v>356</v>
      </c>
      <c r="M2854" s="19" t="s">
        <v>6337</v>
      </c>
      <c r="N2854" s="16"/>
      <c r="O2854" s="16" t="s">
        <v>6338</v>
      </c>
      <c r="P2854" s="16" t="str">
        <f>HYPERLINK("https://ceds.ed.gov/cedselementdetails.aspx?termid=26726")</f>
        <v>https://ceds.ed.gov/cedselementdetails.aspx?termid=26726</v>
      </c>
      <c r="Q2854" s="16">
        <v>72180</v>
      </c>
    </row>
    <row r="2855" spans="1:17" ht="72" x14ac:dyDescent="0.3">
      <c r="A2855" s="16" t="s">
        <v>7724</v>
      </c>
      <c r="B2855" s="16" t="s">
        <v>7726</v>
      </c>
      <c r="C2855" s="16" t="s">
        <v>7727</v>
      </c>
      <c r="D2855" s="16" t="s">
        <v>7597</v>
      </c>
      <c r="E2855" s="16" t="s">
        <v>2412</v>
      </c>
      <c r="F2855" s="16" t="s">
        <v>2413</v>
      </c>
      <c r="G2855" s="16" t="s">
        <v>32</v>
      </c>
      <c r="H2855" s="16" t="s">
        <v>1531</v>
      </c>
      <c r="I2855" s="16"/>
      <c r="J2855" s="16" t="s">
        <v>1481</v>
      </c>
      <c r="K2855" s="16"/>
      <c r="L2855" s="16" t="s">
        <v>356</v>
      </c>
      <c r="M2855" s="19" t="s">
        <v>2414</v>
      </c>
      <c r="N2855" s="16"/>
      <c r="O2855" s="16" t="s">
        <v>2415</v>
      </c>
      <c r="P2855" s="16" t="str">
        <f>HYPERLINK("https://ceds.ed.gov/cedselementdetails.aspx?termid=26733")</f>
        <v>https://ceds.ed.gov/cedselementdetails.aspx?termid=26733</v>
      </c>
      <c r="Q2855" s="16">
        <v>72187</v>
      </c>
    </row>
    <row r="2856" spans="1:17" ht="57.6" x14ac:dyDescent="0.3">
      <c r="A2856" s="16" t="s">
        <v>7724</v>
      </c>
      <c r="B2856" s="16" t="s">
        <v>7726</v>
      </c>
      <c r="C2856" s="16" t="s">
        <v>7727</v>
      </c>
      <c r="D2856" s="16" t="s">
        <v>7597</v>
      </c>
      <c r="E2856" s="16" t="s">
        <v>5660</v>
      </c>
      <c r="F2856" s="16" t="s">
        <v>5661</v>
      </c>
      <c r="G2856" s="16" t="s">
        <v>32</v>
      </c>
      <c r="H2856" s="16" t="s">
        <v>1531</v>
      </c>
      <c r="I2856" s="16"/>
      <c r="J2856" s="16" t="s">
        <v>1481</v>
      </c>
      <c r="K2856" s="16"/>
      <c r="L2856" s="16" t="s">
        <v>356</v>
      </c>
      <c r="M2856" s="19" t="s">
        <v>5662</v>
      </c>
      <c r="N2856" s="16"/>
      <c r="O2856" s="16" t="s">
        <v>5663</v>
      </c>
      <c r="P2856" s="16" t="str">
        <f>HYPERLINK("https://ceds.ed.gov/cedselementdetails.aspx?termid=26731")</f>
        <v>https://ceds.ed.gov/cedselementdetails.aspx?termid=26731</v>
      </c>
      <c r="Q2856" s="16">
        <v>72185</v>
      </c>
    </row>
    <row r="2857" spans="1:17" ht="158.4" x14ac:dyDescent="0.3">
      <c r="A2857" s="16" t="s">
        <v>7724</v>
      </c>
      <c r="B2857" s="16" t="s">
        <v>7726</v>
      </c>
      <c r="C2857" s="16" t="s">
        <v>7727</v>
      </c>
      <c r="D2857" s="16" t="s">
        <v>7597</v>
      </c>
      <c r="E2857" s="16" t="s">
        <v>5848</v>
      </c>
      <c r="F2857" s="16" t="s">
        <v>5849</v>
      </c>
      <c r="G2857" s="16" t="s">
        <v>32</v>
      </c>
      <c r="H2857" s="16" t="s">
        <v>1531</v>
      </c>
      <c r="I2857" s="16"/>
      <c r="J2857" s="16" t="s">
        <v>1481</v>
      </c>
      <c r="K2857" s="16"/>
      <c r="L2857" s="16" t="s">
        <v>356</v>
      </c>
      <c r="M2857" s="19" t="s">
        <v>5850</v>
      </c>
      <c r="N2857" s="16"/>
      <c r="O2857" s="16" t="s">
        <v>5851</v>
      </c>
      <c r="P2857" s="16" t="str">
        <f>HYPERLINK("https://ceds.ed.gov/cedselementdetails.aspx?termid=26732")</f>
        <v>https://ceds.ed.gov/cedselementdetails.aspx?termid=26732</v>
      </c>
      <c r="Q2857" s="16">
        <v>72186</v>
      </c>
    </row>
    <row r="2858" spans="1:17" ht="100.8" x14ac:dyDescent="0.3">
      <c r="A2858" s="16" t="s">
        <v>7724</v>
      </c>
      <c r="B2858" s="16" t="s">
        <v>7726</v>
      </c>
      <c r="C2858" s="16" t="s">
        <v>7727</v>
      </c>
      <c r="D2858" s="16" t="s">
        <v>7597</v>
      </c>
      <c r="E2858" s="16" t="s">
        <v>4707</v>
      </c>
      <c r="F2858" s="16" t="s">
        <v>4708</v>
      </c>
      <c r="G2858" s="16" t="s">
        <v>22</v>
      </c>
      <c r="H2858" s="16" t="s">
        <v>1531</v>
      </c>
      <c r="I2858" s="16"/>
      <c r="J2858" s="16"/>
      <c r="K2858" s="16"/>
      <c r="L2858" s="16" t="s">
        <v>356</v>
      </c>
      <c r="M2858" s="19" t="s">
        <v>4709</v>
      </c>
      <c r="N2858" s="16"/>
      <c r="O2858" s="16" t="s">
        <v>4710</v>
      </c>
      <c r="P2858" s="16" t="str">
        <f>HYPERLINK("https://ceds.ed.gov/cedselementdetails.aspx?termid=26727")</f>
        <v>https://ceds.ed.gov/cedselementdetails.aspx?termid=26727</v>
      </c>
      <c r="Q2858" s="16">
        <v>72181</v>
      </c>
    </row>
    <row r="2859" spans="1:17" ht="86.4" x14ac:dyDescent="0.3">
      <c r="A2859" s="16" t="s">
        <v>7724</v>
      </c>
      <c r="B2859" s="16" t="s">
        <v>7726</v>
      </c>
      <c r="C2859" s="16" t="s">
        <v>7727</v>
      </c>
      <c r="D2859" s="16" t="s">
        <v>7597</v>
      </c>
      <c r="E2859" s="16" t="s">
        <v>225</v>
      </c>
      <c r="F2859" s="16" t="s">
        <v>226</v>
      </c>
      <c r="G2859" s="16" t="s">
        <v>8299</v>
      </c>
      <c r="H2859" s="16" t="s">
        <v>230</v>
      </c>
      <c r="I2859" s="16"/>
      <c r="J2859" s="16"/>
      <c r="K2859" s="16"/>
      <c r="L2859" s="16"/>
      <c r="M2859" s="19" t="s">
        <v>228</v>
      </c>
      <c r="N2859" s="16"/>
      <c r="O2859" s="16" t="s">
        <v>229</v>
      </c>
      <c r="P2859" s="16" t="str">
        <f>HYPERLINK("https://ceds.ed.gov/cedselementdetails.aspx?termid=27558")</f>
        <v>https://ceds.ed.gov/cedselementdetails.aspx?termid=27558</v>
      </c>
      <c r="Q2859" s="16">
        <v>74034</v>
      </c>
    </row>
    <row r="2860" spans="1:17" ht="201.6" x14ac:dyDescent="0.3">
      <c r="A2860" s="16" t="s">
        <v>7724</v>
      </c>
      <c r="B2860" s="16" t="s">
        <v>7726</v>
      </c>
      <c r="C2860" s="16" t="s">
        <v>7727</v>
      </c>
      <c r="D2860" s="16" t="s">
        <v>7597</v>
      </c>
      <c r="E2860" s="16" t="s">
        <v>231</v>
      </c>
      <c r="F2860" s="16" t="s">
        <v>232</v>
      </c>
      <c r="G2860" s="16" t="s">
        <v>8300</v>
      </c>
      <c r="H2860" s="16" t="s">
        <v>230</v>
      </c>
      <c r="I2860" s="16"/>
      <c r="J2860" s="16"/>
      <c r="K2860" s="16"/>
      <c r="L2860" s="16"/>
      <c r="M2860" s="19" t="s">
        <v>233</v>
      </c>
      <c r="N2860" s="16"/>
      <c r="O2860" s="16" t="s">
        <v>234</v>
      </c>
      <c r="P2860" s="16" t="str">
        <f>HYPERLINK("https://ceds.ed.gov/cedselementdetails.aspx?termid=27559")</f>
        <v>https://ceds.ed.gov/cedselementdetails.aspx?termid=27559</v>
      </c>
      <c r="Q2860" s="16">
        <v>74035</v>
      </c>
    </row>
    <row r="2861" spans="1:17" ht="129.6" x14ac:dyDescent="0.3">
      <c r="A2861" s="16" t="s">
        <v>7724</v>
      </c>
      <c r="B2861" s="16" t="s">
        <v>7726</v>
      </c>
      <c r="C2861" s="16" t="s">
        <v>7727</v>
      </c>
      <c r="D2861" s="16" t="s">
        <v>7597</v>
      </c>
      <c r="E2861" s="16" t="s">
        <v>4791</v>
      </c>
      <c r="F2861" s="16" t="s">
        <v>8074</v>
      </c>
      <c r="G2861" s="16" t="s">
        <v>32</v>
      </c>
      <c r="H2861" s="16" t="s">
        <v>230</v>
      </c>
      <c r="I2861" s="16"/>
      <c r="J2861" s="16" t="s">
        <v>78</v>
      </c>
      <c r="K2861" s="16"/>
      <c r="L2861" s="16"/>
      <c r="M2861" s="19" t="s">
        <v>4792</v>
      </c>
      <c r="N2861" s="16"/>
      <c r="O2861" s="16" t="s">
        <v>4793</v>
      </c>
      <c r="P2861" s="16" t="str">
        <f>HYPERLINK("https://ceds.ed.gov/cedselementdetails.aspx?termid=27592")</f>
        <v>https://ceds.ed.gov/cedselementdetails.aspx?termid=27592</v>
      </c>
      <c r="Q2861" s="16">
        <v>74086</v>
      </c>
    </row>
    <row r="2862" spans="1:17" ht="172.8" x14ac:dyDescent="0.3">
      <c r="A2862" s="16" t="s">
        <v>7724</v>
      </c>
      <c r="B2862" s="16" t="s">
        <v>7726</v>
      </c>
      <c r="C2862" s="16" t="s">
        <v>7650</v>
      </c>
      <c r="D2862" s="16" t="s">
        <v>7597</v>
      </c>
      <c r="E2862" s="16" t="s">
        <v>6074</v>
      </c>
      <c r="F2862" s="16" t="s">
        <v>6075</v>
      </c>
      <c r="G2862" s="16" t="s">
        <v>32</v>
      </c>
      <c r="H2862" s="16" t="s">
        <v>2564</v>
      </c>
      <c r="I2862" s="16"/>
      <c r="J2862" s="16" t="s">
        <v>120</v>
      </c>
      <c r="K2862" s="16"/>
      <c r="L2862" s="16" t="s">
        <v>7817</v>
      </c>
      <c r="M2862" s="19" t="s">
        <v>6076</v>
      </c>
      <c r="N2862" s="16"/>
      <c r="O2862" s="16" t="s">
        <v>6077</v>
      </c>
      <c r="P2862" s="16" t="str">
        <f>HYPERLINK("https://ceds.ed.gov/cedselementdetails.aspx?termid=26618")</f>
        <v>https://ceds.ed.gov/cedselementdetails.aspx?termid=26618</v>
      </c>
      <c r="Q2862" s="16">
        <v>74007</v>
      </c>
    </row>
    <row r="2863" spans="1:17" ht="43.2" x14ac:dyDescent="0.3">
      <c r="A2863" s="16" t="s">
        <v>7724</v>
      </c>
      <c r="B2863" s="16" t="s">
        <v>7726</v>
      </c>
      <c r="C2863" s="16" t="s">
        <v>7728</v>
      </c>
      <c r="D2863" s="16" t="s">
        <v>7597</v>
      </c>
      <c r="E2863" s="16" t="s">
        <v>6106</v>
      </c>
      <c r="F2863" s="16" t="s">
        <v>6107</v>
      </c>
      <c r="G2863" s="16" t="s">
        <v>22</v>
      </c>
      <c r="H2863" s="16" t="s">
        <v>98</v>
      </c>
      <c r="I2863" s="16"/>
      <c r="J2863" s="16"/>
      <c r="K2863" s="16"/>
      <c r="L2863" s="16"/>
      <c r="M2863" s="19" t="s">
        <v>6108</v>
      </c>
      <c r="N2863" s="16"/>
      <c r="O2863" s="16" t="s">
        <v>6109</v>
      </c>
      <c r="P2863" s="16" t="str">
        <f>HYPERLINK("https://ceds.ed.gov/cedselementdetails.aspx?termid=26856")</f>
        <v>https://ceds.ed.gov/cedselementdetails.aspx?termid=26856</v>
      </c>
      <c r="Q2863" s="16">
        <v>75595</v>
      </c>
    </row>
    <row r="2864" spans="1:17" ht="43.2" x14ac:dyDescent="0.3">
      <c r="A2864" s="16" t="s">
        <v>7724</v>
      </c>
      <c r="B2864" s="16" t="s">
        <v>7726</v>
      </c>
      <c r="C2864" s="16" t="s">
        <v>7650</v>
      </c>
      <c r="D2864" s="16" t="s">
        <v>7597</v>
      </c>
      <c r="E2864" s="16" t="s">
        <v>6089</v>
      </c>
      <c r="F2864" s="16" t="s">
        <v>6090</v>
      </c>
      <c r="G2864" s="16" t="s">
        <v>32</v>
      </c>
      <c r="H2864" s="16" t="s">
        <v>2564</v>
      </c>
      <c r="I2864" s="16"/>
      <c r="J2864" s="16" t="s">
        <v>145</v>
      </c>
      <c r="K2864" s="16"/>
      <c r="L2864" s="16"/>
      <c r="M2864" s="19" t="s">
        <v>6091</v>
      </c>
      <c r="N2864" s="16"/>
      <c r="O2864" s="16" t="s">
        <v>6092</v>
      </c>
      <c r="P2864" s="16" t="str">
        <f>HYPERLINK("https://ceds.ed.gov/cedselementdetails.aspx?termid=26619")</f>
        <v>https://ceds.ed.gov/cedselementdetails.aspx?termid=26619</v>
      </c>
      <c r="Q2864" s="16">
        <v>74013</v>
      </c>
    </row>
    <row r="2865" spans="1:17" ht="43.2" x14ac:dyDescent="0.3">
      <c r="A2865" s="16" t="s">
        <v>7724</v>
      </c>
      <c r="B2865" s="16" t="s">
        <v>7726</v>
      </c>
      <c r="C2865" s="16" t="s">
        <v>7728</v>
      </c>
      <c r="D2865" s="16" t="s">
        <v>7597</v>
      </c>
      <c r="E2865" s="16" t="s">
        <v>6118</v>
      </c>
      <c r="F2865" s="16" t="s">
        <v>6119</v>
      </c>
      <c r="G2865" s="16" t="s">
        <v>22</v>
      </c>
      <c r="H2865" s="16" t="s">
        <v>98</v>
      </c>
      <c r="I2865" s="16"/>
      <c r="J2865" s="16"/>
      <c r="K2865" s="16"/>
      <c r="L2865" s="16"/>
      <c r="M2865" s="19" t="s">
        <v>6120</v>
      </c>
      <c r="N2865" s="16"/>
      <c r="O2865" s="16" t="s">
        <v>6121</v>
      </c>
      <c r="P2865" s="16" t="str">
        <f>HYPERLINK("https://ceds.ed.gov/cedselementdetails.aspx?termid=26853")</f>
        <v>https://ceds.ed.gov/cedselementdetails.aspx?termid=26853</v>
      </c>
      <c r="Q2865" s="16">
        <v>75596</v>
      </c>
    </row>
    <row r="2866" spans="1:17" ht="57.6" x14ac:dyDescent="0.3">
      <c r="A2866" s="16" t="s">
        <v>7724</v>
      </c>
      <c r="B2866" s="16" t="s">
        <v>7726</v>
      </c>
      <c r="C2866" s="16" t="s">
        <v>7650</v>
      </c>
      <c r="D2866" s="16" t="s">
        <v>7597</v>
      </c>
      <c r="E2866" s="16" t="s">
        <v>6081</v>
      </c>
      <c r="F2866" s="16" t="s">
        <v>6082</v>
      </c>
      <c r="G2866" s="16" t="s">
        <v>32</v>
      </c>
      <c r="H2866" s="16" t="s">
        <v>230</v>
      </c>
      <c r="I2866" s="16"/>
      <c r="J2866" s="16" t="s">
        <v>1481</v>
      </c>
      <c r="K2866" s="16"/>
      <c r="L2866" s="16"/>
      <c r="M2866" s="19" t="s">
        <v>6083</v>
      </c>
      <c r="N2866" s="16"/>
      <c r="O2866" s="16" t="s">
        <v>6084</v>
      </c>
      <c r="P2866" s="16" t="str">
        <f>HYPERLINK("https://ceds.ed.gov/cedselementdetails.aspx?termid=26223")</f>
        <v>https://ceds.ed.gov/cedselementdetails.aspx?termid=26223</v>
      </c>
      <c r="Q2866" s="16">
        <v>73988</v>
      </c>
    </row>
    <row r="2867" spans="1:17" ht="43.2" x14ac:dyDescent="0.3">
      <c r="A2867" s="16" t="s">
        <v>7724</v>
      </c>
      <c r="B2867" s="16" t="s">
        <v>7726</v>
      </c>
      <c r="C2867" s="16" t="s">
        <v>7650</v>
      </c>
      <c r="D2867" s="16" t="s">
        <v>7597</v>
      </c>
      <c r="E2867" s="16" t="s">
        <v>6085</v>
      </c>
      <c r="F2867" s="16" t="s">
        <v>6086</v>
      </c>
      <c r="G2867" s="16" t="s">
        <v>8665</v>
      </c>
      <c r="H2867" s="16" t="s">
        <v>230</v>
      </c>
      <c r="I2867" s="16"/>
      <c r="J2867" s="16"/>
      <c r="K2867" s="16"/>
      <c r="L2867" s="16"/>
      <c r="M2867" s="19" t="s">
        <v>6087</v>
      </c>
      <c r="N2867" s="16"/>
      <c r="O2867" s="16" t="s">
        <v>6088</v>
      </c>
      <c r="P2867" s="16" t="str">
        <f>HYPERLINK("https://ceds.ed.gov/cedselementdetails.aspx?termid=26224")</f>
        <v>https://ceds.ed.gov/cedselementdetails.aspx?termid=26224</v>
      </c>
      <c r="Q2867" s="16">
        <v>73990</v>
      </c>
    </row>
    <row r="2868" spans="1:17" ht="72" x14ac:dyDescent="0.3">
      <c r="A2868" s="16" t="s">
        <v>7724</v>
      </c>
      <c r="B2868" s="16" t="s">
        <v>7726</v>
      </c>
      <c r="C2868" s="16" t="s">
        <v>7650</v>
      </c>
      <c r="D2868" s="16" t="s">
        <v>7597</v>
      </c>
      <c r="E2868" s="16" t="s">
        <v>2044</v>
      </c>
      <c r="F2868" s="16" t="s">
        <v>2045</v>
      </c>
      <c r="G2868" s="16" t="s">
        <v>7312</v>
      </c>
      <c r="H2868" s="16" t="s">
        <v>42</v>
      </c>
      <c r="I2868" s="16" t="s">
        <v>160</v>
      </c>
      <c r="J2868" s="16" t="s">
        <v>2</v>
      </c>
      <c r="K2868" s="16" t="s">
        <v>12935</v>
      </c>
      <c r="L2868" s="16"/>
      <c r="M2868" s="19" t="s">
        <v>2046</v>
      </c>
      <c r="N2868" s="16" t="s">
        <v>2047</v>
      </c>
      <c r="O2868" s="16" t="s">
        <v>2048</v>
      </c>
      <c r="P2868" s="16" t="str">
        <f>HYPERLINK("https://ceds.ed.gov/cedselementdetails.aspx?termid=26043")</f>
        <v>https://ceds.ed.gov/cedselementdetails.aspx?termid=26043</v>
      </c>
      <c r="Q2868" s="16">
        <v>73951</v>
      </c>
    </row>
    <row r="2869" spans="1:17" ht="72" x14ac:dyDescent="0.3">
      <c r="A2869" s="16" t="s">
        <v>7724</v>
      </c>
      <c r="B2869" s="16" t="s">
        <v>7726</v>
      </c>
      <c r="C2869" s="16" t="s">
        <v>7650</v>
      </c>
      <c r="D2869" s="16" t="s">
        <v>7597</v>
      </c>
      <c r="E2869" s="16" t="s">
        <v>2049</v>
      </c>
      <c r="F2869" s="16" t="s">
        <v>2050</v>
      </c>
      <c r="G2869" s="16" t="s">
        <v>8439</v>
      </c>
      <c r="H2869" s="16" t="s">
        <v>186</v>
      </c>
      <c r="I2869" s="16"/>
      <c r="J2869" s="16"/>
      <c r="K2869" s="16"/>
      <c r="L2869" s="16"/>
      <c r="M2869" s="19" t="s">
        <v>2052</v>
      </c>
      <c r="N2869" s="16" t="s">
        <v>2053</v>
      </c>
      <c r="O2869" s="16" t="s">
        <v>2054</v>
      </c>
      <c r="P2869" s="16" t="str">
        <f>HYPERLINK("https://ceds.ed.gov/cedselementdetails.aspx?termid=26044")</f>
        <v>https://ceds.ed.gov/cedselementdetails.aspx?termid=26044</v>
      </c>
      <c r="Q2869" s="16">
        <v>73958</v>
      </c>
    </row>
    <row r="2870" spans="1:17" ht="100.8" x14ac:dyDescent="0.3">
      <c r="A2870" s="16" t="s">
        <v>7724</v>
      </c>
      <c r="B2870" s="16" t="s">
        <v>7726</v>
      </c>
      <c r="C2870" s="16" t="s">
        <v>7650</v>
      </c>
      <c r="D2870" s="16" t="s">
        <v>7597</v>
      </c>
      <c r="E2870" s="16" t="s">
        <v>2055</v>
      </c>
      <c r="F2870" s="16" t="s">
        <v>2056</v>
      </c>
      <c r="G2870" s="16" t="s">
        <v>9328</v>
      </c>
      <c r="H2870" s="16" t="s">
        <v>186</v>
      </c>
      <c r="I2870" s="16"/>
      <c r="J2870" s="16"/>
      <c r="K2870" s="16"/>
      <c r="L2870" s="16"/>
      <c r="M2870" s="19" t="s">
        <v>2057</v>
      </c>
      <c r="N2870" s="16" t="s">
        <v>2058</v>
      </c>
      <c r="O2870" s="16" t="s">
        <v>2059</v>
      </c>
      <c r="P2870" s="16" t="str">
        <f>HYPERLINK("https://ceds.ed.gov/cedselementdetails.aspx?termid=26045")</f>
        <v>https://ceds.ed.gov/cedselementdetails.aspx?termid=26045</v>
      </c>
      <c r="Q2870" s="16">
        <v>73959</v>
      </c>
    </row>
    <row r="2871" spans="1:17" ht="158.4" x14ac:dyDescent="0.3">
      <c r="A2871" s="16" t="s">
        <v>7724</v>
      </c>
      <c r="B2871" s="16" t="s">
        <v>7726</v>
      </c>
      <c r="C2871" s="16" t="s">
        <v>7650</v>
      </c>
      <c r="D2871" s="16" t="s">
        <v>7597</v>
      </c>
      <c r="E2871" s="16" t="s">
        <v>3170</v>
      </c>
      <c r="F2871" s="16" t="s">
        <v>3171</v>
      </c>
      <c r="G2871" s="16" t="s">
        <v>22</v>
      </c>
      <c r="H2871" s="16"/>
      <c r="I2871" s="16"/>
      <c r="J2871" s="16"/>
      <c r="K2871" s="16"/>
      <c r="L2871" s="16" t="s">
        <v>3166</v>
      </c>
      <c r="M2871" s="19" t="s">
        <v>3173</v>
      </c>
      <c r="N2871" s="16"/>
      <c r="O2871" s="16" t="s">
        <v>3174</v>
      </c>
      <c r="P2871" s="16" t="str">
        <f>HYPERLINK("https://ceds.ed.gov/cedselementdetails.aspx?termid=27289")</f>
        <v>https://ceds.ed.gov/cedselementdetails.aspx?termid=27289</v>
      </c>
      <c r="Q2871" s="16">
        <v>74032</v>
      </c>
    </row>
    <row r="2872" spans="1:17" ht="187.2" x14ac:dyDescent="0.3">
      <c r="A2872" s="16" t="s">
        <v>7724</v>
      </c>
      <c r="B2872" s="16" t="s">
        <v>7726</v>
      </c>
      <c r="C2872" s="16" t="s">
        <v>7650</v>
      </c>
      <c r="D2872" s="16" t="s">
        <v>7597</v>
      </c>
      <c r="E2872" s="16" t="s">
        <v>5487</v>
      </c>
      <c r="F2872" s="16" t="s">
        <v>5488</v>
      </c>
      <c r="G2872" s="16" t="s">
        <v>32</v>
      </c>
      <c r="H2872" s="16" t="s">
        <v>186</v>
      </c>
      <c r="I2872" s="16"/>
      <c r="J2872" s="16" t="s">
        <v>145</v>
      </c>
      <c r="K2872" s="16"/>
      <c r="L2872" s="16"/>
      <c r="M2872" s="19" t="s">
        <v>5489</v>
      </c>
      <c r="N2872" s="16"/>
      <c r="O2872" s="16" t="s">
        <v>5490</v>
      </c>
      <c r="P2872" s="16" t="str">
        <f>HYPERLINK("https://ceds.ed.gov/cedselementdetails.aspx?termid=26197")</f>
        <v>https://ceds.ed.gov/cedselementdetails.aspx?termid=26197</v>
      </c>
      <c r="Q2872" s="16">
        <v>73978</v>
      </c>
    </row>
    <row r="2873" spans="1:17" ht="86.4" x14ac:dyDescent="0.3">
      <c r="A2873" s="16" t="s">
        <v>7724</v>
      </c>
      <c r="B2873" s="16" t="s">
        <v>7726</v>
      </c>
      <c r="C2873" s="16" t="s">
        <v>7650</v>
      </c>
      <c r="D2873" s="16" t="s">
        <v>7597</v>
      </c>
      <c r="E2873" s="16" t="s">
        <v>5491</v>
      </c>
      <c r="F2873" s="16" t="s">
        <v>5492</v>
      </c>
      <c r="G2873" s="16" t="s">
        <v>8734</v>
      </c>
      <c r="H2873" s="16" t="s">
        <v>186</v>
      </c>
      <c r="I2873" s="16"/>
      <c r="J2873" s="16"/>
      <c r="K2873" s="16"/>
      <c r="L2873" s="16"/>
      <c r="M2873" s="19" t="s">
        <v>5493</v>
      </c>
      <c r="N2873" s="16"/>
      <c r="O2873" s="16" t="s">
        <v>5494</v>
      </c>
      <c r="P2873" s="16" t="str">
        <f>HYPERLINK("https://ceds.ed.gov/cedselementdetails.aspx?termid=26198")</f>
        <v>https://ceds.ed.gov/cedselementdetails.aspx?termid=26198</v>
      </c>
      <c r="Q2873" s="16">
        <v>73980</v>
      </c>
    </row>
    <row r="2874" spans="1:17" ht="72" x14ac:dyDescent="0.3">
      <c r="A2874" s="16" t="s">
        <v>7724</v>
      </c>
      <c r="B2874" s="16" t="s">
        <v>7726</v>
      </c>
      <c r="C2874" s="16" t="s">
        <v>7650</v>
      </c>
      <c r="D2874" s="16" t="s">
        <v>7597</v>
      </c>
      <c r="E2874" s="16" t="s">
        <v>5809</v>
      </c>
      <c r="F2874" s="16" t="s">
        <v>5810</v>
      </c>
      <c r="G2874" s="16" t="s">
        <v>8761</v>
      </c>
      <c r="H2874" s="16" t="s">
        <v>5813</v>
      </c>
      <c r="I2874" s="16"/>
      <c r="J2874" s="16"/>
      <c r="K2874" s="16"/>
      <c r="L2874" s="16"/>
      <c r="M2874" s="19" t="s">
        <v>5811</v>
      </c>
      <c r="N2874" s="16"/>
      <c r="O2874" s="16" t="s">
        <v>5812</v>
      </c>
      <c r="P2874" s="16" t="str">
        <f>HYPERLINK("https://ceds.ed.gov/cedselementdetails.aspx?termid=27595")</f>
        <v>https://ceds.ed.gov/cedselementdetails.aspx?termid=27595</v>
      </c>
      <c r="Q2874" s="16">
        <v>74092</v>
      </c>
    </row>
    <row r="2875" spans="1:17" ht="409.6" x14ac:dyDescent="0.3">
      <c r="A2875" s="16" t="s">
        <v>7724</v>
      </c>
      <c r="B2875" s="16" t="s">
        <v>7726</v>
      </c>
      <c r="C2875" s="16" t="s">
        <v>7650</v>
      </c>
      <c r="D2875" s="16" t="s">
        <v>7597</v>
      </c>
      <c r="E2875" s="16" t="s">
        <v>6945</v>
      </c>
      <c r="F2875" s="16" t="s">
        <v>6946</v>
      </c>
      <c r="G2875" s="16" t="s">
        <v>9421</v>
      </c>
      <c r="H2875" s="16"/>
      <c r="I2875" s="16"/>
      <c r="J2875" s="16"/>
      <c r="K2875" s="16"/>
      <c r="L2875" s="16" t="s">
        <v>6947</v>
      </c>
      <c r="M2875" s="19" t="s">
        <v>6948</v>
      </c>
      <c r="N2875" s="16"/>
      <c r="O2875" s="16" t="s">
        <v>6949</v>
      </c>
      <c r="P2875" s="16" t="str">
        <f>HYPERLINK("https://ceds.ed.gov/cedselementdetails.aspx?termid=26273")</f>
        <v>https://ceds.ed.gov/cedselementdetails.aspx?termid=26273</v>
      </c>
      <c r="Q2875" s="16">
        <v>75594</v>
      </c>
    </row>
    <row r="2876" spans="1:17" ht="100.8" x14ac:dyDescent="0.3">
      <c r="A2876" s="16" t="s">
        <v>7724</v>
      </c>
      <c r="B2876" s="16" t="s">
        <v>7726</v>
      </c>
      <c r="C2876" s="16" t="s">
        <v>7650</v>
      </c>
      <c r="D2876" s="16" t="s">
        <v>7597</v>
      </c>
      <c r="E2876" s="16" t="s">
        <v>8159</v>
      </c>
      <c r="F2876" s="16" t="s">
        <v>8160</v>
      </c>
      <c r="G2876" s="16" t="s">
        <v>8204</v>
      </c>
      <c r="H2876" s="16"/>
      <c r="I2876" s="16"/>
      <c r="J2876" s="16" t="s">
        <v>2</v>
      </c>
      <c r="K2876" s="16"/>
      <c r="L2876" s="16"/>
      <c r="M2876" s="19" t="s">
        <v>8196</v>
      </c>
      <c r="N2876" s="16"/>
      <c r="O2876" s="16" t="s">
        <v>8161</v>
      </c>
      <c r="P2876" s="16" t="str">
        <f>HYPERLINK("https://ceds.ed.gov/cedselementdetails.aspx?termid=27994")</f>
        <v>https://ceds.ed.gov/cedselementdetails.aspx?termid=27994</v>
      </c>
      <c r="Q2876" s="16">
        <v>75952</v>
      </c>
    </row>
    <row r="2877" spans="1:17" ht="331.2" x14ac:dyDescent="0.3">
      <c r="A2877" s="16" t="s">
        <v>7724</v>
      </c>
      <c r="B2877" s="16" t="s">
        <v>7726</v>
      </c>
      <c r="C2877" s="16" t="s">
        <v>7650</v>
      </c>
      <c r="D2877" s="16" t="s">
        <v>7597</v>
      </c>
      <c r="E2877" s="16" t="s">
        <v>12826</v>
      </c>
      <c r="F2877" s="16" t="s">
        <v>12827</v>
      </c>
      <c r="G2877" s="16" t="s">
        <v>12917</v>
      </c>
      <c r="H2877" s="16"/>
      <c r="I2877" s="16" t="s">
        <v>155</v>
      </c>
      <c r="J2877" s="16" t="s">
        <v>2</v>
      </c>
      <c r="K2877" s="16" t="s">
        <v>12636</v>
      </c>
      <c r="L2877" s="16" t="s">
        <v>12828</v>
      </c>
      <c r="M2877" s="19" t="s">
        <v>12829</v>
      </c>
      <c r="N2877" s="16"/>
      <c r="O2877" s="16" t="s">
        <v>12830</v>
      </c>
      <c r="P2877" s="16" t="str">
        <f>HYPERLINK("https://ceds.ed.gov/cedselementdetails.aspx?termid=28096")</f>
        <v>https://ceds.ed.gov/cedselementdetails.aspx?termid=28096</v>
      </c>
      <c r="Q2877" s="16">
        <v>76570</v>
      </c>
    </row>
    <row r="2878" spans="1:17" ht="28.8" x14ac:dyDescent="0.3">
      <c r="A2878" s="16" t="s">
        <v>7724</v>
      </c>
      <c r="B2878" s="16" t="s">
        <v>7726</v>
      </c>
      <c r="C2878" s="16" t="s">
        <v>7614</v>
      </c>
      <c r="D2878" s="16" t="s">
        <v>7597</v>
      </c>
      <c r="E2878" s="16" t="s">
        <v>104</v>
      </c>
      <c r="F2878" s="16" t="s">
        <v>105</v>
      </c>
      <c r="G2878" s="16" t="s">
        <v>32</v>
      </c>
      <c r="H2878" s="16" t="s">
        <v>98</v>
      </c>
      <c r="I2878" s="16"/>
      <c r="J2878" s="16" t="s">
        <v>106</v>
      </c>
      <c r="K2878" s="16"/>
      <c r="L2878" s="16"/>
      <c r="M2878" s="19" t="s">
        <v>107</v>
      </c>
      <c r="N2878" s="16"/>
      <c r="O2878" s="16" t="s">
        <v>108</v>
      </c>
      <c r="P2878" s="16" t="str">
        <f>HYPERLINK("https://ceds.ed.gov/cedselementdetails.aspx?termid=26840")</f>
        <v>https://ceds.ed.gov/cedselementdetails.aspx?termid=26840</v>
      </c>
      <c r="Q2878" s="16">
        <v>75588</v>
      </c>
    </row>
    <row r="2879" spans="1:17" ht="28.8" x14ac:dyDescent="0.3">
      <c r="A2879" s="16" t="s">
        <v>7724</v>
      </c>
      <c r="B2879" s="16" t="s">
        <v>7726</v>
      </c>
      <c r="C2879" s="16" t="s">
        <v>7614</v>
      </c>
      <c r="D2879" s="16" t="s">
        <v>7597</v>
      </c>
      <c r="E2879" s="16" t="s">
        <v>109</v>
      </c>
      <c r="F2879" s="16" t="s">
        <v>110</v>
      </c>
      <c r="G2879" s="16" t="s">
        <v>32</v>
      </c>
      <c r="H2879" s="16" t="s">
        <v>98</v>
      </c>
      <c r="I2879" s="16"/>
      <c r="J2879" s="16" t="s">
        <v>106</v>
      </c>
      <c r="K2879" s="16"/>
      <c r="L2879" s="16"/>
      <c r="M2879" s="19" t="s">
        <v>111</v>
      </c>
      <c r="N2879" s="16"/>
      <c r="O2879" s="16" t="s">
        <v>112</v>
      </c>
      <c r="P2879" s="16" t="str">
        <f>HYPERLINK("https://ceds.ed.gov/cedselementdetails.aspx?termid=26841")</f>
        <v>https://ceds.ed.gov/cedselementdetails.aspx?termid=26841</v>
      </c>
      <c r="Q2879" s="16">
        <v>75589</v>
      </c>
    </row>
    <row r="2880" spans="1:17" ht="187.2" x14ac:dyDescent="0.3">
      <c r="A2880" s="16" t="s">
        <v>7724</v>
      </c>
      <c r="B2880" s="16" t="s">
        <v>7726</v>
      </c>
      <c r="C2880" s="16" t="s">
        <v>7598</v>
      </c>
      <c r="D2880" s="16" t="s">
        <v>7597</v>
      </c>
      <c r="E2880" s="16" t="s">
        <v>6520</v>
      </c>
      <c r="F2880" s="16" t="s">
        <v>263</v>
      </c>
      <c r="G2880" s="16" t="s">
        <v>8261</v>
      </c>
      <c r="H2880" s="16" t="s">
        <v>6523</v>
      </c>
      <c r="I2880" s="16"/>
      <c r="J2880" s="16"/>
      <c r="K2880" s="16"/>
      <c r="L2880" s="16"/>
      <c r="M2880" s="19" t="s">
        <v>6521</v>
      </c>
      <c r="N2880" s="16"/>
      <c r="O2880" s="16" t="s">
        <v>6522</v>
      </c>
      <c r="P2880" s="16" t="str">
        <f>HYPERLINK("https://ceds.ed.gov/cedselementdetails.aspx?termid=26161")</f>
        <v>https://ceds.ed.gov/cedselementdetails.aspx?termid=26161</v>
      </c>
      <c r="Q2880" s="16">
        <v>75591</v>
      </c>
    </row>
    <row r="2881" spans="1:17" ht="172.8" x14ac:dyDescent="0.3">
      <c r="A2881" s="16" t="s">
        <v>7724</v>
      </c>
      <c r="B2881" s="16" t="s">
        <v>7726</v>
      </c>
      <c r="C2881" s="16" t="s">
        <v>7598</v>
      </c>
      <c r="D2881" s="16" t="s">
        <v>7597</v>
      </c>
      <c r="E2881" s="16" t="s">
        <v>6524</v>
      </c>
      <c r="F2881" s="16" t="s">
        <v>268</v>
      </c>
      <c r="G2881" s="16" t="s">
        <v>32</v>
      </c>
      <c r="H2881" s="16" t="s">
        <v>6523</v>
      </c>
      <c r="I2881" s="16"/>
      <c r="J2881" s="16" t="s">
        <v>120</v>
      </c>
      <c r="K2881" s="16"/>
      <c r="L2881" s="16" t="s">
        <v>7817</v>
      </c>
      <c r="M2881" s="19" t="s">
        <v>6525</v>
      </c>
      <c r="N2881" s="16"/>
      <c r="O2881" s="16" t="s">
        <v>6526</v>
      </c>
      <c r="P2881" s="16" t="str">
        <f>HYPERLINK("https://ceds.ed.gov/cedselementdetails.aspx?termid=26155")</f>
        <v>https://ceds.ed.gov/cedselementdetails.aspx?termid=26155</v>
      </c>
      <c r="Q2881" s="16">
        <v>75592</v>
      </c>
    </row>
    <row r="2882" spans="1:17" ht="57.6" x14ac:dyDescent="0.3">
      <c r="A2882" s="16" t="s">
        <v>7724</v>
      </c>
      <c r="B2882" s="16" t="s">
        <v>7726</v>
      </c>
      <c r="C2882" s="16" t="s">
        <v>7670</v>
      </c>
      <c r="D2882" s="16" t="s">
        <v>7597</v>
      </c>
      <c r="E2882" s="16" t="s">
        <v>20</v>
      </c>
      <c r="F2882" s="16" t="s">
        <v>21</v>
      </c>
      <c r="G2882" s="16" t="s">
        <v>22</v>
      </c>
      <c r="H2882" s="16" t="s">
        <v>25</v>
      </c>
      <c r="I2882" s="16"/>
      <c r="J2882" s="16"/>
      <c r="K2882" s="16"/>
      <c r="L2882" s="16"/>
      <c r="M2882" s="19" t="s">
        <v>23</v>
      </c>
      <c r="N2882" s="16"/>
      <c r="O2882" s="16" t="s">
        <v>24</v>
      </c>
      <c r="P2882" s="16" t="str">
        <f>HYPERLINK("https://ceds.ed.gov/cedselementdetails.aspx?termid=26000")</f>
        <v>https://ceds.ed.gov/cedselementdetails.aspx?termid=26000</v>
      </c>
      <c r="Q2882" s="16">
        <v>75587</v>
      </c>
    </row>
    <row r="2883" spans="1:17" ht="144" x14ac:dyDescent="0.3">
      <c r="A2883" s="16" t="s">
        <v>7724</v>
      </c>
      <c r="B2883" s="16" t="s">
        <v>7726</v>
      </c>
      <c r="C2883" s="16" t="s">
        <v>7670</v>
      </c>
      <c r="D2883" s="16" t="s">
        <v>7597</v>
      </c>
      <c r="E2883" s="16" t="s">
        <v>4558</v>
      </c>
      <c r="F2883" s="16" t="s">
        <v>4559</v>
      </c>
      <c r="G2883" s="16" t="s">
        <v>8652</v>
      </c>
      <c r="H2883" s="16" t="s">
        <v>214</v>
      </c>
      <c r="I2883" s="16"/>
      <c r="J2883" s="16"/>
      <c r="K2883" s="16"/>
      <c r="L2883" s="16" t="s">
        <v>7438</v>
      </c>
      <c r="M2883" s="19" t="s">
        <v>4560</v>
      </c>
      <c r="N2883" s="16"/>
      <c r="O2883" s="16" t="s">
        <v>4561</v>
      </c>
      <c r="P2883" s="16" t="str">
        <f>HYPERLINK("https://ceds.ed.gov/cedselementdetails.aspx?termid=26164")</f>
        <v>https://ceds.ed.gov/cedselementdetails.aspx?termid=26164</v>
      </c>
      <c r="Q2883" s="16">
        <v>75593</v>
      </c>
    </row>
    <row r="2884" spans="1:17" ht="129.6" x14ac:dyDescent="0.3">
      <c r="A2884" s="16" t="s">
        <v>7724</v>
      </c>
      <c r="B2884" s="16" t="s">
        <v>7726</v>
      </c>
      <c r="C2884" s="16" t="s">
        <v>7670</v>
      </c>
      <c r="D2884" s="16" t="s">
        <v>7597</v>
      </c>
      <c r="E2884" s="16" t="s">
        <v>9189</v>
      </c>
      <c r="F2884" s="16" t="s">
        <v>9190</v>
      </c>
      <c r="G2884" s="16" t="s">
        <v>9304</v>
      </c>
      <c r="H2884" s="16"/>
      <c r="I2884" s="16"/>
      <c r="J2884" s="16" t="s">
        <v>2</v>
      </c>
      <c r="K2884" s="16"/>
      <c r="L2884" s="16"/>
      <c r="M2884" s="19" t="s">
        <v>9191</v>
      </c>
      <c r="N2884" s="16"/>
      <c r="O2884" s="16" t="s">
        <v>9192</v>
      </c>
      <c r="P2884" s="16" t="str">
        <f>HYPERLINK("https://ceds.ed.gov/cedselementdetails.aspx?termid=28071")</f>
        <v>https://ceds.ed.gov/cedselementdetails.aspx?termid=28071</v>
      </c>
      <c r="Q2884" s="16">
        <v>76402</v>
      </c>
    </row>
    <row r="2885" spans="1:17" ht="158.4" x14ac:dyDescent="0.3">
      <c r="A2885" s="16" t="s">
        <v>7724</v>
      </c>
      <c r="B2885" s="16" t="s">
        <v>7729</v>
      </c>
      <c r="C2885" s="16"/>
      <c r="D2885" s="16" t="s">
        <v>7597</v>
      </c>
      <c r="E2885" s="16" t="s">
        <v>5777</v>
      </c>
      <c r="F2885" s="16" t="s">
        <v>5778</v>
      </c>
      <c r="G2885" s="16" t="s">
        <v>22</v>
      </c>
      <c r="H2885" s="16" t="s">
        <v>240</v>
      </c>
      <c r="I2885" s="16"/>
      <c r="J2885" s="16"/>
      <c r="K2885" s="16"/>
      <c r="L2885" s="16" t="s">
        <v>5779</v>
      </c>
      <c r="M2885" s="19" t="s">
        <v>5780</v>
      </c>
      <c r="N2885" s="16"/>
      <c r="O2885" s="16" t="s">
        <v>5781</v>
      </c>
      <c r="P2885" s="16" t="str">
        <f>HYPERLINK("https://ceds.ed.gov/cedselementdetails.aspx?termid=26735")</f>
        <v>https://ceds.ed.gov/cedselementdetails.aspx?termid=26735</v>
      </c>
      <c r="Q2885" s="16">
        <v>71255</v>
      </c>
    </row>
    <row r="2886" spans="1:17" ht="129.6" x14ac:dyDescent="0.3">
      <c r="A2886" s="16" t="s">
        <v>7724</v>
      </c>
      <c r="B2886" s="16" t="s">
        <v>7729</v>
      </c>
      <c r="C2886" s="16"/>
      <c r="D2886" s="16" t="s">
        <v>7597</v>
      </c>
      <c r="E2886" s="16" t="s">
        <v>235</v>
      </c>
      <c r="F2886" s="16" t="s">
        <v>236</v>
      </c>
      <c r="G2886" s="16" t="s">
        <v>8301</v>
      </c>
      <c r="H2886" s="16" t="s">
        <v>240</v>
      </c>
      <c r="I2886" s="16"/>
      <c r="J2886" s="16"/>
      <c r="K2886" s="16"/>
      <c r="L2886" s="16" t="s">
        <v>7825</v>
      </c>
      <c r="M2886" s="19" t="s">
        <v>238</v>
      </c>
      <c r="N2886" s="16"/>
      <c r="O2886" s="16" t="s">
        <v>239</v>
      </c>
      <c r="P2886" s="16" t="str">
        <f>HYPERLINK("https://ceds.ed.gov/cedselementdetails.aspx?termid=26736")</f>
        <v>https://ceds.ed.gov/cedselementdetails.aspx?termid=26736</v>
      </c>
      <c r="Q2886" s="16">
        <v>71256</v>
      </c>
    </row>
    <row r="2887" spans="1:17" ht="57.6" x14ac:dyDescent="0.3">
      <c r="A2887" s="16" t="s">
        <v>7724</v>
      </c>
      <c r="B2887" s="16" t="s">
        <v>7729</v>
      </c>
      <c r="C2887" s="16"/>
      <c r="D2887" s="16" t="s">
        <v>7597</v>
      </c>
      <c r="E2887" s="16" t="s">
        <v>7253</v>
      </c>
      <c r="F2887" s="16" t="s">
        <v>7254</v>
      </c>
      <c r="G2887" s="16" t="s">
        <v>22</v>
      </c>
      <c r="H2887" s="16" t="s">
        <v>240</v>
      </c>
      <c r="I2887" s="16"/>
      <c r="J2887" s="16"/>
      <c r="K2887" s="16"/>
      <c r="L2887" s="16" t="s">
        <v>3964</v>
      </c>
      <c r="M2887" s="19" t="s">
        <v>7255</v>
      </c>
      <c r="N2887" s="16"/>
      <c r="O2887" s="16" t="s">
        <v>7256</v>
      </c>
      <c r="P2887" s="16" t="str">
        <f>HYPERLINK("https://ceds.ed.gov/cedselementdetails.aspx?termid=26738")</f>
        <v>https://ceds.ed.gov/cedselementdetails.aspx?termid=26738</v>
      </c>
      <c r="Q2887" s="16">
        <v>71257</v>
      </c>
    </row>
    <row r="2888" spans="1:17" ht="158.4" x14ac:dyDescent="0.3">
      <c r="A2888" s="16" t="s">
        <v>7724</v>
      </c>
      <c r="B2888" s="16" t="s">
        <v>7729</v>
      </c>
      <c r="C2888" s="16"/>
      <c r="D2888" s="16" t="s">
        <v>7597</v>
      </c>
      <c r="E2888" s="16" t="s">
        <v>4145</v>
      </c>
      <c r="F2888" s="16" t="s">
        <v>4146</v>
      </c>
      <c r="G2888" s="16" t="s">
        <v>32</v>
      </c>
      <c r="H2888" s="16" t="s">
        <v>4152</v>
      </c>
      <c r="I2888" s="16"/>
      <c r="J2888" s="16" t="s">
        <v>955</v>
      </c>
      <c r="K2888" s="16"/>
      <c r="L2888" s="16" t="s">
        <v>4148</v>
      </c>
      <c r="M2888" s="19" t="s">
        <v>4149</v>
      </c>
      <c r="N2888" s="16" t="s">
        <v>4150</v>
      </c>
      <c r="O2888" s="16" t="s">
        <v>4151</v>
      </c>
      <c r="P2888" s="16" t="str">
        <f>HYPERLINK("https://ceds.ed.gov/cedselementdetails.aspx?termid=26128")</f>
        <v>https://ceds.ed.gov/cedselementdetails.aspx?termid=26128</v>
      </c>
      <c r="Q2888" s="16">
        <v>71259</v>
      </c>
    </row>
    <row r="2889" spans="1:17" ht="72" x14ac:dyDescent="0.3">
      <c r="A2889" s="16" t="s">
        <v>7724</v>
      </c>
      <c r="B2889" s="16" t="s">
        <v>7729</v>
      </c>
      <c r="C2889" s="16"/>
      <c r="D2889" s="16" t="s">
        <v>7597</v>
      </c>
      <c r="E2889" s="16" t="s">
        <v>4153</v>
      </c>
      <c r="F2889" s="16" t="s">
        <v>4154</v>
      </c>
      <c r="G2889" s="16" t="s">
        <v>8613</v>
      </c>
      <c r="H2889" s="16" t="s">
        <v>240</v>
      </c>
      <c r="I2889" s="16"/>
      <c r="J2889" s="16"/>
      <c r="K2889" s="16"/>
      <c r="L2889" s="16" t="s">
        <v>4155</v>
      </c>
      <c r="M2889" s="19" t="s">
        <v>4156</v>
      </c>
      <c r="N2889" s="16" t="s">
        <v>4157</v>
      </c>
      <c r="O2889" s="16" t="s">
        <v>4158</v>
      </c>
      <c r="P2889" s="16" t="str">
        <f>HYPERLINK("https://ceds.ed.gov/cedselementdetails.aspx?termid=26739")</f>
        <v>https://ceds.ed.gov/cedselementdetails.aspx?termid=26739</v>
      </c>
      <c r="Q2889" s="16">
        <v>71258</v>
      </c>
    </row>
    <row r="2890" spans="1:17" ht="43.2" x14ac:dyDescent="0.3">
      <c r="A2890" s="16" t="s">
        <v>7724</v>
      </c>
      <c r="B2890" s="16" t="s">
        <v>7729</v>
      </c>
      <c r="C2890" s="16"/>
      <c r="D2890" s="16" t="s">
        <v>7597</v>
      </c>
      <c r="E2890" s="16" t="s">
        <v>4164</v>
      </c>
      <c r="F2890" s="16" t="s">
        <v>4165</v>
      </c>
      <c r="G2890" s="16" t="s">
        <v>8614</v>
      </c>
      <c r="H2890" s="16" t="s">
        <v>4169</v>
      </c>
      <c r="I2890" s="16"/>
      <c r="J2890" s="16"/>
      <c r="K2890" s="16"/>
      <c r="L2890" s="16"/>
      <c r="M2890" s="19" t="s">
        <v>4166</v>
      </c>
      <c r="N2890" s="16" t="s">
        <v>4167</v>
      </c>
      <c r="O2890" s="16" t="s">
        <v>4168</v>
      </c>
      <c r="P2890" s="16" t="str">
        <f>HYPERLINK("https://ceds.ed.gov/cedselementdetails.aspx?termid=26123")</f>
        <v>https://ceds.ed.gov/cedselementdetails.aspx?termid=26123</v>
      </c>
      <c r="Q2890" s="16">
        <v>71260</v>
      </c>
    </row>
    <row r="2891" spans="1:17" ht="100.8" x14ac:dyDescent="0.3">
      <c r="A2891" s="16" t="s">
        <v>7724</v>
      </c>
      <c r="B2891" s="16" t="s">
        <v>7729</v>
      </c>
      <c r="C2891" s="16"/>
      <c r="D2891" s="16" t="s">
        <v>7597</v>
      </c>
      <c r="E2891" s="16" t="s">
        <v>4254</v>
      </c>
      <c r="F2891" s="16" t="s">
        <v>4255</v>
      </c>
      <c r="G2891" s="16" t="s">
        <v>32</v>
      </c>
      <c r="H2891" s="16" t="s">
        <v>240</v>
      </c>
      <c r="I2891" s="16"/>
      <c r="J2891" s="16" t="s">
        <v>742</v>
      </c>
      <c r="K2891" s="16"/>
      <c r="L2891" s="16" t="s">
        <v>8056</v>
      </c>
      <c r="M2891" s="19" t="s">
        <v>4256</v>
      </c>
      <c r="N2891" s="16"/>
      <c r="O2891" s="16" t="s">
        <v>4257</v>
      </c>
      <c r="P2891" s="16" t="str">
        <f>HYPERLINK("https://ceds.ed.gov/cedselementdetails.aspx?termid=26740")</f>
        <v>https://ceds.ed.gov/cedselementdetails.aspx?termid=26740</v>
      </c>
      <c r="Q2891" s="16">
        <v>71261</v>
      </c>
    </row>
    <row r="2892" spans="1:17" ht="100.8" x14ac:dyDescent="0.3">
      <c r="A2892" s="16" t="s">
        <v>7724</v>
      </c>
      <c r="B2892" s="16" t="s">
        <v>7729</v>
      </c>
      <c r="C2892" s="16"/>
      <c r="D2892" s="16" t="s">
        <v>7597</v>
      </c>
      <c r="E2892" s="16" t="s">
        <v>4258</v>
      </c>
      <c r="F2892" s="16" t="s">
        <v>4259</v>
      </c>
      <c r="G2892" s="16" t="s">
        <v>32</v>
      </c>
      <c r="H2892" s="16" t="s">
        <v>4263</v>
      </c>
      <c r="I2892" s="16"/>
      <c r="J2892" s="16" t="s">
        <v>305</v>
      </c>
      <c r="K2892" s="16"/>
      <c r="L2892" s="16"/>
      <c r="M2892" s="19" t="s">
        <v>4261</v>
      </c>
      <c r="N2892" s="16"/>
      <c r="O2892" s="16" t="s">
        <v>4262</v>
      </c>
      <c r="P2892" s="16" t="str">
        <f>HYPERLINK("https://ceds.ed.gov/cedselementdetails.aspx?termid=26041")</f>
        <v>https://ceds.ed.gov/cedselementdetails.aspx?termid=26041</v>
      </c>
      <c r="Q2892" s="16">
        <v>71262</v>
      </c>
    </row>
    <row r="2893" spans="1:17" ht="100.8" x14ac:dyDescent="0.3">
      <c r="A2893" s="16" t="s">
        <v>7724</v>
      </c>
      <c r="B2893" s="16" t="s">
        <v>7729</v>
      </c>
      <c r="C2893" s="16"/>
      <c r="D2893" s="16" t="s">
        <v>7597</v>
      </c>
      <c r="E2893" s="16" t="s">
        <v>6693</v>
      </c>
      <c r="F2893" s="16" t="s">
        <v>6694</v>
      </c>
      <c r="G2893" s="16" t="s">
        <v>32</v>
      </c>
      <c r="H2893" s="16" t="s">
        <v>4263</v>
      </c>
      <c r="I2893" s="16"/>
      <c r="J2893" s="16" t="s">
        <v>305</v>
      </c>
      <c r="K2893" s="16"/>
      <c r="L2893" s="16"/>
      <c r="M2893" s="19" t="s">
        <v>6695</v>
      </c>
      <c r="N2893" s="16"/>
      <c r="O2893" s="16" t="s">
        <v>6696</v>
      </c>
      <c r="P2893" s="16" t="str">
        <f>HYPERLINK("https://ceds.ed.gov/cedselementdetails.aspx?termid=26294")</f>
        <v>https://ceds.ed.gov/cedselementdetails.aspx?termid=26294</v>
      </c>
      <c r="Q2893" s="16">
        <v>71438</v>
      </c>
    </row>
    <row r="2894" spans="1:17" ht="43.2" x14ac:dyDescent="0.3">
      <c r="A2894" s="16" t="s">
        <v>7724</v>
      </c>
      <c r="B2894" s="16" t="s">
        <v>7729</v>
      </c>
      <c r="C2894" s="16"/>
      <c r="D2894" s="16" t="s">
        <v>7597</v>
      </c>
      <c r="E2894" s="16" t="s">
        <v>369</v>
      </c>
      <c r="F2894" s="16" t="s">
        <v>7829</v>
      </c>
      <c r="G2894" s="16" t="s">
        <v>32</v>
      </c>
      <c r="H2894" s="16" t="s">
        <v>372</v>
      </c>
      <c r="I2894" s="16"/>
      <c r="J2894" s="16" t="s">
        <v>106</v>
      </c>
      <c r="K2894" s="16"/>
      <c r="L2894" s="16"/>
      <c r="M2894" s="19" t="s">
        <v>370</v>
      </c>
      <c r="N2894" s="16"/>
      <c r="O2894" s="16" t="s">
        <v>371</v>
      </c>
      <c r="P2894" s="16" t="str">
        <f>HYPERLINK("https://ceds.ed.gov/cedselementdetails.aspx?termid=26323")</f>
        <v>https://ceds.ed.gov/cedselementdetails.aspx?termid=26323</v>
      </c>
      <c r="Q2894" s="16">
        <v>75586</v>
      </c>
    </row>
    <row r="2895" spans="1:17" ht="86.4" x14ac:dyDescent="0.3">
      <c r="A2895" s="16" t="s">
        <v>7724</v>
      </c>
      <c r="B2895" s="16" t="s">
        <v>7730</v>
      </c>
      <c r="C2895" s="16"/>
      <c r="D2895" s="16" t="s">
        <v>7597</v>
      </c>
      <c r="E2895" s="16" t="s">
        <v>5800</v>
      </c>
      <c r="F2895" s="16" t="s">
        <v>5801</v>
      </c>
      <c r="G2895" s="16" t="s">
        <v>22</v>
      </c>
      <c r="H2895" s="16"/>
      <c r="I2895" s="16"/>
      <c r="J2895" s="16"/>
      <c r="K2895" s="16"/>
      <c r="L2895" s="16" t="s">
        <v>5803</v>
      </c>
      <c r="M2895" s="19" t="s">
        <v>5804</v>
      </c>
      <c r="N2895" s="16"/>
      <c r="O2895" s="16" t="s">
        <v>5805</v>
      </c>
      <c r="P2895" s="16" t="str">
        <f>HYPERLINK("https://ceds.ed.gov/cedselementdetails.aspx?termid=27395")</f>
        <v>https://ceds.ed.gov/cedselementdetails.aspx?termid=27395</v>
      </c>
      <c r="Q2895" s="16">
        <v>73320</v>
      </c>
    </row>
    <row r="2896" spans="1:17" ht="86.4" x14ac:dyDescent="0.3">
      <c r="A2896" s="16" t="s">
        <v>7724</v>
      </c>
      <c r="B2896" s="16" t="s">
        <v>7730</v>
      </c>
      <c r="C2896" s="16"/>
      <c r="D2896" s="16" t="s">
        <v>7597</v>
      </c>
      <c r="E2896" s="16" t="s">
        <v>5814</v>
      </c>
      <c r="F2896" s="16" t="s">
        <v>5815</v>
      </c>
      <c r="G2896" s="16" t="s">
        <v>32</v>
      </c>
      <c r="H2896" s="16"/>
      <c r="I2896" s="16"/>
      <c r="J2896" s="16" t="s">
        <v>81</v>
      </c>
      <c r="K2896" s="16"/>
      <c r="L2896" s="16" t="s">
        <v>5803</v>
      </c>
      <c r="M2896" s="19" t="s">
        <v>5816</v>
      </c>
      <c r="N2896" s="16"/>
      <c r="O2896" s="16" t="s">
        <v>5817</v>
      </c>
      <c r="P2896" s="16" t="str">
        <f>HYPERLINK("https://ceds.ed.gov/cedselementdetails.aspx?termid=27396")</f>
        <v>https://ceds.ed.gov/cedselementdetails.aspx?termid=27396</v>
      </c>
      <c r="Q2896" s="16">
        <v>73321</v>
      </c>
    </row>
    <row r="2897" spans="1:17" ht="158.4" x14ac:dyDescent="0.3">
      <c r="A2897" s="16" t="s">
        <v>7724</v>
      </c>
      <c r="B2897" s="16" t="s">
        <v>7730</v>
      </c>
      <c r="C2897" s="16" t="s">
        <v>7625</v>
      </c>
      <c r="D2897" s="16" t="s">
        <v>7597</v>
      </c>
      <c r="E2897" s="16" t="s">
        <v>3990</v>
      </c>
      <c r="F2897" s="16" t="s">
        <v>3991</v>
      </c>
      <c r="G2897" s="16" t="s">
        <v>32</v>
      </c>
      <c r="H2897" s="16" t="s">
        <v>3994</v>
      </c>
      <c r="I2897" s="16"/>
      <c r="J2897" s="16" t="s">
        <v>7426</v>
      </c>
      <c r="K2897" s="16"/>
      <c r="L2897" s="16" t="s">
        <v>8047</v>
      </c>
      <c r="M2897" s="19" t="s">
        <v>3992</v>
      </c>
      <c r="N2897" s="16"/>
      <c r="O2897" s="16" t="s">
        <v>3993</v>
      </c>
      <c r="P2897" s="16" t="str">
        <f>HYPERLINK("https://ceds.ed.gov/cedselementdetails.aspx?termid=26115")</f>
        <v>https://ceds.ed.gov/cedselementdetails.aspx?termid=26115</v>
      </c>
      <c r="Q2897" s="16">
        <v>70750</v>
      </c>
    </row>
    <row r="2898" spans="1:17" ht="158.4" x14ac:dyDescent="0.3">
      <c r="A2898" s="16" t="s">
        <v>7724</v>
      </c>
      <c r="B2898" s="16" t="s">
        <v>7730</v>
      </c>
      <c r="C2898" s="16" t="s">
        <v>7625</v>
      </c>
      <c r="D2898" s="16" t="s">
        <v>7597</v>
      </c>
      <c r="E2898" s="16" t="s">
        <v>5328</v>
      </c>
      <c r="F2898" s="16" t="s">
        <v>5329</v>
      </c>
      <c r="G2898" s="16" t="s">
        <v>32</v>
      </c>
      <c r="H2898" s="16" t="s">
        <v>3994</v>
      </c>
      <c r="I2898" s="16"/>
      <c r="J2898" s="16" t="s">
        <v>7426</v>
      </c>
      <c r="K2898" s="16"/>
      <c r="L2898" s="16" t="s">
        <v>8053</v>
      </c>
      <c r="M2898" s="19" t="s">
        <v>5330</v>
      </c>
      <c r="N2898" s="16"/>
      <c r="O2898" s="16" t="s">
        <v>5331</v>
      </c>
      <c r="P2898" s="16" t="str">
        <f>HYPERLINK("https://ceds.ed.gov/cedselementdetails.aspx?termid=26184")</f>
        <v>https://ceds.ed.gov/cedselementdetails.aspx?termid=26184</v>
      </c>
      <c r="Q2898" s="16">
        <v>70769</v>
      </c>
    </row>
    <row r="2899" spans="1:17" ht="158.4" x14ac:dyDescent="0.3">
      <c r="A2899" s="16" t="s">
        <v>7724</v>
      </c>
      <c r="B2899" s="16" t="s">
        <v>7730</v>
      </c>
      <c r="C2899" s="16" t="s">
        <v>7625</v>
      </c>
      <c r="D2899" s="16" t="s">
        <v>7597</v>
      </c>
      <c r="E2899" s="16" t="s">
        <v>4893</v>
      </c>
      <c r="F2899" s="16" t="s">
        <v>4894</v>
      </c>
      <c r="G2899" s="16" t="s">
        <v>32</v>
      </c>
      <c r="H2899" s="16" t="s">
        <v>3994</v>
      </c>
      <c r="I2899" s="16"/>
      <c r="J2899" s="16" t="s">
        <v>7426</v>
      </c>
      <c r="K2899" s="16"/>
      <c r="L2899" s="16" t="s">
        <v>8053</v>
      </c>
      <c r="M2899" s="19" t="s">
        <v>4895</v>
      </c>
      <c r="N2899" s="16" t="s">
        <v>4896</v>
      </c>
      <c r="O2899" s="16" t="s">
        <v>4897</v>
      </c>
      <c r="P2899" s="16" t="str">
        <f>HYPERLINK("https://ceds.ed.gov/cedselementdetails.aspx?termid=26172")</f>
        <v>https://ceds.ed.gov/cedselementdetails.aspx?termid=26172</v>
      </c>
      <c r="Q2899" s="16">
        <v>70767</v>
      </c>
    </row>
    <row r="2900" spans="1:17" ht="129.6" x14ac:dyDescent="0.3">
      <c r="A2900" s="16" t="s">
        <v>7724</v>
      </c>
      <c r="B2900" s="16" t="s">
        <v>7730</v>
      </c>
      <c r="C2900" s="16" t="s">
        <v>7625</v>
      </c>
      <c r="D2900" s="16" t="s">
        <v>7597</v>
      </c>
      <c r="E2900" s="16" t="s">
        <v>4054</v>
      </c>
      <c r="F2900" s="16" t="s">
        <v>4055</v>
      </c>
      <c r="G2900" s="16" t="s">
        <v>32</v>
      </c>
      <c r="H2900" s="16" t="s">
        <v>4059</v>
      </c>
      <c r="I2900" s="16"/>
      <c r="J2900" s="16" t="s">
        <v>2697</v>
      </c>
      <c r="K2900" s="16"/>
      <c r="L2900" s="16" t="s">
        <v>8053</v>
      </c>
      <c r="M2900" s="19" t="s">
        <v>4057</v>
      </c>
      <c r="N2900" s="16"/>
      <c r="O2900" s="16" t="s">
        <v>4058</v>
      </c>
      <c r="P2900" s="16" t="str">
        <f>HYPERLINK("https://ceds.ed.gov/cedselementdetails.aspx?termid=26121")</f>
        <v>https://ceds.ed.gov/cedselementdetails.aspx?termid=26121</v>
      </c>
      <c r="Q2900" s="16">
        <v>70752</v>
      </c>
    </row>
    <row r="2901" spans="1:17" ht="86.4" x14ac:dyDescent="0.3">
      <c r="A2901" s="16" t="s">
        <v>7724</v>
      </c>
      <c r="B2901" s="16" t="s">
        <v>7730</v>
      </c>
      <c r="C2901" s="16" t="s">
        <v>7625</v>
      </c>
      <c r="D2901" s="16" t="s">
        <v>7597</v>
      </c>
      <c r="E2901" s="16" t="s">
        <v>5760</v>
      </c>
      <c r="F2901" s="16" t="s">
        <v>5761</v>
      </c>
      <c r="G2901" s="16" t="s">
        <v>32</v>
      </c>
      <c r="H2901" s="16" t="s">
        <v>5765</v>
      </c>
      <c r="I2901" s="16"/>
      <c r="J2901" s="16" t="s">
        <v>81</v>
      </c>
      <c r="K2901" s="16"/>
      <c r="L2901" s="16"/>
      <c r="M2901" s="19" t="s">
        <v>5762</v>
      </c>
      <c r="N2901" s="16" t="s">
        <v>5763</v>
      </c>
      <c r="O2901" s="16" t="s">
        <v>5764</v>
      </c>
      <c r="P2901" s="16" t="str">
        <f>HYPERLINK("https://ceds.ed.gov/cedselementdetails.aspx?termid=26212")</f>
        <v>https://ceds.ed.gov/cedselementdetails.aspx?termid=26212</v>
      </c>
      <c r="Q2901" s="16">
        <v>70776</v>
      </c>
    </row>
    <row r="2902" spans="1:17" ht="28.8" x14ac:dyDescent="0.3">
      <c r="A2902" s="16" t="s">
        <v>7724</v>
      </c>
      <c r="B2902" s="16" t="s">
        <v>7730</v>
      </c>
      <c r="C2902" s="16" t="s">
        <v>7626</v>
      </c>
      <c r="D2902" s="16" t="s">
        <v>7597</v>
      </c>
      <c r="E2902" s="16" t="s">
        <v>5631</v>
      </c>
      <c r="F2902" s="16" t="s">
        <v>5632</v>
      </c>
      <c r="G2902" s="16" t="s">
        <v>32</v>
      </c>
      <c r="H2902" s="16"/>
      <c r="I2902" s="16"/>
      <c r="J2902" s="16" t="s">
        <v>1266</v>
      </c>
      <c r="K2902" s="16"/>
      <c r="L2902" s="16" t="s">
        <v>5633</v>
      </c>
      <c r="M2902" s="19" t="s">
        <v>5634</v>
      </c>
      <c r="N2902" s="16"/>
      <c r="O2902" s="16" t="s">
        <v>5635</v>
      </c>
      <c r="P2902" s="16" t="str">
        <f>HYPERLINK("https://ceds.ed.gov/cedselementdetails.aspx?termid=27486")</f>
        <v>https://ceds.ed.gov/cedselementdetails.aspx?termid=27486</v>
      </c>
      <c r="Q2902" s="16">
        <v>73633</v>
      </c>
    </row>
    <row r="2903" spans="1:17" ht="28.8" x14ac:dyDescent="0.3">
      <c r="A2903" s="16" t="s">
        <v>7724</v>
      </c>
      <c r="B2903" s="16" t="s">
        <v>7730</v>
      </c>
      <c r="C2903" s="16" t="s">
        <v>7626</v>
      </c>
      <c r="D2903" s="16" t="s">
        <v>7597</v>
      </c>
      <c r="E2903" s="16" t="s">
        <v>5636</v>
      </c>
      <c r="F2903" s="16" t="s">
        <v>5637</v>
      </c>
      <c r="G2903" s="16" t="s">
        <v>32</v>
      </c>
      <c r="H2903" s="16"/>
      <c r="I2903" s="16"/>
      <c r="J2903" s="16" t="s">
        <v>1266</v>
      </c>
      <c r="K2903" s="16"/>
      <c r="L2903" s="16" t="s">
        <v>5638</v>
      </c>
      <c r="M2903" s="19" t="s">
        <v>5639</v>
      </c>
      <c r="N2903" s="16"/>
      <c r="O2903" s="16" t="s">
        <v>5640</v>
      </c>
      <c r="P2903" s="16" t="str">
        <f>HYPERLINK("https://ceds.ed.gov/cedselementdetails.aspx?termid=27485")</f>
        <v>https://ceds.ed.gov/cedselementdetails.aspx?termid=27485</v>
      </c>
      <c r="Q2903" s="16">
        <v>73617</v>
      </c>
    </row>
    <row r="2904" spans="1:17" ht="28.8" x14ac:dyDescent="0.3">
      <c r="A2904" s="16" t="s">
        <v>7724</v>
      </c>
      <c r="B2904" s="16" t="s">
        <v>7730</v>
      </c>
      <c r="C2904" s="16" t="s">
        <v>7626</v>
      </c>
      <c r="D2904" s="16" t="s">
        <v>7597</v>
      </c>
      <c r="E2904" s="16" t="s">
        <v>5641</v>
      </c>
      <c r="F2904" s="16" t="s">
        <v>5642</v>
      </c>
      <c r="G2904" s="16" t="s">
        <v>32</v>
      </c>
      <c r="H2904" s="16"/>
      <c r="I2904" s="16"/>
      <c r="J2904" s="16" t="s">
        <v>1266</v>
      </c>
      <c r="K2904" s="16"/>
      <c r="L2904" s="16" t="s">
        <v>5643</v>
      </c>
      <c r="M2904" s="19" t="s">
        <v>5644</v>
      </c>
      <c r="N2904" s="16"/>
      <c r="O2904" s="16" t="s">
        <v>5645</v>
      </c>
      <c r="P2904" s="16" t="str">
        <f>HYPERLINK("https://ceds.ed.gov/cedselementdetails.aspx?termid=27487")</f>
        <v>https://ceds.ed.gov/cedselementdetails.aspx?termid=27487</v>
      </c>
      <c r="Q2904" s="16">
        <v>73649</v>
      </c>
    </row>
    <row r="2905" spans="1:17" ht="129.6" x14ac:dyDescent="0.3">
      <c r="A2905" s="16" t="s">
        <v>7724</v>
      </c>
      <c r="B2905" s="16" t="s">
        <v>7730</v>
      </c>
      <c r="C2905" s="16" t="s">
        <v>7626</v>
      </c>
      <c r="D2905" s="16" t="s">
        <v>7597</v>
      </c>
      <c r="E2905" s="16" t="s">
        <v>5646</v>
      </c>
      <c r="F2905" s="16" t="s">
        <v>5647</v>
      </c>
      <c r="G2905" s="16" t="s">
        <v>32</v>
      </c>
      <c r="H2905" s="16" t="s">
        <v>4059</v>
      </c>
      <c r="I2905" s="16"/>
      <c r="J2905" s="16" t="s">
        <v>120</v>
      </c>
      <c r="K2905" s="16"/>
      <c r="L2905" s="16"/>
      <c r="M2905" s="19" t="s">
        <v>5648</v>
      </c>
      <c r="N2905" s="16"/>
      <c r="O2905" s="16" t="s">
        <v>5649</v>
      </c>
      <c r="P2905" s="16" t="str">
        <f>HYPERLINK("https://ceds.ed.gov/cedselementdetails.aspx?termid=26206")</f>
        <v>https://ceds.ed.gov/cedselementdetails.aspx?termid=26206</v>
      </c>
      <c r="Q2905" s="16">
        <v>70775</v>
      </c>
    </row>
    <row r="2906" spans="1:17" ht="115.2" x14ac:dyDescent="0.3">
      <c r="A2906" s="16" t="s">
        <v>7724</v>
      </c>
      <c r="B2906" s="16" t="s">
        <v>7730</v>
      </c>
      <c r="C2906" s="16" t="s">
        <v>7626</v>
      </c>
      <c r="D2906" s="16" t="s">
        <v>7597</v>
      </c>
      <c r="E2906" s="16" t="s">
        <v>5650</v>
      </c>
      <c r="F2906" s="16" t="s">
        <v>5651</v>
      </c>
      <c r="G2906" s="16" t="s">
        <v>8746</v>
      </c>
      <c r="H2906" s="16" t="s">
        <v>5654</v>
      </c>
      <c r="I2906" s="16"/>
      <c r="J2906" s="16" t="s">
        <v>81</v>
      </c>
      <c r="K2906" s="16"/>
      <c r="L2906" s="16"/>
      <c r="M2906" s="19" t="s">
        <v>5652</v>
      </c>
      <c r="N2906" s="16"/>
      <c r="O2906" s="16" t="s">
        <v>5653</v>
      </c>
      <c r="P2906" s="16" t="str">
        <f>HYPERLINK("https://ceds.ed.gov/cedselementdetails.aspx?termid=26627")</f>
        <v>https://ceds.ed.gov/cedselementdetails.aspx?termid=26627</v>
      </c>
      <c r="Q2906" s="16">
        <v>72017</v>
      </c>
    </row>
    <row r="2907" spans="1:17" ht="172.8" x14ac:dyDescent="0.3">
      <c r="A2907" s="16" t="s">
        <v>7724</v>
      </c>
      <c r="B2907" s="16" t="s">
        <v>7730</v>
      </c>
      <c r="C2907" s="16" t="s">
        <v>7627</v>
      </c>
      <c r="D2907" s="16" t="s">
        <v>7597</v>
      </c>
      <c r="E2907" s="16" t="s">
        <v>6937</v>
      </c>
      <c r="F2907" s="16" t="s">
        <v>6938</v>
      </c>
      <c r="G2907" s="16" t="s">
        <v>32</v>
      </c>
      <c r="H2907" s="16" t="s">
        <v>6936</v>
      </c>
      <c r="I2907" s="16"/>
      <c r="J2907" s="16" t="s">
        <v>120</v>
      </c>
      <c r="K2907" s="16"/>
      <c r="L2907" s="16" t="s">
        <v>7817</v>
      </c>
      <c r="M2907" s="19" t="s">
        <v>6939</v>
      </c>
      <c r="N2907" s="16"/>
      <c r="O2907" s="16" t="s">
        <v>6940</v>
      </c>
      <c r="P2907" s="16" t="str">
        <f>HYPERLINK("https://ceds.ed.gov/cedselementdetails.aspx?termid=26157")</f>
        <v>https://ceds.ed.gov/cedselementdetails.aspx?termid=26157</v>
      </c>
      <c r="Q2907" s="16">
        <v>70760</v>
      </c>
    </row>
    <row r="2908" spans="1:17" ht="158.4" x14ac:dyDescent="0.3">
      <c r="A2908" s="16" t="s">
        <v>7724</v>
      </c>
      <c r="B2908" s="16" t="s">
        <v>7730</v>
      </c>
      <c r="C2908" s="16" t="s">
        <v>7627</v>
      </c>
      <c r="D2908" s="16" t="s">
        <v>7597</v>
      </c>
      <c r="E2908" s="16" t="s">
        <v>6932</v>
      </c>
      <c r="F2908" s="16" t="s">
        <v>6933</v>
      </c>
      <c r="G2908" s="16" t="s">
        <v>9344</v>
      </c>
      <c r="H2908" s="16" t="s">
        <v>6936</v>
      </c>
      <c r="I2908" s="16"/>
      <c r="J2908" s="16"/>
      <c r="K2908" s="16"/>
      <c r="L2908" s="16"/>
      <c r="M2908" s="19" t="s">
        <v>6934</v>
      </c>
      <c r="N2908" s="16"/>
      <c r="O2908" s="16" t="s">
        <v>6935</v>
      </c>
      <c r="P2908" s="16" t="str">
        <f>HYPERLINK("https://ceds.ed.gov/cedselementdetails.aspx?termid=26163")</f>
        <v>https://ceds.ed.gov/cedselementdetails.aspx?termid=26163</v>
      </c>
      <c r="Q2908" s="16">
        <v>70763</v>
      </c>
    </row>
    <row r="2909" spans="1:17" ht="403.2" x14ac:dyDescent="0.3">
      <c r="A2909" s="16" t="s">
        <v>7724</v>
      </c>
      <c r="B2909" s="16" t="s">
        <v>7730</v>
      </c>
      <c r="C2909" s="16" t="s">
        <v>7627</v>
      </c>
      <c r="D2909" s="16" t="s">
        <v>7597</v>
      </c>
      <c r="E2909" s="16" t="s">
        <v>5756</v>
      </c>
      <c r="F2909" s="16" t="s">
        <v>5757</v>
      </c>
      <c r="G2909" s="16" t="s">
        <v>8252</v>
      </c>
      <c r="H2909" s="16"/>
      <c r="I2909" s="16"/>
      <c r="J2909" s="16"/>
      <c r="K2909" s="16"/>
      <c r="L2909" s="16"/>
      <c r="M2909" s="19" t="s">
        <v>5758</v>
      </c>
      <c r="N2909" s="16"/>
      <c r="O2909" s="16" t="s">
        <v>5759</v>
      </c>
      <c r="P2909" s="16" t="str">
        <f>HYPERLINK("https://ceds.ed.gov/cedselementdetails.aspx?termid=26611")</f>
        <v>https://ceds.ed.gov/cedselementdetails.aspx?termid=26611</v>
      </c>
      <c r="Q2909" s="16">
        <v>72217</v>
      </c>
    </row>
    <row r="2910" spans="1:17" ht="72" x14ac:dyDescent="0.3">
      <c r="A2910" s="16" t="s">
        <v>7724</v>
      </c>
      <c r="B2910" s="16" t="s">
        <v>7730</v>
      </c>
      <c r="C2910" s="16" t="s">
        <v>7627</v>
      </c>
      <c r="D2910" s="16" t="s">
        <v>7597</v>
      </c>
      <c r="E2910" s="16" t="s">
        <v>7508</v>
      </c>
      <c r="F2910" s="16" t="s">
        <v>7509</v>
      </c>
      <c r="G2910" s="16" t="s">
        <v>8251</v>
      </c>
      <c r="H2910" s="16"/>
      <c r="I2910" s="16"/>
      <c r="J2910" s="16"/>
      <c r="K2910" s="16"/>
      <c r="L2910" s="16"/>
      <c r="M2910" s="19" t="s">
        <v>7510</v>
      </c>
      <c r="N2910" s="16"/>
      <c r="O2910" s="16" t="s">
        <v>7511</v>
      </c>
      <c r="P2910" s="16" t="str">
        <f>HYPERLINK("https://ceds.ed.gov/cedselementdetails.aspx?termid=27951")</f>
        <v>https://ceds.ed.gov/cedselementdetails.aspx?termid=27951</v>
      </c>
      <c r="Q2910" s="16">
        <v>75670</v>
      </c>
    </row>
    <row r="2911" spans="1:17" ht="172.8" x14ac:dyDescent="0.3">
      <c r="A2911" s="16" t="s">
        <v>7724</v>
      </c>
      <c r="B2911" s="16" t="s">
        <v>7730</v>
      </c>
      <c r="C2911" s="16" t="s">
        <v>7603</v>
      </c>
      <c r="D2911" s="16" t="s">
        <v>7597</v>
      </c>
      <c r="E2911" s="16" t="s">
        <v>182</v>
      </c>
      <c r="F2911" s="16" t="s">
        <v>183</v>
      </c>
      <c r="G2911" s="16" t="s">
        <v>8293</v>
      </c>
      <c r="H2911" s="16" t="s">
        <v>186</v>
      </c>
      <c r="I2911" s="16"/>
      <c r="J2911" s="16" t="s">
        <v>81</v>
      </c>
      <c r="K2911" s="16"/>
      <c r="L2911" s="16"/>
      <c r="M2911" s="19" t="s">
        <v>184</v>
      </c>
      <c r="N2911" s="16"/>
      <c r="O2911" s="16" t="s">
        <v>185</v>
      </c>
      <c r="P2911" s="16" t="str">
        <f>HYPERLINK("https://ceds.ed.gov/cedselementdetails.aspx?termid=26358")</f>
        <v>https://ceds.ed.gov/cedselementdetails.aspx?termid=26358</v>
      </c>
      <c r="Q2911" s="16">
        <v>72018</v>
      </c>
    </row>
    <row r="2912" spans="1:17" ht="187.2" x14ac:dyDescent="0.3">
      <c r="A2912" s="16" t="s">
        <v>7724</v>
      </c>
      <c r="B2912" s="16" t="s">
        <v>7730</v>
      </c>
      <c r="C2912" s="16" t="s">
        <v>7603</v>
      </c>
      <c r="D2912" s="16" t="s">
        <v>7597</v>
      </c>
      <c r="E2912" s="16" t="s">
        <v>177</v>
      </c>
      <c r="F2912" s="16" t="s">
        <v>178</v>
      </c>
      <c r="G2912" s="16" t="s">
        <v>32</v>
      </c>
      <c r="H2912" s="16" t="s">
        <v>163</v>
      </c>
      <c r="I2912" s="16"/>
      <c r="J2912" s="16" t="s">
        <v>179</v>
      </c>
      <c r="K2912" s="16"/>
      <c r="L2912" s="16"/>
      <c r="M2912" s="19" t="s">
        <v>180</v>
      </c>
      <c r="N2912" s="16"/>
      <c r="O2912" s="16" t="s">
        <v>181</v>
      </c>
      <c r="P2912" s="16" t="str">
        <f>HYPERLINK("https://ceds.ed.gov/cedselementdetails.aspx?termid=26269")</f>
        <v>https://ceds.ed.gov/cedselementdetails.aspx?termid=26269</v>
      </c>
      <c r="Q2912" s="16">
        <v>70787</v>
      </c>
    </row>
    <row r="2913" spans="1:17" ht="187.2" x14ac:dyDescent="0.3">
      <c r="A2913" s="16" t="s">
        <v>7724</v>
      </c>
      <c r="B2913" s="16" t="s">
        <v>7730</v>
      </c>
      <c r="C2913" s="16" t="s">
        <v>7603</v>
      </c>
      <c r="D2913" s="16" t="s">
        <v>7597</v>
      </c>
      <c r="E2913" s="16" t="s">
        <v>158</v>
      </c>
      <c r="F2913" s="16" t="s">
        <v>159</v>
      </c>
      <c r="G2913" s="16" t="s">
        <v>32</v>
      </c>
      <c r="H2913" s="16" t="s">
        <v>163</v>
      </c>
      <c r="I2913" s="16"/>
      <c r="J2913" s="16" t="s">
        <v>145</v>
      </c>
      <c r="K2913" s="16"/>
      <c r="L2913" s="16"/>
      <c r="M2913" s="19" t="s">
        <v>161</v>
      </c>
      <c r="N2913" s="16"/>
      <c r="O2913" s="16" t="s">
        <v>162</v>
      </c>
      <c r="P2913" s="16" t="str">
        <f>HYPERLINK("https://ceds.ed.gov/cedselementdetails.aspx?termid=26019")</f>
        <v>https://ceds.ed.gov/cedselementdetails.aspx?termid=26019</v>
      </c>
      <c r="Q2913" s="16">
        <v>70729</v>
      </c>
    </row>
    <row r="2914" spans="1:17" ht="187.2" x14ac:dyDescent="0.3">
      <c r="A2914" s="16" t="s">
        <v>7724</v>
      </c>
      <c r="B2914" s="16" t="s">
        <v>7730</v>
      </c>
      <c r="C2914" s="16" t="s">
        <v>7603</v>
      </c>
      <c r="D2914" s="16" t="s">
        <v>7597</v>
      </c>
      <c r="E2914" s="16" t="s">
        <v>164</v>
      </c>
      <c r="F2914" s="16" t="s">
        <v>165</v>
      </c>
      <c r="G2914" s="16" t="s">
        <v>32</v>
      </c>
      <c r="H2914" s="16" t="s">
        <v>163</v>
      </c>
      <c r="I2914" s="16"/>
      <c r="J2914" s="16" t="s">
        <v>81</v>
      </c>
      <c r="K2914" s="16"/>
      <c r="L2914" s="16"/>
      <c r="M2914" s="19" t="s">
        <v>166</v>
      </c>
      <c r="N2914" s="16"/>
      <c r="O2914" s="16" t="s">
        <v>167</v>
      </c>
      <c r="P2914" s="16" t="str">
        <f>HYPERLINK("https://ceds.ed.gov/cedselementdetails.aspx?termid=26040")</f>
        <v>https://ceds.ed.gov/cedselementdetails.aspx?termid=26040</v>
      </c>
      <c r="Q2914" s="16">
        <v>70732</v>
      </c>
    </row>
    <row r="2915" spans="1:17" ht="409.6" x14ac:dyDescent="0.3">
      <c r="A2915" s="16" t="s">
        <v>7724</v>
      </c>
      <c r="B2915" s="16" t="s">
        <v>7730</v>
      </c>
      <c r="C2915" s="16" t="s">
        <v>7603</v>
      </c>
      <c r="D2915" s="16" t="s">
        <v>7597</v>
      </c>
      <c r="E2915" s="16" t="s">
        <v>6840</v>
      </c>
      <c r="F2915" s="16" t="s">
        <v>6841</v>
      </c>
      <c r="G2915" s="16" t="s">
        <v>8266</v>
      </c>
      <c r="H2915" s="16" t="s">
        <v>6844</v>
      </c>
      <c r="I2915" s="16"/>
      <c r="J2915" s="16"/>
      <c r="K2915" s="16"/>
      <c r="L2915" s="16"/>
      <c r="M2915" s="19" t="s">
        <v>6842</v>
      </c>
      <c r="N2915" s="16"/>
      <c r="O2915" s="16" t="s">
        <v>6843</v>
      </c>
      <c r="P2915" s="16" t="str">
        <f>HYPERLINK("https://ceds.ed.gov/cedselementdetails.aspx?termid=26267")</f>
        <v>https://ceds.ed.gov/cedselementdetails.aspx?termid=26267</v>
      </c>
      <c r="Q2915" s="16">
        <v>70785</v>
      </c>
    </row>
    <row r="2916" spans="1:17" ht="187.2" x14ac:dyDescent="0.3">
      <c r="A2916" s="16" t="s">
        <v>7724</v>
      </c>
      <c r="B2916" s="16" t="s">
        <v>7730</v>
      </c>
      <c r="C2916" s="16" t="s">
        <v>7603</v>
      </c>
      <c r="D2916" s="16" t="s">
        <v>7597</v>
      </c>
      <c r="E2916" s="16" t="s">
        <v>172</v>
      </c>
      <c r="F2916" s="16" t="s">
        <v>173</v>
      </c>
      <c r="G2916" s="16" t="s">
        <v>32</v>
      </c>
      <c r="H2916" s="16" t="s">
        <v>163</v>
      </c>
      <c r="I2916" s="16"/>
      <c r="J2916" s="16" t="s">
        <v>174</v>
      </c>
      <c r="K2916" s="16"/>
      <c r="L2916" s="16"/>
      <c r="M2916" s="19" t="s">
        <v>175</v>
      </c>
      <c r="N2916" s="16"/>
      <c r="O2916" s="16" t="s">
        <v>176</v>
      </c>
      <c r="P2916" s="16" t="str">
        <f>HYPERLINK("https://ceds.ed.gov/cedselementdetails.aspx?termid=26214")</f>
        <v>https://ceds.ed.gov/cedselementdetails.aspx?termid=26214</v>
      </c>
      <c r="Q2916" s="16">
        <v>70777</v>
      </c>
    </row>
    <row r="2917" spans="1:17" ht="187.2" x14ac:dyDescent="0.3">
      <c r="A2917" s="16" t="s">
        <v>7724</v>
      </c>
      <c r="B2917" s="16" t="s">
        <v>7730</v>
      </c>
      <c r="C2917" s="16" t="s">
        <v>7603</v>
      </c>
      <c r="D2917" s="16" t="s">
        <v>7597</v>
      </c>
      <c r="E2917" s="16" t="s">
        <v>168</v>
      </c>
      <c r="F2917" s="16" t="s">
        <v>169</v>
      </c>
      <c r="G2917" s="16" t="s">
        <v>32</v>
      </c>
      <c r="H2917" s="16" t="s">
        <v>163</v>
      </c>
      <c r="I2917" s="16"/>
      <c r="J2917" s="16" t="s">
        <v>81</v>
      </c>
      <c r="K2917" s="16"/>
      <c r="L2917" s="16"/>
      <c r="M2917" s="19" t="s">
        <v>170</v>
      </c>
      <c r="N2917" s="16"/>
      <c r="O2917" s="16" t="s">
        <v>171</v>
      </c>
      <c r="P2917" s="16" t="str">
        <f>HYPERLINK("https://ceds.ed.gov/cedselementdetails.aspx?termid=26190")</f>
        <v>https://ceds.ed.gov/cedselementdetails.aspx?termid=26190</v>
      </c>
      <c r="Q2917" s="16">
        <v>70770</v>
      </c>
    </row>
    <row r="2918" spans="1:17" ht="409.6" x14ac:dyDescent="0.3">
      <c r="A2918" s="16" t="s">
        <v>7724</v>
      </c>
      <c r="B2918" s="16" t="s">
        <v>7730</v>
      </c>
      <c r="C2918" s="16" t="s">
        <v>7603</v>
      </c>
      <c r="D2918" s="16" t="s">
        <v>7597</v>
      </c>
      <c r="E2918" s="16" t="s">
        <v>2483</v>
      </c>
      <c r="F2918" s="16" t="s">
        <v>2484</v>
      </c>
      <c r="G2918" s="16" t="s">
        <v>8454</v>
      </c>
      <c r="H2918" s="16" t="s">
        <v>2487</v>
      </c>
      <c r="I2918" s="16"/>
      <c r="J2918" s="16"/>
      <c r="K2918" s="16"/>
      <c r="L2918" s="16" t="s">
        <v>7915</v>
      </c>
      <c r="M2918" s="19" t="s">
        <v>2485</v>
      </c>
      <c r="N2918" s="16"/>
      <c r="O2918" s="16" t="s">
        <v>2486</v>
      </c>
      <c r="P2918" s="16" t="str">
        <f>HYPERLINK("https://ceds.ed.gov/cedselementdetails.aspx?termid=26050")</f>
        <v>https://ceds.ed.gov/cedselementdetails.aspx?termid=26050</v>
      </c>
      <c r="Q2918" s="16">
        <v>70737</v>
      </c>
    </row>
    <row r="2919" spans="1:17" ht="409.6" x14ac:dyDescent="0.3">
      <c r="A2919" s="16" t="s">
        <v>7724</v>
      </c>
      <c r="B2919" s="16" t="s">
        <v>7730</v>
      </c>
      <c r="C2919" s="16" t="s">
        <v>7603</v>
      </c>
      <c r="D2919" s="16" t="s">
        <v>7597</v>
      </c>
      <c r="E2919" s="16" t="s">
        <v>6890</v>
      </c>
      <c r="F2919" s="16" t="s">
        <v>6891</v>
      </c>
      <c r="G2919" s="16" t="s">
        <v>8270</v>
      </c>
      <c r="H2919" s="16" t="s">
        <v>186</v>
      </c>
      <c r="I2919" s="16"/>
      <c r="J2919" s="16"/>
      <c r="K2919" s="16"/>
      <c r="L2919" s="16"/>
      <c r="M2919" s="19" t="s">
        <v>6893</v>
      </c>
      <c r="N2919" s="16"/>
      <c r="O2919" s="16" t="s">
        <v>6894</v>
      </c>
      <c r="P2919" s="16" t="str">
        <f>HYPERLINK("https://ceds.ed.gov/cedselementdetails.aspx?termid=26268")</f>
        <v>https://ceds.ed.gov/cedselementdetails.aspx?termid=26268</v>
      </c>
      <c r="Q2919" s="16">
        <v>70786</v>
      </c>
    </row>
    <row r="2920" spans="1:17" ht="57.6" x14ac:dyDescent="0.3">
      <c r="A2920" s="16" t="s">
        <v>7724</v>
      </c>
      <c r="B2920" s="16" t="s">
        <v>7730</v>
      </c>
      <c r="C2920" s="16" t="s">
        <v>7603</v>
      </c>
      <c r="D2920" s="16" t="s">
        <v>7597</v>
      </c>
      <c r="E2920" s="16" t="s">
        <v>4902</v>
      </c>
      <c r="F2920" s="16" t="s">
        <v>4903</v>
      </c>
      <c r="G2920" s="16" t="s">
        <v>32</v>
      </c>
      <c r="H2920" s="16"/>
      <c r="I2920" s="16"/>
      <c r="J2920" s="16" t="s">
        <v>1130</v>
      </c>
      <c r="K2920" s="16"/>
      <c r="L2920" s="16"/>
      <c r="M2920" s="19" t="s">
        <v>4904</v>
      </c>
      <c r="N2920" s="16"/>
      <c r="O2920" s="16" t="s">
        <v>4902</v>
      </c>
      <c r="P2920" s="16" t="str">
        <f>HYPERLINK("https://ceds.ed.gov/cedselementdetails.aspx?termid=26599")</f>
        <v>https://ceds.ed.gov/cedselementdetails.aspx?termid=26599</v>
      </c>
      <c r="Q2920" s="16">
        <v>74263</v>
      </c>
    </row>
    <row r="2921" spans="1:17" ht="57.6" x14ac:dyDescent="0.3">
      <c r="A2921" s="16" t="s">
        <v>7724</v>
      </c>
      <c r="B2921" s="16" t="s">
        <v>7730</v>
      </c>
      <c r="C2921" s="16" t="s">
        <v>7603</v>
      </c>
      <c r="D2921" s="16" t="s">
        <v>7597</v>
      </c>
      <c r="E2921" s="16" t="s">
        <v>5285</v>
      </c>
      <c r="F2921" s="16" t="s">
        <v>5286</v>
      </c>
      <c r="G2921" s="16" t="s">
        <v>32</v>
      </c>
      <c r="H2921" s="16"/>
      <c r="I2921" s="16"/>
      <c r="J2921" s="16" t="s">
        <v>1130</v>
      </c>
      <c r="K2921" s="16"/>
      <c r="L2921" s="16"/>
      <c r="M2921" s="19" t="s">
        <v>5287</v>
      </c>
      <c r="N2921" s="16"/>
      <c r="O2921" s="16" t="s">
        <v>5285</v>
      </c>
      <c r="P2921" s="16" t="str">
        <f>HYPERLINK("https://ceds.ed.gov/cedselementdetails.aspx?termid=26600")</f>
        <v>https://ceds.ed.gov/cedselementdetails.aspx?termid=26600</v>
      </c>
      <c r="Q2921" s="16">
        <v>74286</v>
      </c>
    </row>
    <row r="2922" spans="1:17" ht="158.4" x14ac:dyDescent="0.3">
      <c r="A2922" s="16" t="s">
        <v>7724</v>
      </c>
      <c r="B2922" s="16" t="s">
        <v>7730</v>
      </c>
      <c r="C2922" s="16" t="s">
        <v>7603</v>
      </c>
      <c r="D2922" s="16" t="s">
        <v>7597</v>
      </c>
      <c r="E2922" s="16" t="s">
        <v>2493</v>
      </c>
      <c r="F2922" s="16" t="s">
        <v>2494</v>
      </c>
      <c r="G2922" s="16" t="s">
        <v>32</v>
      </c>
      <c r="H2922" s="16"/>
      <c r="I2922" s="16"/>
      <c r="J2922" s="16" t="s">
        <v>2495</v>
      </c>
      <c r="K2922" s="16"/>
      <c r="L2922" s="16"/>
      <c r="M2922" s="19" t="s">
        <v>2496</v>
      </c>
      <c r="N2922" s="16"/>
      <c r="O2922" s="16" t="s">
        <v>2497</v>
      </c>
      <c r="P2922" s="16" t="str">
        <f>HYPERLINK("https://ceds.ed.gov/cedselementdetails.aspx?termid=27176")</f>
        <v>https://ceds.ed.gov/cedselementdetails.aspx?termid=27176</v>
      </c>
      <c r="Q2922" s="16">
        <v>75426</v>
      </c>
    </row>
    <row r="2923" spans="1:17" ht="57.6" x14ac:dyDescent="0.3">
      <c r="A2923" s="16" t="s">
        <v>7724</v>
      </c>
      <c r="B2923" s="16" t="s">
        <v>7730</v>
      </c>
      <c r="C2923" s="16" t="s">
        <v>7603</v>
      </c>
      <c r="D2923" s="16" t="s">
        <v>7597</v>
      </c>
      <c r="E2923" s="16" t="s">
        <v>3175</v>
      </c>
      <c r="F2923" s="16" t="s">
        <v>3176</v>
      </c>
      <c r="G2923" s="16" t="s">
        <v>2987</v>
      </c>
      <c r="H2923" s="16"/>
      <c r="I2923" s="16"/>
      <c r="J2923" s="16"/>
      <c r="K2923" s="16"/>
      <c r="L2923" s="16"/>
      <c r="M2923" s="19" t="s">
        <v>3177</v>
      </c>
      <c r="N2923" s="16"/>
      <c r="O2923" s="16" t="s">
        <v>3178</v>
      </c>
      <c r="P2923" s="16" t="str">
        <f>HYPERLINK("https://ceds.ed.gov/cedselementdetails.aspx?termid=27905")</f>
        <v>https://ceds.ed.gov/cedselementdetails.aspx?termid=27905</v>
      </c>
      <c r="Q2923" s="16">
        <v>75427</v>
      </c>
    </row>
    <row r="2924" spans="1:17" ht="57.6" x14ac:dyDescent="0.3">
      <c r="A2924" s="16" t="s">
        <v>7724</v>
      </c>
      <c r="B2924" s="16" t="s">
        <v>7730</v>
      </c>
      <c r="C2924" s="16" t="s">
        <v>7603</v>
      </c>
      <c r="D2924" s="16" t="s">
        <v>7597</v>
      </c>
      <c r="E2924" s="16" t="s">
        <v>6273</v>
      </c>
      <c r="F2924" s="16" t="s">
        <v>6274</v>
      </c>
      <c r="G2924" s="16" t="s">
        <v>32</v>
      </c>
      <c r="H2924" s="16"/>
      <c r="I2924" s="16"/>
      <c r="J2924" s="16" t="s">
        <v>812</v>
      </c>
      <c r="K2924" s="16"/>
      <c r="L2924" s="16" t="s">
        <v>6275</v>
      </c>
      <c r="M2924" s="19" t="s">
        <v>6276</v>
      </c>
      <c r="N2924" s="16"/>
      <c r="O2924" s="16" t="s">
        <v>6277</v>
      </c>
      <c r="P2924" s="16" t="str">
        <f>HYPERLINK("https://ceds.ed.gov/cedselementdetails.aspx?termid=27899")</f>
        <v>https://ceds.ed.gov/cedselementdetails.aspx?termid=27899</v>
      </c>
      <c r="Q2924" s="16">
        <v>75648</v>
      </c>
    </row>
    <row r="2925" spans="1:17" ht="43.2" x14ac:dyDescent="0.3">
      <c r="A2925" s="16" t="s">
        <v>7724</v>
      </c>
      <c r="B2925" s="16" t="s">
        <v>7730</v>
      </c>
      <c r="C2925" s="16" t="s">
        <v>7603</v>
      </c>
      <c r="D2925" s="16" t="s">
        <v>7597</v>
      </c>
      <c r="E2925" s="16" t="s">
        <v>6278</v>
      </c>
      <c r="F2925" s="16" t="s">
        <v>6279</v>
      </c>
      <c r="G2925" s="16" t="s">
        <v>32</v>
      </c>
      <c r="H2925" s="16"/>
      <c r="I2925" s="16"/>
      <c r="J2925" s="16" t="s">
        <v>812</v>
      </c>
      <c r="K2925" s="16"/>
      <c r="L2925" s="16" t="s">
        <v>6280</v>
      </c>
      <c r="M2925" s="19" t="s">
        <v>6281</v>
      </c>
      <c r="N2925" s="16"/>
      <c r="O2925" s="16" t="s">
        <v>6282</v>
      </c>
      <c r="P2925" s="16" t="str">
        <f>HYPERLINK("https://ceds.ed.gov/cedselementdetails.aspx?termid=27898")</f>
        <v>https://ceds.ed.gov/cedselementdetails.aspx?termid=27898</v>
      </c>
      <c r="Q2925" s="16">
        <v>75649</v>
      </c>
    </row>
    <row r="2926" spans="1:17" ht="216" x14ac:dyDescent="0.3">
      <c r="A2926" s="16" t="s">
        <v>7724</v>
      </c>
      <c r="B2926" s="16" t="s">
        <v>7730</v>
      </c>
      <c r="C2926" s="16" t="s">
        <v>7603</v>
      </c>
      <c r="D2926" s="16" t="s">
        <v>7597</v>
      </c>
      <c r="E2926" s="16" t="s">
        <v>12811</v>
      </c>
      <c r="F2926" s="16" t="s">
        <v>12812</v>
      </c>
      <c r="G2926" s="16" t="s">
        <v>12913</v>
      </c>
      <c r="H2926" s="16"/>
      <c r="I2926" s="16" t="s">
        <v>155</v>
      </c>
      <c r="J2926" s="16" t="s">
        <v>12813</v>
      </c>
      <c r="K2926" s="16" t="s">
        <v>12636</v>
      </c>
      <c r="L2926" s="16" t="s">
        <v>12814</v>
      </c>
      <c r="M2926" s="19" t="s">
        <v>12815</v>
      </c>
      <c r="N2926" s="16"/>
      <c r="O2926" s="16" t="s">
        <v>12816</v>
      </c>
      <c r="P2926" s="16" t="str">
        <f>HYPERLINK("https://ceds.ed.gov/cedselementdetails.aspx?termid=28111")</f>
        <v>https://ceds.ed.gov/cedselementdetails.aspx?termid=28111</v>
      </c>
      <c r="Q2926" s="16">
        <v>76592</v>
      </c>
    </row>
    <row r="2927" spans="1:17" ht="72" x14ac:dyDescent="0.3">
      <c r="A2927" s="16" t="s">
        <v>7724</v>
      </c>
      <c r="B2927" s="16" t="s">
        <v>7730</v>
      </c>
      <c r="C2927" s="16" t="s">
        <v>7604</v>
      </c>
      <c r="D2927" s="16" t="s">
        <v>7597</v>
      </c>
      <c r="E2927" s="16" t="s">
        <v>7053</v>
      </c>
      <c r="F2927" s="16" t="s">
        <v>7054</v>
      </c>
      <c r="G2927" s="16" t="s">
        <v>32</v>
      </c>
      <c r="H2927" s="16" t="s">
        <v>64</v>
      </c>
      <c r="I2927" s="16"/>
      <c r="J2927" s="16" t="s">
        <v>7055</v>
      </c>
      <c r="K2927" s="16"/>
      <c r="L2927" s="16"/>
      <c r="M2927" s="19" t="s">
        <v>7056</v>
      </c>
      <c r="N2927" s="16"/>
      <c r="O2927" s="16" t="s">
        <v>7057</v>
      </c>
      <c r="P2927" s="16" t="str">
        <f>HYPERLINK("https://ceds.ed.gov/cedselementdetails.aspx?termid=26279")</f>
        <v>https://ceds.ed.gov/cedselementdetails.aspx?termid=26279</v>
      </c>
      <c r="Q2927" s="16">
        <v>70789</v>
      </c>
    </row>
    <row r="2928" spans="1:17" ht="86.4" x14ac:dyDescent="0.3">
      <c r="A2928" s="16" t="s">
        <v>7724</v>
      </c>
      <c r="B2928" s="16" t="s">
        <v>7730</v>
      </c>
      <c r="C2928" s="16" t="s">
        <v>7604</v>
      </c>
      <c r="D2928" s="16" t="s">
        <v>7597</v>
      </c>
      <c r="E2928" s="16" t="s">
        <v>7062</v>
      </c>
      <c r="F2928" s="16" t="s">
        <v>7063</v>
      </c>
      <c r="G2928" s="16" t="s">
        <v>8849</v>
      </c>
      <c r="H2928" s="16" t="s">
        <v>64</v>
      </c>
      <c r="I2928" s="16"/>
      <c r="J2928" s="16" t="s">
        <v>2500</v>
      </c>
      <c r="K2928" s="16"/>
      <c r="L2928" s="16"/>
      <c r="M2928" s="19" t="s">
        <v>7064</v>
      </c>
      <c r="N2928" s="16"/>
      <c r="O2928" s="16" t="s">
        <v>7065</v>
      </c>
      <c r="P2928" s="16" t="str">
        <f>HYPERLINK("https://ceds.ed.gov/cedselementdetails.aspx?termid=26280")</f>
        <v>https://ceds.ed.gov/cedselementdetails.aspx?termid=26280</v>
      </c>
      <c r="Q2928" s="16">
        <v>70790</v>
      </c>
    </row>
    <row r="2929" spans="1:17" ht="72" x14ac:dyDescent="0.3">
      <c r="A2929" s="16" t="s">
        <v>7724</v>
      </c>
      <c r="B2929" s="16" t="s">
        <v>7730</v>
      </c>
      <c r="C2929" s="16" t="s">
        <v>7604</v>
      </c>
      <c r="D2929" s="16" t="s">
        <v>7597</v>
      </c>
      <c r="E2929" s="16" t="s">
        <v>5865</v>
      </c>
      <c r="F2929" s="16" t="s">
        <v>5866</v>
      </c>
      <c r="G2929" s="16" t="s">
        <v>22</v>
      </c>
      <c r="H2929" s="16" t="s">
        <v>64</v>
      </c>
      <c r="I2929" s="16"/>
      <c r="J2929" s="16"/>
      <c r="K2929" s="16"/>
      <c r="L2929" s="16"/>
      <c r="M2929" s="19" t="s">
        <v>5867</v>
      </c>
      <c r="N2929" s="16"/>
      <c r="O2929" s="16" t="s">
        <v>5868</v>
      </c>
      <c r="P2929" s="16" t="str">
        <f>HYPERLINK("https://ceds.ed.gov/cedselementdetails.aspx?termid=26219")</f>
        <v>https://ceds.ed.gov/cedselementdetails.aspx?termid=26219</v>
      </c>
      <c r="Q2929" s="16">
        <v>70778</v>
      </c>
    </row>
    <row r="2930" spans="1:17" ht="57.6" x14ac:dyDescent="0.3">
      <c r="A2930" s="16" t="s">
        <v>7724</v>
      </c>
      <c r="B2930" s="16" t="s">
        <v>7730</v>
      </c>
      <c r="C2930" s="16" t="s">
        <v>7604</v>
      </c>
      <c r="D2930" s="16" t="s">
        <v>7597</v>
      </c>
      <c r="E2930" s="16" t="s">
        <v>3175</v>
      </c>
      <c r="F2930" s="16" t="s">
        <v>3176</v>
      </c>
      <c r="G2930" s="16" t="s">
        <v>2987</v>
      </c>
      <c r="H2930" s="16"/>
      <c r="I2930" s="16"/>
      <c r="J2930" s="16"/>
      <c r="K2930" s="16"/>
      <c r="L2930" s="16"/>
      <c r="M2930" s="19" t="s">
        <v>3177</v>
      </c>
      <c r="N2930" s="16"/>
      <c r="O2930" s="16" t="s">
        <v>3178</v>
      </c>
      <c r="P2930" s="16" t="str">
        <f>HYPERLINK("https://ceds.ed.gov/cedselementdetails.aspx?termid=27905")</f>
        <v>https://ceds.ed.gov/cedselementdetails.aspx?termid=27905</v>
      </c>
      <c r="Q2930" s="16">
        <v>75429</v>
      </c>
    </row>
    <row r="2931" spans="1:17" ht="57.6" x14ac:dyDescent="0.3">
      <c r="A2931" s="16" t="s">
        <v>7724</v>
      </c>
      <c r="B2931" s="16" t="s">
        <v>7730</v>
      </c>
      <c r="C2931" s="16" t="s">
        <v>7604</v>
      </c>
      <c r="D2931" s="16" t="s">
        <v>7597</v>
      </c>
      <c r="E2931" s="16" t="s">
        <v>7058</v>
      </c>
      <c r="F2931" s="16" t="s">
        <v>7059</v>
      </c>
      <c r="G2931" s="16" t="s">
        <v>8848</v>
      </c>
      <c r="H2931" s="16"/>
      <c r="I2931" s="16"/>
      <c r="J2931" s="16"/>
      <c r="K2931" s="16"/>
      <c r="L2931" s="16"/>
      <c r="M2931" s="19" t="s">
        <v>7060</v>
      </c>
      <c r="N2931" s="16"/>
      <c r="O2931" s="16" t="s">
        <v>7061</v>
      </c>
      <c r="P2931" s="16" t="str">
        <f>HYPERLINK("https://ceds.ed.gov/cedselementdetails.aspx?termid=27911")</f>
        <v>https://ceds.ed.gov/cedselementdetails.aspx?termid=27911</v>
      </c>
      <c r="Q2931" s="16">
        <v>75430</v>
      </c>
    </row>
    <row r="2932" spans="1:17" ht="72" x14ac:dyDescent="0.3">
      <c r="A2932" s="16" t="s">
        <v>7724</v>
      </c>
      <c r="B2932" s="16" t="s">
        <v>7730</v>
      </c>
      <c r="C2932" s="16" t="s">
        <v>7605</v>
      </c>
      <c r="D2932" s="16" t="s">
        <v>7597</v>
      </c>
      <c r="E2932" s="16" t="s">
        <v>3406</v>
      </c>
      <c r="F2932" s="16" t="s">
        <v>3407</v>
      </c>
      <c r="G2932" s="16" t="s">
        <v>32</v>
      </c>
      <c r="H2932" s="16" t="s">
        <v>64</v>
      </c>
      <c r="I2932" s="16"/>
      <c r="J2932" s="16" t="s">
        <v>3408</v>
      </c>
      <c r="K2932" s="16"/>
      <c r="L2932" s="16"/>
      <c r="M2932" s="19" t="s">
        <v>3409</v>
      </c>
      <c r="N2932" s="16" t="s">
        <v>3410</v>
      </c>
      <c r="O2932" s="16" t="s">
        <v>3411</v>
      </c>
      <c r="P2932" s="16" t="str">
        <f>HYPERLINK("https://ceds.ed.gov/cedselementdetails.aspx?termid=26088")</f>
        <v>https://ceds.ed.gov/cedselementdetails.aspx?termid=26088</v>
      </c>
      <c r="Q2932" s="16">
        <v>72020</v>
      </c>
    </row>
    <row r="2933" spans="1:17" ht="72" x14ac:dyDescent="0.3">
      <c r="A2933" s="16" t="s">
        <v>7724</v>
      </c>
      <c r="B2933" s="16" t="s">
        <v>7730</v>
      </c>
      <c r="C2933" s="16" t="s">
        <v>7605</v>
      </c>
      <c r="D2933" s="16" t="s">
        <v>7597</v>
      </c>
      <c r="E2933" s="16" t="s">
        <v>3412</v>
      </c>
      <c r="F2933" s="16" t="s">
        <v>3413</v>
      </c>
      <c r="G2933" s="16" t="s">
        <v>9330</v>
      </c>
      <c r="H2933" s="16" t="s">
        <v>64</v>
      </c>
      <c r="I2933" s="16"/>
      <c r="J2933" s="16"/>
      <c r="K2933" s="16"/>
      <c r="L2933" s="16"/>
      <c r="M2933" s="19" t="s">
        <v>3414</v>
      </c>
      <c r="N2933" s="16" t="s">
        <v>3415</v>
      </c>
      <c r="O2933" s="16" t="s">
        <v>3416</v>
      </c>
      <c r="P2933" s="16" t="str">
        <f>HYPERLINK("https://ceds.ed.gov/cedselementdetails.aspx?termid=26089")</f>
        <v>https://ceds.ed.gov/cedselementdetails.aspx?termid=26089</v>
      </c>
      <c r="Q2933" s="16">
        <v>72019</v>
      </c>
    </row>
    <row r="2934" spans="1:17" ht="57.6" x14ac:dyDescent="0.3">
      <c r="A2934" s="16" t="s">
        <v>7724</v>
      </c>
      <c r="B2934" s="16" t="s">
        <v>7730</v>
      </c>
      <c r="C2934" s="16" t="s">
        <v>7605</v>
      </c>
      <c r="D2934" s="16" t="s">
        <v>7597</v>
      </c>
      <c r="E2934" s="16" t="s">
        <v>3175</v>
      </c>
      <c r="F2934" s="16" t="s">
        <v>3176</v>
      </c>
      <c r="G2934" s="16" t="s">
        <v>2987</v>
      </c>
      <c r="H2934" s="16"/>
      <c r="I2934" s="16"/>
      <c r="J2934" s="16"/>
      <c r="K2934" s="16"/>
      <c r="L2934" s="16"/>
      <c r="M2934" s="19" t="s">
        <v>3177</v>
      </c>
      <c r="N2934" s="16"/>
      <c r="O2934" s="16" t="s">
        <v>3178</v>
      </c>
      <c r="P2934" s="16" t="str">
        <f>HYPERLINK("https://ceds.ed.gov/cedselementdetails.aspx?termid=27905")</f>
        <v>https://ceds.ed.gov/cedselementdetails.aspx?termid=27905</v>
      </c>
      <c r="Q2934" s="16">
        <v>75428</v>
      </c>
    </row>
    <row r="2935" spans="1:17" ht="201.6" x14ac:dyDescent="0.3">
      <c r="A2935" s="16" t="s">
        <v>7724</v>
      </c>
      <c r="B2935" s="16" t="s">
        <v>7730</v>
      </c>
      <c r="C2935" s="16" t="s">
        <v>7628</v>
      </c>
      <c r="D2935" s="16" t="s">
        <v>7597</v>
      </c>
      <c r="E2935" s="16" t="s">
        <v>1507</v>
      </c>
      <c r="F2935" s="16" t="s">
        <v>1508</v>
      </c>
      <c r="G2935" s="16" t="s">
        <v>32</v>
      </c>
      <c r="H2935" s="16" t="s">
        <v>1510</v>
      </c>
      <c r="I2935" s="16"/>
      <c r="J2935" s="16" t="s">
        <v>106</v>
      </c>
      <c r="K2935" s="16"/>
      <c r="L2935" s="16"/>
      <c r="M2935" s="19" t="s">
        <v>1509</v>
      </c>
      <c r="N2935" s="16"/>
      <c r="O2935" s="16" t="s">
        <v>1507</v>
      </c>
      <c r="P2935" s="16" t="str">
        <f>HYPERLINK("https://ceds.ed.gov/cedselementdetails.aspx?termid=26033")</f>
        <v>https://ceds.ed.gov/cedselementdetails.aspx?termid=26033</v>
      </c>
      <c r="Q2935" s="16">
        <v>70730</v>
      </c>
    </row>
    <row r="2936" spans="1:17" ht="216" x14ac:dyDescent="0.3">
      <c r="A2936" s="16" t="s">
        <v>7724</v>
      </c>
      <c r="B2936" s="16" t="s">
        <v>7730</v>
      </c>
      <c r="C2936" s="16" t="s">
        <v>7628</v>
      </c>
      <c r="D2936" s="16" t="s">
        <v>7597</v>
      </c>
      <c r="E2936" s="16" t="s">
        <v>6662</v>
      </c>
      <c r="F2936" s="16" t="s">
        <v>6663</v>
      </c>
      <c r="G2936" s="16" t="s">
        <v>8831</v>
      </c>
      <c r="H2936" s="16" t="s">
        <v>6666</v>
      </c>
      <c r="I2936" s="16"/>
      <c r="J2936" s="16"/>
      <c r="K2936" s="16"/>
      <c r="L2936" s="16" t="s">
        <v>6664</v>
      </c>
      <c r="M2936" s="19" t="s">
        <v>6665</v>
      </c>
      <c r="N2936" s="16"/>
      <c r="O2936" s="16" t="s">
        <v>6662</v>
      </c>
      <c r="P2936" s="16" t="str">
        <f>HYPERLINK("https://ceds.ed.gov/cedselementdetails.aspx?termid=26255")</f>
        <v>https://ceds.ed.gov/cedselementdetails.aspx?termid=26255</v>
      </c>
      <c r="Q2936" s="16">
        <v>70781</v>
      </c>
    </row>
    <row r="2937" spans="1:17" ht="201.6" x14ac:dyDescent="0.3">
      <c r="A2937" s="16" t="s">
        <v>7724</v>
      </c>
      <c r="B2937" s="16" t="s">
        <v>7730</v>
      </c>
      <c r="C2937" s="16" t="s">
        <v>7628</v>
      </c>
      <c r="D2937" s="16" t="s">
        <v>7597</v>
      </c>
      <c r="E2937" s="16" t="s">
        <v>348</v>
      </c>
      <c r="F2937" s="16" t="s">
        <v>349</v>
      </c>
      <c r="G2937" s="16" t="s">
        <v>8319</v>
      </c>
      <c r="H2937" s="16" t="s">
        <v>353</v>
      </c>
      <c r="I2937" s="16"/>
      <c r="J2937" s="16"/>
      <c r="K2937" s="16"/>
      <c r="L2937" s="16" t="s">
        <v>7828</v>
      </c>
      <c r="M2937" s="19" t="s">
        <v>350</v>
      </c>
      <c r="N2937" s="16" t="s">
        <v>351</v>
      </c>
      <c r="O2937" s="16" t="s">
        <v>352</v>
      </c>
      <c r="P2937" s="16" t="str">
        <f>HYPERLINK("https://ceds.ed.gov/cedselementdetails.aspx?termid=26655")</f>
        <v>https://ceds.ed.gov/cedselementdetails.aspx?termid=26655</v>
      </c>
      <c r="Q2937" s="16">
        <v>70798</v>
      </c>
    </row>
    <row r="2938" spans="1:17" ht="201.6" x14ac:dyDescent="0.3">
      <c r="A2938" s="16" t="s">
        <v>7724</v>
      </c>
      <c r="B2938" s="16" t="s">
        <v>7730</v>
      </c>
      <c r="C2938" s="16" t="s">
        <v>7628</v>
      </c>
      <c r="D2938" s="16" t="s">
        <v>7597</v>
      </c>
      <c r="E2938" s="16" t="s">
        <v>373</v>
      </c>
      <c r="F2938" s="16" t="s">
        <v>374</v>
      </c>
      <c r="G2938" s="16" t="s">
        <v>8319</v>
      </c>
      <c r="H2938" s="16" t="s">
        <v>353</v>
      </c>
      <c r="I2938" s="16"/>
      <c r="J2938" s="16"/>
      <c r="K2938" s="16"/>
      <c r="L2938" s="16" t="s">
        <v>7828</v>
      </c>
      <c r="M2938" s="19" t="s">
        <v>375</v>
      </c>
      <c r="N2938" s="16" t="s">
        <v>376</v>
      </c>
      <c r="O2938" s="16" t="s">
        <v>373</v>
      </c>
      <c r="P2938" s="16" t="str">
        <f>HYPERLINK("https://ceds.ed.gov/cedselementdetails.aspx?termid=26656")</f>
        <v>https://ceds.ed.gov/cedselementdetails.aspx?termid=26656</v>
      </c>
      <c r="Q2938" s="16">
        <v>70799</v>
      </c>
    </row>
    <row r="2939" spans="1:17" ht="201.6" x14ac:dyDescent="0.3">
      <c r="A2939" s="16" t="s">
        <v>7724</v>
      </c>
      <c r="B2939" s="16" t="s">
        <v>7730</v>
      </c>
      <c r="C2939" s="16" t="s">
        <v>7628</v>
      </c>
      <c r="D2939" s="16" t="s">
        <v>7597</v>
      </c>
      <c r="E2939" s="16" t="s">
        <v>1517</v>
      </c>
      <c r="F2939" s="16" t="s">
        <v>1518</v>
      </c>
      <c r="G2939" s="16" t="s">
        <v>8319</v>
      </c>
      <c r="H2939" s="16" t="s">
        <v>353</v>
      </c>
      <c r="I2939" s="16"/>
      <c r="J2939" s="16"/>
      <c r="K2939" s="16"/>
      <c r="L2939" s="16" t="s">
        <v>7828</v>
      </c>
      <c r="M2939" s="19" t="s">
        <v>1519</v>
      </c>
      <c r="N2939" s="16" t="s">
        <v>1520</v>
      </c>
      <c r="O2939" s="16" t="s">
        <v>1521</v>
      </c>
      <c r="P2939" s="16" t="str">
        <f>HYPERLINK("https://ceds.ed.gov/cedselementdetails.aspx?termid=26657")</f>
        <v>https://ceds.ed.gov/cedselementdetails.aspx?termid=26657</v>
      </c>
      <c r="Q2939" s="16">
        <v>70800</v>
      </c>
    </row>
    <row r="2940" spans="1:17" ht="201.6" x14ac:dyDescent="0.3">
      <c r="A2940" s="16" t="s">
        <v>7724</v>
      </c>
      <c r="B2940" s="16" t="s">
        <v>7730</v>
      </c>
      <c r="C2940" s="16" t="s">
        <v>7628</v>
      </c>
      <c r="D2940" s="16" t="s">
        <v>7597</v>
      </c>
      <c r="E2940" s="16" t="s">
        <v>5454</v>
      </c>
      <c r="F2940" s="16" t="s">
        <v>5455</v>
      </c>
      <c r="G2940" s="16" t="s">
        <v>8319</v>
      </c>
      <c r="H2940" s="16" t="s">
        <v>353</v>
      </c>
      <c r="I2940" s="16"/>
      <c r="J2940" s="16"/>
      <c r="K2940" s="16"/>
      <c r="L2940" s="16" t="s">
        <v>7828</v>
      </c>
      <c r="M2940" s="19" t="s">
        <v>5456</v>
      </c>
      <c r="N2940" s="16" t="s">
        <v>5457</v>
      </c>
      <c r="O2940" s="16" t="s">
        <v>5458</v>
      </c>
      <c r="P2940" s="16" t="str">
        <f>HYPERLINK("https://ceds.ed.gov/cedselementdetails.aspx?termid=26658")</f>
        <v>https://ceds.ed.gov/cedselementdetails.aspx?termid=26658</v>
      </c>
      <c r="Q2940" s="16">
        <v>70801</v>
      </c>
    </row>
    <row r="2941" spans="1:17" ht="201.6" x14ac:dyDescent="0.3">
      <c r="A2941" s="16" t="s">
        <v>7724</v>
      </c>
      <c r="B2941" s="16" t="s">
        <v>7730</v>
      </c>
      <c r="C2941" s="16" t="s">
        <v>7628</v>
      </c>
      <c r="D2941" s="16" t="s">
        <v>7597</v>
      </c>
      <c r="E2941" s="16" t="s">
        <v>7282</v>
      </c>
      <c r="F2941" s="16" t="s">
        <v>7283</v>
      </c>
      <c r="G2941" s="16" t="s">
        <v>8319</v>
      </c>
      <c r="H2941" s="16" t="s">
        <v>353</v>
      </c>
      <c r="I2941" s="16"/>
      <c r="J2941" s="16"/>
      <c r="K2941" s="16"/>
      <c r="L2941" s="16" t="s">
        <v>7828</v>
      </c>
      <c r="M2941" s="19" t="s">
        <v>7284</v>
      </c>
      <c r="N2941" s="16" t="s">
        <v>7285</v>
      </c>
      <c r="O2941" s="16" t="s">
        <v>7282</v>
      </c>
      <c r="P2941" s="16" t="str">
        <f>HYPERLINK("https://ceds.ed.gov/cedselementdetails.aspx?termid=26659")</f>
        <v>https://ceds.ed.gov/cedselementdetails.aspx?termid=26659</v>
      </c>
      <c r="Q2941" s="16">
        <v>70802</v>
      </c>
    </row>
    <row r="2942" spans="1:17" ht="201.6" x14ac:dyDescent="0.3">
      <c r="A2942" s="16" t="s">
        <v>7724</v>
      </c>
      <c r="B2942" s="16" t="s">
        <v>7730</v>
      </c>
      <c r="C2942" s="16" t="s">
        <v>7628</v>
      </c>
      <c r="D2942" s="16" t="s">
        <v>7597</v>
      </c>
      <c r="E2942" s="16" t="s">
        <v>4283</v>
      </c>
      <c r="F2942" s="16" t="s">
        <v>4284</v>
      </c>
      <c r="G2942" s="16" t="s">
        <v>8319</v>
      </c>
      <c r="H2942" s="16" t="s">
        <v>353</v>
      </c>
      <c r="I2942" s="16"/>
      <c r="J2942" s="16"/>
      <c r="K2942" s="16"/>
      <c r="L2942" s="16" t="s">
        <v>7828</v>
      </c>
      <c r="M2942" s="19" t="s">
        <v>4285</v>
      </c>
      <c r="N2942" s="16"/>
      <c r="O2942" s="16" t="s">
        <v>4286</v>
      </c>
      <c r="P2942" s="16" t="str">
        <f>HYPERLINK("https://ceds.ed.gov/cedselementdetails.aspx?termid=26144")</f>
        <v>https://ceds.ed.gov/cedselementdetails.aspx?termid=26144</v>
      </c>
      <c r="Q2942" s="16">
        <v>70757</v>
      </c>
    </row>
    <row r="2943" spans="1:17" ht="57.6" x14ac:dyDescent="0.3">
      <c r="A2943" s="16" t="s">
        <v>7724</v>
      </c>
      <c r="B2943" s="16" t="s">
        <v>7730</v>
      </c>
      <c r="C2943" s="16" t="s">
        <v>7628</v>
      </c>
      <c r="D2943" s="16" t="s">
        <v>7597</v>
      </c>
      <c r="E2943" s="16" t="s">
        <v>3056</v>
      </c>
      <c r="F2943" s="16" t="s">
        <v>3057</v>
      </c>
      <c r="G2943" s="16" t="s">
        <v>8498</v>
      </c>
      <c r="H2943" s="16" t="s">
        <v>3060</v>
      </c>
      <c r="I2943" s="16"/>
      <c r="J2943" s="16"/>
      <c r="K2943" s="16"/>
      <c r="L2943" s="16"/>
      <c r="M2943" s="19" t="s">
        <v>3058</v>
      </c>
      <c r="N2943" s="16"/>
      <c r="O2943" s="16" t="s">
        <v>3059</v>
      </c>
      <c r="P2943" s="16" t="str">
        <f>HYPERLINK("https://ceds.ed.gov/cedselementdetails.aspx?termid=26079")</f>
        <v>https://ceds.ed.gov/cedselementdetails.aspx?termid=26079</v>
      </c>
      <c r="Q2943" s="16">
        <v>70740</v>
      </c>
    </row>
    <row r="2944" spans="1:17" ht="86.4" x14ac:dyDescent="0.3">
      <c r="A2944" s="16" t="s">
        <v>7724</v>
      </c>
      <c r="B2944" s="16" t="s">
        <v>7730</v>
      </c>
      <c r="C2944" s="16" t="s">
        <v>7628</v>
      </c>
      <c r="D2944" s="16" t="s">
        <v>7597</v>
      </c>
      <c r="E2944" s="16" t="s">
        <v>7222</v>
      </c>
      <c r="F2944" s="16" t="s">
        <v>7223</v>
      </c>
      <c r="G2944" s="16" t="s">
        <v>8277</v>
      </c>
      <c r="H2944" s="16" t="s">
        <v>7226</v>
      </c>
      <c r="I2944" s="16"/>
      <c r="J2944" s="16"/>
      <c r="K2944" s="16"/>
      <c r="L2944" s="16" t="s">
        <v>6664</v>
      </c>
      <c r="M2944" s="19" t="s">
        <v>7224</v>
      </c>
      <c r="N2944" s="16"/>
      <c r="O2944" s="16" t="s">
        <v>7225</v>
      </c>
      <c r="P2944" s="16" t="str">
        <f>HYPERLINK("https://ceds.ed.gov/cedselementdetails.aspx?termid=26299")</f>
        <v>https://ceds.ed.gov/cedselementdetails.aspx?termid=26299</v>
      </c>
      <c r="Q2944" s="16">
        <v>70794</v>
      </c>
    </row>
    <row r="2945" spans="1:17" ht="129.6" x14ac:dyDescent="0.3">
      <c r="A2945" s="16" t="s">
        <v>7724</v>
      </c>
      <c r="B2945" s="16" t="s">
        <v>7730</v>
      </c>
      <c r="C2945" s="16" t="s">
        <v>7628</v>
      </c>
      <c r="D2945" s="16" t="s">
        <v>7597</v>
      </c>
      <c r="E2945" s="16" t="s">
        <v>7233</v>
      </c>
      <c r="F2945" s="16" t="s">
        <v>7234</v>
      </c>
      <c r="G2945" s="16" t="s">
        <v>8862</v>
      </c>
      <c r="H2945" s="16" t="s">
        <v>230</v>
      </c>
      <c r="I2945" s="16"/>
      <c r="J2945" s="16"/>
      <c r="K2945" s="16"/>
      <c r="L2945" s="16"/>
      <c r="M2945" s="19" t="s">
        <v>7235</v>
      </c>
      <c r="N2945" s="16"/>
      <c r="O2945" s="16" t="s">
        <v>7236</v>
      </c>
      <c r="P2945" s="16" t="str">
        <f>HYPERLINK("https://ceds.ed.gov/cedselementdetails.aspx?termid=26196")</f>
        <v>https://ceds.ed.gov/cedselementdetails.aspx?termid=26196</v>
      </c>
      <c r="Q2945" s="16">
        <v>70772</v>
      </c>
    </row>
    <row r="2946" spans="1:17" ht="72" x14ac:dyDescent="0.3">
      <c r="A2946" s="16" t="s">
        <v>7724</v>
      </c>
      <c r="B2946" s="16" t="s">
        <v>7730</v>
      </c>
      <c r="C2946" s="16" t="s">
        <v>7628</v>
      </c>
      <c r="D2946" s="16" t="s">
        <v>7597</v>
      </c>
      <c r="E2946" s="16" t="s">
        <v>7202</v>
      </c>
      <c r="F2946" s="16" t="s">
        <v>7203</v>
      </c>
      <c r="G2946" s="16" t="s">
        <v>8859</v>
      </c>
      <c r="H2946" s="16" t="s">
        <v>230</v>
      </c>
      <c r="I2946" s="16"/>
      <c r="J2946" s="16"/>
      <c r="K2946" s="16"/>
      <c r="L2946" s="16"/>
      <c r="M2946" s="19" t="s">
        <v>7204</v>
      </c>
      <c r="N2946" s="16"/>
      <c r="O2946" s="16" t="s">
        <v>7205</v>
      </c>
      <c r="P2946" s="16" t="str">
        <f>HYPERLINK("https://ceds.ed.gov/cedselementdetails.aspx?termid=26297")</f>
        <v>https://ceds.ed.gov/cedselementdetails.aspx?termid=26297</v>
      </c>
      <c r="Q2946" s="16">
        <v>70793</v>
      </c>
    </row>
    <row r="2947" spans="1:17" ht="72" x14ac:dyDescent="0.3">
      <c r="A2947" s="16" t="s">
        <v>7724</v>
      </c>
      <c r="B2947" s="16" t="s">
        <v>7730</v>
      </c>
      <c r="C2947" s="16" t="s">
        <v>7628</v>
      </c>
      <c r="D2947" s="16" t="s">
        <v>7597</v>
      </c>
      <c r="E2947" s="16" t="s">
        <v>1835</v>
      </c>
      <c r="F2947" s="16" t="s">
        <v>1836</v>
      </c>
      <c r="G2947" s="16" t="s">
        <v>8422</v>
      </c>
      <c r="H2947" s="16" t="s">
        <v>230</v>
      </c>
      <c r="I2947" s="16"/>
      <c r="J2947" s="16"/>
      <c r="K2947" s="16"/>
      <c r="L2947" s="16"/>
      <c r="M2947" s="19" t="s">
        <v>1838</v>
      </c>
      <c r="N2947" s="16"/>
      <c r="O2947" s="16" t="s">
        <v>1839</v>
      </c>
      <c r="P2947" s="16" t="str">
        <f>HYPERLINK("https://ceds.ed.gov/cedselementdetails.aspx?termid=26035")</f>
        <v>https://ceds.ed.gov/cedselementdetails.aspx?termid=26035</v>
      </c>
      <c r="Q2947" s="16">
        <v>70731</v>
      </c>
    </row>
    <row r="2948" spans="1:17" ht="43.2" x14ac:dyDescent="0.3">
      <c r="A2948" s="16" t="s">
        <v>7724</v>
      </c>
      <c r="B2948" s="16" t="s">
        <v>7730</v>
      </c>
      <c r="C2948" s="16" t="s">
        <v>7628</v>
      </c>
      <c r="D2948" s="16" t="s">
        <v>7597</v>
      </c>
      <c r="E2948" s="16" t="s">
        <v>2077</v>
      </c>
      <c r="F2948" s="16" t="s">
        <v>7342</v>
      </c>
      <c r="G2948" s="16" t="s">
        <v>32</v>
      </c>
      <c r="H2948" s="16" t="s">
        <v>2080</v>
      </c>
      <c r="I2948" s="16"/>
      <c r="J2948" s="16" t="s">
        <v>1807</v>
      </c>
      <c r="K2948" s="16"/>
      <c r="L2948" s="16"/>
      <c r="M2948" s="19" t="s">
        <v>2078</v>
      </c>
      <c r="N2948" s="16"/>
      <c r="O2948" s="16" t="s">
        <v>2079</v>
      </c>
      <c r="P2948" s="16" t="str">
        <f>HYPERLINK("https://ceds.ed.gov/cedselementdetails.aspx?termid=26577")</f>
        <v>https://ceds.ed.gov/cedselementdetails.aspx?termid=26577</v>
      </c>
      <c r="Q2948" s="16">
        <v>73677</v>
      </c>
    </row>
    <row r="2949" spans="1:17" ht="144" x14ac:dyDescent="0.3">
      <c r="A2949" s="16" t="s">
        <v>7724</v>
      </c>
      <c r="B2949" s="16" t="s">
        <v>7730</v>
      </c>
      <c r="C2949" s="16" t="s">
        <v>7628</v>
      </c>
      <c r="D2949" s="16" t="s">
        <v>7597</v>
      </c>
      <c r="E2949" s="16" t="s">
        <v>5301</v>
      </c>
      <c r="F2949" s="16" t="s">
        <v>5302</v>
      </c>
      <c r="G2949" s="16" t="s">
        <v>8717</v>
      </c>
      <c r="H2949" s="16"/>
      <c r="I2949" s="16"/>
      <c r="J2949" s="16"/>
      <c r="K2949" s="16"/>
      <c r="L2949" s="16"/>
      <c r="M2949" s="19" t="s">
        <v>5303</v>
      </c>
      <c r="N2949" s="16"/>
      <c r="O2949" s="16" t="s">
        <v>5304</v>
      </c>
      <c r="P2949" s="16" t="str">
        <f>HYPERLINK("https://ceds.ed.gov/cedselementdetails.aspx?termid=27194")</f>
        <v>https://ceds.ed.gov/cedselementdetails.aspx?termid=27194</v>
      </c>
      <c r="Q2949" s="16">
        <v>71682</v>
      </c>
    </row>
    <row r="2950" spans="1:17" ht="100.8" x14ac:dyDescent="0.3">
      <c r="A2950" s="16" t="s">
        <v>7724</v>
      </c>
      <c r="B2950" s="16" t="s">
        <v>7730</v>
      </c>
      <c r="C2950" s="16" t="s">
        <v>7628</v>
      </c>
      <c r="D2950" s="16" t="s">
        <v>7597</v>
      </c>
      <c r="E2950" s="16" t="s">
        <v>5395</v>
      </c>
      <c r="F2950" s="16" t="s">
        <v>8092</v>
      </c>
      <c r="G2950" s="16" t="s">
        <v>8728</v>
      </c>
      <c r="H2950" s="16"/>
      <c r="I2950" s="16"/>
      <c r="J2950" s="16"/>
      <c r="K2950" s="16"/>
      <c r="L2950" s="16"/>
      <c r="M2950" s="19" t="s">
        <v>5396</v>
      </c>
      <c r="N2950" s="16"/>
      <c r="O2950" s="16" t="s">
        <v>5397</v>
      </c>
      <c r="P2950" s="16" t="str">
        <f>HYPERLINK("https://ceds.ed.gov/cedselementdetails.aspx?termid=27621")</f>
        <v>https://ceds.ed.gov/cedselementdetails.aspx?termid=27621</v>
      </c>
      <c r="Q2950" s="16">
        <v>74310</v>
      </c>
    </row>
    <row r="2951" spans="1:17" ht="43.2" x14ac:dyDescent="0.3">
      <c r="A2951" s="16" t="s">
        <v>7724</v>
      </c>
      <c r="B2951" s="16" t="s">
        <v>7730</v>
      </c>
      <c r="C2951" s="16" t="s">
        <v>7628</v>
      </c>
      <c r="D2951" s="16" t="s">
        <v>7597</v>
      </c>
      <c r="E2951" s="16" t="s">
        <v>5521</v>
      </c>
      <c r="F2951" s="16" t="s">
        <v>7497</v>
      </c>
      <c r="G2951" s="16" t="s">
        <v>32</v>
      </c>
      <c r="H2951" s="16"/>
      <c r="I2951" s="16"/>
      <c r="J2951" s="16" t="s">
        <v>305</v>
      </c>
      <c r="K2951" s="16"/>
      <c r="L2951" s="16"/>
      <c r="M2951" s="19" t="s">
        <v>5522</v>
      </c>
      <c r="N2951" s="16"/>
      <c r="O2951" s="16" t="s">
        <v>5523</v>
      </c>
      <c r="P2951" s="16" t="str">
        <f>HYPERLINK("https://ceds.ed.gov/cedselementdetails.aspx?termid=27384")</f>
        <v>https://ceds.ed.gov/cedselementdetails.aspx?termid=27384</v>
      </c>
      <c r="Q2951" s="16">
        <v>73296</v>
      </c>
    </row>
    <row r="2952" spans="1:17" ht="144" x14ac:dyDescent="0.3">
      <c r="A2952" s="16" t="s">
        <v>7724</v>
      </c>
      <c r="B2952" s="16" t="s">
        <v>7730</v>
      </c>
      <c r="C2952" s="16" t="s">
        <v>7628</v>
      </c>
      <c r="D2952" s="16" t="s">
        <v>7597</v>
      </c>
      <c r="E2952" s="16" t="s">
        <v>5696</v>
      </c>
      <c r="F2952" s="16" t="s">
        <v>5697</v>
      </c>
      <c r="G2952" s="16" t="s">
        <v>8717</v>
      </c>
      <c r="H2952" s="16"/>
      <c r="I2952" s="16"/>
      <c r="J2952" s="16"/>
      <c r="K2952" s="16"/>
      <c r="L2952" s="16"/>
      <c r="M2952" s="19" t="s">
        <v>5698</v>
      </c>
      <c r="N2952" s="16"/>
      <c r="O2952" s="16" t="s">
        <v>5699</v>
      </c>
      <c r="P2952" s="16" t="str">
        <f>HYPERLINK("https://ceds.ed.gov/cedselementdetails.aspx?termid=27195")</f>
        <v>https://ceds.ed.gov/cedselementdetails.aspx?termid=27195</v>
      </c>
      <c r="Q2952" s="16">
        <v>71683</v>
      </c>
    </row>
    <row r="2953" spans="1:17" ht="86.4" x14ac:dyDescent="0.3">
      <c r="A2953" s="16" t="s">
        <v>7724</v>
      </c>
      <c r="B2953" s="16" t="s">
        <v>7730</v>
      </c>
      <c r="C2953" s="16" t="s">
        <v>7628</v>
      </c>
      <c r="D2953" s="16" t="s">
        <v>7597</v>
      </c>
      <c r="E2953" s="16" t="s">
        <v>6681</v>
      </c>
      <c r="F2953" s="16" t="s">
        <v>6682</v>
      </c>
      <c r="G2953" s="16" t="s">
        <v>22</v>
      </c>
      <c r="H2953" s="16" t="s">
        <v>2080</v>
      </c>
      <c r="I2953" s="16"/>
      <c r="J2953" s="16"/>
      <c r="K2953" s="16"/>
      <c r="L2953" s="16"/>
      <c r="M2953" s="19" t="s">
        <v>6684</v>
      </c>
      <c r="N2953" s="16"/>
      <c r="O2953" s="16" t="s">
        <v>6685</v>
      </c>
      <c r="P2953" s="16" t="str">
        <f>HYPERLINK("https://ceds.ed.gov/cedselementdetails.aspx?termid=26573")</f>
        <v>https://ceds.ed.gov/cedselementdetails.aspx?termid=26573</v>
      </c>
      <c r="Q2953" s="16">
        <v>73425</v>
      </c>
    </row>
    <row r="2954" spans="1:17" ht="72" x14ac:dyDescent="0.3">
      <c r="A2954" s="16" t="s">
        <v>7724</v>
      </c>
      <c r="B2954" s="16" t="s">
        <v>7730</v>
      </c>
      <c r="C2954" s="16" t="s">
        <v>7628</v>
      </c>
      <c r="D2954" s="16" t="s">
        <v>7597</v>
      </c>
      <c r="E2954" s="16" t="s">
        <v>3038</v>
      </c>
      <c r="F2954" s="16" t="s">
        <v>3039</v>
      </c>
      <c r="G2954" s="16" t="s">
        <v>22</v>
      </c>
      <c r="H2954" s="16"/>
      <c r="I2954" s="16"/>
      <c r="J2954" s="16"/>
      <c r="K2954" s="16"/>
      <c r="L2954" s="16" t="s">
        <v>3040</v>
      </c>
      <c r="M2954" s="19" t="s">
        <v>3041</v>
      </c>
      <c r="N2954" s="16"/>
      <c r="O2954" s="16" t="s">
        <v>3042</v>
      </c>
      <c r="P2954" s="16" t="str">
        <f>HYPERLINK("https://ceds.ed.gov/cedselementdetails.aspx?termid=26974")</f>
        <v>https://ceds.ed.gov/cedselementdetails.aspx?termid=26974</v>
      </c>
      <c r="Q2954" s="16">
        <v>75180</v>
      </c>
    </row>
    <row r="2955" spans="1:17" ht="409.6" x14ac:dyDescent="0.3">
      <c r="A2955" s="16" t="s">
        <v>7724</v>
      </c>
      <c r="B2955" s="16" t="s">
        <v>7730</v>
      </c>
      <c r="C2955" s="16" t="s">
        <v>7628</v>
      </c>
      <c r="D2955" s="16" t="s">
        <v>7597</v>
      </c>
      <c r="E2955" s="16" t="s">
        <v>2488</v>
      </c>
      <c r="F2955" s="16" t="s">
        <v>2489</v>
      </c>
      <c r="G2955" s="16" t="s">
        <v>8454</v>
      </c>
      <c r="H2955" s="16" t="s">
        <v>2492</v>
      </c>
      <c r="I2955" s="16"/>
      <c r="J2955" s="16"/>
      <c r="K2955" s="16"/>
      <c r="L2955" s="16" t="s">
        <v>7915</v>
      </c>
      <c r="M2955" s="19" t="s">
        <v>2490</v>
      </c>
      <c r="N2955" s="16"/>
      <c r="O2955" s="16" t="s">
        <v>2491</v>
      </c>
      <c r="P2955" s="16" t="str">
        <f>HYPERLINK("https://ceds.ed.gov/cedselementdetails.aspx?termid=26051")</f>
        <v>https://ceds.ed.gov/cedselementdetails.aspx?termid=26051</v>
      </c>
      <c r="Q2955" s="16">
        <v>75432</v>
      </c>
    </row>
    <row r="2956" spans="1:17" ht="115.2" x14ac:dyDescent="0.3">
      <c r="A2956" s="16" t="s">
        <v>7724</v>
      </c>
      <c r="B2956" s="16" t="s">
        <v>7730</v>
      </c>
      <c r="C2956" s="16" t="s">
        <v>7628</v>
      </c>
      <c r="D2956" s="16" t="s">
        <v>7597</v>
      </c>
      <c r="E2956" s="16" t="s">
        <v>6823</v>
      </c>
      <c r="F2956" s="16" t="s">
        <v>8155</v>
      </c>
      <c r="G2956" s="16" t="s">
        <v>32</v>
      </c>
      <c r="H2956" s="16" t="s">
        <v>69</v>
      </c>
      <c r="I2956" s="16"/>
      <c r="J2956" s="16" t="s">
        <v>6824</v>
      </c>
      <c r="K2956" s="16"/>
      <c r="L2956" s="16"/>
      <c r="M2956" s="19" t="s">
        <v>6825</v>
      </c>
      <c r="N2956" s="16"/>
      <c r="O2956" s="16" t="s">
        <v>6826</v>
      </c>
      <c r="P2956" s="16" t="str">
        <f>HYPERLINK("https://ceds.ed.gov/cedselementdetails.aspx?termid=26707")</f>
        <v>https://ceds.ed.gov/cedselementdetails.aspx?termid=26707</v>
      </c>
      <c r="Q2956" s="16">
        <v>75433</v>
      </c>
    </row>
    <row r="2957" spans="1:17" ht="57.6" x14ac:dyDescent="0.3">
      <c r="A2957" s="16" t="s">
        <v>7724</v>
      </c>
      <c r="B2957" s="16" t="s">
        <v>7730</v>
      </c>
      <c r="C2957" s="16" t="s">
        <v>7628</v>
      </c>
      <c r="D2957" s="16" t="s">
        <v>7597</v>
      </c>
      <c r="E2957" s="16" t="s">
        <v>7181</v>
      </c>
      <c r="F2957" s="16" t="s">
        <v>7182</v>
      </c>
      <c r="G2957" s="16" t="s">
        <v>7313</v>
      </c>
      <c r="H2957" s="16"/>
      <c r="I2957" s="16"/>
      <c r="J2957" s="16"/>
      <c r="K2957" s="16"/>
      <c r="L2957" s="16"/>
      <c r="M2957" s="19" t="s">
        <v>7183</v>
      </c>
      <c r="N2957" s="16"/>
      <c r="O2957" s="16" t="s">
        <v>7184</v>
      </c>
      <c r="P2957" s="16" t="str">
        <f>HYPERLINK("https://ceds.ed.gov/cedselementdetails.aspx?termid=27638")</f>
        <v>https://ceds.ed.gov/cedselementdetails.aspx?termid=27638</v>
      </c>
      <c r="Q2957" s="16">
        <v>75434</v>
      </c>
    </row>
    <row r="2958" spans="1:17" ht="158.4" x14ac:dyDescent="0.3">
      <c r="A2958" s="16" t="s">
        <v>7724</v>
      </c>
      <c r="B2958" s="16" t="s">
        <v>7730</v>
      </c>
      <c r="C2958" s="16" t="s">
        <v>7628</v>
      </c>
      <c r="D2958" s="16" t="s">
        <v>7597</v>
      </c>
      <c r="E2958" s="16" t="s">
        <v>7337</v>
      </c>
      <c r="F2958" s="16" t="s">
        <v>7338</v>
      </c>
      <c r="G2958" s="16" t="s">
        <v>8437</v>
      </c>
      <c r="H2958" s="16"/>
      <c r="I2958" s="16"/>
      <c r="J2958" s="16"/>
      <c r="K2958" s="16"/>
      <c r="L2958" s="16" t="s">
        <v>7339</v>
      </c>
      <c r="M2958" s="19" t="s">
        <v>7340</v>
      </c>
      <c r="N2958" s="16"/>
      <c r="O2958" s="16" t="s">
        <v>7341</v>
      </c>
      <c r="P2958" s="16" t="str">
        <f>HYPERLINK("https://ceds.ed.gov/cedselementdetails.aspx?termid=27917")</f>
        <v>https://ceds.ed.gov/cedselementdetails.aspx?termid=27917</v>
      </c>
      <c r="Q2958" s="16">
        <v>75650</v>
      </c>
    </row>
    <row r="2959" spans="1:17" ht="57.6" x14ac:dyDescent="0.3">
      <c r="A2959" s="16" t="s">
        <v>7724</v>
      </c>
      <c r="B2959" s="16" t="s">
        <v>7730</v>
      </c>
      <c r="C2959" s="16" t="s">
        <v>7628</v>
      </c>
      <c r="D2959" s="16" t="s">
        <v>7597</v>
      </c>
      <c r="E2959" s="16" t="s">
        <v>7414</v>
      </c>
      <c r="F2959" s="16" t="s">
        <v>7415</v>
      </c>
      <c r="G2959" s="16" t="s">
        <v>8437</v>
      </c>
      <c r="H2959" s="16"/>
      <c r="I2959" s="16"/>
      <c r="J2959" s="16"/>
      <c r="K2959" s="16"/>
      <c r="L2959" s="16"/>
      <c r="M2959" s="19" t="s">
        <v>7416</v>
      </c>
      <c r="N2959" s="16"/>
      <c r="O2959" s="16" t="s">
        <v>7417</v>
      </c>
      <c r="P2959" s="16" t="str">
        <f>HYPERLINK("https://ceds.ed.gov/cedselementdetails.aspx?termid=27931")</f>
        <v>https://ceds.ed.gov/cedselementdetails.aspx?termid=27931</v>
      </c>
      <c r="Q2959" s="16">
        <v>75651</v>
      </c>
    </row>
    <row r="2960" spans="1:17" ht="57.6" x14ac:dyDescent="0.3">
      <c r="A2960" s="16" t="s">
        <v>7724</v>
      </c>
      <c r="B2960" s="16" t="s">
        <v>7730</v>
      </c>
      <c r="C2960" s="16" t="s">
        <v>7628</v>
      </c>
      <c r="D2960" s="16" t="s">
        <v>7597</v>
      </c>
      <c r="E2960" s="16" t="s">
        <v>7418</v>
      </c>
      <c r="F2960" s="16" t="s">
        <v>7419</v>
      </c>
      <c r="G2960" s="16" t="s">
        <v>22</v>
      </c>
      <c r="H2960" s="16"/>
      <c r="I2960" s="16"/>
      <c r="J2960" s="16"/>
      <c r="K2960" s="16"/>
      <c r="L2960" s="16"/>
      <c r="M2960" s="19" t="s">
        <v>7420</v>
      </c>
      <c r="N2960" s="16"/>
      <c r="O2960" s="16" t="s">
        <v>7421</v>
      </c>
      <c r="P2960" s="16" t="str">
        <f>HYPERLINK("https://ceds.ed.gov/cedselementdetails.aspx?termid=27932")</f>
        <v>https://ceds.ed.gov/cedselementdetails.aspx?termid=27932</v>
      </c>
      <c r="Q2960" s="16">
        <v>75652</v>
      </c>
    </row>
    <row r="2961" spans="1:17" ht="115.2" x14ac:dyDescent="0.3">
      <c r="A2961" s="16" t="s">
        <v>7724</v>
      </c>
      <c r="B2961" s="16" t="s">
        <v>7730</v>
      </c>
      <c r="C2961" s="16" t="s">
        <v>7628</v>
      </c>
      <c r="D2961" s="16" t="s">
        <v>7597</v>
      </c>
      <c r="E2961" s="16" t="s">
        <v>7422</v>
      </c>
      <c r="F2961" s="16" t="s">
        <v>7423</v>
      </c>
      <c r="G2961" s="16" t="s">
        <v>2987</v>
      </c>
      <c r="H2961" s="16"/>
      <c r="I2961" s="16"/>
      <c r="J2961" s="16"/>
      <c r="K2961" s="16"/>
      <c r="L2961" s="16"/>
      <c r="M2961" s="19" t="s">
        <v>7424</v>
      </c>
      <c r="N2961" s="16"/>
      <c r="O2961" s="16" t="s">
        <v>7425</v>
      </c>
      <c r="P2961" s="16" t="str">
        <f>HYPERLINK("https://ceds.ed.gov/cedselementdetails.aspx?termid=27933")</f>
        <v>https://ceds.ed.gov/cedselementdetails.aspx?termid=27933</v>
      </c>
      <c r="Q2961" s="16">
        <v>75653</v>
      </c>
    </row>
    <row r="2962" spans="1:17" ht="86.4" x14ac:dyDescent="0.3">
      <c r="A2962" s="16" t="s">
        <v>7724</v>
      </c>
      <c r="B2962" s="16" t="s">
        <v>7730</v>
      </c>
      <c r="C2962" s="16" t="s">
        <v>7628</v>
      </c>
      <c r="D2962" s="16" t="s">
        <v>7597</v>
      </c>
      <c r="E2962" s="16" t="s">
        <v>7466</v>
      </c>
      <c r="F2962" s="16" t="s">
        <v>7467</v>
      </c>
      <c r="G2962" s="16" t="s">
        <v>8715</v>
      </c>
      <c r="H2962" s="16"/>
      <c r="I2962" s="16"/>
      <c r="J2962" s="16"/>
      <c r="K2962" s="16"/>
      <c r="L2962" s="16" t="s">
        <v>7468</v>
      </c>
      <c r="M2962" s="19" t="s">
        <v>7469</v>
      </c>
      <c r="N2962" s="16"/>
      <c r="O2962" s="16" t="s">
        <v>7470</v>
      </c>
      <c r="P2962" s="16" t="str">
        <f>HYPERLINK("https://ceds.ed.gov/cedselementdetails.aspx?termid=27942")</f>
        <v>https://ceds.ed.gov/cedselementdetails.aspx?termid=27942</v>
      </c>
      <c r="Q2962" s="16">
        <v>75654</v>
      </c>
    </row>
    <row r="2963" spans="1:17" ht="86.4" x14ac:dyDescent="0.3">
      <c r="A2963" s="16" t="s">
        <v>7724</v>
      </c>
      <c r="B2963" s="16" t="s">
        <v>7730</v>
      </c>
      <c r="C2963" s="16" t="s">
        <v>7628</v>
      </c>
      <c r="D2963" s="16" t="s">
        <v>7597</v>
      </c>
      <c r="E2963" s="16" t="s">
        <v>7498</v>
      </c>
      <c r="F2963" s="16" t="s">
        <v>7499</v>
      </c>
      <c r="G2963" s="16" t="s">
        <v>8738</v>
      </c>
      <c r="H2963" s="16"/>
      <c r="I2963" s="16"/>
      <c r="J2963" s="16"/>
      <c r="K2963" s="16"/>
      <c r="L2963" s="16"/>
      <c r="M2963" s="19" t="s">
        <v>7500</v>
      </c>
      <c r="N2963" s="16"/>
      <c r="O2963" s="16" t="s">
        <v>7501</v>
      </c>
      <c r="P2963" s="16" t="str">
        <f>HYPERLINK("https://ceds.ed.gov/cedselementdetails.aspx?termid=27949")</f>
        <v>https://ceds.ed.gov/cedselementdetails.aspx?termid=27949</v>
      </c>
      <c r="Q2963" s="16">
        <v>75655</v>
      </c>
    </row>
    <row r="2964" spans="1:17" ht="144" x14ac:dyDescent="0.3">
      <c r="A2964" s="16" t="s">
        <v>7724</v>
      </c>
      <c r="B2964" s="16" t="s">
        <v>7730</v>
      </c>
      <c r="C2964" s="16" t="s">
        <v>7628</v>
      </c>
      <c r="D2964" s="16" t="s">
        <v>7597</v>
      </c>
      <c r="E2964" s="16" t="s">
        <v>7527</v>
      </c>
      <c r="F2964" s="16" t="s">
        <v>7528</v>
      </c>
      <c r="G2964" s="16" t="s">
        <v>8811</v>
      </c>
      <c r="H2964" s="16"/>
      <c r="I2964" s="16"/>
      <c r="J2964" s="16"/>
      <c r="K2964" s="16"/>
      <c r="L2964" s="16" t="s">
        <v>7529</v>
      </c>
      <c r="M2964" s="19" t="s">
        <v>7530</v>
      </c>
      <c r="N2964" s="16"/>
      <c r="O2964" s="16" t="s">
        <v>7527</v>
      </c>
      <c r="P2964" s="16" t="str">
        <f>HYPERLINK("https://ceds.ed.gov/cedselementdetails.aspx?termid=27955")</f>
        <v>https://ceds.ed.gov/cedselementdetails.aspx?termid=27955</v>
      </c>
      <c r="Q2964" s="16">
        <v>75656</v>
      </c>
    </row>
    <row r="2965" spans="1:17" ht="244.8" x14ac:dyDescent="0.3">
      <c r="A2965" s="16" t="s">
        <v>7724</v>
      </c>
      <c r="B2965" s="16" t="s">
        <v>7730</v>
      </c>
      <c r="C2965" s="16" t="s">
        <v>7731</v>
      </c>
      <c r="D2965" s="16" t="s">
        <v>7597</v>
      </c>
      <c r="E2965" s="16" t="s">
        <v>6832</v>
      </c>
      <c r="F2965" s="16" t="s">
        <v>6833</v>
      </c>
      <c r="G2965" s="16" t="s">
        <v>8838</v>
      </c>
      <c r="H2965" s="16" t="s">
        <v>230</v>
      </c>
      <c r="I2965" s="16"/>
      <c r="J2965" s="16"/>
      <c r="K2965" s="16"/>
      <c r="L2965" s="16"/>
      <c r="M2965" s="19" t="s">
        <v>6834</v>
      </c>
      <c r="N2965" s="16"/>
      <c r="O2965" s="16" t="s">
        <v>6835</v>
      </c>
      <c r="P2965" s="16" t="str">
        <f>HYPERLINK("https://ceds.ed.gov/cedselementdetails.aspx?termid=26266")</f>
        <v>https://ceds.ed.gov/cedselementdetails.aspx?termid=26266</v>
      </c>
      <c r="Q2965" s="16">
        <v>70784</v>
      </c>
    </row>
    <row r="2966" spans="1:17" ht="43.2" x14ac:dyDescent="0.3">
      <c r="A2966" s="16" t="s">
        <v>7724</v>
      </c>
      <c r="B2966" s="16" t="s">
        <v>7730</v>
      </c>
      <c r="C2966" s="16" t="s">
        <v>7731</v>
      </c>
      <c r="D2966" s="16" t="s">
        <v>7597</v>
      </c>
      <c r="E2966" s="16" t="s">
        <v>6827</v>
      </c>
      <c r="F2966" s="16" t="s">
        <v>6828</v>
      </c>
      <c r="G2966" s="16" t="s">
        <v>32</v>
      </c>
      <c r="H2966" s="16" t="s">
        <v>230</v>
      </c>
      <c r="I2966" s="16"/>
      <c r="J2966" s="16" t="s">
        <v>136</v>
      </c>
      <c r="K2966" s="16"/>
      <c r="L2966" s="16"/>
      <c r="M2966" s="19" t="s">
        <v>6830</v>
      </c>
      <c r="N2966" s="16"/>
      <c r="O2966" s="16" t="s">
        <v>6831</v>
      </c>
      <c r="P2966" s="16" t="str">
        <f>HYPERLINK("https://ceds.ed.gov/cedselementdetails.aspx?termid=26265")</f>
        <v>https://ceds.ed.gov/cedselementdetails.aspx?termid=26265</v>
      </c>
      <c r="Q2966" s="16">
        <v>70783</v>
      </c>
    </row>
    <row r="2967" spans="1:17" ht="43.2" x14ac:dyDescent="0.3">
      <c r="A2967" s="16" t="s">
        <v>7724</v>
      </c>
      <c r="B2967" s="16" t="s">
        <v>7730</v>
      </c>
      <c r="C2967" s="16" t="s">
        <v>7731</v>
      </c>
      <c r="D2967" s="16" t="s">
        <v>7597</v>
      </c>
      <c r="E2967" s="16" t="s">
        <v>369</v>
      </c>
      <c r="F2967" s="16" t="s">
        <v>7829</v>
      </c>
      <c r="G2967" s="16" t="s">
        <v>32</v>
      </c>
      <c r="H2967" s="16" t="s">
        <v>372</v>
      </c>
      <c r="I2967" s="16"/>
      <c r="J2967" s="16" t="s">
        <v>106</v>
      </c>
      <c r="K2967" s="16"/>
      <c r="L2967" s="16"/>
      <c r="M2967" s="19" t="s">
        <v>370</v>
      </c>
      <c r="N2967" s="16"/>
      <c r="O2967" s="16" t="s">
        <v>371</v>
      </c>
      <c r="P2967" s="16" t="str">
        <f>HYPERLINK("https://ceds.ed.gov/cedselementdetails.aspx?termid=26323")</f>
        <v>https://ceds.ed.gov/cedselementdetails.aspx?termid=26323</v>
      </c>
      <c r="Q2967" s="16">
        <v>75647</v>
      </c>
    </row>
    <row r="2968" spans="1:17" ht="172.8" x14ac:dyDescent="0.3">
      <c r="A2968" s="16" t="s">
        <v>7724</v>
      </c>
      <c r="B2968" s="16" t="s">
        <v>7730</v>
      </c>
      <c r="C2968" s="16" t="s">
        <v>7732</v>
      </c>
      <c r="D2968" s="16" t="s">
        <v>7597</v>
      </c>
      <c r="E2968" s="16" t="s">
        <v>6937</v>
      </c>
      <c r="F2968" s="16" t="s">
        <v>6938</v>
      </c>
      <c r="G2968" s="16" t="s">
        <v>32</v>
      </c>
      <c r="H2968" s="16" t="s">
        <v>6936</v>
      </c>
      <c r="I2968" s="16"/>
      <c r="J2968" s="16" t="s">
        <v>120</v>
      </c>
      <c r="K2968" s="16"/>
      <c r="L2968" s="16" t="s">
        <v>7817</v>
      </c>
      <c r="M2968" s="19" t="s">
        <v>6939</v>
      </c>
      <c r="N2968" s="16"/>
      <c r="O2968" s="16" t="s">
        <v>6940</v>
      </c>
      <c r="P2968" s="16" t="str">
        <f>HYPERLINK("https://ceds.ed.gov/cedselementdetails.aspx?termid=26157")</f>
        <v>https://ceds.ed.gov/cedselementdetails.aspx?termid=26157</v>
      </c>
      <c r="Q2968" s="16">
        <v>72021</v>
      </c>
    </row>
    <row r="2969" spans="1:17" ht="158.4" x14ac:dyDescent="0.3">
      <c r="A2969" s="16" t="s">
        <v>7724</v>
      </c>
      <c r="B2969" s="16" t="s">
        <v>7730</v>
      </c>
      <c r="C2969" s="16" t="s">
        <v>7732</v>
      </c>
      <c r="D2969" s="16" t="s">
        <v>7597</v>
      </c>
      <c r="E2969" s="16" t="s">
        <v>6932</v>
      </c>
      <c r="F2969" s="16" t="s">
        <v>6933</v>
      </c>
      <c r="G2969" s="16" t="s">
        <v>9344</v>
      </c>
      <c r="H2969" s="16" t="s">
        <v>6936</v>
      </c>
      <c r="I2969" s="16"/>
      <c r="J2969" s="16"/>
      <c r="K2969" s="16"/>
      <c r="L2969" s="16"/>
      <c r="M2969" s="19" t="s">
        <v>6934</v>
      </c>
      <c r="N2969" s="16"/>
      <c r="O2969" s="16" t="s">
        <v>6935</v>
      </c>
      <c r="P2969" s="16" t="str">
        <f>HYPERLINK("https://ceds.ed.gov/cedselementdetails.aspx?termid=26163")</f>
        <v>https://ceds.ed.gov/cedselementdetails.aspx?termid=26163</v>
      </c>
      <c r="Q2969" s="16">
        <v>72022</v>
      </c>
    </row>
    <row r="2970" spans="1:17" ht="172.8" x14ac:dyDescent="0.3">
      <c r="A2970" s="16" t="s">
        <v>7724</v>
      </c>
      <c r="B2970" s="16" t="s">
        <v>7730</v>
      </c>
      <c r="C2970" s="16" t="s">
        <v>7732</v>
      </c>
      <c r="D2970" s="16" t="s">
        <v>7597</v>
      </c>
      <c r="E2970" s="16" t="s">
        <v>6524</v>
      </c>
      <c r="F2970" s="16" t="s">
        <v>268</v>
      </c>
      <c r="G2970" s="16" t="s">
        <v>32</v>
      </c>
      <c r="H2970" s="16" t="s">
        <v>6523</v>
      </c>
      <c r="I2970" s="16"/>
      <c r="J2970" s="16" t="s">
        <v>120</v>
      </c>
      <c r="K2970" s="16"/>
      <c r="L2970" s="16" t="s">
        <v>7817</v>
      </c>
      <c r="M2970" s="19" t="s">
        <v>6525</v>
      </c>
      <c r="N2970" s="16"/>
      <c r="O2970" s="16" t="s">
        <v>6526</v>
      </c>
      <c r="P2970" s="16" t="str">
        <f>HYPERLINK("https://ceds.ed.gov/cedselementdetails.aspx?termid=26155")</f>
        <v>https://ceds.ed.gov/cedselementdetails.aspx?termid=26155</v>
      </c>
      <c r="Q2970" s="16">
        <v>70759</v>
      </c>
    </row>
    <row r="2971" spans="1:17" ht="187.2" x14ac:dyDescent="0.3">
      <c r="A2971" s="16" t="s">
        <v>7724</v>
      </c>
      <c r="B2971" s="16" t="s">
        <v>7730</v>
      </c>
      <c r="C2971" s="16" t="s">
        <v>7732</v>
      </c>
      <c r="D2971" s="16" t="s">
        <v>7597</v>
      </c>
      <c r="E2971" s="16" t="s">
        <v>6520</v>
      </c>
      <c r="F2971" s="16" t="s">
        <v>263</v>
      </c>
      <c r="G2971" s="16" t="s">
        <v>8261</v>
      </c>
      <c r="H2971" s="16" t="s">
        <v>6523</v>
      </c>
      <c r="I2971" s="16"/>
      <c r="J2971" s="16"/>
      <c r="K2971" s="16"/>
      <c r="L2971" s="16"/>
      <c r="M2971" s="19" t="s">
        <v>6521</v>
      </c>
      <c r="N2971" s="16"/>
      <c r="O2971" s="16" t="s">
        <v>6522</v>
      </c>
      <c r="P2971" s="16" t="str">
        <f>HYPERLINK("https://ceds.ed.gov/cedselementdetails.aspx?termid=26161")</f>
        <v>https://ceds.ed.gov/cedselementdetails.aspx?termid=26161</v>
      </c>
      <c r="Q2971" s="16">
        <v>70762</v>
      </c>
    </row>
    <row r="2972" spans="1:17" ht="172.8" x14ac:dyDescent="0.3">
      <c r="A2972" s="16" t="s">
        <v>7724</v>
      </c>
      <c r="B2972" s="16" t="s">
        <v>7730</v>
      </c>
      <c r="C2972" s="16" t="s">
        <v>7732</v>
      </c>
      <c r="D2972" s="16" t="s">
        <v>7597</v>
      </c>
      <c r="E2972" s="16" t="s">
        <v>5257</v>
      </c>
      <c r="F2972" s="16" t="s">
        <v>5258</v>
      </c>
      <c r="G2972" s="16" t="s">
        <v>32</v>
      </c>
      <c r="H2972" s="16" t="s">
        <v>5256</v>
      </c>
      <c r="I2972" s="16"/>
      <c r="J2972" s="16" t="s">
        <v>120</v>
      </c>
      <c r="K2972" s="16"/>
      <c r="L2972" s="16" t="s">
        <v>7905</v>
      </c>
      <c r="M2972" s="19" t="s">
        <v>5259</v>
      </c>
      <c r="N2972" s="16" t="s">
        <v>5260</v>
      </c>
      <c r="O2972" s="16" t="s">
        <v>5261</v>
      </c>
      <c r="P2972" s="16" t="str">
        <f>HYPERLINK("https://ceds.ed.gov/cedselementdetails.aspx?termid=26153")</f>
        <v>https://ceds.ed.gov/cedselementdetails.aspx?termid=26153</v>
      </c>
      <c r="Q2972" s="16">
        <v>70758</v>
      </c>
    </row>
    <row r="2973" spans="1:17" ht="172.8" x14ac:dyDescent="0.3">
      <c r="A2973" s="16" t="s">
        <v>7724</v>
      </c>
      <c r="B2973" s="16" t="s">
        <v>7730</v>
      </c>
      <c r="C2973" s="16" t="s">
        <v>7732</v>
      </c>
      <c r="D2973" s="16" t="s">
        <v>7597</v>
      </c>
      <c r="E2973" s="16" t="s">
        <v>5251</v>
      </c>
      <c r="F2973" s="16" t="s">
        <v>5252</v>
      </c>
      <c r="G2973" s="16" t="s">
        <v>8242</v>
      </c>
      <c r="H2973" s="16" t="s">
        <v>5256</v>
      </c>
      <c r="I2973" s="16"/>
      <c r="J2973" s="16"/>
      <c r="K2973" s="16"/>
      <c r="L2973" s="16"/>
      <c r="M2973" s="19" t="s">
        <v>5253</v>
      </c>
      <c r="N2973" s="16" t="s">
        <v>5254</v>
      </c>
      <c r="O2973" s="16" t="s">
        <v>5255</v>
      </c>
      <c r="P2973" s="16" t="str">
        <f>HYPERLINK("https://ceds.ed.gov/cedselementdetails.aspx?termid=26159")</f>
        <v>https://ceds.ed.gov/cedselementdetails.aspx?termid=26159</v>
      </c>
      <c r="Q2973" s="16">
        <v>70761</v>
      </c>
    </row>
    <row r="2974" spans="1:17" ht="187.2" x14ac:dyDescent="0.3">
      <c r="A2974" s="16" t="s">
        <v>7724</v>
      </c>
      <c r="B2974" s="16" t="s">
        <v>7730</v>
      </c>
      <c r="C2974" s="16" t="s">
        <v>7732</v>
      </c>
      <c r="D2974" s="16" t="s">
        <v>7597</v>
      </c>
      <c r="E2974" s="16" t="s">
        <v>5431</v>
      </c>
      <c r="F2974" s="16" t="s">
        <v>5432</v>
      </c>
      <c r="G2974" s="16" t="s">
        <v>32</v>
      </c>
      <c r="H2974" s="16" t="s">
        <v>5435</v>
      </c>
      <c r="I2974" s="16"/>
      <c r="J2974" s="16" t="s">
        <v>145</v>
      </c>
      <c r="K2974" s="16"/>
      <c r="L2974" s="16"/>
      <c r="M2974" s="19" t="s">
        <v>5433</v>
      </c>
      <c r="N2974" s="16"/>
      <c r="O2974" s="16" t="s">
        <v>5434</v>
      </c>
      <c r="P2974" s="16" t="str">
        <f>HYPERLINK("https://ceds.ed.gov/cedselementdetails.aspx?termid=26191")</f>
        <v>https://ceds.ed.gov/cedselementdetails.aspx?termid=26191</v>
      </c>
      <c r="Q2974" s="16">
        <v>70771</v>
      </c>
    </row>
    <row r="2975" spans="1:17" ht="86.4" x14ac:dyDescent="0.3">
      <c r="A2975" s="16" t="s">
        <v>7724</v>
      </c>
      <c r="B2975" s="16" t="s">
        <v>7730</v>
      </c>
      <c r="C2975" s="16" t="s">
        <v>7732</v>
      </c>
      <c r="D2975" s="16" t="s">
        <v>7597</v>
      </c>
      <c r="E2975" s="16" t="s">
        <v>8142</v>
      </c>
      <c r="F2975" s="16" t="s">
        <v>8143</v>
      </c>
      <c r="G2975" s="16" t="s">
        <v>32</v>
      </c>
      <c r="H2975" s="16"/>
      <c r="I2975" s="16"/>
      <c r="J2975" s="16" t="s">
        <v>81</v>
      </c>
      <c r="K2975" s="16"/>
      <c r="L2975" s="16" t="s">
        <v>6671</v>
      </c>
      <c r="M2975" s="19" t="s">
        <v>6672</v>
      </c>
      <c r="N2975" s="16"/>
      <c r="O2975" s="16" t="s">
        <v>8144</v>
      </c>
      <c r="P2975" s="16" t="str">
        <f>HYPERLINK("https://ceds.ed.gov/cedselementdetails.aspx?termid=27459")</f>
        <v>https://ceds.ed.gov/cedselementdetails.aspx?termid=27459</v>
      </c>
      <c r="Q2975" s="16">
        <v>73421</v>
      </c>
    </row>
    <row r="2976" spans="1:17" ht="158.4" x14ac:dyDescent="0.3">
      <c r="A2976" s="16" t="s">
        <v>7724</v>
      </c>
      <c r="B2976" s="16" t="s">
        <v>7730</v>
      </c>
      <c r="C2976" s="16" t="s">
        <v>7732</v>
      </c>
      <c r="D2976" s="16" t="s">
        <v>7597</v>
      </c>
      <c r="E2976" s="16" t="s">
        <v>2493</v>
      </c>
      <c r="F2976" s="16" t="s">
        <v>2494</v>
      </c>
      <c r="G2976" s="16" t="s">
        <v>32</v>
      </c>
      <c r="H2976" s="16"/>
      <c r="I2976" s="16"/>
      <c r="J2976" s="16" t="s">
        <v>2495</v>
      </c>
      <c r="K2976" s="16"/>
      <c r="L2976" s="16"/>
      <c r="M2976" s="19" t="s">
        <v>2496</v>
      </c>
      <c r="N2976" s="16"/>
      <c r="O2976" s="16" t="s">
        <v>2497</v>
      </c>
      <c r="P2976" s="16" t="str">
        <f>HYPERLINK("https://ceds.ed.gov/cedselementdetails.aspx?termid=27176")</f>
        <v>https://ceds.ed.gov/cedselementdetails.aspx?termid=27176</v>
      </c>
      <c r="Q2976" s="16">
        <v>70738</v>
      </c>
    </row>
    <row r="2977" spans="1:17" ht="115.2" x14ac:dyDescent="0.3">
      <c r="A2977" s="16" t="s">
        <v>7724</v>
      </c>
      <c r="B2977" s="16" t="s">
        <v>7730</v>
      </c>
      <c r="C2977" s="16" t="s">
        <v>7732</v>
      </c>
      <c r="D2977" s="16" t="s">
        <v>7597</v>
      </c>
      <c r="E2977" s="16" t="s">
        <v>3090</v>
      </c>
      <c r="F2977" s="16" t="s">
        <v>3091</v>
      </c>
      <c r="G2977" s="16" t="s">
        <v>32</v>
      </c>
      <c r="H2977" s="16" t="s">
        <v>3096</v>
      </c>
      <c r="I2977" s="16"/>
      <c r="J2977" s="16" t="s">
        <v>3093</v>
      </c>
      <c r="K2977" s="16"/>
      <c r="L2977" s="16"/>
      <c r="M2977" s="19" t="s">
        <v>3094</v>
      </c>
      <c r="N2977" s="16"/>
      <c r="O2977" s="16" t="s">
        <v>3095</v>
      </c>
      <c r="P2977" s="16" t="str">
        <f>HYPERLINK("https://ceds.ed.gov/cedselementdetails.aspx?termid=26081")</f>
        <v>https://ceds.ed.gov/cedselementdetails.aspx?termid=26081</v>
      </c>
      <c r="Q2977" s="16">
        <v>70741</v>
      </c>
    </row>
    <row r="2978" spans="1:17" ht="158.4" x14ac:dyDescent="0.3">
      <c r="A2978" s="16" t="s">
        <v>7724</v>
      </c>
      <c r="B2978" s="16" t="s">
        <v>7730</v>
      </c>
      <c r="C2978" s="16" t="s">
        <v>7732</v>
      </c>
      <c r="D2978" s="16" t="s">
        <v>7597</v>
      </c>
      <c r="E2978" s="16" t="s">
        <v>4145</v>
      </c>
      <c r="F2978" s="16" t="s">
        <v>4146</v>
      </c>
      <c r="G2978" s="16" t="s">
        <v>32</v>
      </c>
      <c r="H2978" s="16" t="s">
        <v>4152</v>
      </c>
      <c r="I2978" s="16"/>
      <c r="J2978" s="16" t="s">
        <v>955</v>
      </c>
      <c r="K2978" s="16"/>
      <c r="L2978" s="16" t="s">
        <v>4148</v>
      </c>
      <c r="M2978" s="19" t="s">
        <v>4149</v>
      </c>
      <c r="N2978" s="16" t="s">
        <v>4150</v>
      </c>
      <c r="O2978" s="16" t="s">
        <v>4151</v>
      </c>
      <c r="P2978" s="16" t="str">
        <f>HYPERLINK("https://ceds.ed.gov/cedselementdetails.aspx?termid=26128")</f>
        <v>https://ceds.ed.gov/cedselementdetails.aspx?termid=26128</v>
      </c>
      <c r="Q2978" s="16">
        <v>70755</v>
      </c>
    </row>
    <row r="2979" spans="1:17" ht="43.2" x14ac:dyDescent="0.3">
      <c r="A2979" s="16" t="s">
        <v>7724</v>
      </c>
      <c r="B2979" s="16" t="s">
        <v>7730</v>
      </c>
      <c r="C2979" s="16" t="s">
        <v>7732</v>
      </c>
      <c r="D2979" s="16" t="s">
        <v>7597</v>
      </c>
      <c r="E2979" s="16" t="s">
        <v>4164</v>
      </c>
      <c r="F2979" s="16" t="s">
        <v>4165</v>
      </c>
      <c r="G2979" s="16" t="s">
        <v>8614</v>
      </c>
      <c r="H2979" s="16" t="s">
        <v>4169</v>
      </c>
      <c r="I2979" s="16"/>
      <c r="J2979" s="16"/>
      <c r="K2979" s="16"/>
      <c r="L2979" s="16"/>
      <c r="M2979" s="19" t="s">
        <v>4166</v>
      </c>
      <c r="N2979" s="16" t="s">
        <v>4167</v>
      </c>
      <c r="O2979" s="16" t="s">
        <v>4168</v>
      </c>
      <c r="P2979" s="16" t="str">
        <f>HYPERLINK("https://ceds.ed.gov/cedselementdetails.aspx?termid=26123")</f>
        <v>https://ceds.ed.gov/cedselementdetails.aspx?termid=26123</v>
      </c>
      <c r="Q2979" s="16">
        <v>70753</v>
      </c>
    </row>
    <row r="2980" spans="1:17" ht="216" x14ac:dyDescent="0.3">
      <c r="A2980" s="16" t="s">
        <v>7724</v>
      </c>
      <c r="B2980" s="16" t="s">
        <v>7730</v>
      </c>
      <c r="C2980" s="16" t="s">
        <v>7732</v>
      </c>
      <c r="D2980" s="16" t="s">
        <v>7597</v>
      </c>
      <c r="E2980" s="16" t="s">
        <v>4243</v>
      </c>
      <c r="F2980" s="16" t="s">
        <v>4244</v>
      </c>
      <c r="G2980" s="16" t="s">
        <v>9333</v>
      </c>
      <c r="H2980" s="16" t="s">
        <v>4249</v>
      </c>
      <c r="I2980" s="16"/>
      <c r="J2980" s="16"/>
      <c r="K2980" s="16"/>
      <c r="L2980" s="16" t="s">
        <v>4246</v>
      </c>
      <c r="M2980" s="19" t="s">
        <v>4247</v>
      </c>
      <c r="N2980" s="16"/>
      <c r="O2980" s="16" t="s">
        <v>4248</v>
      </c>
      <c r="P2980" s="16" t="str">
        <f>HYPERLINK("https://ceds.ed.gov/cedselementdetails.aspx?termid=26138")</f>
        <v>https://ceds.ed.gov/cedselementdetails.aspx?termid=26138</v>
      </c>
      <c r="Q2980" s="16">
        <v>70756</v>
      </c>
    </row>
    <row r="2981" spans="1:17" ht="57.6" x14ac:dyDescent="0.3">
      <c r="A2981" s="16" t="s">
        <v>7724</v>
      </c>
      <c r="B2981" s="16" t="s">
        <v>7730</v>
      </c>
      <c r="C2981" s="16" t="s">
        <v>7732</v>
      </c>
      <c r="D2981" s="16" t="s">
        <v>7597</v>
      </c>
      <c r="E2981" s="16" t="s">
        <v>2081</v>
      </c>
      <c r="F2981" s="16" t="s">
        <v>2082</v>
      </c>
      <c r="G2981" s="16" t="s">
        <v>32</v>
      </c>
      <c r="H2981" s="16" t="s">
        <v>1927</v>
      </c>
      <c r="I2981" s="16"/>
      <c r="J2981" s="16" t="s">
        <v>1807</v>
      </c>
      <c r="K2981" s="16"/>
      <c r="L2981" s="16"/>
      <c r="M2981" s="19" t="s">
        <v>2084</v>
      </c>
      <c r="N2981" s="16"/>
      <c r="O2981" s="16" t="s">
        <v>2085</v>
      </c>
      <c r="P2981" s="16" t="str">
        <f>HYPERLINK("https://ceds.ed.gov/cedselementdetails.aspx?termid=26046")</f>
        <v>https://ceds.ed.gov/cedselementdetails.aspx?termid=26046</v>
      </c>
      <c r="Q2981" s="16">
        <v>70736</v>
      </c>
    </row>
    <row r="2982" spans="1:17" ht="216" x14ac:dyDescent="0.3">
      <c r="A2982" s="16" t="s">
        <v>7724</v>
      </c>
      <c r="B2982" s="16" t="s">
        <v>7730</v>
      </c>
      <c r="C2982" s="16" t="s">
        <v>7732</v>
      </c>
      <c r="D2982" s="16" t="s">
        <v>7597</v>
      </c>
      <c r="E2982" s="16" t="s">
        <v>9213</v>
      </c>
      <c r="F2982" s="16" t="s">
        <v>9214</v>
      </c>
      <c r="G2982" s="16" t="s">
        <v>9306</v>
      </c>
      <c r="H2982" s="16"/>
      <c r="I2982" s="16"/>
      <c r="J2982" s="16" t="s">
        <v>2</v>
      </c>
      <c r="K2982" s="16"/>
      <c r="L2982" s="16"/>
      <c r="M2982" s="19" t="s">
        <v>9215</v>
      </c>
      <c r="N2982" s="16"/>
      <c r="O2982" s="16" t="s">
        <v>9216</v>
      </c>
      <c r="P2982" s="16" t="str">
        <f>HYPERLINK("https://ceds.ed.gov/cedselementdetails.aspx?termid=28077")</f>
        <v>https://ceds.ed.gov/cedselementdetails.aspx?termid=28077</v>
      </c>
      <c r="Q2982" s="16">
        <v>76432</v>
      </c>
    </row>
    <row r="2983" spans="1:17" ht="72" x14ac:dyDescent="0.3">
      <c r="A2983" s="16" t="s">
        <v>7724</v>
      </c>
      <c r="B2983" s="16" t="s">
        <v>7730</v>
      </c>
      <c r="C2983" s="16" t="s">
        <v>7733</v>
      </c>
      <c r="D2983" s="16" t="s">
        <v>7597</v>
      </c>
      <c r="E2983" s="16" t="s">
        <v>3922</v>
      </c>
      <c r="F2983" s="16" t="s">
        <v>8015</v>
      </c>
      <c r="G2983" s="16" t="s">
        <v>22</v>
      </c>
      <c r="H2983" s="16" t="s">
        <v>240</v>
      </c>
      <c r="I2983" s="16"/>
      <c r="J2983" s="16"/>
      <c r="K2983" s="16"/>
      <c r="L2983" s="16" t="s">
        <v>8016</v>
      </c>
      <c r="M2983" s="19" t="s">
        <v>3924</v>
      </c>
      <c r="N2983" s="16"/>
      <c r="O2983" s="16" t="s">
        <v>3925</v>
      </c>
      <c r="P2983" s="16" t="str">
        <f>HYPERLINK("https://ceds.ed.gov/cedselementdetails.aspx?termid=26745")</f>
        <v>https://ceds.ed.gov/cedselementdetails.aspx?termid=26745</v>
      </c>
      <c r="Q2983" s="16">
        <v>71266</v>
      </c>
    </row>
    <row r="2984" spans="1:17" ht="86.4" x14ac:dyDescent="0.3">
      <c r="A2984" s="16" t="s">
        <v>7724</v>
      </c>
      <c r="B2984" s="16" t="s">
        <v>7730</v>
      </c>
      <c r="C2984" s="16" t="s">
        <v>7733</v>
      </c>
      <c r="D2984" s="16" t="s">
        <v>7597</v>
      </c>
      <c r="E2984" s="16" t="s">
        <v>3926</v>
      </c>
      <c r="F2984" s="16" t="s">
        <v>3927</v>
      </c>
      <c r="G2984" s="16" t="s">
        <v>8597</v>
      </c>
      <c r="H2984" s="16" t="s">
        <v>240</v>
      </c>
      <c r="I2984" s="16"/>
      <c r="J2984" s="16"/>
      <c r="K2984" s="16"/>
      <c r="L2984" s="16" t="s">
        <v>8017</v>
      </c>
      <c r="M2984" s="19" t="s">
        <v>3928</v>
      </c>
      <c r="N2984" s="16"/>
      <c r="O2984" s="16" t="s">
        <v>3929</v>
      </c>
      <c r="P2984" s="16" t="str">
        <f>HYPERLINK("https://ceds.ed.gov/cedselementdetails.aspx?termid=27186")</f>
        <v>https://ceds.ed.gov/cedselementdetails.aspx?termid=27186</v>
      </c>
      <c r="Q2984" s="16">
        <v>71564</v>
      </c>
    </row>
    <row r="2985" spans="1:17" ht="57.6" x14ac:dyDescent="0.3">
      <c r="A2985" s="16" t="s">
        <v>7724</v>
      </c>
      <c r="B2985" s="16" t="s">
        <v>7730</v>
      </c>
      <c r="C2985" s="16" t="s">
        <v>7733</v>
      </c>
      <c r="D2985" s="16" t="s">
        <v>7597</v>
      </c>
      <c r="E2985" s="16" t="s">
        <v>3962</v>
      </c>
      <c r="F2985" s="16" t="s">
        <v>3963</v>
      </c>
      <c r="G2985" s="16" t="s">
        <v>32</v>
      </c>
      <c r="H2985" s="16" t="s">
        <v>240</v>
      </c>
      <c r="I2985" s="16"/>
      <c r="J2985" s="16" t="s">
        <v>1481</v>
      </c>
      <c r="K2985" s="16"/>
      <c r="L2985" s="16" t="s">
        <v>3964</v>
      </c>
      <c r="M2985" s="19" t="s">
        <v>3965</v>
      </c>
      <c r="N2985" s="16"/>
      <c r="O2985" s="16" t="s">
        <v>3966</v>
      </c>
      <c r="P2985" s="16" t="str">
        <f>HYPERLINK("https://ceds.ed.gov/cedselementdetails.aspx?termid=26747")</f>
        <v>https://ceds.ed.gov/cedselementdetails.aspx?termid=26747</v>
      </c>
      <c r="Q2985" s="16">
        <v>71267</v>
      </c>
    </row>
    <row r="2986" spans="1:17" ht="43.2" x14ac:dyDescent="0.3">
      <c r="A2986" s="16" t="s">
        <v>7724</v>
      </c>
      <c r="B2986" s="16" t="s">
        <v>7730</v>
      </c>
      <c r="C2986" s="16" t="s">
        <v>7733</v>
      </c>
      <c r="D2986" s="16" t="s">
        <v>7597</v>
      </c>
      <c r="E2986" s="16" t="s">
        <v>3967</v>
      </c>
      <c r="F2986" s="16" t="s">
        <v>3968</v>
      </c>
      <c r="G2986" s="16" t="s">
        <v>8602</v>
      </c>
      <c r="H2986" s="16" t="s">
        <v>240</v>
      </c>
      <c r="I2986" s="16"/>
      <c r="J2986" s="16"/>
      <c r="K2986" s="16"/>
      <c r="L2986" s="16" t="s">
        <v>3969</v>
      </c>
      <c r="M2986" s="19" t="s">
        <v>3970</v>
      </c>
      <c r="N2986" s="16"/>
      <c r="O2986" s="16" t="s">
        <v>3971</v>
      </c>
      <c r="P2986" s="16" t="str">
        <f>HYPERLINK("https://ceds.ed.gov/cedselementdetails.aspx?termid=27188")</f>
        <v>https://ceds.ed.gov/cedselementdetails.aspx?termid=27188</v>
      </c>
      <c r="Q2986" s="16">
        <v>71629</v>
      </c>
    </row>
    <row r="2987" spans="1:17" ht="72" x14ac:dyDescent="0.3">
      <c r="A2987" s="16" t="s">
        <v>7724</v>
      </c>
      <c r="B2987" s="16" t="s">
        <v>7730</v>
      </c>
      <c r="C2987" s="16" t="s">
        <v>7733</v>
      </c>
      <c r="D2987" s="16" t="s">
        <v>7597</v>
      </c>
      <c r="E2987" s="16" t="s">
        <v>3935</v>
      </c>
      <c r="F2987" s="16" t="s">
        <v>3936</v>
      </c>
      <c r="G2987" s="16" t="s">
        <v>8598</v>
      </c>
      <c r="H2987" s="16" t="s">
        <v>3934</v>
      </c>
      <c r="I2987" s="16"/>
      <c r="J2987" s="16"/>
      <c r="K2987" s="16"/>
      <c r="L2987" s="16" t="s">
        <v>8019</v>
      </c>
      <c r="M2987" s="19" t="s">
        <v>3937</v>
      </c>
      <c r="N2987" s="16"/>
      <c r="O2987" s="16" t="s">
        <v>3938</v>
      </c>
      <c r="P2987" s="16" t="str">
        <f>HYPERLINK("https://ceds.ed.gov/cedselementdetails.aspx?termid=26362")</f>
        <v>https://ceds.ed.gov/cedselementdetails.aspx?termid=26362</v>
      </c>
      <c r="Q2987" s="16">
        <v>70797</v>
      </c>
    </row>
    <row r="2988" spans="1:17" ht="331.2" x14ac:dyDescent="0.3">
      <c r="A2988" s="16" t="s">
        <v>7724</v>
      </c>
      <c r="B2988" s="16" t="s">
        <v>7730</v>
      </c>
      <c r="C2988" s="16" t="s">
        <v>7733</v>
      </c>
      <c r="D2988" s="16" t="s">
        <v>7597</v>
      </c>
      <c r="E2988" s="16" t="s">
        <v>3939</v>
      </c>
      <c r="F2988" s="16" t="s">
        <v>3940</v>
      </c>
      <c r="G2988" s="16" t="s">
        <v>8599</v>
      </c>
      <c r="H2988" s="16" t="s">
        <v>3934</v>
      </c>
      <c r="I2988" s="16"/>
      <c r="J2988" s="16"/>
      <c r="K2988" s="16"/>
      <c r="L2988" s="16" t="s">
        <v>8020</v>
      </c>
      <c r="M2988" s="19" t="s">
        <v>3941</v>
      </c>
      <c r="N2988" s="16"/>
      <c r="O2988" s="16" t="s">
        <v>3942</v>
      </c>
      <c r="P2988" s="16" t="str">
        <f>HYPERLINK("https://ceds.ed.gov/cedselementdetails.aspx?termid=26113")</f>
        <v>https://ceds.ed.gov/cedselementdetails.aspx?termid=26113</v>
      </c>
      <c r="Q2988" s="16">
        <v>70749</v>
      </c>
    </row>
    <row r="2989" spans="1:17" ht="72" x14ac:dyDescent="0.3">
      <c r="A2989" s="16" t="s">
        <v>7724</v>
      </c>
      <c r="B2989" s="16" t="s">
        <v>7730</v>
      </c>
      <c r="C2989" s="16" t="s">
        <v>7733</v>
      </c>
      <c r="D2989" s="16" t="s">
        <v>7597</v>
      </c>
      <c r="E2989" s="16" t="s">
        <v>3930</v>
      </c>
      <c r="F2989" s="16" t="s">
        <v>3931</v>
      </c>
      <c r="G2989" s="16" t="s">
        <v>32</v>
      </c>
      <c r="H2989" s="16" t="s">
        <v>3934</v>
      </c>
      <c r="I2989" s="16"/>
      <c r="J2989" s="16" t="s">
        <v>1481</v>
      </c>
      <c r="K2989" s="16"/>
      <c r="L2989" s="16" t="s">
        <v>8018</v>
      </c>
      <c r="M2989" s="19" t="s">
        <v>3932</v>
      </c>
      <c r="N2989" s="16"/>
      <c r="O2989" s="16" t="s">
        <v>3933</v>
      </c>
      <c r="P2989" s="16" t="str">
        <f>HYPERLINK("https://ceds.ed.gov/cedselementdetails.aspx?termid=26112")</f>
        <v>https://ceds.ed.gov/cedselementdetails.aspx?termid=26112</v>
      </c>
      <c r="Q2989" s="16">
        <v>70748</v>
      </c>
    </row>
    <row r="2990" spans="1:17" ht="129.6" x14ac:dyDescent="0.3">
      <c r="A2990" s="16" t="s">
        <v>7724</v>
      </c>
      <c r="B2990" s="16" t="s">
        <v>7730</v>
      </c>
      <c r="C2990" s="16" t="s">
        <v>7733</v>
      </c>
      <c r="D2990" s="16" t="s">
        <v>7597</v>
      </c>
      <c r="E2990" s="16" t="s">
        <v>3943</v>
      </c>
      <c r="F2990" s="16" t="s">
        <v>8021</v>
      </c>
      <c r="G2990" s="16" t="s">
        <v>32</v>
      </c>
      <c r="H2990" s="16"/>
      <c r="I2990" s="16"/>
      <c r="J2990" s="16" t="s">
        <v>1481</v>
      </c>
      <c r="K2990" s="16"/>
      <c r="L2990" s="16"/>
      <c r="M2990" s="19" t="s">
        <v>3944</v>
      </c>
      <c r="N2990" s="16"/>
      <c r="O2990" s="16" t="s">
        <v>3945</v>
      </c>
      <c r="P2990" s="16" t="str">
        <f>HYPERLINK("https://ceds.ed.gov/cedselementdetails.aspx?termid=27319")</f>
        <v>https://ceds.ed.gov/cedselementdetails.aspx?termid=27319</v>
      </c>
      <c r="Q2990" s="16">
        <v>73195</v>
      </c>
    </row>
    <row r="2991" spans="1:17" ht="72" x14ac:dyDescent="0.3">
      <c r="A2991" s="16" t="s">
        <v>7724</v>
      </c>
      <c r="B2991" s="16" t="s">
        <v>7730</v>
      </c>
      <c r="C2991" s="16" t="s">
        <v>7733</v>
      </c>
      <c r="D2991" s="16" t="s">
        <v>7597</v>
      </c>
      <c r="E2991" s="16" t="s">
        <v>3946</v>
      </c>
      <c r="F2991" s="16" t="s">
        <v>3947</v>
      </c>
      <c r="G2991" s="16" t="s">
        <v>8600</v>
      </c>
      <c r="H2991" s="16" t="s">
        <v>2564</v>
      </c>
      <c r="I2991" s="16"/>
      <c r="J2991" s="16"/>
      <c r="K2991" s="16"/>
      <c r="L2991" s="16"/>
      <c r="M2991" s="19" t="s">
        <v>3948</v>
      </c>
      <c r="N2991" s="16"/>
      <c r="O2991" s="16" t="s">
        <v>3949</v>
      </c>
      <c r="P2991" s="16" t="str">
        <f>HYPERLINK("https://ceds.ed.gov/cedselementdetails.aspx?termid=27588")</f>
        <v>https://ceds.ed.gov/cedselementdetails.aspx?termid=27588</v>
      </c>
      <c r="Q2991" s="16">
        <v>74079</v>
      </c>
    </row>
    <row r="2992" spans="1:17" ht="43.2" x14ac:dyDescent="0.3">
      <c r="A2992" s="16" t="s">
        <v>7724</v>
      </c>
      <c r="B2992" s="16" t="s">
        <v>7730</v>
      </c>
      <c r="C2992" s="16" t="s">
        <v>7733</v>
      </c>
      <c r="D2992" s="16" t="s">
        <v>7597</v>
      </c>
      <c r="E2992" s="16" t="s">
        <v>3950</v>
      </c>
      <c r="F2992" s="16" t="s">
        <v>3951</v>
      </c>
      <c r="G2992" s="16" t="s">
        <v>8601</v>
      </c>
      <c r="H2992" s="16" t="s">
        <v>230</v>
      </c>
      <c r="I2992" s="16"/>
      <c r="J2992" s="16"/>
      <c r="K2992" s="16"/>
      <c r="L2992" s="16"/>
      <c r="M2992" s="19" t="s">
        <v>3952</v>
      </c>
      <c r="N2992" s="16"/>
      <c r="O2992" s="16" t="s">
        <v>3953</v>
      </c>
      <c r="P2992" s="16" t="str">
        <f>HYPERLINK("https://ceds.ed.gov/cedselementdetails.aspx?termid=27589")</f>
        <v>https://ceds.ed.gov/cedselementdetails.aspx?termid=27589</v>
      </c>
      <c r="Q2992" s="16">
        <v>74080</v>
      </c>
    </row>
    <row r="2993" spans="1:17" ht="57.6" x14ac:dyDescent="0.3">
      <c r="A2993" s="16" t="s">
        <v>7724</v>
      </c>
      <c r="B2993" s="16" t="s">
        <v>7730</v>
      </c>
      <c r="C2993" s="16" t="s">
        <v>7733</v>
      </c>
      <c r="D2993" s="16" t="s">
        <v>7597</v>
      </c>
      <c r="E2993" s="16" t="s">
        <v>3954</v>
      </c>
      <c r="F2993" s="16" t="s">
        <v>8022</v>
      </c>
      <c r="G2993" s="16" t="s">
        <v>32</v>
      </c>
      <c r="H2993" s="16" t="s">
        <v>3072</v>
      </c>
      <c r="I2993" s="16"/>
      <c r="J2993" s="16" t="s">
        <v>78</v>
      </c>
      <c r="K2993" s="16"/>
      <c r="L2993" s="16"/>
      <c r="M2993" s="19" t="s">
        <v>3955</v>
      </c>
      <c r="N2993" s="16"/>
      <c r="O2993" s="16" t="s">
        <v>3956</v>
      </c>
      <c r="P2993" s="16" t="str">
        <f>HYPERLINK("https://ceds.ed.gov/cedselementdetails.aspx?termid=27590")</f>
        <v>https://ceds.ed.gov/cedselementdetails.aspx?termid=27590</v>
      </c>
      <c r="Q2993" s="16">
        <v>74081</v>
      </c>
    </row>
    <row r="2994" spans="1:17" ht="86.4" x14ac:dyDescent="0.3">
      <c r="A2994" s="16" t="s">
        <v>7724</v>
      </c>
      <c r="B2994" s="16" t="s">
        <v>7730</v>
      </c>
      <c r="C2994" s="16" t="s">
        <v>7734</v>
      </c>
      <c r="D2994" s="16" t="s">
        <v>7597</v>
      </c>
      <c r="E2994" s="16" t="s">
        <v>3026</v>
      </c>
      <c r="F2994" s="16" t="s">
        <v>3027</v>
      </c>
      <c r="G2994" s="16" t="s">
        <v>22</v>
      </c>
      <c r="H2994" s="16" t="s">
        <v>42</v>
      </c>
      <c r="I2994" s="16"/>
      <c r="J2994" s="16"/>
      <c r="K2994" s="16"/>
      <c r="L2994" s="16"/>
      <c r="M2994" s="19" t="s">
        <v>3028</v>
      </c>
      <c r="N2994" s="16"/>
      <c r="O2994" s="16" t="s">
        <v>3029</v>
      </c>
      <c r="P2994" s="16" t="str">
        <f>HYPERLINK("https://ceds.ed.gov/cedselementdetails.aspx?termid=26078")</f>
        <v>https://ceds.ed.gov/cedselementdetails.aspx?termid=26078</v>
      </c>
      <c r="Q2994" s="16">
        <v>70739</v>
      </c>
    </row>
    <row r="2995" spans="1:17" ht="187.2" x14ac:dyDescent="0.3">
      <c r="A2995" s="16" t="s">
        <v>7724</v>
      </c>
      <c r="B2995" s="16" t="s">
        <v>7730</v>
      </c>
      <c r="C2995" s="16" t="s">
        <v>7734</v>
      </c>
      <c r="D2995" s="16" t="s">
        <v>7597</v>
      </c>
      <c r="E2995" s="16" t="s">
        <v>2072</v>
      </c>
      <c r="F2995" s="16" t="s">
        <v>2073</v>
      </c>
      <c r="G2995" s="16" t="s">
        <v>8440</v>
      </c>
      <c r="H2995" s="16" t="s">
        <v>230</v>
      </c>
      <c r="I2995" s="16"/>
      <c r="J2995" s="16"/>
      <c r="K2995" s="16"/>
      <c r="L2995" s="16"/>
      <c r="M2995" s="19" t="s">
        <v>2075</v>
      </c>
      <c r="N2995" s="16"/>
      <c r="O2995" s="16" t="s">
        <v>2076</v>
      </c>
      <c r="P2995" s="16" t="str">
        <f>HYPERLINK("https://ceds.ed.gov/cedselementdetails.aspx?termid=26106")</f>
        <v>https://ceds.ed.gov/cedselementdetails.aspx?termid=26106</v>
      </c>
      <c r="Q2995" s="16">
        <v>73972</v>
      </c>
    </row>
    <row r="2996" spans="1:17" ht="172.8" x14ac:dyDescent="0.3">
      <c r="A2996" s="16" t="s">
        <v>7724</v>
      </c>
      <c r="B2996" s="16" t="s">
        <v>7730</v>
      </c>
      <c r="C2996" s="16" t="s">
        <v>7734</v>
      </c>
      <c r="D2996" s="16" t="s">
        <v>7597</v>
      </c>
      <c r="E2996" s="16" t="s">
        <v>3995</v>
      </c>
      <c r="F2996" s="16" t="s">
        <v>8048</v>
      </c>
      <c r="G2996" s="16" t="s">
        <v>22</v>
      </c>
      <c r="H2996" s="16" t="s">
        <v>186</v>
      </c>
      <c r="I2996" s="16"/>
      <c r="J2996" s="16"/>
      <c r="K2996" s="16"/>
      <c r="L2996" s="16"/>
      <c r="M2996" s="19" t="s">
        <v>3996</v>
      </c>
      <c r="N2996" s="16"/>
      <c r="O2996" s="16" t="s">
        <v>3997</v>
      </c>
      <c r="P2996" s="16" t="str">
        <f>HYPERLINK("https://ceds.ed.gov/cedselementdetails.aspx?termid=26117")</f>
        <v>https://ceds.ed.gov/cedselementdetails.aspx?termid=26117</v>
      </c>
      <c r="Q2996" s="16">
        <v>70751</v>
      </c>
    </row>
    <row r="2997" spans="1:17" ht="72" x14ac:dyDescent="0.3">
      <c r="A2997" s="16" t="s">
        <v>7724</v>
      </c>
      <c r="B2997" s="16" t="s">
        <v>7730</v>
      </c>
      <c r="C2997" s="16" t="s">
        <v>7734</v>
      </c>
      <c r="D2997" s="16" t="s">
        <v>7597</v>
      </c>
      <c r="E2997" s="16" t="s">
        <v>6941</v>
      </c>
      <c r="F2997" s="16" t="s">
        <v>6942</v>
      </c>
      <c r="G2997" s="16" t="s">
        <v>8841</v>
      </c>
      <c r="H2997" s="16" t="s">
        <v>186</v>
      </c>
      <c r="I2997" s="16"/>
      <c r="J2997" s="16"/>
      <c r="K2997" s="16"/>
      <c r="L2997" s="16"/>
      <c r="M2997" s="19" t="s">
        <v>6943</v>
      </c>
      <c r="N2997" s="16"/>
      <c r="O2997" s="16" t="s">
        <v>6944</v>
      </c>
      <c r="P2997" s="16" t="str">
        <f>HYPERLINK("https://ceds.ed.gov/cedselementdetails.aspx?termid=26272")</f>
        <v>https://ceds.ed.gov/cedselementdetails.aspx?termid=26272</v>
      </c>
      <c r="Q2997" s="16">
        <v>70788</v>
      </c>
    </row>
    <row r="2998" spans="1:17" ht="72" x14ac:dyDescent="0.3">
      <c r="A2998" s="16" t="s">
        <v>7724</v>
      </c>
      <c r="B2998" s="16" t="s">
        <v>7730</v>
      </c>
      <c r="C2998" s="16" t="s">
        <v>7734</v>
      </c>
      <c r="D2998" s="16" t="s">
        <v>7597</v>
      </c>
      <c r="E2998" s="16" t="s">
        <v>3544</v>
      </c>
      <c r="F2998" s="16" t="s">
        <v>7970</v>
      </c>
      <c r="G2998" s="16" t="s">
        <v>32</v>
      </c>
      <c r="H2998" s="16" t="s">
        <v>3547</v>
      </c>
      <c r="I2998" s="16"/>
      <c r="J2998" s="16" t="s">
        <v>106</v>
      </c>
      <c r="K2998" s="16"/>
      <c r="L2998" s="16"/>
      <c r="M2998" s="19" t="s">
        <v>3545</v>
      </c>
      <c r="N2998" s="16"/>
      <c r="O2998" s="16" t="s">
        <v>3546</v>
      </c>
      <c r="P2998" s="16" t="str">
        <f>HYPERLINK("https://ceds.ed.gov/cedselementdetails.aspx?termid=26098")</f>
        <v>https://ceds.ed.gov/cedselementdetails.aspx?termid=26098</v>
      </c>
      <c r="Q2998" s="16">
        <v>70745</v>
      </c>
    </row>
    <row r="2999" spans="1:17" ht="172.8" x14ac:dyDescent="0.3">
      <c r="A2999" s="16" t="s">
        <v>7724</v>
      </c>
      <c r="B2999" s="16" t="s">
        <v>7730</v>
      </c>
      <c r="C2999" s="16" t="s">
        <v>7734</v>
      </c>
      <c r="D2999" s="16" t="s">
        <v>7597</v>
      </c>
      <c r="E2999" s="16" t="s">
        <v>3526</v>
      </c>
      <c r="F2999" s="16" t="s">
        <v>3527</v>
      </c>
      <c r="G2999" s="16" t="s">
        <v>32</v>
      </c>
      <c r="H2999" s="16" t="s">
        <v>3530</v>
      </c>
      <c r="I2999" s="16"/>
      <c r="J2999" s="16" t="s">
        <v>106</v>
      </c>
      <c r="K2999" s="16"/>
      <c r="L2999" s="16"/>
      <c r="M2999" s="19" t="s">
        <v>3528</v>
      </c>
      <c r="N2999" s="16"/>
      <c r="O2999" s="16" t="s">
        <v>3529</v>
      </c>
      <c r="P2999" s="16" t="str">
        <f>HYPERLINK("https://ceds.ed.gov/cedselementdetails.aspx?termid=26097")</f>
        <v>https://ceds.ed.gov/cedselementdetails.aspx?termid=26097</v>
      </c>
      <c r="Q2999" s="16">
        <v>73971</v>
      </c>
    </row>
    <row r="3000" spans="1:17" ht="57.6" x14ac:dyDescent="0.3">
      <c r="A3000" s="16" t="s">
        <v>7724</v>
      </c>
      <c r="B3000" s="16" t="s">
        <v>7730</v>
      </c>
      <c r="C3000" s="16" t="s">
        <v>7734</v>
      </c>
      <c r="D3000" s="16" t="s">
        <v>7597</v>
      </c>
      <c r="E3000" s="16" t="s">
        <v>3531</v>
      </c>
      <c r="F3000" s="16" t="s">
        <v>3532</v>
      </c>
      <c r="G3000" s="16" t="s">
        <v>32</v>
      </c>
      <c r="H3000" s="16" t="s">
        <v>58</v>
      </c>
      <c r="I3000" s="16"/>
      <c r="J3000" s="16" t="s">
        <v>106</v>
      </c>
      <c r="K3000" s="16"/>
      <c r="L3000" s="16" t="s">
        <v>131</v>
      </c>
      <c r="M3000" s="19" t="s">
        <v>3533</v>
      </c>
      <c r="N3000" s="16"/>
      <c r="O3000" s="16" t="s">
        <v>3534</v>
      </c>
      <c r="P3000" s="16" t="str">
        <f>HYPERLINK("https://ceds.ed.gov/cedselementdetails.aspx?termid=26107")</f>
        <v>https://ceds.ed.gov/cedselementdetails.aspx?termid=26107</v>
      </c>
      <c r="Q3000" s="16">
        <v>70747</v>
      </c>
    </row>
    <row r="3001" spans="1:17" ht="57.6" x14ac:dyDescent="0.3">
      <c r="A3001" s="16" t="s">
        <v>7724</v>
      </c>
      <c r="B3001" s="16" t="s">
        <v>7730</v>
      </c>
      <c r="C3001" s="16" t="s">
        <v>7734</v>
      </c>
      <c r="D3001" s="16" t="s">
        <v>7597</v>
      </c>
      <c r="E3001" s="16" t="s">
        <v>4675</v>
      </c>
      <c r="F3001" s="16" t="s">
        <v>8062</v>
      </c>
      <c r="G3001" s="16" t="s">
        <v>32</v>
      </c>
      <c r="H3001" s="16" t="s">
        <v>186</v>
      </c>
      <c r="I3001" s="16"/>
      <c r="J3001" s="16" t="s">
        <v>81</v>
      </c>
      <c r="K3001" s="16"/>
      <c r="L3001" s="16"/>
      <c r="M3001" s="19" t="s">
        <v>4676</v>
      </c>
      <c r="N3001" s="16"/>
      <c r="O3001" s="16" t="s">
        <v>4677</v>
      </c>
      <c r="P3001" s="16" t="str">
        <f>HYPERLINK("https://ceds.ed.gov/cedselementdetails.aspx?termid=26165")</f>
        <v>https://ceds.ed.gov/cedselementdetails.aspx?termid=26165</v>
      </c>
      <c r="Q3001" s="16">
        <v>70764</v>
      </c>
    </row>
    <row r="3002" spans="1:17" ht="86.4" x14ac:dyDescent="0.3">
      <c r="A3002" s="16" t="s">
        <v>7724</v>
      </c>
      <c r="B3002" s="16" t="s">
        <v>7730</v>
      </c>
      <c r="C3002" s="16" t="s">
        <v>7734</v>
      </c>
      <c r="D3002" s="16" t="s">
        <v>7597</v>
      </c>
      <c r="E3002" s="16" t="s">
        <v>5806</v>
      </c>
      <c r="F3002" s="16" t="s">
        <v>8106</v>
      </c>
      <c r="G3002" s="16" t="s">
        <v>8760</v>
      </c>
      <c r="H3002" s="16" t="s">
        <v>2564</v>
      </c>
      <c r="I3002" s="16"/>
      <c r="J3002" s="16"/>
      <c r="K3002" s="16"/>
      <c r="L3002" s="16"/>
      <c r="M3002" s="19" t="s">
        <v>5807</v>
      </c>
      <c r="N3002" s="16"/>
      <c r="O3002" s="16" t="s">
        <v>5808</v>
      </c>
      <c r="P3002" s="16" t="str">
        <f>HYPERLINK("https://ceds.ed.gov/cedselementdetails.aspx?termid=27596")</f>
        <v>https://ceds.ed.gov/cedselementdetails.aspx?termid=27596</v>
      </c>
      <c r="Q3002" s="16">
        <v>74095</v>
      </c>
    </row>
    <row r="3003" spans="1:17" ht="57.6" x14ac:dyDescent="0.3">
      <c r="A3003" s="16" t="s">
        <v>7724</v>
      </c>
      <c r="B3003" s="16" t="s">
        <v>7730</v>
      </c>
      <c r="C3003" s="16" t="s">
        <v>7734</v>
      </c>
      <c r="D3003" s="16" t="s">
        <v>7597</v>
      </c>
      <c r="E3003" s="16" t="s">
        <v>7169</v>
      </c>
      <c r="F3003" s="16" t="s">
        <v>7170</v>
      </c>
      <c r="G3003" s="16" t="s">
        <v>8857</v>
      </c>
      <c r="H3003" s="16" t="s">
        <v>186</v>
      </c>
      <c r="I3003" s="16"/>
      <c r="J3003" s="16"/>
      <c r="K3003" s="16"/>
      <c r="L3003" s="16"/>
      <c r="M3003" s="19" t="s">
        <v>7171</v>
      </c>
      <c r="N3003" s="16"/>
      <c r="O3003" s="16" t="s">
        <v>7172</v>
      </c>
      <c r="P3003" s="16" t="str">
        <f>HYPERLINK("https://ceds.ed.gov/cedselementdetails.aspx?termid=26296")</f>
        <v>https://ceds.ed.gov/cedselementdetails.aspx?termid=26296</v>
      </c>
      <c r="Q3003" s="16">
        <v>70792</v>
      </c>
    </row>
    <row r="3004" spans="1:17" ht="43.2" x14ac:dyDescent="0.3">
      <c r="A3004" s="16" t="s">
        <v>7724</v>
      </c>
      <c r="B3004" s="16" t="s">
        <v>7730</v>
      </c>
      <c r="C3004" s="16" t="s">
        <v>7734</v>
      </c>
      <c r="D3004" s="16" t="s">
        <v>7597</v>
      </c>
      <c r="E3004" s="16" t="s">
        <v>3069</v>
      </c>
      <c r="F3004" s="16" t="s">
        <v>7937</v>
      </c>
      <c r="G3004" s="16" t="s">
        <v>8499</v>
      </c>
      <c r="H3004" s="16" t="s">
        <v>3072</v>
      </c>
      <c r="I3004" s="16"/>
      <c r="J3004" s="16"/>
      <c r="K3004" s="16"/>
      <c r="L3004" s="16"/>
      <c r="M3004" s="19" t="s">
        <v>3070</v>
      </c>
      <c r="N3004" s="16"/>
      <c r="O3004" s="16" t="s">
        <v>3071</v>
      </c>
      <c r="P3004" s="16" t="str">
        <f>HYPERLINK("https://ceds.ed.gov/cedselementdetails.aspx?termid=27567")</f>
        <v>https://ceds.ed.gov/cedselementdetails.aspx?termid=27567</v>
      </c>
      <c r="Q3004" s="16">
        <v>74056</v>
      </c>
    </row>
    <row r="3005" spans="1:17" ht="86.4" x14ac:dyDescent="0.3">
      <c r="A3005" s="16" t="s">
        <v>7724</v>
      </c>
      <c r="B3005" s="16" t="s">
        <v>7730</v>
      </c>
      <c r="C3005" s="16" t="s">
        <v>7734</v>
      </c>
      <c r="D3005" s="16" t="s">
        <v>7597</v>
      </c>
      <c r="E3005" s="16" t="s">
        <v>3073</v>
      </c>
      <c r="F3005" s="16" t="s">
        <v>3074</v>
      </c>
      <c r="G3005" s="16" t="s">
        <v>8500</v>
      </c>
      <c r="H3005" s="16" t="s">
        <v>3072</v>
      </c>
      <c r="I3005" s="16"/>
      <c r="J3005" s="16"/>
      <c r="K3005" s="16"/>
      <c r="L3005" s="16"/>
      <c r="M3005" s="19" t="s">
        <v>3076</v>
      </c>
      <c r="N3005" s="16"/>
      <c r="O3005" s="16" t="s">
        <v>3077</v>
      </c>
      <c r="P3005" s="16" t="str">
        <f>HYPERLINK("https://ceds.ed.gov/cedselementdetails.aspx?termid=27568")</f>
        <v>https://ceds.ed.gov/cedselementdetails.aspx?termid=27568</v>
      </c>
      <c r="Q3005" s="16">
        <v>74057</v>
      </c>
    </row>
    <row r="3006" spans="1:17" ht="43.2" x14ac:dyDescent="0.3">
      <c r="A3006" s="16" t="s">
        <v>7724</v>
      </c>
      <c r="B3006" s="16" t="s">
        <v>7730</v>
      </c>
      <c r="C3006" s="16" t="s">
        <v>7734</v>
      </c>
      <c r="D3006" s="16" t="s">
        <v>7597</v>
      </c>
      <c r="E3006" s="16" t="s">
        <v>369</v>
      </c>
      <c r="F3006" s="16" t="s">
        <v>7829</v>
      </c>
      <c r="G3006" s="16" t="s">
        <v>32</v>
      </c>
      <c r="H3006" s="16" t="s">
        <v>372</v>
      </c>
      <c r="I3006" s="16"/>
      <c r="J3006" s="16" t="s">
        <v>106</v>
      </c>
      <c r="K3006" s="16"/>
      <c r="L3006" s="16"/>
      <c r="M3006" s="19" t="s">
        <v>370</v>
      </c>
      <c r="N3006" s="16"/>
      <c r="O3006" s="16" t="s">
        <v>371</v>
      </c>
      <c r="P3006" s="16" t="str">
        <f>HYPERLINK("https://ceds.ed.gov/cedselementdetails.aspx?termid=26323")</f>
        <v>https://ceds.ed.gov/cedselementdetails.aspx?termid=26323</v>
      </c>
      <c r="Q3006" s="16">
        <v>75671</v>
      </c>
    </row>
    <row r="3007" spans="1:17" ht="230.4" x14ac:dyDescent="0.3">
      <c r="A3007" s="16" t="s">
        <v>7724</v>
      </c>
      <c r="B3007" s="16" t="s">
        <v>7730</v>
      </c>
      <c r="C3007" s="16" t="s">
        <v>7734</v>
      </c>
      <c r="D3007" s="16" t="s">
        <v>7597</v>
      </c>
      <c r="E3007" s="16" t="s">
        <v>7543</v>
      </c>
      <c r="F3007" s="16" t="s">
        <v>7544</v>
      </c>
      <c r="G3007" s="16" t="s">
        <v>13093</v>
      </c>
      <c r="H3007" s="16"/>
      <c r="I3007" s="16" t="s">
        <v>160</v>
      </c>
      <c r="J3007" s="16"/>
      <c r="K3007" s="16" t="s">
        <v>12951</v>
      </c>
      <c r="L3007" s="16"/>
      <c r="M3007" s="19" t="s">
        <v>7545</v>
      </c>
      <c r="N3007" s="16"/>
      <c r="O3007" s="16" t="s">
        <v>7543</v>
      </c>
      <c r="P3007" s="16" t="str">
        <f>HYPERLINK("https://ceds.ed.gov/cedselementdetails.aspx?termid=27959")</f>
        <v>https://ceds.ed.gov/cedselementdetails.aspx?termid=27959</v>
      </c>
      <c r="Q3007" s="16">
        <v>75672</v>
      </c>
    </row>
    <row r="3008" spans="1:17" ht="172.8" x14ac:dyDescent="0.3">
      <c r="A3008" s="16" t="s">
        <v>7724</v>
      </c>
      <c r="B3008" s="16" t="s">
        <v>7730</v>
      </c>
      <c r="C3008" s="16" t="s">
        <v>7735</v>
      </c>
      <c r="D3008" s="16" t="s">
        <v>7597</v>
      </c>
      <c r="E3008" s="16" t="s">
        <v>6074</v>
      </c>
      <c r="F3008" s="16" t="s">
        <v>6075</v>
      </c>
      <c r="G3008" s="16" t="s">
        <v>32</v>
      </c>
      <c r="H3008" s="16" t="s">
        <v>2564</v>
      </c>
      <c r="I3008" s="16"/>
      <c r="J3008" s="16" t="s">
        <v>120</v>
      </c>
      <c r="K3008" s="16"/>
      <c r="L3008" s="16" t="s">
        <v>7817</v>
      </c>
      <c r="M3008" s="19" t="s">
        <v>6076</v>
      </c>
      <c r="N3008" s="16"/>
      <c r="O3008" s="16" t="s">
        <v>6077</v>
      </c>
      <c r="P3008" s="16" t="str">
        <f>HYPERLINK("https://ceds.ed.gov/cedselementdetails.aspx?termid=26618")</f>
        <v>https://ceds.ed.gov/cedselementdetails.aspx?termid=26618</v>
      </c>
      <c r="Q3008" s="16">
        <v>74006</v>
      </c>
    </row>
    <row r="3009" spans="1:17" ht="43.2" x14ac:dyDescent="0.3">
      <c r="A3009" s="16" t="s">
        <v>7724</v>
      </c>
      <c r="B3009" s="16" t="s">
        <v>7730</v>
      </c>
      <c r="C3009" s="16" t="s">
        <v>7735</v>
      </c>
      <c r="D3009" s="16" t="s">
        <v>7597</v>
      </c>
      <c r="E3009" s="16" t="s">
        <v>6089</v>
      </c>
      <c r="F3009" s="16" t="s">
        <v>6090</v>
      </c>
      <c r="G3009" s="16" t="s">
        <v>32</v>
      </c>
      <c r="H3009" s="16" t="s">
        <v>2564</v>
      </c>
      <c r="I3009" s="16"/>
      <c r="J3009" s="16" t="s">
        <v>145</v>
      </c>
      <c r="K3009" s="16"/>
      <c r="L3009" s="16"/>
      <c r="M3009" s="19" t="s">
        <v>6091</v>
      </c>
      <c r="N3009" s="16"/>
      <c r="O3009" s="16" t="s">
        <v>6092</v>
      </c>
      <c r="P3009" s="16" t="str">
        <f>HYPERLINK("https://ceds.ed.gov/cedselementdetails.aspx?termid=26619")</f>
        <v>https://ceds.ed.gov/cedselementdetails.aspx?termid=26619</v>
      </c>
      <c r="Q3009" s="16">
        <v>74012</v>
      </c>
    </row>
    <row r="3010" spans="1:17" ht="115.2" x14ac:dyDescent="0.3">
      <c r="A3010" s="16" t="s">
        <v>7724</v>
      </c>
      <c r="B3010" s="16" t="s">
        <v>7730</v>
      </c>
      <c r="C3010" s="16" t="s">
        <v>7735</v>
      </c>
      <c r="D3010" s="16" t="s">
        <v>7597</v>
      </c>
      <c r="E3010" s="16" t="s">
        <v>6102</v>
      </c>
      <c r="F3010" s="16" t="s">
        <v>6103</v>
      </c>
      <c r="G3010" s="16" t="s">
        <v>8799</v>
      </c>
      <c r="H3010" s="16" t="s">
        <v>2564</v>
      </c>
      <c r="I3010" s="16"/>
      <c r="J3010" s="16"/>
      <c r="K3010" s="16"/>
      <c r="L3010" s="16"/>
      <c r="M3010" s="19" t="s">
        <v>6104</v>
      </c>
      <c r="N3010" s="16"/>
      <c r="O3010" s="16" t="s">
        <v>6105</v>
      </c>
      <c r="P3010" s="16" t="str">
        <f>HYPERLINK("https://ceds.ed.gov/cedselementdetails.aspx?termid=27209")</f>
        <v>https://ceds.ed.gov/cedselementdetails.aspx?termid=27209</v>
      </c>
      <c r="Q3010" s="16">
        <v>74027</v>
      </c>
    </row>
    <row r="3011" spans="1:17" ht="57.6" x14ac:dyDescent="0.3">
      <c r="A3011" s="16" t="s">
        <v>7724</v>
      </c>
      <c r="B3011" s="16" t="s">
        <v>7730</v>
      </c>
      <c r="C3011" s="16" t="s">
        <v>7735</v>
      </c>
      <c r="D3011" s="16" t="s">
        <v>7597</v>
      </c>
      <c r="E3011" s="16" t="s">
        <v>6097</v>
      </c>
      <c r="F3011" s="16" t="s">
        <v>6098</v>
      </c>
      <c r="G3011" s="16" t="s">
        <v>32</v>
      </c>
      <c r="H3011" s="16" t="s">
        <v>6101</v>
      </c>
      <c r="I3011" s="16"/>
      <c r="J3011" s="16" t="s">
        <v>106</v>
      </c>
      <c r="K3011" s="16"/>
      <c r="L3011" s="16"/>
      <c r="M3011" s="19" t="s">
        <v>6099</v>
      </c>
      <c r="N3011" s="16"/>
      <c r="O3011" s="16" t="s">
        <v>6100</v>
      </c>
      <c r="P3011" s="16" t="str">
        <f>HYPERLINK("https://ceds.ed.gov/cedselementdetails.aspx?termid=26583")</f>
        <v>https://ceds.ed.gov/cedselementdetails.aspx?termid=26583</v>
      </c>
      <c r="Q3011" s="16">
        <v>74004</v>
      </c>
    </row>
    <row r="3012" spans="1:17" ht="57.6" x14ac:dyDescent="0.3">
      <c r="A3012" s="16" t="s">
        <v>7724</v>
      </c>
      <c r="B3012" s="16" t="s">
        <v>7730</v>
      </c>
      <c r="C3012" s="16" t="s">
        <v>7735</v>
      </c>
      <c r="D3012" s="16" t="s">
        <v>7597</v>
      </c>
      <c r="E3012" s="16" t="s">
        <v>6093</v>
      </c>
      <c r="F3012" s="16" t="s">
        <v>1900</v>
      </c>
      <c r="G3012" s="16" t="s">
        <v>32</v>
      </c>
      <c r="H3012" s="16" t="s">
        <v>6096</v>
      </c>
      <c r="I3012" s="16"/>
      <c r="J3012" s="16" t="s">
        <v>106</v>
      </c>
      <c r="K3012" s="16"/>
      <c r="L3012" s="16" t="s">
        <v>131</v>
      </c>
      <c r="M3012" s="19" t="s">
        <v>6094</v>
      </c>
      <c r="N3012" s="16"/>
      <c r="O3012" s="16" t="s">
        <v>6095</v>
      </c>
      <c r="P3012" s="16" t="str">
        <f>HYPERLINK("https://ceds.ed.gov/cedselementdetails.aspx?termid=26584")</f>
        <v>https://ceds.ed.gov/cedselementdetails.aspx?termid=26584</v>
      </c>
      <c r="Q3012" s="16">
        <v>74005</v>
      </c>
    </row>
    <row r="3013" spans="1:17" ht="57.6" x14ac:dyDescent="0.3">
      <c r="A3013" s="16" t="s">
        <v>7724</v>
      </c>
      <c r="B3013" s="16" t="s">
        <v>7730</v>
      </c>
      <c r="C3013" s="16" t="s">
        <v>7735</v>
      </c>
      <c r="D3013" s="16" t="s">
        <v>7597</v>
      </c>
      <c r="E3013" s="16" t="s">
        <v>7165</v>
      </c>
      <c r="F3013" s="16" t="s">
        <v>7166</v>
      </c>
      <c r="G3013" s="16" t="s">
        <v>2987</v>
      </c>
      <c r="H3013" s="16" t="s">
        <v>3072</v>
      </c>
      <c r="I3013" s="16"/>
      <c r="J3013" s="16"/>
      <c r="K3013" s="16"/>
      <c r="L3013" s="16"/>
      <c r="M3013" s="19" t="s">
        <v>7167</v>
      </c>
      <c r="N3013" s="16"/>
      <c r="O3013" s="16" t="s">
        <v>7168</v>
      </c>
      <c r="P3013" s="16" t="str">
        <f>HYPERLINK("https://ceds.ed.gov/cedselementdetails.aspx?termid=27610")</f>
        <v>https://ceds.ed.gov/cedselementdetails.aspx?termid=27610</v>
      </c>
      <c r="Q3013" s="16">
        <v>74111</v>
      </c>
    </row>
    <row r="3014" spans="1:17" ht="57.6" x14ac:dyDescent="0.3">
      <c r="A3014" s="16" t="s">
        <v>7724</v>
      </c>
      <c r="B3014" s="16" t="s">
        <v>7730</v>
      </c>
      <c r="C3014" s="16" t="s">
        <v>7735</v>
      </c>
      <c r="D3014" s="16" t="s">
        <v>7597</v>
      </c>
      <c r="E3014" s="16" t="s">
        <v>6081</v>
      </c>
      <c r="F3014" s="16" t="s">
        <v>6082</v>
      </c>
      <c r="G3014" s="16" t="s">
        <v>32</v>
      </c>
      <c r="H3014" s="16" t="s">
        <v>230</v>
      </c>
      <c r="I3014" s="16"/>
      <c r="J3014" s="16" t="s">
        <v>1481</v>
      </c>
      <c r="K3014" s="16"/>
      <c r="L3014" s="16"/>
      <c r="M3014" s="19" t="s">
        <v>6083</v>
      </c>
      <c r="N3014" s="16"/>
      <c r="O3014" s="16" t="s">
        <v>6084</v>
      </c>
      <c r="P3014" s="16" t="str">
        <f>HYPERLINK("https://ceds.ed.gov/cedselementdetails.aspx?termid=26223")</f>
        <v>https://ceds.ed.gov/cedselementdetails.aspx?termid=26223</v>
      </c>
      <c r="Q3014" s="16">
        <v>70779</v>
      </c>
    </row>
    <row r="3015" spans="1:17" ht="43.2" x14ac:dyDescent="0.3">
      <c r="A3015" s="16" t="s">
        <v>7724</v>
      </c>
      <c r="B3015" s="16" t="s">
        <v>7730</v>
      </c>
      <c r="C3015" s="16" t="s">
        <v>7735</v>
      </c>
      <c r="D3015" s="16" t="s">
        <v>7597</v>
      </c>
      <c r="E3015" s="16" t="s">
        <v>6085</v>
      </c>
      <c r="F3015" s="16" t="s">
        <v>6086</v>
      </c>
      <c r="G3015" s="16" t="s">
        <v>8665</v>
      </c>
      <c r="H3015" s="16" t="s">
        <v>230</v>
      </c>
      <c r="I3015" s="16"/>
      <c r="J3015" s="16"/>
      <c r="K3015" s="16"/>
      <c r="L3015" s="16"/>
      <c r="M3015" s="19" t="s">
        <v>6087</v>
      </c>
      <c r="N3015" s="16"/>
      <c r="O3015" s="16" t="s">
        <v>6088</v>
      </c>
      <c r="P3015" s="16" t="str">
        <f>HYPERLINK("https://ceds.ed.gov/cedselementdetails.aspx?termid=26224")</f>
        <v>https://ceds.ed.gov/cedselementdetails.aspx?termid=26224</v>
      </c>
      <c r="Q3015" s="16">
        <v>73989</v>
      </c>
    </row>
    <row r="3016" spans="1:17" ht="187.2" x14ac:dyDescent="0.3">
      <c r="A3016" s="16" t="s">
        <v>7724</v>
      </c>
      <c r="B3016" s="16" t="s">
        <v>7730</v>
      </c>
      <c r="C3016" s="16" t="s">
        <v>7735</v>
      </c>
      <c r="D3016" s="16" t="s">
        <v>7597</v>
      </c>
      <c r="E3016" s="16" t="s">
        <v>5487</v>
      </c>
      <c r="F3016" s="16" t="s">
        <v>5488</v>
      </c>
      <c r="G3016" s="16" t="s">
        <v>32</v>
      </c>
      <c r="H3016" s="16" t="s">
        <v>186</v>
      </c>
      <c r="I3016" s="16"/>
      <c r="J3016" s="16" t="s">
        <v>145</v>
      </c>
      <c r="K3016" s="16"/>
      <c r="L3016" s="16"/>
      <c r="M3016" s="19" t="s">
        <v>5489</v>
      </c>
      <c r="N3016" s="16"/>
      <c r="O3016" s="16" t="s">
        <v>5490</v>
      </c>
      <c r="P3016" s="16" t="str">
        <f>HYPERLINK("https://ceds.ed.gov/cedselementdetails.aspx?termid=26197")</f>
        <v>https://ceds.ed.gov/cedselementdetails.aspx?termid=26197</v>
      </c>
      <c r="Q3016" s="16">
        <v>70773</v>
      </c>
    </row>
    <row r="3017" spans="1:17" ht="86.4" x14ac:dyDescent="0.3">
      <c r="A3017" s="16" t="s">
        <v>7724</v>
      </c>
      <c r="B3017" s="16" t="s">
        <v>7730</v>
      </c>
      <c r="C3017" s="16" t="s">
        <v>7735</v>
      </c>
      <c r="D3017" s="16" t="s">
        <v>7597</v>
      </c>
      <c r="E3017" s="16" t="s">
        <v>5491</v>
      </c>
      <c r="F3017" s="16" t="s">
        <v>5492</v>
      </c>
      <c r="G3017" s="16" t="s">
        <v>8734</v>
      </c>
      <c r="H3017" s="16" t="s">
        <v>186</v>
      </c>
      <c r="I3017" s="16"/>
      <c r="J3017" s="16"/>
      <c r="K3017" s="16"/>
      <c r="L3017" s="16"/>
      <c r="M3017" s="19" t="s">
        <v>5493</v>
      </c>
      <c r="N3017" s="16"/>
      <c r="O3017" s="16" t="s">
        <v>5494</v>
      </c>
      <c r="P3017" s="16" t="str">
        <f>HYPERLINK("https://ceds.ed.gov/cedselementdetails.aspx?termid=26198")</f>
        <v>https://ceds.ed.gov/cedselementdetails.aspx?termid=26198</v>
      </c>
      <c r="Q3017" s="16">
        <v>73979</v>
      </c>
    </row>
    <row r="3018" spans="1:17" ht="72" x14ac:dyDescent="0.3">
      <c r="A3018" s="16" t="s">
        <v>7724</v>
      </c>
      <c r="B3018" s="16" t="s">
        <v>7730</v>
      </c>
      <c r="C3018" s="16" t="s">
        <v>7735</v>
      </c>
      <c r="D3018" s="16" t="s">
        <v>7597</v>
      </c>
      <c r="E3018" s="16" t="s">
        <v>5809</v>
      </c>
      <c r="F3018" s="16" t="s">
        <v>5810</v>
      </c>
      <c r="G3018" s="16" t="s">
        <v>8761</v>
      </c>
      <c r="H3018" s="16" t="s">
        <v>5813</v>
      </c>
      <c r="I3018" s="16"/>
      <c r="J3018" s="16"/>
      <c r="K3018" s="16"/>
      <c r="L3018" s="16"/>
      <c r="M3018" s="19" t="s">
        <v>5811</v>
      </c>
      <c r="N3018" s="16"/>
      <c r="O3018" s="16" t="s">
        <v>5812</v>
      </c>
      <c r="P3018" s="16" t="str">
        <f>HYPERLINK("https://ceds.ed.gov/cedselementdetails.aspx?termid=27595")</f>
        <v>https://ceds.ed.gov/cedselementdetails.aspx?termid=27595</v>
      </c>
      <c r="Q3018" s="16">
        <v>74091</v>
      </c>
    </row>
    <row r="3019" spans="1:17" ht="216" x14ac:dyDescent="0.3">
      <c r="A3019" s="16" t="s">
        <v>7724</v>
      </c>
      <c r="B3019" s="16" t="s">
        <v>7730</v>
      </c>
      <c r="C3019" s="16" t="s">
        <v>7735</v>
      </c>
      <c r="D3019" s="16" t="s">
        <v>7597</v>
      </c>
      <c r="E3019" s="16" t="s">
        <v>3535</v>
      </c>
      <c r="F3019" s="16" t="s">
        <v>3536</v>
      </c>
      <c r="G3019" s="16" t="s">
        <v>8281</v>
      </c>
      <c r="H3019" s="16" t="s">
        <v>186</v>
      </c>
      <c r="I3019" s="16"/>
      <c r="J3019" s="16"/>
      <c r="K3019" s="16"/>
      <c r="L3019" s="16"/>
      <c r="M3019" s="19" t="s">
        <v>3538</v>
      </c>
      <c r="N3019" s="16"/>
      <c r="O3019" s="16" t="s">
        <v>3539</v>
      </c>
      <c r="P3019" s="16" t="str">
        <f>HYPERLINK("https://ceds.ed.gov/cedselementdetails.aspx?termid=26360")</f>
        <v>https://ceds.ed.gov/cedselementdetails.aspx?termid=26360</v>
      </c>
      <c r="Q3019" s="16">
        <v>70795</v>
      </c>
    </row>
    <row r="3020" spans="1:17" ht="72" x14ac:dyDescent="0.3">
      <c r="A3020" s="16" t="s">
        <v>7724</v>
      </c>
      <c r="B3020" s="16" t="s">
        <v>7730</v>
      </c>
      <c r="C3020" s="16" t="s">
        <v>7735</v>
      </c>
      <c r="D3020" s="16" t="s">
        <v>7597</v>
      </c>
      <c r="E3020" s="16" t="s">
        <v>2044</v>
      </c>
      <c r="F3020" s="16" t="s">
        <v>2045</v>
      </c>
      <c r="G3020" s="16" t="s">
        <v>7312</v>
      </c>
      <c r="H3020" s="16" t="s">
        <v>42</v>
      </c>
      <c r="I3020" s="16" t="s">
        <v>160</v>
      </c>
      <c r="J3020" s="16" t="s">
        <v>2</v>
      </c>
      <c r="K3020" s="16" t="s">
        <v>12935</v>
      </c>
      <c r="L3020" s="16"/>
      <c r="M3020" s="19" t="s">
        <v>2046</v>
      </c>
      <c r="N3020" s="16" t="s">
        <v>2047</v>
      </c>
      <c r="O3020" s="16" t="s">
        <v>2048</v>
      </c>
      <c r="P3020" s="16" t="str">
        <f>HYPERLINK("https://ceds.ed.gov/cedselementdetails.aspx?termid=26043")</f>
        <v>https://ceds.ed.gov/cedselementdetails.aspx?termid=26043</v>
      </c>
      <c r="Q3020" s="16">
        <v>73950</v>
      </c>
    </row>
    <row r="3021" spans="1:17" ht="72" x14ac:dyDescent="0.3">
      <c r="A3021" s="16" t="s">
        <v>7724</v>
      </c>
      <c r="B3021" s="16" t="s">
        <v>7730</v>
      </c>
      <c r="C3021" s="16" t="s">
        <v>7735</v>
      </c>
      <c r="D3021" s="16" t="s">
        <v>7597</v>
      </c>
      <c r="E3021" s="16" t="s">
        <v>2049</v>
      </c>
      <c r="F3021" s="16" t="s">
        <v>2050</v>
      </c>
      <c r="G3021" s="16" t="s">
        <v>8439</v>
      </c>
      <c r="H3021" s="16" t="s">
        <v>186</v>
      </c>
      <c r="I3021" s="16"/>
      <c r="J3021" s="16"/>
      <c r="K3021" s="16"/>
      <c r="L3021" s="16"/>
      <c r="M3021" s="19" t="s">
        <v>2052</v>
      </c>
      <c r="N3021" s="16" t="s">
        <v>2053</v>
      </c>
      <c r="O3021" s="16" t="s">
        <v>2054</v>
      </c>
      <c r="P3021" s="16" t="str">
        <f>HYPERLINK("https://ceds.ed.gov/cedselementdetails.aspx?termid=26044")</f>
        <v>https://ceds.ed.gov/cedselementdetails.aspx?termid=26044</v>
      </c>
      <c r="Q3021" s="16">
        <v>73955</v>
      </c>
    </row>
    <row r="3022" spans="1:17" ht="100.8" x14ac:dyDescent="0.3">
      <c r="A3022" s="16" t="s">
        <v>7724</v>
      </c>
      <c r="B3022" s="16" t="s">
        <v>7730</v>
      </c>
      <c r="C3022" s="16" t="s">
        <v>7735</v>
      </c>
      <c r="D3022" s="16" t="s">
        <v>7597</v>
      </c>
      <c r="E3022" s="16" t="s">
        <v>2055</v>
      </c>
      <c r="F3022" s="16" t="s">
        <v>2056</v>
      </c>
      <c r="G3022" s="16" t="s">
        <v>9328</v>
      </c>
      <c r="H3022" s="16" t="s">
        <v>186</v>
      </c>
      <c r="I3022" s="16"/>
      <c r="J3022" s="16"/>
      <c r="K3022" s="16"/>
      <c r="L3022" s="16"/>
      <c r="M3022" s="19" t="s">
        <v>2057</v>
      </c>
      <c r="N3022" s="16" t="s">
        <v>2058</v>
      </c>
      <c r="O3022" s="16" t="s">
        <v>2059</v>
      </c>
      <c r="P3022" s="16" t="str">
        <f>HYPERLINK("https://ceds.ed.gov/cedselementdetails.aspx?termid=26045")</f>
        <v>https://ceds.ed.gov/cedselementdetails.aspx?termid=26045</v>
      </c>
      <c r="Q3022" s="16">
        <v>70735</v>
      </c>
    </row>
    <row r="3023" spans="1:17" ht="158.4" x14ac:dyDescent="0.3">
      <c r="A3023" s="16" t="s">
        <v>7724</v>
      </c>
      <c r="B3023" s="16" t="s">
        <v>7730</v>
      </c>
      <c r="C3023" s="16" t="s">
        <v>7735</v>
      </c>
      <c r="D3023" s="16" t="s">
        <v>7597</v>
      </c>
      <c r="E3023" s="16" t="s">
        <v>3170</v>
      </c>
      <c r="F3023" s="16" t="s">
        <v>3171</v>
      </c>
      <c r="G3023" s="16" t="s">
        <v>22</v>
      </c>
      <c r="H3023" s="16"/>
      <c r="I3023" s="16"/>
      <c r="J3023" s="16"/>
      <c r="K3023" s="16"/>
      <c r="L3023" s="16" t="s">
        <v>3166</v>
      </c>
      <c r="M3023" s="19" t="s">
        <v>3173</v>
      </c>
      <c r="N3023" s="16"/>
      <c r="O3023" s="16" t="s">
        <v>3174</v>
      </c>
      <c r="P3023" s="16" t="str">
        <f>HYPERLINK("https://ceds.ed.gov/cedselementdetails.aspx?termid=27289")</f>
        <v>https://ceds.ed.gov/cedselementdetails.aspx?termid=27289</v>
      </c>
      <c r="Q3023" s="16">
        <v>73129</v>
      </c>
    </row>
    <row r="3024" spans="1:17" ht="230.4" x14ac:dyDescent="0.3">
      <c r="A3024" s="16" t="s">
        <v>7724</v>
      </c>
      <c r="B3024" s="16" t="s">
        <v>7730</v>
      </c>
      <c r="C3024" s="16" t="s">
        <v>7735</v>
      </c>
      <c r="D3024" s="16" t="s">
        <v>7597</v>
      </c>
      <c r="E3024" s="16" t="s">
        <v>7543</v>
      </c>
      <c r="F3024" s="16" t="s">
        <v>7544</v>
      </c>
      <c r="G3024" s="16" t="s">
        <v>13093</v>
      </c>
      <c r="H3024" s="16"/>
      <c r="I3024" s="16" t="s">
        <v>160</v>
      </c>
      <c r="J3024" s="16"/>
      <c r="K3024" s="16" t="s">
        <v>12951</v>
      </c>
      <c r="L3024" s="16"/>
      <c r="M3024" s="19" t="s">
        <v>7545</v>
      </c>
      <c r="N3024" s="16"/>
      <c r="O3024" s="16" t="s">
        <v>7543</v>
      </c>
      <c r="P3024" s="16" t="str">
        <f>HYPERLINK("https://ceds.ed.gov/cedselementdetails.aspx?termid=27959")</f>
        <v>https://ceds.ed.gov/cedselementdetails.aspx?termid=27959</v>
      </c>
      <c r="Q3024" s="16">
        <v>75673</v>
      </c>
    </row>
    <row r="3025" spans="1:17" ht="331.2" x14ac:dyDescent="0.3">
      <c r="A3025" s="16" t="s">
        <v>7724</v>
      </c>
      <c r="B3025" s="16" t="s">
        <v>7730</v>
      </c>
      <c r="C3025" s="16" t="s">
        <v>7735</v>
      </c>
      <c r="D3025" s="16" t="s">
        <v>7597</v>
      </c>
      <c r="E3025" s="16" t="s">
        <v>12826</v>
      </c>
      <c r="F3025" s="16" t="s">
        <v>12827</v>
      </c>
      <c r="G3025" s="16" t="s">
        <v>12917</v>
      </c>
      <c r="H3025" s="16"/>
      <c r="I3025" s="16" t="s">
        <v>155</v>
      </c>
      <c r="J3025" s="16" t="s">
        <v>2</v>
      </c>
      <c r="K3025" s="16" t="s">
        <v>12636</v>
      </c>
      <c r="L3025" s="16" t="s">
        <v>12828</v>
      </c>
      <c r="M3025" s="19" t="s">
        <v>12829</v>
      </c>
      <c r="N3025" s="16"/>
      <c r="O3025" s="16" t="s">
        <v>12830</v>
      </c>
      <c r="P3025" s="16" t="str">
        <f>HYPERLINK("https://ceds.ed.gov/cedselementdetails.aspx?termid=28096")</f>
        <v>https://ceds.ed.gov/cedselementdetails.aspx?termid=28096</v>
      </c>
      <c r="Q3025" s="16">
        <v>76571</v>
      </c>
    </row>
    <row r="3026" spans="1:17" ht="172.8" x14ac:dyDescent="0.3">
      <c r="A3026" s="16" t="s">
        <v>7724</v>
      </c>
      <c r="B3026" s="16" t="s">
        <v>7730</v>
      </c>
      <c r="C3026" s="16" t="s">
        <v>7736</v>
      </c>
      <c r="D3026" s="16" t="s">
        <v>7597</v>
      </c>
      <c r="E3026" s="16" t="s">
        <v>5556</v>
      </c>
      <c r="F3026" s="16" t="s">
        <v>5557</v>
      </c>
      <c r="G3026" s="16" t="s">
        <v>32</v>
      </c>
      <c r="H3026" s="16"/>
      <c r="I3026" s="16"/>
      <c r="J3026" s="16" t="s">
        <v>5559</v>
      </c>
      <c r="K3026" s="16"/>
      <c r="L3026" s="16"/>
      <c r="M3026" s="19" t="s">
        <v>5560</v>
      </c>
      <c r="N3026" s="16" t="s">
        <v>5561</v>
      </c>
      <c r="O3026" s="16" t="s">
        <v>5561</v>
      </c>
      <c r="P3026" s="16" t="str">
        <f>HYPERLINK("https://ceds.ed.gov/cedselementdetails.aspx?termid=26203")</f>
        <v>https://ceds.ed.gov/cedselementdetails.aspx?termid=26203</v>
      </c>
      <c r="Q3026" s="16">
        <v>73984</v>
      </c>
    </row>
    <row r="3027" spans="1:17" ht="187.2" x14ac:dyDescent="0.3">
      <c r="A3027" s="16" t="s">
        <v>7724</v>
      </c>
      <c r="B3027" s="16" t="s">
        <v>7730</v>
      </c>
      <c r="C3027" s="16" t="s">
        <v>7736</v>
      </c>
      <c r="D3027" s="16" t="s">
        <v>7597</v>
      </c>
      <c r="E3027" s="16" t="s">
        <v>5431</v>
      </c>
      <c r="F3027" s="16" t="s">
        <v>5432</v>
      </c>
      <c r="G3027" s="16" t="s">
        <v>32</v>
      </c>
      <c r="H3027" s="16" t="s">
        <v>5435</v>
      </c>
      <c r="I3027" s="16"/>
      <c r="J3027" s="16" t="s">
        <v>145</v>
      </c>
      <c r="K3027" s="16"/>
      <c r="L3027" s="16"/>
      <c r="M3027" s="19" t="s">
        <v>5433</v>
      </c>
      <c r="N3027" s="16"/>
      <c r="O3027" s="16" t="s">
        <v>5434</v>
      </c>
      <c r="P3027" s="16" t="str">
        <f>HYPERLINK("https://ceds.ed.gov/cedselementdetails.aspx?termid=26191")</f>
        <v>https://ceds.ed.gov/cedselementdetails.aspx?termid=26191</v>
      </c>
      <c r="Q3027" s="16">
        <v>73976</v>
      </c>
    </row>
    <row r="3028" spans="1:17" ht="72" x14ac:dyDescent="0.3">
      <c r="A3028" s="16" t="s">
        <v>7724</v>
      </c>
      <c r="B3028" s="16" t="s">
        <v>7730</v>
      </c>
      <c r="C3028" s="16" t="s">
        <v>7736</v>
      </c>
      <c r="D3028" s="16" t="s">
        <v>7597</v>
      </c>
      <c r="E3028" s="16" t="s">
        <v>5809</v>
      </c>
      <c r="F3028" s="16" t="s">
        <v>5810</v>
      </c>
      <c r="G3028" s="16" t="s">
        <v>8761</v>
      </c>
      <c r="H3028" s="16" t="s">
        <v>5813</v>
      </c>
      <c r="I3028" s="16"/>
      <c r="J3028" s="16"/>
      <c r="K3028" s="16"/>
      <c r="L3028" s="16"/>
      <c r="M3028" s="19" t="s">
        <v>5811</v>
      </c>
      <c r="N3028" s="16"/>
      <c r="O3028" s="16" t="s">
        <v>5812</v>
      </c>
      <c r="P3028" s="16" t="str">
        <f>HYPERLINK("https://ceds.ed.gov/cedselementdetails.aspx?termid=27595")</f>
        <v>https://ceds.ed.gov/cedselementdetails.aspx?termid=27595</v>
      </c>
      <c r="Q3028" s="16">
        <v>74094</v>
      </c>
    </row>
    <row r="3029" spans="1:17" ht="409.6" x14ac:dyDescent="0.3">
      <c r="A3029" s="16" t="s">
        <v>7724</v>
      </c>
      <c r="B3029" s="16" t="s">
        <v>7730</v>
      </c>
      <c r="C3029" s="16" t="s">
        <v>7736</v>
      </c>
      <c r="D3029" s="16" t="s">
        <v>7597</v>
      </c>
      <c r="E3029" s="16" t="s">
        <v>5770</v>
      </c>
      <c r="F3029" s="16" t="s">
        <v>39</v>
      </c>
      <c r="G3029" s="16" t="s">
        <v>8757</v>
      </c>
      <c r="H3029" s="16"/>
      <c r="I3029" s="16"/>
      <c r="J3029" s="16"/>
      <c r="K3029" s="16"/>
      <c r="L3029" s="16"/>
      <c r="M3029" s="19" t="s">
        <v>5771</v>
      </c>
      <c r="N3029" s="16"/>
      <c r="O3029" s="16" t="s">
        <v>5772</v>
      </c>
      <c r="P3029" s="16" t="str">
        <f>HYPERLINK("https://ceds.ed.gov/cedselementdetails.aspx?termid=27649")</f>
        <v>https://ceds.ed.gov/cedselementdetails.aspx?termid=27649</v>
      </c>
      <c r="Q3029" s="16">
        <v>74989</v>
      </c>
    </row>
    <row r="3030" spans="1:17" ht="28.8" x14ac:dyDescent="0.3">
      <c r="A3030" s="16" t="s">
        <v>7724</v>
      </c>
      <c r="B3030" s="16" t="s">
        <v>7730</v>
      </c>
      <c r="C3030" s="16" t="s">
        <v>7736</v>
      </c>
      <c r="D3030" s="16" t="s">
        <v>7597</v>
      </c>
      <c r="E3030" s="16" t="s">
        <v>53</v>
      </c>
      <c r="F3030" s="16" t="s">
        <v>54</v>
      </c>
      <c r="G3030" s="16" t="s">
        <v>32</v>
      </c>
      <c r="H3030" s="16" t="s">
        <v>58</v>
      </c>
      <c r="I3030" s="16"/>
      <c r="J3030" s="16" t="s">
        <v>55</v>
      </c>
      <c r="K3030" s="16"/>
      <c r="L3030" s="16"/>
      <c r="M3030" s="19" t="s">
        <v>56</v>
      </c>
      <c r="N3030" s="16"/>
      <c r="O3030" s="16" t="s">
        <v>57</v>
      </c>
      <c r="P3030" s="16" t="str">
        <f>HYPERLINK("https://ceds.ed.gov/cedselementdetails.aspx?termid=26003")</f>
        <v>https://ceds.ed.gov/cedselementdetails.aspx?termid=26003</v>
      </c>
      <c r="Q3030" s="16">
        <v>73942</v>
      </c>
    </row>
    <row r="3031" spans="1:17" ht="57.6" x14ac:dyDescent="0.3">
      <c r="A3031" s="16" t="s">
        <v>7724</v>
      </c>
      <c r="B3031" s="16" t="s">
        <v>7730</v>
      </c>
      <c r="C3031" s="16" t="s">
        <v>7736</v>
      </c>
      <c r="D3031" s="16" t="s">
        <v>7597</v>
      </c>
      <c r="E3031" s="16" t="s">
        <v>30</v>
      </c>
      <c r="F3031" s="16" t="s">
        <v>31</v>
      </c>
      <c r="G3031" s="16" t="s">
        <v>32</v>
      </c>
      <c r="H3031" s="16" t="s">
        <v>37</v>
      </c>
      <c r="I3031" s="16"/>
      <c r="J3031" s="16" t="s">
        <v>34</v>
      </c>
      <c r="K3031" s="16"/>
      <c r="L3031" s="16"/>
      <c r="M3031" s="19" t="s">
        <v>35</v>
      </c>
      <c r="N3031" s="16"/>
      <c r="O3031" s="16" t="s">
        <v>36</v>
      </c>
      <c r="P3031" s="16" t="str">
        <f>HYPERLINK("https://ceds.ed.gov/cedselementdetails.aspx?termid=26001")</f>
        <v>https://ceds.ed.gov/cedselementdetails.aspx?termid=26001</v>
      </c>
      <c r="Q3031" s="16">
        <v>73938</v>
      </c>
    </row>
    <row r="3032" spans="1:17" ht="115.2" x14ac:dyDescent="0.3">
      <c r="A3032" s="16" t="s">
        <v>7724</v>
      </c>
      <c r="B3032" s="16" t="s">
        <v>7730</v>
      </c>
      <c r="C3032" s="16" t="s">
        <v>7736</v>
      </c>
      <c r="D3032" s="16" t="s">
        <v>7597</v>
      </c>
      <c r="E3032" s="16" t="s">
        <v>3090</v>
      </c>
      <c r="F3032" s="16" t="s">
        <v>3091</v>
      </c>
      <c r="G3032" s="16" t="s">
        <v>32</v>
      </c>
      <c r="H3032" s="16" t="s">
        <v>3096</v>
      </c>
      <c r="I3032" s="16"/>
      <c r="J3032" s="16" t="s">
        <v>3093</v>
      </c>
      <c r="K3032" s="16"/>
      <c r="L3032" s="16"/>
      <c r="M3032" s="19" t="s">
        <v>3094</v>
      </c>
      <c r="N3032" s="16"/>
      <c r="O3032" s="16" t="s">
        <v>3095</v>
      </c>
      <c r="P3032" s="16" t="str">
        <f>HYPERLINK("https://ceds.ed.gov/cedselementdetails.aspx?termid=26081")</f>
        <v>https://ceds.ed.gov/cedselementdetails.aspx?termid=26081</v>
      </c>
      <c r="Q3032" s="16">
        <v>73964</v>
      </c>
    </row>
    <row r="3033" spans="1:17" ht="216" x14ac:dyDescent="0.3">
      <c r="A3033" s="16" t="s">
        <v>7724</v>
      </c>
      <c r="B3033" s="16" t="s">
        <v>7730</v>
      </c>
      <c r="C3033" s="16" t="s">
        <v>7736</v>
      </c>
      <c r="D3033" s="16" t="s">
        <v>7597</v>
      </c>
      <c r="E3033" s="16" t="s">
        <v>38</v>
      </c>
      <c r="F3033" s="16" t="s">
        <v>7813</v>
      </c>
      <c r="G3033" s="16" t="s">
        <v>8281</v>
      </c>
      <c r="H3033" s="16" t="s">
        <v>42</v>
      </c>
      <c r="I3033" s="16"/>
      <c r="J3033" s="16"/>
      <c r="K3033" s="16"/>
      <c r="L3033" s="16"/>
      <c r="M3033" s="19" t="s">
        <v>40</v>
      </c>
      <c r="N3033" s="16"/>
      <c r="O3033" s="16" t="s">
        <v>41</v>
      </c>
      <c r="P3033" s="16" t="str">
        <f>HYPERLINK("https://ceds.ed.gov/cedselementdetails.aspx?termid=26002")</f>
        <v>https://ceds.ed.gov/cedselementdetails.aspx?termid=26002</v>
      </c>
      <c r="Q3033" s="16">
        <v>73940</v>
      </c>
    </row>
    <row r="3034" spans="1:17" ht="86.4" x14ac:dyDescent="0.3">
      <c r="A3034" s="16" t="s">
        <v>7724</v>
      </c>
      <c r="B3034" s="16" t="s">
        <v>7730</v>
      </c>
      <c r="C3034" s="16" t="s">
        <v>7736</v>
      </c>
      <c r="D3034" s="16" t="s">
        <v>7597</v>
      </c>
      <c r="E3034" s="16" t="s">
        <v>43</v>
      </c>
      <c r="F3034" s="16" t="s">
        <v>44</v>
      </c>
      <c r="G3034" s="16" t="s">
        <v>8282</v>
      </c>
      <c r="H3034" s="16"/>
      <c r="I3034" s="16"/>
      <c r="J3034" s="16"/>
      <c r="K3034" s="16"/>
      <c r="L3034" s="16"/>
      <c r="M3034" s="19" t="s">
        <v>46</v>
      </c>
      <c r="N3034" s="16"/>
      <c r="O3034" s="16" t="s">
        <v>47</v>
      </c>
      <c r="P3034" s="16" t="str">
        <f>HYPERLINK("https://ceds.ed.gov/cedselementdetails.aspx?termid=27647")</f>
        <v>https://ceds.ed.gov/cedselementdetails.aspx?termid=27647</v>
      </c>
      <c r="Q3034" s="16">
        <v>74866</v>
      </c>
    </row>
    <row r="3035" spans="1:17" ht="28.8" x14ac:dyDescent="0.3">
      <c r="A3035" s="16" t="s">
        <v>7724</v>
      </c>
      <c r="B3035" s="16" t="s">
        <v>7730</v>
      </c>
      <c r="C3035" s="16" t="s">
        <v>7736</v>
      </c>
      <c r="D3035" s="16" t="s">
        <v>7597</v>
      </c>
      <c r="E3035" s="16" t="s">
        <v>48</v>
      </c>
      <c r="F3035" s="16" t="s">
        <v>49</v>
      </c>
      <c r="G3035" s="16" t="s">
        <v>32</v>
      </c>
      <c r="H3035" s="16"/>
      <c r="I3035" s="16"/>
      <c r="J3035" s="16" t="s">
        <v>50</v>
      </c>
      <c r="K3035" s="16"/>
      <c r="L3035" s="16"/>
      <c r="M3035" s="19" t="s">
        <v>51</v>
      </c>
      <c r="N3035" s="16"/>
      <c r="O3035" s="16" t="s">
        <v>52</v>
      </c>
      <c r="P3035" s="16" t="str">
        <f>HYPERLINK("https://ceds.ed.gov/cedselementdetails.aspx?termid=27646")</f>
        <v>https://ceds.ed.gov/cedselementdetails.aspx?termid=27646</v>
      </c>
      <c r="Q3035" s="16">
        <v>74868</v>
      </c>
    </row>
    <row r="3036" spans="1:17" ht="72" x14ac:dyDescent="0.3">
      <c r="A3036" s="16" t="s">
        <v>7724</v>
      </c>
      <c r="B3036" s="16" t="s">
        <v>7730</v>
      </c>
      <c r="C3036" s="16" t="s">
        <v>7736</v>
      </c>
      <c r="D3036" s="16" t="s">
        <v>7597</v>
      </c>
      <c r="E3036" s="16" t="s">
        <v>2044</v>
      </c>
      <c r="F3036" s="16" t="s">
        <v>2045</v>
      </c>
      <c r="G3036" s="16" t="s">
        <v>7312</v>
      </c>
      <c r="H3036" s="16" t="s">
        <v>42</v>
      </c>
      <c r="I3036" s="16" t="s">
        <v>160</v>
      </c>
      <c r="J3036" s="16" t="s">
        <v>2</v>
      </c>
      <c r="K3036" s="16" t="s">
        <v>12935</v>
      </c>
      <c r="L3036" s="16"/>
      <c r="M3036" s="19" t="s">
        <v>2046</v>
      </c>
      <c r="N3036" s="16" t="s">
        <v>2047</v>
      </c>
      <c r="O3036" s="16" t="s">
        <v>2048</v>
      </c>
      <c r="P3036" s="16" t="str">
        <f>HYPERLINK("https://ceds.ed.gov/cedselementdetails.aspx?termid=26043")</f>
        <v>https://ceds.ed.gov/cedselementdetails.aspx?termid=26043</v>
      </c>
      <c r="Q3036" s="16">
        <v>73954</v>
      </c>
    </row>
    <row r="3037" spans="1:17" ht="72" x14ac:dyDescent="0.3">
      <c r="A3037" s="16" t="s">
        <v>7724</v>
      </c>
      <c r="B3037" s="16" t="s">
        <v>7730</v>
      </c>
      <c r="C3037" s="16" t="s">
        <v>7736</v>
      </c>
      <c r="D3037" s="16" t="s">
        <v>7597</v>
      </c>
      <c r="E3037" s="16" t="s">
        <v>2049</v>
      </c>
      <c r="F3037" s="16" t="s">
        <v>2050</v>
      </c>
      <c r="G3037" s="16" t="s">
        <v>8439</v>
      </c>
      <c r="H3037" s="16" t="s">
        <v>186</v>
      </c>
      <c r="I3037" s="16"/>
      <c r="J3037" s="16"/>
      <c r="K3037" s="16"/>
      <c r="L3037" s="16"/>
      <c r="M3037" s="19" t="s">
        <v>2052</v>
      </c>
      <c r="N3037" s="16" t="s">
        <v>2053</v>
      </c>
      <c r="O3037" s="16" t="s">
        <v>2054</v>
      </c>
      <c r="P3037" s="16" t="str">
        <f>HYPERLINK("https://ceds.ed.gov/cedselementdetails.aspx?termid=26044")</f>
        <v>https://ceds.ed.gov/cedselementdetails.aspx?termid=26044</v>
      </c>
      <c r="Q3037" s="16">
        <v>73956</v>
      </c>
    </row>
    <row r="3038" spans="1:17" ht="100.8" x14ac:dyDescent="0.3">
      <c r="A3038" s="16" t="s">
        <v>7724</v>
      </c>
      <c r="B3038" s="16" t="s">
        <v>7730</v>
      </c>
      <c r="C3038" s="16" t="s">
        <v>7736</v>
      </c>
      <c r="D3038" s="16" t="s">
        <v>7597</v>
      </c>
      <c r="E3038" s="16" t="s">
        <v>2055</v>
      </c>
      <c r="F3038" s="16" t="s">
        <v>2056</v>
      </c>
      <c r="G3038" s="16" t="s">
        <v>9328</v>
      </c>
      <c r="H3038" s="16" t="s">
        <v>186</v>
      </c>
      <c r="I3038" s="16"/>
      <c r="J3038" s="16"/>
      <c r="K3038" s="16"/>
      <c r="L3038" s="16"/>
      <c r="M3038" s="19" t="s">
        <v>2057</v>
      </c>
      <c r="N3038" s="16" t="s">
        <v>2058</v>
      </c>
      <c r="O3038" s="16" t="s">
        <v>2059</v>
      </c>
      <c r="P3038" s="16" t="str">
        <f>HYPERLINK("https://ceds.ed.gov/cedselementdetails.aspx?termid=26045")</f>
        <v>https://ceds.ed.gov/cedselementdetails.aspx?termid=26045</v>
      </c>
      <c r="Q3038" s="16">
        <v>73962</v>
      </c>
    </row>
    <row r="3039" spans="1:17" ht="129.6" x14ac:dyDescent="0.3">
      <c r="A3039" s="16" t="s">
        <v>7724</v>
      </c>
      <c r="B3039" s="16" t="s">
        <v>7730</v>
      </c>
      <c r="C3039" s="16" t="s">
        <v>7736</v>
      </c>
      <c r="D3039" s="16" t="s">
        <v>7597</v>
      </c>
      <c r="E3039" s="16" t="s">
        <v>3196</v>
      </c>
      <c r="F3039" s="16" t="s">
        <v>12979</v>
      </c>
      <c r="G3039" s="16" t="s">
        <v>8516</v>
      </c>
      <c r="H3039" s="16"/>
      <c r="I3039" s="16"/>
      <c r="J3039" s="16"/>
      <c r="K3039" s="16"/>
      <c r="L3039" s="16" t="s">
        <v>7940</v>
      </c>
      <c r="M3039" s="19" t="s">
        <v>3198</v>
      </c>
      <c r="N3039" s="16"/>
      <c r="O3039" s="16" t="s">
        <v>3199</v>
      </c>
      <c r="P3039" s="16" t="str">
        <f>HYPERLINK("https://ceds.ed.gov/cedselementdetails.aspx?termid=27622")</f>
        <v>https://ceds.ed.gov/cedselementdetails.aspx?termid=27622</v>
      </c>
      <c r="Q3039" s="16">
        <v>74314</v>
      </c>
    </row>
    <row r="3040" spans="1:17" ht="115.2" x14ac:dyDescent="0.3">
      <c r="A3040" s="16" t="s">
        <v>7724</v>
      </c>
      <c r="B3040" s="16" t="s">
        <v>7730</v>
      </c>
      <c r="C3040" s="16" t="s">
        <v>7736</v>
      </c>
      <c r="D3040" s="16" t="s">
        <v>7597</v>
      </c>
      <c r="E3040" s="16" t="s">
        <v>6034</v>
      </c>
      <c r="F3040" s="16" t="s">
        <v>6035</v>
      </c>
      <c r="G3040" s="16" t="s">
        <v>8794</v>
      </c>
      <c r="H3040" s="16"/>
      <c r="I3040" s="16"/>
      <c r="J3040" s="16"/>
      <c r="K3040" s="16"/>
      <c r="L3040" s="16"/>
      <c r="M3040" s="19" t="s">
        <v>6037</v>
      </c>
      <c r="N3040" s="16"/>
      <c r="O3040" s="16" t="s">
        <v>6038</v>
      </c>
      <c r="P3040" s="16" t="str">
        <f>HYPERLINK("https://ceds.ed.gov/cedselementdetails.aspx?termid=26780")</f>
        <v>https://ceds.ed.gov/cedselementdetails.aspx?termid=26780</v>
      </c>
      <c r="Q3040" s="16">
        <v>74017</v>
      </c>
    </row>
    <row r="3041" spans="1:17" ht="273.60000000000002" x14ac:dyDescent="0.3">
      <c r="A3041" s="16" t="s">
        <v>7724</v>
      </c>
      <c r="B3041" s="16" t="s">
        <v>7730</v>
      </c>
      <c r="C3041" s="16" t="s">
        <v>7737</v>
      </c>
      <c r="D3041" s="16" t="s">
        <v>7597</v>
      </c>
      <c r="E3041" s="16" t="s">
        <v>5734</v>
      </c>
      <c r="F3041" s="16" t="s">
        <v>5735</v>
      </c>
      <c r="G3041" s="16" t="s">
        <v>9336</v>
      </c>
      <c r="H3041" s="16"/>
      <c r="I3041" s="16"/>
      <c r="J3041" s="16"/>
      <c r="K3041" s="16"/>
      <c r="L3041" s="16"/>
      <c r="M3041" s="19" t="s">
        <v>5736</v>
      </c>
      <c r="N3041" s="16"/>
      <c r="O3041" s="16" t="s">
        <v>5737</v>
      </c>
      <c r="P3041" s="16" t="str">
        <f>HYPERLINK("https://ceds.ed.gov/cedselementdetails.aspx?termid=27550")</f>
        <v>https://ceds.ed.gov/cedselementdetails.aspx?termid=27550</v>
      </c>
      <c r="Q3041" s="16">
        <v>74842</v>
      </c>
    </row>
    <row r="3042" spans="1:17" ht="172.8" x14ac:dyDescent="0.3">
      <c r="A3042" s="16" t="s">
        <v>7724</v>
      </c>
      <c r="B3042" s="16" t="s">
        <v>7730</v>
      </c>
      <c r="C3042" s="16" t="s">
        <v>7737</v>
      </c>
      <c r="D3042" s="16" t="s">
        <v>7597</v>
      </c>
      <c r="E3042" s="16" t="s">
        <v>5738</v>
      </c>
      <c r="F3042" s="16" t="s">
        <v>5739</v>
      </c>
      <c r="G3042" s="16" t="s">
        <v>32</v>
      </c>
      <c r="H3042" s="16"/>
      <c r="I3042" s="16"/>
      <c r="J3042" s="16" t="s">
        <v>120</v>
      </c>
      <c r="K3042" s="16"/>
      <c r="L3042" s="16" t="s">
        <v>7905</v>
      </c>
      <c r="M3042" s="19" t="s">
        <v>5740</v>
      </c>
      <c r="N3042" s="16"/>
      <c r="O3042" s="16" t="s">
        <v>5741</v>
      </c>
      <c r="P3042" s="16" t="str">
        <f>HYPERLINK("https://ceds.ed.gov/cedselementdetails.aspx?termid=27551")</f>
        <v>https://ceds.ed.gov/cedselementdetails.aspx?termid=27551</v>
      </c>
      <c r="Q3042" s="16">
        <v>74851</v>
      </c>
    </row>
    <row r="3043" spans="1:17" ht="273.60000000000002" x14ac:dyDescent="0.3">
      <c r="A3043" s="16" t="s">
        <v>7724</v>
      </c>
      <c r="B3043" s="16" t="s">
        <v>7730</v>
      </c>
      <c r="C3043" s="16" t="s">
        <v>7738</v>
      </c>
      <c r="D3043" s="16" t="s">
        <v>7597</v>
      </c>
      <c r="E3043" s="16" t="s">
        <v>5734</v>
      </c>
      <c r="F3043" s="16" t="s">
        <v>5735</v>
      </c>
      <c r="G3043" s="16" t="s">
        <v>9336</v>
      </c>
      <c r="H3043" s="16"/>
      <c r="I3043" s="16"/>
      <c r="J3043" s="16"/>
      <c r="K3043" s="16"/>
      <c r="L3043" s="16"/>
      <c r="M3043" s="19" t="s">
        <v>5736</v>
      </c>
      <c r="N3043" s="16"/>
      <c r="O3043" s="16" t="s">
        <v>5737</v>
      </c>
      <c r="P3043" s="16" t="str">
        <f>HYPERLINK("https://ceds.ed.gov/cedselementdetails.aspx?termid=27550")</f>
        <v>https://ceds.ed.gov/cedselementdetails.aspx?termid=27550</v>
      </c>
      <c r="Q3043" s="16">
        <v>74843</v>
      </c>
    </row>
    <row r="3044" spans="1:17" ht="172.8" x14ac:dyDescent="0.3">
      <c r="A3044" s="16" t="s">
        <v>7724</v>
      </c>
      <c r="B3044" s="16" t="s">
        <v>7730</v>
      </c>
      <c r="C3044" s="16" t="s">
        <v>7738</v>
      </c>
      <c r="D3044" s="16" t="s">
        <v>7597</v>
      </c>
      <c r="E3044" s="16" t="s">
        <v>5738</v>
      </c>
      <c r="F3044" s="16" t="s">
        <v>5739</v>
      </c>
      <c r="G3044" s="16" t="s">
        <v>32</v>
      </c>
      <c r="H3044" s="16"/>
      <c r="I3044" s="16"/>
      <c r="J3044" s="16" t="s">
        <v>120</v>
      </c>
      <c r="K3044" s="16"/>
      <c r="L3044" s="16" t="s">
        <v>7905</v>
      </c>
      <c r="M3044" s="19" t="s">
        <v>5740</v>
      </c>
      <c r="N3044" s="16"/>
      <c r="O3044" s="16" t="s">
        <v>5741</v>
      </c>
      <c r="P3044" s="16" t="str">
        <f>HYPERLINK("https://ceds.ed.gov/cedselementdetails.aspx?termid=27551")</f>
        <v>https://ceds.ed.gov/cedselementdetails.aspx?termid=27551</v>
      </c>
      <c r="Q3044" s="16">
        <v>74852</v>
      </c>
    </row>
    <row r="3045" spans="1:17" ht="72" x14ac:dyDescent="0.3">
      <c r="A3045" s="16" t="s">
        <v>7724</v>
      </c>
      <c r="B3045" s="16" t="s">
        <v>7730</v>
      </c>
      <c r="C3045" s="16" t="s">
        <v>7739</v>
      </c>
      <c r="D3045" s="16" t="s">
        <v>7597</v>
      </c>
      <c r="E3045" s="16" t="s">
        <v>5796</v>
      </c>
      <c r="F3045" s="16" t="s">
        <v>5797</v>
      </c>
      <c r="G3045" s="16" t="s">
        <v>8759</v>
      </c>
      <c r="H3045" s="16" t="s">
        <v>186</v>
      </c>
      <c r="I3045" s="16"/>
      <c r="J3045" s="16"/>
      <c r="K3045" s="16"/>
      <c r="L3045" s="16"/>
      <c r="M3045" s="19" t="s">
        <v>5798</v>
      </c>
      <c r="N3045" s="16"/>
      <c r="O3045" s="16" t="s">
        <v>5799</v>
      </c>
      <c r="P3045" s="16" t="str">
        <f>HYPERLINK("https://ceds.ed.gov/cedselementdetails.aspx?termid=26095")</f>
        <v>https://ceds.ed.gov/cedselementdetails.aspx?termid=26095</v>
      </c>
      <c r="Q3045" s="16">
        <v>70743</v>
      </c>
    </row>
    <row r="3046" spans="1:17" ht="86.4" x14ac:dyDescent="0.3">
      <c r="A3046" s="16" t="s">
        <v>7724</v>
      </c>
      <c r="B3046" s="16" t="s">
        <v>7730</v>
      </c>
      <c r="C3046" s="16" t="s">
        <v>7739</v>
      </c>
      <c r="D3046" s="16" t="s">
        <v>7597</v>
      </c>
      <c r="E3046" s="16" t="s">
        <v>5790</v>
      </c>
      <c r="F3046" s="16" t="s">
        <v>5791</v>
      </c>
      <c r="G3046" s="16" t="s">
        <v>8758</v>
      </c>
      <c r="H3046" s="16" t="s">
        <v>5795</v>
      </c>
      <c r="I3046" s="16"/>
      <c r="J3046" s="16"/>
      <c r="K3046" s="16"/>
      <c r="L3046" s="16" t="s">
        <v>5792</v>
      </c>
      <c r="M3046" s="19" t="s">
        <v>5793</v>
      </c>
      <c r="N3046" s="16"/>
      <c r="O3046" s="16" t="s">
        <v>5794</v>
      </c>
      <c r="P3046" s="16" t="str">
        <f>HYPERLINK("https://ceds.ed.gov/cedselementdetails.aspx?termid=26096")</f>
        <v>https://ceds.ed.gov/cedselementdetails.aspx?termid=26096</v>
      </c>
      <c r="Q3046" s="16">
        <v>70744</v>
      </c>
    </row>
    <row r="3047" spans="1:17" ht="144" x14ac:dyDescent="0.3">
      <c r="A3047" s="16" t="s">
        <v>7724</v>
      </c>
      <c r="B3047" s="16" t="s">
        <v>7730</v>
      </c>
      <c r="C3047" s="16" t="s">
        <v>7739</v>
      </c>
      <c r="D3047" s="16" t="s">
        <v>7597</v>
      </c>
      <c r="E3047" s="16" t="s">
        <v>70</v>
      </c>
      <c r="F3047" s="16" t="s">
        <v>71</v>
      </c>
      <c r="G3047" s="16" t="s">
        <v>8285</v>
      </c>
      <c r="H3047" s="16" t="s">
        <v>75</v>
      </c>
      <c r="I3047" s="16"/>
      <c r="J3047" s="16"/>
      <c r="K3047" s="16"/>
      <c r="L3047" s="16" t="s">
        <v>72</v>
      </c>
      <c r="M3047" s="19" t="s">
        <v>73</v>
      </c>
      <c r="N3047" s="16"/>
      <c r="O3047" s="16" t="s">
        <v>74</v>
      </c>
      <c r="P3047" s="16" t="str">
        <f>HYPERLINK("https://ceds.ed.gov/cedselementdetails.aspx?termid=26703")</f>
        <v>https://ceds.ed.gov/cedselementdetails.aspx?termid=26703</v>
      </c>
      <c r="Q3047" s="16">
        <v>74015</v>
      </c>
    </row>
    <row r="3048" spans="1:17" ht="57.6" x14ac:dyDescent="0.3">
      <c r="A3048" s="16" t="s">
        <v>7724</v>
      </c>
      <c r="B3048" s="16" t="s">
        <v>7730</v>
      </c>
      <c r="C3048" s="16" t="s">
        <v>7739</v>
      </c>
      <c r="D3048" s="16" t="s">
        <v>7597</v>
      </c>
      <c r="E3048" s="16" t="s">
        <v>76</v>
      </c>
      <c r="F3048" s="16" t="s">
        <v>77</v>
      </c>
      <c r="G3048" s="16" t="s">
        <v>32</v>
      </c>
      <c r="H3048" s="16" t="s">
        <v>75</v>
      </c>
      <c r="I3048" s="16"/>
      <c r="J3048" s="16" t="s">
        <v>78</v>
      </c>
      <c r="K3048" s="16"/>
      <c r="L3048" s="16"/>
      <c r="M3048" s="19" t="s">
        <v>79</v>
      </c>
      <c r="N3048" s="16"/>
      <c r="O3048" s="16" t="s">
        <v>80</v>
      </c>
      <c r="P3048" s="16" t="str">
        <f>HYPERLINK("https://ceds.ed.gov/cedselementdetails.aspx?termid=26702")</f>
        <v>https://ceds.ed.gov/cedselementdetails.aspx?termid=26702</v>
      </c>
      <c r="Q3048" s="16">
        <v>74014</v>
      </c>
    </row>
    <row r="3049" spans="1:17" ht="43.2" x14ac:dyDescent="0.3">
      <c r="A3049" s="16" t="s">
        <v>7724</v>
      </c>
      <c r="B3049" s="16" t="s">
        <v>7730</v>
      </c>
      <c r="C3049" s="16" t="s">
        <v>7739</v>
      </c>
      <c r="D3049" s="16" t="s">
        <v>7597</v>
      </c>
      <c r="E3049" s="16" t="s">
        <v>4729</v>
      </c>
      <c r="F3049" s="16" t="s">
        <v>4730</v>
      </c>
      <c r="G3049" s="16" t="s">
        <v>8665</v>
      </c>
      <c r="H3049" s="16" t="s">
        <v>186</v>
      </c>
      <c r="I3049" s="16"/>
      <c r="J3049" s="16"/>
      <c r="K3049" s="16"/>
      <c r="L3049" s="16"/>
      <c r="M3049" s="19" t="s">
        <v>4731</v>
      </c>
      <c r="N3049" s="16"/>
      <c r="O3049" s="16" t="s">
        <v>4732</v>
      </c>
      <c r="P3049" s="16" t="str">
        <f>HYPERLINK("https://ceds.ed.gov/cedselementdetails.aspx?termid=26169")</f>
        <v>https://ceds.ed.gov/cedselementdetails.aspx?termid=26169</v>
      </c>
      <c r="Q3049" s="16">
        <v>70766</v>
      </c>
    </row>
    <row r="3050" spans="1:17" ht="43.2" x14ac:dyDescent="0.3">
      <c r="A3050" s="16" t="s">
        <v>7724</v>
      </c>
      <c r="B3050" s="16" t="s">
        <v>7730</v>
      </c>
      <c r="C3050" s="16" t="s">
        <v>7739</v>
      </c>
      <c r="D3050" s="16" t="s">
        <v>7597</v>
      </c>
      <c r="E3050" s="16" t="s">
        <v>4719</v>
      </c>
      <c r="F3050" s="16" t="s">
        <v>4720</v>
      </c>
      <c r="G3050" s="16" t="s">
        <v>32</v>
      </c>
      <c r="H3050" s="16" t="s">
        <v>186</v>
      </c>
      <c r="I3050" s="16"/>
      <c r="J3050" s="16" t="s">
        <v>1481</v>
      </c>
      <c r="K3050" s="16"/>
      <c r="L3050" s="16"/>
      <c r="M3050" s="19" t="s">
        <v>4721</v>
      </c>
      <c r="N3050" s="16"/>
      <c r="O3050" s="16" t="s">
        <v>4722</v>
      </c>
      <c r="P3050" s="16" t="str">
        <f>HYPERLINK("https://ceds.ed.gov/cedselementdetails.aspx?termid=26168")</f>
        <v>https://ceds.ed.gov/cedselementdetails.aspx?termid=26168</v>
      </c>
      <c r="Q3050" s="16">
        <v>70765</v>
      </c>
    </row>
    <row r="3051" spans="1:17" ht="43.2" x14ac:dyDescent="0.3">
      <c r="A3051" s="16" t="s">
        <v>7724</v>
      </c>
      <c r="B3051" s="16" t="s">
        <v>7730</v>
      </c>
      <c r="C3051" s="16" t="s">
        <v>7739</v>
      </c>
      <c r="D3051" s="16" t="s">
        <v>7597</v>
      </c>
      <c r="E3051" s="16" t="s">
        <v>4723</v>
      </c>
      <c r="F3051" s="16" t="s">
        <v>4724</v>
      </c>
      <c r="G3051" s="16" t="s">
        <v>32</v>
      </c>
      <c r="H3051" s="16" t="s">
        <v>4728</v>
      </c>
      <c r="I3051" s="16"/>
      <c r="J3051" s="16" t="s">
        <v>1481</v>
      </c>
      <c r="K3051" s="16"/>
      <c r="L3051" s="16"/>
      <c r="M3051" s="19" t="s">
        <v>4726</v>
      </c>
      <c r="N3051" s="16"/>
      <c r="O3051" s="16" t="s">
        <v>4727</v>
      </c>
      <c r="P3051" s="16" t="str">
        <f>HYPERLINK("https://ceds.ed.gov/cedselementdetails.aspx?termid=26361")</f>
        <v>https://ceds.ed.gov/cedselementdetails.aspx?termid=26361</v>
      </c>
      <c r="Q3051" s="16">
        <v>70796</v>
      </c>
    </row>
    <row r="3052" spans="1:17" ht="187.2" x14ac:dyDescent="0.3">
      <c r="A3052" s="16" t="s">
        <v>7724</v>
      </c>
      <c r="B3052" s="16" t="s">
        <v>7730</v>
      </c>
      <c r="C3052" s="16" t="s">
        <v>7739</v>
      </c>
      <c r="D3052" s="16" t="s">
        <v>7597</v>
      </c>
      <c r="E3052" s="16" t="s">
        <v>7154</v>
      </c>
      <c r="F3052" s="16" t="s">
        <v>8167</v>
      </c>
      <c r="G3052" s="16" t="s">
        <v>22</v>
      </c>
      <c r="H3052" s="16" t="s">
        <v>186</v>
      </c>
      <c r="I3052" s="16"/>
      <c r="J3052" s="16"/>
      <c r="K3052" s="16"/>
      <c r="L3052" s="16"/>
      <c r="M3052" s="19" t="s">
        <v>7155</v>
      </c>
      <c r="N3052" s="16"/>
      <c r="O3052" s="16" t="s">
        <v>7156</v>
      </c>
      <c r="P3052" s="16" t="str">
        <f>HYPERLINK("https://ceds.ed.gov/cedselementdetails.aspx?termid=26292")</f>
        <v>https://ceds.ed.gov/cedselementdetails.aspx?termid=26292</v>
      </c>
      <c r="Q3052" s="16">
        <v>70791</v>
      </c>
    </row>
    <row r="3053" spans="1:17" ht="302.39999999999998" x14ac:dyDescent="0.3">
      <c r="A3053" s="16" t="s">
        <v>7724</v>
      </c>
      <c r="B3053" s="16" t="s">
        <v>7730</v>
      </c>
      <c r="C3053" s="16" t="s">
        <v>7739</v>
      </c>
      <c r="D3053" s="16" t="s">
        <v>7597</v>
      </c>
      <c r="E3053" s="16" t="s">
        <v>3164</v>
      </c>
      <c r="F3053" s="16" t="s">
        <v>7939</v>
      </c>
      <c r="G3053" s="16" t="s">
        <v>8513</v>
      </c>
      <c r="H3053" s="16" t="s">
        <v>3169</v>
      </c>
      <c r="I3053" s="16"/>
      <c r="J3053" s="16"/>
      <c r="K3053" s="16"/>
      <c r="L3053" s="16" t="s">
        <v>3166</v>
      </c>
      <c r="M3053" s="19" t="s">
        <v>3167</v>
      </c>
      <c r="N3053" s="16"/>
      <c r="O3053" s="16" t="s">
        <v>3168</v>
      </c>
      <c r="P3053" s="16" t="str">
        <f>HYPERLINK("https://ceds.ed.gov/cedselementdetails.aspx?termid=26704")</f>
        <v>https://ceds.ed.gov/cedselementdetails.aspx?termid=26704</v>
      </c>
      <c r="Q3053" s="16">
        <v>72150</v>
      </c>
    </row>
    <row r="3054" spans="1:17" ht="100.8" x14ac:dyDescent="0.3">
      <c r="A3054" s="16" t="s">
        <v>7724</v>
      </c>
      <c r="B3054" s="16" t="s">
        <v>7730</v>
      </c>
      <c r="C3054" s="16" t="s">
        <v>7739</v>
      </c>
      <c r="D3054" s="16" t="s">
        <v>7597</v>
      </c>
      <c r="E3054" s="16" t="s">
        <v>5818</v>
      </c>
      <c r="F3054" s="16" t="s">
        <v>5819</v>
      </c>
      <c r="G3054" s="16" t="s">
        <v>22</v>
      </c>
      <c r="H3054" s="16" t="s">
        <v>240</v>
      </c>
      <c r="I3054" s="16"/>
      <c r="J3054" s="16"/>
      <c r="K3054" s="16"/>
      <c r="L3054" s="16" t="s">
        <v>5820</v>
      </c>
      <c r="M3054" s="19" t="s">
        <v>5821</v>
      </c>
      <c r="N3054" s="16"/>
      <c r="O3054" s="16" t="s">
        <v>5822</v>
      </c>
      <c r="P3054" s="16" t="str">
        <f>HYPERLINK("https://ceds.ed.gov/cedselementdetails.aspx?termid=26741")</f>
        <v>https://ceds.ed.gov/cedselementdetails.aspx?termid=26741</v>
      </c>
      <c r="Q3054" s="16">
        <v>71263</v>
      </c>
    </row>
    <row r="3055" spans="1:17" ht="57.6" x14ac:dyDescent="0.3">
      <c r="A3055" s="16" t="s">
        <v>7724</v>
      </c>
      <c r="B3055" s="16" t="s">
        <v>7730</v>
      </c>
      <c r="C3055" s="16" t="s">
        <v>7739</v>
      </c>
      <c r="D3055" s="16" t="s">
        <v>7597</v>
      </c>
      <c r="E3055" s="16" t="s">
        <v>4009</v>
      </c>
      <c r="F3055" s="16" t="s">
        <v>4010</v>
      </c>
      <c r="G3055" s="16" t="s">
        <v>22</v>
      </c>
      <c r="H3055" s="16" t="s">
        <v>240</v>
      </c>
      <c r="I3055" s="16"/>
      <c r="J3055" s="16"/>
      <c r="K3055" s="16"/>
      <c r="L3055" s="16"/>
      <c r="M3055" s="19" t="s">
        <v>4011</v>
      </c>
      <c r="N3055" s="16"/>
      <c r="O3055" s="16" t="s">
        <v>4012</v>
      </c>
      <c r="P3055" s="16" t="str">
        <f>HYPERLINK("https://ceds.ed.gov/cedselementdetails.aspx?termid=26743")</f>
        <v>https://ceds.ed.gov/cedselementdetails.aspx?termid=26743</v>
      </c>
      <c r="Q3055" s="16">
        <v>71264</v>
      </c>
    </row>
    <row r="3056" spans="1:17" ht="57.6" x14ac:dyDescent="0.3">
      <c r="A3056" s="16" t="s">
        <v>7724</v>
      </c>
      <c r="B3056" s="16" t="s">
        <v>7730</v>
      </c>
      <c r="C3056" s="16" t="s">
        <v>7739</v>
      </c>
      <c r="D3056" s="16" t="s">
        <v>7597</v>
      </c>
      <c r="E3056" s="16" t="s">
        <v>6697</v>
      </c>
      <c r="F3056" s="16" t="s">
        <v>6698</v>
      </c>
      <c r="G3056" s="16" t="s">
        <v>22</v>
      </c>
      <c r="H3056" s="16" t="s">
        <v>240</v>
      </c>
      <c r="I3056" s="16"/>
      <c r="J3056" s="16"/>
      <c r="K3056" s="16"/>
      <c r="L3056" s="16"/>
      <c r="M3056" s="19" t="s">
        <v>6699</v>
      </c>
      <c r="N3056" s="16"/>
      <c r="O3056" s="16" t="s">
        <v>6700</v>
      </c>
      <c r="P3056" s="16" t="str">
        <f>HYPERLINK("https://ceds.ed.gov/cedselementdetails.aspx?termid=26744")</f>
        <v>https://ceds.ed.gov/cedselementdetails.aspx?termid=26744</v>
      </c>
      <c r="Q3056" s="16">
        <v>71265</v>
      </c>
    </row>
    <row r="3057" spans="1:17" ht="72" x14ac:dyDescent="0.3">
      <c r="A3057" s="16" t="s">
        <v>7724</v>
      </c>
      <c r="B3057" s="16" t="s">
        <v>7730</v>
      </c>
      <c r="C3057" s="16" t="s">
        <v>7739</v>
      </c>
      <c r="D3057" s="16" t="s">
        <v>7597</v>
      </c>
      <c r="E3057" s="16" t="s">
        <v>3097</v>
      </c>
      <c r="F3057" s="16" t="s">
        <v>3098</v>
      </c>
      <c r="G3057" s="16" t="s">
        <v>8502</v>
      </c>
      <c r="H3057" s="16" t="s">
        <v>3102</v>
      </c>
      <c r="I3057" s="16"/>
      <c r="J3057" s="16"/>
      <c r="K3057" s="16"/>
      <c r="L3057" s="16"/>
      <c r="M3057" s="19" t="s">
        <v>3100</v>
      </c>
      <c r="N3057" s="16"/>
      <c r="O3057" s="16" t="s">
        <v>3101</v>
      </c>
      <c r="P3057" s="16" t="str">
        <f>HYPERLINK("https://ceds.ed.gov/cedselementdetails.aspx?termid=27569")</f>
        <v>https://ceds.ed.gov/cedselementdetails.aspx?termid=27569</v>
      </c>
      <c r="Q3057" s="16">
        <v>74059</v>
      </c>
    </row>
    <row r="3058" spans="1:17" ht="43.2" x14ac:dyDescent="0.3">
      <c r="A3058" s="16" t="s">
        <v>7724</v>
      </c>
      <c r="B3058" s="16" t="s">
        <v>7730</v>
      </c>
      <c r="C3058" s="16" t="s">
        <v>7739</v>
      </c>
      <c r="D3058" s="16" t="s">
        <v>7597</v>
      </c>
      <c r="E3058" s="16" t="s">
        <v>3159</v>
      </c>
      <c r="F3058" s="16" t="s">
        <v>3160</v>
      </c>
      <c r="G3058" s="16" t="s">
        <v>22</v>
      </c>
      <c r="H3058" s="16"/>
      <c r="I3058" s="16"/>
      <c r="J3058" s="16"/>
      <c r="K3058" s="16"/>
      <c r="L3058" s="16"/>
      <c r="M3058" s="19" t="s">
        <v>3162</v>
      </c>
      <c r="N3058" s="16"/>
      <c r="O3058" s="16" t="s">
        <v>3163</v>
      </c>
      <c r="P3058" s="16" t="str">
        <f>HYPERLINK("https://ceds.ed.gov/cedselementdetails.aspx?termid=26603")</f>
        <v>https://ceds.ed.gov/cedselementdetails.aspx?termid=26603</v>
      </c>
      <c r="Q3058" s="16">
        <v>75680</v>
      </c>
    </row>
    <row r="3059" spans="1:17" ht="144" x14ac:dyDescent="0.3">
      <c r="A3059" s="16" t="s">
        <v>7724</v>
      </c>
      <c r="B3059" s="16" t="s">
        <v>7730</v>
      </c>
      <c r="C3059" s="16" t="s">
        <v>7683</v>
      </c>
      <c r="D3059" s="16" t="s">
        <v>7597</v>
      </c>
      <c r="E3059" s="16" t="s">
        <v>70</v>
      </c>
      <c r="F3059" s="16" t="s">
        <v>71</v>
      </c>
      <c r="G3059" s="16" t="s">
        <v>8285</v>
      </c>
      <c r="H3059" s="16" t="s">
        <v>75</v>
      </c>
      <c r="I3059" s="16"/>
      <c r="J3059" s="16"/>
      <c r="K3059" s="16"/>
      <c r="L3059" s="16" t="s">
        <v>72</v>
      </c>
      <c r="M3059" s="19" t="s">
        <v>73</v>
      </c>
      <c r="N3059" s="16"/>
      <c r="O3059" s="16" t="s">
        <v>74</v>
      </c>
      <c r="P3059" s="16" t="str">
        <f>HYPERLINK("https://ceds.ed.gov/cedselementdetails.aspx?termid=26703")</f>
        <v>https://ceds.ed.gov/cedselementdetails.aspx?termid=26703</v>
      </c>
      <c r="Q3059" s="16">
        <v>72149</v>
      </c>
    </row>
    <row r="3060" spans="1:17" ht="57.6" x14ac:dyDescent="0.3">
      <c r="A3060" s="16" t="s">
        <v>7724</v>
      </c>
      <c r="B3060" s="16" t="s">
        <v>7730</v>
      </c>
      <c r="C3060" s="16" t="s">
        <v>7683</v>
      </c>
      <c r="D3060" s="16" t="s">
        <v>7597</v>
      </c>
      <c r="E3060" s="16" t="s">
        <v>76</v>
      </c>
      <c r="F3060" s="16" t="s">
        <v>77</v>
      </c>
      <c r="G3060" s="16" t="s">
        <v>32</v>
      </c>
      <c r="H3060" s="16" t="s">
        <v>75</v>
      </c>
      <c r="I3060" s="16"/>
      <c r="J3060" s="16" t="s">
        <v>78</v>
      </c>
      <c r="K3060" s="16"/>
      <c r="L3060" s="16"/>
      <c r="M3060" s="19" t="s">
        <v>79</v>
      </c>
      <c r="N3060" s="16"/>
      <c r="O3060" s="16" t="s">
        <v>80</v>
      </c>
      <c r="P3060" s="16" t="str">
        <f>HYPERLINK("https://ceds.ed.gov/cedselementdetails.aspx?termid=26702")</f>
        <v>https://ceds.ed.gov/cedselementdetails.aspx?termid=26702</v>
      </c>
      <c r="Q3060" s="16">
        <v>72148</v>
      </c>
    </row>
    <row r="3061" spans="1:17" ht="43.2" x14ac:dyDescent="0.3">
      <c r="A3061" s="16" t="s">
        <v>7724</v>
      </c>
      <c r="B3061" s="16" t="s">
        <v>7730</v>
      </c>
      <c r="C3061" s="16" t="s">
        <v>7683</v>
      </c>
      <c r="D3061" s="16" t="s">
        <v>7597</v>
      </c>
      <c r="E3061" s="16" t="s">
        <v>4142</v>
      </c>
      <c r="F3061" s="16" t="s">
        <v>8054</v>
      </c>
      <c r="G3061" s="16" t="s">
        <v>32</v>
      </c>
      <c r="H3061" s="16" t="s">
        <v>58</v>
      </c>
      <c r="I3061" s="16"/>
      <c r="J3061" s="16" t="s">
        <v>955</v>
      </c>
      <c r="K3061" s="16"/>
      <c r="L3061" s="16"/>
      <c r="M3061" s="19" t="s">
        <v>4143</v>
      </c>
      <c r="N3061" s="16"/>
      <c r="O3061" s="16" t="s">
        <v>4144</v>
      </c>
      <c r="P3061" s="16" t="str">
        <f>HYPERLINK("https://ceds.ed.gov/cedselementdetails.aspx?termid=26127")</f>
        <v>https://ceds.ed.gov/cedselementdetails.aspx?termid=26127</v>
      </c>
      <c r="Q3061" s="16">
        <v>70754</v>
      </c>
    </row>
    <row r="3062" spans="1:17" ht="158.4" x14ac:dyDescent="0.3">
      <c r="A3062" s="16" t="s">
        <v>7724</v>
      </c>
      <c r="B3062" s="16" t="s">
        <v>7730</v>
      </c>
      <c r="C3062" s="16" t="s">
        <v>7683</v>
      </c>
      <c r="D3062" s="16" t="s">
        <v>7597</v>
      </c>
      <c r="E3062" s="16" t="s">
        <v>4145</v>
      </c>
      <c r="F3062" s="16" t="s">
        <v>4146</v>
      </c>
      <c r="G3062" s="16" t="s">
        <v>32</v>
      </c>
      <c r="H3062" s="16" t="s">
        <v>4152</v>
      </c>
      <c r="I3062" s="16"/>
      <c r="J3062" s="16" t="s">
        <v>955</v>
      </c>
      <c r="K3062" s="16"/>
      <c r="L3062" s="16" t="s">
        <v>4148</v>
      </c>
      <c r="M3062" s="19" t="s">
        <v>4149</v>
      </c>
      <c r="N3062" s="16" t="s">
        <v>4150</v>
      </c>
      <c r="O3062" s="16" t="s">
        <v>4151</v>
      </c>
      <c r="P3062" s="16" t="str">
        <f>HYPERLINK("https://ceds.ed.gov/cedselementdetails.aspx?termid=26128")</f>
        <v>https://ceds.ed.gov/cedselementdetails.aspx?termid=26128</v>
      </c>
      <c r="Q3062" s="16">
        <v>72023</v>
      </c>
    </row>
    <row r="3063" spans="1:17" ht="57.6" x14ac:dyDescent="0.3">
      <c r="A3063" s="16" t="s">
        <v>7724</v>
      </c>
      <c r="B3063" s="16" t="s">
        <v>7730</v>
      </c>
      <c r="C3063" s="16" t="s">
        <v>7683</v>
      </c>
      <c r="D3063" s="16" t="s">
        <v>7597</v>
      </c>
      <c r="E3063" s="16" t="s">
        <v>3200</v>
      </c>
      <c r="F3063" s="16" t="s">
        <v>7941</v>
      </c>
      <c r="G3063" s="16" t="s">
        <v>32</v>
      </c>
      <c r="H3063" s="16" t="s">
        <v>58</v>
      </c>
      <c r="I3063" s="16"/>
      <c r="J3063" s="16" t="s">
        <v>1481</v>
      </c>
      <c r="K3063" s="16"/>
      <c r="L3063" s="16"/>
      <c r="M3063" s="19" t="s">
        <v>3201</v>
      </c>
      <c r="N3063" s="16"/>
      <c r="O3063" s="16" t="s">
        <v>3202</v>
      </c>
      <c r="P3063" s="16" t="str">
        <f>HYPERLINK("https://ceds.ed.gov/cedselementdetails.aspx?termid=26085")</f>
        <v>https://ceds.ed.gov/cedselementdetails.aspx?termid=26085</v>
      </c>
      <c r="Q3063" s="16">
        <v>70742</v>
      </c>
    </row>
    <row r="3064" spans="1:17" ht="72" x14ac:dyDescent="0.3">
      <c r="A3064" s="16" t="s">
        <v>7724</v>
      </c>
      <c r="B3064" s="16" t="s">
        <v>7730</v>
      </c>
      <c r="C3064" s="16" t="s">
        <v>7683</v>
      </c>
      <c r="D3064" s="16" t="s">
        <v>7597</v>
      </c>
      <c r="E3064" s="16" t="s">
        <v>303</v>
      </c>
      <c r="F3064" s="16" t="s">
        <v>7827</v>
      </c>
      <c r="G3064" s="16" t="s">
        <v>32</v>
      </c>
      <c r="H3064" s="16" t="s">
        <v>58</v>
      </c>
      <c r="I3064" s="16"/>
      <c r="J3064" s="16" t="s">
        <v>305</v>
      </c>
      <c r="K3064" s="16"/>
      <c r="L3064" s="16"/>
      <c r="M3064" s="19" t="s">
        <v>306</v>
      </c>
      <c r="N3064" s="16" t="s">
        <v>307</v>
      </c>
      <c r="O3064" s="16" t="s">
        <v>308</v>
      </c>
      <c r="P3064" s="16" t="str">
        <f>HYPERLINK("https://ceds.ed.gov/cedselementdetails.aspx?termid=26018")</f>
        <v>https://ceds.ed.gov/cedselementdetails.aspx?termid=26018</v>
      </c>
      <c r="Q3064" s="16">
        <v>70728</v>
      </c>
    </row>
    <row r="3065" spans="1:17" ht="43.2" x14ac:dyDescent="0.3">
      <c r="A3065" s="16" t="s">
        <v>7724</v>
      </c>
      <c r="B3065" s="16" t="s">
        <v>7730</v>
      </c>
      <c r="C3065" s="16" t="s">
        <v>7683</v>
      </c>
      <c r="D3065" s="16" t="s">
        <v>7597</v>
      </c>
      <c r="E3065" s="16" t="s">
        <v>2702</v>
      </c>
      <c r="F3065" s="16" t="s">
        <v>2703</v>
      </c>
      <c r="G3065" s="16" t="s">
        <v>32</v>
      </c>
      <c r="H3065" s="16"/>
      <c r="I3065" s="16"/>
      <c r="J3065" s="16" t="s">
        <v>305</v>
      </c>
      <c r="K3065" s="16"/>
      <c r="L3065" s="16"/>
      <c r="M3065" s="19" t="s">
        <v>2704</v>
      </c>
      <c r="N3065" s="16"/>
      <c r="O3065" s="16" t="s">
        <v>2705</v>
      </c>
      <c r="P3065" s="16" t="str">
        <f>HYPERLINK("https://ceds.ed.gov/cedselementdetails.aspx?termid=27282")</f>
        <v>https://ceds.ed.gov/cedselementdetails.aspx?termid=27282</v>
      </c>
      <c r="Q3065" s="16">
        <v>73119</v>
      </c>
    </row>
    <row r="3066" spans="1:17" ht="100.8" x14ac:dyDescent="0.3">
      <c r="A3066" s="16" t="s">
        <v>7724</v>
      </c>
      <c r="B3066" s="16" t="s">
        <v>7730</v>
      </c>
      <c r="C3066" s="16" t="s">
        <v>7683</v>
      </c>
      <c r="D3066" s="16" t="s">
        <v>7597</v>
      </c>
      <c r="E3066" s="16" t="s">
        <v>2928</v>
      </c>
      <c r="F3066" s="16" t="s">
        <v>7366</v>
      </c>
      <c r="G3066" s="16" t="s">
        <v>32</v>
      </c>
      <c r="H3066" s="16" t="s">
        <v>64</v>
      </c>
      <c r="I3066" s="16"/>
      <c r="J3066" s="16" t="s">
        <v>1481</v>
      </c>
      <c r="K3066" s="16"/>
      <c r="L3066" s="16"/>
      <c r="M3066" s="19" t="s">
        <v>2929</v>
      </c>
      <c r="N3066" s="16"/>
      <c r="O3066" s="16" t="s">
        <v>2930</v>
      </c>
      <c r="P3066" s="16" t="str">
        <f>HYPERLINK("https://ceds.ed.gov/cedselementdetails.aspx?termid=26073")</f>
        <v>https://ceds.ed.gov/cedselementdetails.aspx?termid=26073</v>
      </c>
      <c r="Q3066" s="16">
        <v>75643</v>
      </c>
    </row>
    <row r="3067" spans="1:17" ht="100.8" x14ac:dyDescent="0.3">
      <c r="A3067" s="16" t="s">
        <v>7724</v>
      </c>
      <c r="B3067" s="16" t="s">
        <v>7730</v>
      </c>
      <c r="C3067" s="16" t="s">
        <v>7683</v>
      </c>
      <c r="D3067" s="16" t="s">
        <v>7597</v>
      </c>
      <c r="E3067" s="16" t="s">
        <v>2931</v>
      </c>
      <c r="F3067" s="16" t="s">
        <v>7367</v>
      </c>
      <c r="G3067" s="16" t="s">
        <v>32</v>
      </c>
      <c r="H3067" s="16" t="s">
        <v>64</v>
      </c>
      <c r="I3067" s="16"/>
      <c r="J3067" s="16" t="s">
        <v>1481</v>
      </c>
      <c r="K3067" s="16"/>
      <c r="L3067" s="16"/>
      <c r="M3067" s="19" t="s">
        <v>2932</v>
      </c>
      <c r="N3067" s="16"/>
      <c r="O3067" s="16" t="s">
        <v>2933</v>
      </c>
      <c r="P3067" s="16" t="str">
        <f>HYPERLINK("https://ceds.ed.gov/cedselementdetails.aspx?termid=26074")</f>
        <v>https://ceds.ed.gov/cedselementdetails.aspx?termid=26074</v>
      </c>
      <c r="Q3067" s="16">
        <v>75644</v>
      </c>
    </row>
    <row r="3068" spans="1:17" ht="72" x14ac:dyDescent="0.3">
      <c r="A3068" s="16" t="s">
        <v>7724</v>
      </c>
      <c r="B3068" s="16" t="s">
        <v>7730</v>
      </c>
      <c r="C3068" s="16" t="s">
        <v>7683</v>
      </c>
      <c r="D3068" s="16" t="s">
        <v>7597</v>
      </c>
      <c r="E3068" s="16" t="s">
        <v>5499</v>
      </c>
      <c r="F3068" s="16" t="s">
        <v>5500</v>
      </c>
      <c r="G3068" s="16" t="s">
        <v>32</v>
      </c>
      <c r="H3068" s="16" t="s">
        <v>64</v>
      </c>
      <c r="I3068" s="16"/>
      <c r="J3068" s="16" t="s">
        <v>1481</v>
      </c>
      <c r="K3068" s="16"/>
      <c r="L3068" s="16"/>
      <c r="M3068" s="19" t="s">
        <v>5501</v>
      </c>
      <c r="N3068" s="16"/>
      <c r="O3068" s="16" t="s">
        <v>5502</v>
      </c>
      <c r="P3068" s="16" t="str">
        <f>HYPERLINK("https://ceds.ed.gov/cedselementdetails.aspx?termid=26199")</f>
        <v>https://ceds.ed.gov/cedselementdetails.aspx?termid=26199</v>
      </c>
      <c r="Q3068" s="16">
        <v>75645</v>
      </c>
    </row>
    <row r="3069" spans="1:17" ht="100.8" x14ac:dyDescent="0.3">
      <c r="A3069" s="16" t="s">
        <v>7724</v>
      </c>
      <c r="B3069" s="16" t="s">
        <v>7730</v>
      </c>
      <c r="C3069" s="16" t="s">
        <v>7683</v>
      </c>
      <c r="D3069" s="16" t="s">
        <v>7597</v>
      </c>
      <c r="E3069" s="16" t="s">
        <v>5503</v>
      </c>
      <c r="F3069" s="16" t="s">
        <v>5504</v>
      </c>
      <c r="G3069" s="16" t="s">
        <v>32</v>
      </c>
      <c r="H3069" s="16" t="s">
        <v>5256</v>
      </c>
      <c r="I3069" s="16"/>
      <c r="J3069" s="16" t="s">
        <v>1481</v>
      </c>
      <c r="K3069" s="16"/>
      <c r="L3069" s="16"/>
      <c r="M3069" s="19" t="s">
        <v>5505</v>
      </c>
      <c r="N3069" s="16"/>
      <c r="O3069" s="16" t="s">
        <v>5506</v>
      </c>
      <c r="P3069" s="16" t="str">
        <f>HYPERLINK("https://ceds.ed.gov/cedselementdetails.aspx?termid=26200")</f>
        <v>https://ceds.ed.gov/cedselementdetails.aspx?termid=26200</v>
      </c>
      <c r="Q3069" s="16">
        <v>75646</v>
      </c>
    </row>
    <row r="3070" spans="1:17" ht="172.8" x14ac:dyDescent="0.3">
      <c r="A3070" s="16" t="s">
        <v>7724</v>
      </c>
      <c r="B3070" s="16" t="s">
        <v>7730</v>
      </c>
      <c r="C3070" s="16" t="s">
        <v>7685</v>
      </c>
      <c r="D3070" s="16" t="s">
        <v>7597</v>
      </c>
      <c r="E3070" s="16" t="s">
        <v>6074</v>
      </c>
      <c r="F3070" s="16" t="s">
        <v>6075</v>
      </c>
      <c r="G3070" s="16" t="s">
        <v>32</v>
      </c>
      <c r="H3070" s="16" t="s">
        <v>2564</v>
      </c>
      <c r="I3070" s="16"/>
      <c r="J3070" s="16" t="s">
        <v>120</v>
      </c>
      <c r="K3070" s="16"/>
      <c r="L3070" s="16" t="s">
        <v>7817</v>
      </c>
      <c r="M3070" s="19" t="s">
        <v>6076</v>
      </c>
      <c r="N3070" s="16"/>
      <c r="O3070" s="16" t="s">
        <v>6077</v>
      </c>
      <c r="P3070" s="16" t="str">
        <f>HYPERLINK("https://ceds.ed.gov/cedselementdetails.aspx?termid=26618")</f>
        <v>https://ceds.ed.gov/cedselementdetails.aspx?termid=26618</v>
      </c>
      <c r="Q3070" s="16">
        <v>74008</v>
      </c>
    </row>
    <row r="3071" spans="1:17" ht="72" x14ac:dyDescent="0.3">
      <c r="A3071" s="16" t="s">
        <v>7724</v>
      </c>
      <c r="B3071" s="16" t="s">
        <v>7730</v>
      </c>
      <c r="C3071" s="16" t="s">
        <v>7685</v>
      </c>
      <c r="D3071" s="16" t="s">
        <v>7597</v>
      </c>
      <c r="E3071" s="16" t="s">
        <v>2044</v>
      </c>
      <c r="F3071" s="16" t="s">
        <v>2045</v>
      </c>
      <c r="G3071" s="16" t="s">
        <v>7312</v>
      </c>
      <c r="H3071" s="16" t="s">
        <v>42</v>
      </c>
      <c r="I3071" s="16" t="s">
        <v>160</v>
      </c>
      <c r="J3071" s="16" t="s">
        <v>2</v>
      </c>
      <c r="K3071" s="16" t="s">
        <v>12935</v>
      </c>
      <c r="L3071" s="16"/>
      <c r="M3071" s="19" t="s">
        <v>2046</v>
      </c>
      <c r="N3071" s="16" t="s">
        <v>2047</v>
      </c>
      <c r="O3071" s="16" t="s">
        <v>2048</v>
      </c>
      <c r="P3071" s="16" t="str">
        <f>HYPERLINK("https://ceds.ed.gov/cedselementdetails.aspx?termid=26043")</f>
        <v>https://ceds.ed.gov/cedselementdetails.aspx?termid=26043</v>
      </c>
      <c r="Q3071" s="16">
        <v>73952</v>
      </c>
    </row>
    <row r="3072" spans="1:17" ht="28.8" x14ac:dyDescent="0.3">
      <c r="A3072" s="16" t="s">
        <v>7724</v>
      </c>
      <c r="B3072" s="16" t="s">
        <v>7730</v>
      </c>
      <c r="C3072" s="16" t="s">
        <v>7685</v>
      </c>
      <c r="D3072" s="16" t="s">
        <v>7597</v>
      </c>
      <c r="E3072" s="16" t="s">
        <v>53</v>
      </c>
      <c r="F3072" s="16" t="s">
        <v>54</v>
      </c>
      <c r="G3072" s="16" t="s">
        <v>32</v>
      </c>
      <c r="H3072" s="16" t="s">
        <v>58</v>
      </c>
      <c r="I3072" s="16"/>
      <c r="J3072" s="16" t="s">
        <v>55</v>
      </c>
      <c r="K3072" s="16"/>
      <c r="L3072" s="16"/>
      <c r="M3072" s="19" t="s">
        <v>56</v>
      </c>
      <c r="N3072" s="16"/>
      <c r="O3072" s="16" t="s">
        <v>57</v>
      </c>
      <c r="P3072" s="16" t="str">
        <f>HYPERLINK("https://ceds.ed.gov/cedselementdetails.aspx?termid=26003")</f>
        <v>https://ceds.ed.gov/cedselementdetails.aspx?termid=26003</v>
      </c>
      <c r="Q3072" s="16">
        <v>73941</v>
      </c>
    </row>
    <row r="3073" spans="1:17" ht="409.6" x14ac:dyDescent="0.3">
      <c r="A3073" s="16" t="s">
        <v>7724</v>
      </c>
      <c r="B3073" s="16" t="s">
        <v>7730</v>
      </c>
      <c r="C3073" s="16" t="s">
        <v>7685</v>
      </c>
      <c r="D3073" s="16" t="s">
        <v>7597</v>
      </c>
      <c r="E3073" s="16" t="s">
        <v>5770</v>
      </c>
      <c r="F3073" s="16" t="s">
        <v>39</v>
      </c>
      <c r="G3073" s="16" t="s">
        <v>8757</v>
      </c>
      <c r="H3073" s="16"/>
      <c r="I3073" s="16"/>
      <c r="J3073" s="16"/>
      <c r="K3073" s="16"/>
      <c r="L3073" s="16"/>
      <c r="M3073" s="19" t="s">
        <v>5771</v>
      </c>
      <c r="N3073" s="16"/>
      <c r="O3073" s="16" t="s">
        <v>5772</v>
      </c>
      <c r="P3073" s="16" t="str">
        <f>HYPERLINK("https://ceds.ed.gov/cedselementdetails.aspx?termid=27649")</f>
        <v>https://ceds.ed.gov/cedselementdetails.aspx?termid=27649</v>
      </c>
      <c r="Q3073" s="16">
        <v>74988</v>
      </c>
    </row>
    <row r="3074" spans="1:17" ht="57.6" x14ac:dyDescent="0.3">
      <c r="A3074" s="16" t="s">
        <v>7724</v>
      </c>
      <c r="B3074" s="16" t="s">
        <v>7730</v>
      </c>
      <c r="C3074" s="16" t="s">
        <v>7685</v>
      </c>
      <c r="D3074" s="16" t="s">
        <v>7597</v>
      </c>
      <c r="E3074" s="16" t="s">
        <v>30</v>
      </c>
      <c r="F3074" s="16" t="s">
        <v>31</v>
      </c>
      <c r="G3074" s="16" t="s">
        <v>32</v>
      </c>
      <c r="H3074" s="16" t="s">
        <v>37</v>
      </c>
      <c r="I3074" s="16"/>
      <c r="J3074" s="16" t="s">
        <v>34</v>
      </c>
      <c r="K3074" s="16"/>
      <c r="L3074" s="16"/>
      <c r="M3074" s="19" t="s">
        <v>35</v>
      </c>
      <c r="N3074" s="16"/>
      <c r="O3074" s="16" t="s">
        <v>36</v>
      </c>
      <c r="P3074" s="16" t="str">
        <f>HYPERLINK("https://ceds.ed.gov/cedselementdetails.aspx?termid=26001")</f>
        <v>https://ceds.ed.gov/cedselementdetails.aspx?termid=26001</v>
      </c>
      <c r="Q3074" s="16">
        <v>70725</v>
      </c>
    </row>
    <row r="3075" spans="1:17" ht="115.2" x14ac:dyDescent="0.3">
      <c r="A3075" s="16" t="s">
        <v>7724</v>
      </c>
      <c r="B3075" s="16" t="s">
        <v>7730</v>
      </c>
      <c r="C3075" s="16" t="s">
        <v>7685</v>
      </c>
      <c r="D3075" s="16" t="s">
        <v>7597</v>
      </c>
      <c r="E3075" s="16" t="s">
        <v>3090</v>
      </c>
      <c r="F3075" s="16" t="s">
        <v>3091</v>
      </c>
      <c r="G3075" s="16" t="s">
        <v>32</v>
      </c>
      <c r="H3075" s="16" t="s">
        <v>3096</v>
      </c>
      <c r="I3075" s="16"/>
      <c r="J3075" s="16" t="s">
        <v>3093</v>
      </c>
      <c r="K3075" s="16"/>
      <c r="L3075" s="16"/>
      <c r="M3075" s="19" t="s">
        <v>3094</v>
      </c>
      <c r="N3075" s="16"/>
      <c r="O3075" s="16" t="s">
        <v>3095</v>
      </c>
      <c r="P3075" s="16" t="str">
        <f>HYPERLINK("https://ceds.ed.gov/cedselementdetails.aspx?termid=26081")</f>
        <v>https://ceds.ed.gov/cedselementdetails.aspx?termid=26081</v>
      </c>
      <c r="Q3075" s="16">
        <v>73963</v>
      </c>
    </row>
    <row r="3076" spans="1:17" ht="72" x14ac:dyDescent="0.3">
      <c r="A3076" s="16" t="s">
        <v>7724</v>
      </c>
      <c r="B3076" s="16" t="s">
        <v>7730</v>
      </c>
      <c r="C3076" s="16" t="s">
        <v>7685</v>
      </c>
      <c r="D3076" s="16" t="s">
        <v>7597</v>
      </c>
      <c r="E3076" s="16" t="s">
        <v>5809</v>
      </c>
      <c r="F3076" s="16" t="s">
        <v>5810</v>
      </c>
      <c r="G3076" s="16" t="s">
        <v>8761</v>
      </c>
      <c r="H3076" s="16" t="s">
        <v>5813</v>
      </c>
      <c r="I3076" s="16"/>
      <c r="J3076" s="16"/>
      <c r="K3076" s="16"/>
      <c r="L3076" s="16"/>
      <c r="M3076" s="19" t="s">
        <v>5811</v>
      </c>
      <c r="N3076" s="16"/>
      <c r="O3076" s="16" t="s">
        <v>5812</v>
      </c>
      <c r="P3076" s="16" t="str">
        <f>HYPERLINK("https://ceds.ed.gov/cedselementdetails.aspx?termid=27595")</f>
        <v>https://ceds.ed.gov/cedselementdetails.aspx?termid=27595</v>
      </c>
      <c r="Q3076" s="16">
        <v>74093</v>
      </c>
    </row>
    <row r="3077" spans="1:17" ht="216" x14ac:dyDescent="0.3">
      <c r="A3077" s="16" t="s">
        <v>7724</v>
      </c>
      <c r="B3077" s="16" t="s">
        <v>7730</v>
      </c>
      <c r="C3077" s="16" t="s">
        <v>7685</v>
      </c>
      <c r="D3077" s="16" t="s">
        <v>7597</v>
      </c>
      <c r="E3077" s="16" t="s">
        <v>38</v>
      </c>
      <c r="F3077" s="16" t="s">
        <v>7813</v>
      </c>
      <c r="G3077" s="16" t="s">
        <v>8281</v>
      </c>
      <c r="H3077" s="16" t="s">
        <v>42</v>
      </c>
      <c r="I3077" s="16"/>
      <c r="J3077" s="16"/>
      <c r="K3077" s="16"/>
      <c r="L3077" s="16"/>
      <c r="M3077" s="19" t="s">
        <v>40</v>
      </c>
      <c r="N3077" s="16"/>
      <c r="O3077" s="16" t="s">
        <v>41</v>
      </c>
      <c r="P3077" s="16" t="str">
        <f>HYPERLINK("https://ceds.ed.gov/cedselementdetails.aspx?termid=26002")</f>
        <v>https://ceds.ed.gov/cedselementdetails.aspx?termid=26002</v>
      </c>
      <c r="Q3077" s="16">
        <v>73939</v>
      </c>
    </row>
    <row r="3078" spans="1:17" ht="86.4" x14ac:dyDescent="0.3">
      <c r="A3078" s="16" t="s">
        <v>7724</v>
      </c>
      <c r="B3078" s="16" t="s">
        <v>7730</v>
      </c>
      <c r="C3078" s="16" t="s">
        <v>7685</v>
      </c>
      <c r="D3078" s="16" t="s">
        <v>7597</v>
      </c>
      <c r="E3078" s="16" t="s">
        <v>43</v>
      </c>
      <c r="F3078" s="16" t="s">
        <v>44</v>
      </c>
      <c r="G3078" s="16" t="s">
        <v>8282</v>
      </c>
      <c r="H3078" s="16"/>
      <c r="I3078" s="16"/>
      <c r="J3078" s="16"/>
      <c r="K3078" s="16"/>
      <c r="L3078" s="16"/>
      <c r="M3078" s="19" t="s">
        <v>46</v>
      </c>
      <c r="N3078" s="16"/>
      <c r="O3078" s="16" t="s">
        <v>47</v>
      </c>
      <c r="P3078" s="16" t="str">
        <f>HYPERLINK("https://ceds.ed.gov/cedselementdetails.aspx?termid=27647")</f>
        <v>https://ceds.ed.gov/cedselementdetails.aspx?termid=27647</v>
      </c>
      <c r="Q3078" s="16">
        <v>74865</v>
      </c>
    </row>
    <row r="3079" spans="1:17" ht="28.8" x14ac:dyDescent="0.3">
      <c r="A3079" s="16" t="s">
        <v>7724</v>
      </c>
      <c r="B3079" s="16" t="s">
        <v>7730</v>
      </c>
      <c r="C3079" s="16" t="s">
        <v>7685</v>
      </c>
      <c r="D3079" s="16" t="s">
        <v>7597</v>
      </c>
      <c r="E3079" s="16" t="s">
        <v>48</v>
      </c>
      <c r="F3079" s="16" t="s">
        <v>49</v>
      </c>
      <c r="G3079" s="16" t="s">
        <v>32</v>
      </c>
      <c r="H3079" s="16"/>
      <c r="I3079" s="16"/>
      <c r="J3079" s="16" t="s">
        <v>50</v>
      </c>
      <c r="K3079" s="16"/>
      <c r="L3079" s="16"/>
      <c r="M3079" s="19" t="s">
        <v>51</v>
      </c>
      <c r="N3079" s="16"/>
      <c r="O3079" s="16" t="s">
        <v>52</v>
      </c>
      <c r="P3079" s="16" t="str">
        <f>HYPERLINK("https://ceds.ed.gov/cedselementdetails.aspx?termid=27646")</f>
        <v>https://ceds.ed.gov/cedselementdetails.aspx?termid=27646</v>
      </c>
      <c r="Q3079" s="16">
        <v>74867</v>
      </c>
    </row>
    <row r="3080" spans="1:17" ht="72" x14ac:dyDescent="0.3">
      <c r="A3080" s="16" t="s">
        <v>7724</v>
      </c>
      <c r="B3080" s="16" t="s">
        <v>7730</v>
      </c>
      <c r="C3080" s="16" t="s">
        <v>7685</v>
      </c>
      <c r="D3080" s="16" t="s">
        <v>7597</v>
      </c>
      <c r="E3080" s="16" t="s">
        <v>2049</v>
      </c>
      <c r="F3080" s="16" t="s">
        <v>2050</v>
      </c>
      <c r="G3080" s="16" t="s">
        <v>8439</v>
      </c>
      <c r="H3080" s="16" t="s">
        <v>186</v>
      </c>
      <c r="I3080" s="16"/>
      <c r="J3080" s="16"/>
      <c r="K3080" s="16"/>
      <c r="L3080" s="16"/>
      <c r="M3080" s="19" t="s">
        <v>2052</v>
      </c>
      <c r="N3080" s="16" t="s">
        <v>2053</v>
      </c>
      <c r="O3080" s="16" t="s">
        <v>2054</v>
      </c>
      <c r="P3080" s="16" t="str">
        <f>HYPERLINK("https://ceds.ed.gov/cedselementdetails.aspx?termid=26044")</f>
        <v>https://ceds.ed.gov/cedselementdetails.aspx?termid=26044</v>
      </c>
      <c r="Q3080" s="16">
        <v>73957</v>
      </c>
    </row>
    <row r="3081" spans="1:17" ht="100.8" x14ac:dyDescent="0.3">
      <c r="A3081" s="16" t="s">
        <v>7724</v>
      </c>
      <c r="B3081" s="16" t="s">
        <v>7730</v>
      </c>
      <c r="C3081" s="16" t="s">
        <v>7685</v>
      </c>
      <c r="D3081" s="16" t="s">
        <v>7597</v>
      </c>
      <c r="E3081" s="16" t="s">
        <v>2055</v>
      </c>
      <c r="F3081" s="16" t="s">
        <v>2056</v>
      </c>
      <c r="G3081" s="16" t="s">
        <v>9328</v>
      </c>
      <c r="H3081" s="16" t="s">
        <v>186</v>
      </c>
      <c r="I3081" s="16"/>
      <c r="J3081" s="16"/>
      <c r="K3081" s="16"/>
      <c r="L3081" s="16"/>
      <c r="M3081" s="19" t="s">
        <v>2057</v>
      </c>
      <c r="N3081" s="16" t="s">
        <v>2058</v>
      </c>
      <c r="O3081" s="16" t="s">
        <v>2059</v>
      </c>
      <c r="P3081" s="16" t="str">
        <f>HYPERLINK("https://ceds.ed.gov/cedselementdetails.aspx?termid=26045")</f>
        <v>https://ceds.ed.gov/cedselementdetails.aspx?termid=26045</v>
      </c>
      <c r="Q3081" s="16">
        <v>73960</v>
      </c>
    </row>
    <row r="3082" spans="1:17" ht="172.8" x14ac:dyDescent="0.3">
      <c r="A3082" s="16" t="s">
        <v>7724</v>
      </c>
      <c r="B3082" s="16" t="s">
        <v>7730</v>
      </c>
      <c r="C3082" s="16" t="s">
        <v>7685</v>
      </c>
      <c r="D3082" s="16" t="s">
        <v>7597</v>
      </c>
      <c r="E3082" s="16" t="s">
        <v>2914</v>
      </c>
      <c r="F3082" s="16" t="s">
        <v>2915</v>
      </c>
      <c r="G3082" s="16" t="s">
        <v>8485</v>
      </c>
      <c r="H3082" s="16"/>
      <c r="I3082" s="16"/>
      <c r="J3082" s="16"/>
      <c r="K3082" s="16"/>
      <c r="L3082" s="16"/>
      <c r="M3082" s="19" t="s">
        <v>2917</v>
      </c>
      <c r="N3082" s="16"/>
      <c r="O3082" s="16" t="s">
        <v>2918</v>
      </c>
      <c r="P3082" s="16" t="str">
        <f>HYPERLINK("https://ceds.ed.gov/cedselementdetails.aspx?termid=27283")</f>
        <v>https://ceds.ed.gov/cedselementdetails.aspx?termid=27283</v>
      </c>
      <c r="Q3082" s="16">
        <v>73121</v>
      </c>
    </row>
    <row r="3083" spans="1:17" ht="129.6" x14ac:dyDescent="0.3">
      <c r="A3083" s="16" t="s">
        <v>7724</v>
      </c>
      <c r="B3083" s="16" t="s">
        <v>7730</v>
      </c>
      <c r="C3083" s="16" t="s">
        <v>7685</v>
      </c>
      <c r="D3083" s="16" t="s">
        <v>7597</v>
      </c>
      <c r="E3083" s="16" t="s">
        <v>3196</v>
      </c>
      <c r="F3083" s="16" t="s">
        <v>12979</v>
      </c>
      <c r="G3083" s="16" t="s">
        <v>8516</v>
      </c>
      <c r="H3083" s="16"/>
      <c r="I3083" s="16"/>
      <c r="J3083" s="16"/>
      <c r="K3083" s="16"/>
      <c r="L3083" s="16" t="s">
        <v>7940</v>
      </c>
      <c r="M3083" s="19" t="s">
        <v>3198</v>
      </c>
      <c r="N3083" s="16"/>
      <c r="O3083" s="16" t="s">
        <v>3199</v>
      </c>
      <c r="P3083" s="16" t="str">
        <f>HYPERLINK("https://ceds.ed.gov/cedselementdetails.aspx?termid=27622")</f>
        <v>https://ceds.ed.gov/cedselementdetails.aspx?termid=27622</v>
      </c>
      <c r="Q3083" s="16">
        <v>74313</v>
      </c>
    </row>
    <row r="3084" spans="1:17" ht="115.2" x14ac:dyDescent="0.3">
      <c r="A3084" s="16" t="s">
        <v>7724</v>
      </c>
      <c r="B3084" s="16" t="s">
        <v>7730</v>
      </c>
      <c r="C3084" s="16" t="s">
        <v>7685</v>
      </c>
      <c r="D3084" s="16" t="s">
        <v>7597</v>
      </c>
      <c r="E3084" s="16" t="s">
        <v>6034</v>
      </c>
      <c r="F3084" s="16" t="s">
        <v>6035</v>
      </c>
      <c r="G3084" s="16" t="s">
        <v>8794</v>
      </c>
      <c r="H3084" s="16"/>
      <c r="I3084" s="16"/>
      <c r="J3084" s="16"/>
      <c r="K3084" s="16"/>
      <c r="L3084" s="16"/>
      <c r="M3084" s="19" t="s">
        <v>6037</v>
      </c>
      <c r="N3084" s="16"/>
      <c r="O3084" s="16" t="s">
        <v>6038</v>
      </c>
      <c r="P3084" s="16" t="str">
        <f>HYPERLINK("https://ceds.ed.gov/cedselementdetails.aspx?termid=26780")</f>
        <v>https://ceds.ed.gov/cedselementdetails.aspx?termid=26780</v>
      </c>
      <c r="Q3084" s="16">
        <v>74016</v>
      </c>
    </row>
    <row r="3085" spans="1:17" ht="172.8" x14ac:dyDescent="0.3">
      <c r="A3085" s="16" t="s">
        <v>7724</v>
      </c>
      <c r="B3085" s="16" t="s">
        <v>7730</v>
      </c>
      <c r="C3085" s="16" t="s">
        <v>7740</v>
      </c>
      <c r="D3085" s="16" t="s">
        <v>7597</v>
      </c>
      <c r="E3085" s="16" t="s">
        <v>5738</v>
      </c>
      <c r="F3085" s="16" t="s">
        <v>5739</v>
      </c>
      <c r="G3085" s="16" t="s">
        <v>32</v>
      </c>
      <c r="H3085" s="16"/>
      <c r="I3085" s="16"/>
      <c r="J3085" s="16" t="s">
        <v>120</v>
      </c>
      <c r="K3085" s="16"/>
      <c r="L3085" s="16" t="s">
        <v>7905</v>
      </c>
      <c r="M3085" s="19" t="s">
        <v>5740</v>
      </c>
      <c r="N3085" s="16"/>
      <c r="O3085" s="16" t="s">
        <v>5741</v>
      </c>
      <c r="P3085" s="16" t="str">
        <f>HYPERLINK("https://ceds.ed.gov/cedselementdetails.aspx?termid=27551")</f>
        <v>https://ceds.ed.gov/cedselementdetails.aspx?termid=27551</v>
      </c>
      <c r="Q3085" s="16">
        <v>74849</v>
      </c>
    </row>
    <row r="3086" spans="1:17" ht="273.60000000000002" x14ac:dyDescent="0.3">
      <c r="A3086" s="16" t="s">
        <v>7724</v>
      </c>
      <c r="B3086" s="16" t="s">
        <v>7730</v>
      </c>
      <c r="C3086" s="16" t="s">
        <v>7740</v>
      </c>
      <c r="D3086" s="16" t="s">
        <v>7597</v>
      </c>
      <c r="E3086" s="16" t="s">
        <v>5734</v>
      </c>
      <c r="F3086" s="16" t="s">
        <v>5735</v>
      </c>
      <c r="G3086" s="16" t="s">
        <v>9336</v>
      </c>
      <c r="H3086" s="16"/>
      <c r="I3086" s="16"/>
      <c r="J3086" s="16"/>
      <c r="K3086" s="16"/>
      <c r="L3086" s="16"/>
      <c r="M3086" s="19" t="s">
        <v>5736</v>
      </c>
      <c r="N3086" s="16"/>
      <c r="O3086" s="16" t="s">
        <v>5737</v>
      </c>
      <c r="P3086" s="16" t="str">
        <f>HYPERLINK("https://ceds.ed.gov/cedselementdetails.aspx?termid=27550")</f>
        <v>https://ceds.ed.gov/cedselementdetails.aspx?termid=27550</v>
      </c>
      <c r="Q3086" s="16">
        <v>74840</v>
      </c>
    </row>
    <row r="3087" spans="1:17" ht="172.8" x14ac:dyDescent="0.3">
      <c r="A3087" s="16" t="s">
        <v>7724</v>
      </c>
      <c r="B3087" s="16" t="s">
        <v>7730</v>
      </c>
      <c r="C3087" s="16" t="s">
        <v>7741</v>
      </c>
      <c r="D3087" s="16" t="s">
        <v>7597</v>
      </c>
      <c r="E3087" s="16" t="s">
        <v>5738</v>
      </c>
      <c r="F3087" s="16" t="s">
        <v>5739</v>
      </c>
      <c r="G3087" s="16" t="s">
        <v>32</v>
      </c>
      <c r="H3087" s="16"/>
      <c r="I3087" s="16"/>
      <c r="J3087" s="16" t="s">
        <v>120</v>
      </c>
      <c r="K3087" s="16"/>
      <c r="L3087" s="16" t="s">
        <v>7905</v>
      </c>
      <c r="M3087" s="19" t="s">
        <v>5740</v>
      </c>
      <c r="N3087" s="16"/>
      <c r="O3087" s="16" t="s">
        <v>5741</v>
      </c>
      <c r="P3087" s="16" t="str">
        <f>HYPERLINK("https://ceds.ed.gov/cedselementdetails.aspx?termid=27551")</f>
        <v>https://ceds.ed.gov/cedselementdetails.aspx?termid=27551</v>
      </c>
      <c r="Q3087" s="16">
        <v>74850</v>
      </c>
    </row>
    <row r="3088" spans="1:17" ht="273.60000000000002" x14ac:dyDescent="0.3">
      <c r="A3088" s="16" t="s">
        <v>7724</v>
      </c>
      <c r="B3088" s="16" t="s">
        <v>7730</v>
      </c>
      <c r="C3088" s="16" t="s">
        <v>7741</v>
      </c>
      <c r="D3088" s="16" t="s">
        <v>7597</v>
      </c>
      <c r="E3088" s="16" t="s">
        <v>5734</v>
      </c>
      <c r="F3088" s="16" t="s">
        <v>5735</v>
      </c>
      <c r="G3088" s="16" t="s">
        <v>9336</v>
      </c>
      <c r="H3088" s="16"/>
      <c r="I3088" s="16"/>
      <c r="J3088" s="16"/>
      <c r="K3088" s="16"/>
      <c r="L3088" s="16"/>
      <c r="M3088" s="19" t="s">
        <v>5736</v>
      </c>
      <c r="N3088" s="16"/>
      <c r="O3088" s="16" t="s">
        <v>5737</v>
      </c>
      <c r="P3088" s="16" t="str">
        <f>HYPERLINK("https://ceds.ed.gov/cedselementdetails.aspx?termid=27550")</f>
        <v>https://ceds.ed.gov/cedselementdetails.aspx?termid=27550</v>
      </c>
      <c r="Q3088" s="16">
        <v>74841</v>
      </c>
    </row>
    <row r="3089" spans="1:17" ht="172.8" x14ac:dyDescent="0.3">
      <c r="A3089" s="16" t="s">
        <v>7724</v>
      </c>
      <c r="B3089" s="16" t="s">
        <v>7730</v>
      </c>
      <c r="C3089" s="16" t="s">
        <v>7684</v>
      </c>
      <c r="D3089" s="16" t="s">
        <v>7597</v>
      </c>
      <c r="E3089" s="16" t="s">
        <v>118</v>
      </c>
      <c r="F3089" s="16" t="s">
        <v>119</v>
      </c>
      <c r="G3089" s="16" t="s">
        <v>32</v>
      </c>
      <c r="H3089" s="16" t="s">
        <v>64</v>
      </c>
      <c r="I3089" s="16"/>
      <c r="J3089" s="16" t="s">
        <v>120</v>
      </c>
      <c r="K3089" s="16"/>
      <c r="L3089" s="16" t="s">
        <v>7817</v>
      </c>
      <c r="M3089" s="19" t="s">
        <v>122</v>
      </c>
      <c r="N3089" s="16"/>
      <c r="O3089" s="16" t="s">
        <v>123</v>
      </c>
      <c r="P3089" s="16" t="str">
        <f>HYPERLINK("https://ceds.ed.gov/cedselementdetails.aspx?termid=26006")</f>
        <v>https://ceds.ed.gov/cedselementdetails.aspx?termid=26006</v>
      </c>
      <c r="Q3089" s="16">
        <v>74455</v>
      </c>
    </row>
    <row r="3090" spans="1:17" ht="72" x14ac:dyDescent="0.3">
      <c r="A3090" s="16" t="s">
        <v>7724</v>
      </c>
      <c r="B3090" s="16" t="s">
        <v>7730</v>
      </c>
      <c r="C3090" s="16" t="s">
        <v>7684</v>
      </c>
      <c r="D3090" s="16" t="s">
        <v>7597</v>
      </c>
      <c r="E3090" s="16" t="s">
        <v>143</v>
      </c>
      <c r="F3090" s="16" t="s">
        <v>144</v>
      </c>
      <c r="G3090" s="16" t="s">
        <v>32</v>
      </c>
      <c r="H3090" s="16" t="s">
        <v>64</v>
      </c>
      <c r="I3090" s="16"/>
      <c r="J3090" s="16" t="s">
        <v>145</v>
      </c>
      <c r="K3090" s="16"/>
      <c r="L3090" s="16"/>
      <c r="M3090" s="19" t="s">
        <v>146</v>
      </c>
      <c r="N3090" s="16"/>
      <c r="O3090" s="16" t="s">
        <v>147</v>
      </c>
      <c r="P3090" s="16" t="str">
        <f>HYPERLINK("https://ceds.ed.gov/cedselementdetails.aspx?termid=26009")</f>
        <v>https://ceds.ed.gov/cedselementdetails.aspx?termid=26009</v>
      </c>
      <c r="Q3090" s="16">
        <v>74457</v>
      </c>
    </row>
    <row r="3091" spans="1:17" ht="72" x14ac:dyDescent="0.3">
      <c r="A3091" s="16" t="s">
        <v>7724</v>
      </c>
      <c r="B3091" s="16" t="s">
        <v>7730</v>
      </c>
      <c r="C3091" s="16" t="s">
        <v>7684</v>
      </c>
      <c r="D3091" s="16" t="s">
        <v>7597</v>
      </c>
      <c r="E3091" s="16" t="s">
        <v>113</v>
      </c>
      <c r="F3091" s="16" t="s">
        <v>114</v>
      </c>
      <c r="G3091" s="16" t="s">
        <v>32</v>
      </c>
      <c r="H3091" s="16"/>
      <c r="I3091" s="16"/>
      <c r="J3091" s="16" t="s">
        <v>101</v>
      </c>
      <c r="K3091" s="16"/>
      <c r="L3091" s="16"/>
      <c r="M3091" s="19" t="s">
        <v>116</v>
      </c>
      <c r="N3091" s="16"/>
      <c r="O3091" s="16" t="s">
        <v>117</v>
      </c>
      <c r="P3091" s="16" t="str">
        <f>HYPERLINK("https://ceds.ed.gov/cedselementdetails.aspx?termid=27505")</f>
        <v>https://ceds.ed.gov/cedselementdetails.aspx?termid=27505</v>
      </c>
      <c r="Q3091" s="16">
        <v>74458</v>
      </c>
    </row>
    <row r="3092" spans="1:17" ht="72" x14ac:dyDescent="0.3">
      <c r="A3092" s="16" t="s">
        <v>7724</v>
      </c>
      <c r="B3092" s="16" t="s">
        <v>7730</v>
      </c>
      <c r="C3092" s="16" t="s">
        <v>7684</v>
      </c>
      <c r="D3092" s="16" t="s">
        <v>7597</v>
      </c>
      <c r="E3092" s="16" t="s">
        <v>125</v>
      </c>
      <c r="F3092" s="16" t="s">
        <v>126</v>
      </c>
      <c r="G3092" s="16" t="s">
        <v>32</v>
      </c>
      <c r="H3092" s="16" t="s">
        <v>64</v>
      </c>
      <c r="I3092" s="16"/>
      <c r="J3092" s="16" t="s">
        <v>106</v>
      </c>
      <c r="K3092" s="16"/>
      <c r="L3092" s="16"/>
      <c r="M3092" s="19" t="s">
        <v>127</v>
      </c>
      <c r="N3092" s="16"/>
      <c r="O3092" s="16" t="s">
        <v>128</v>
      </c>
      <c r="P3092" s="16" t="str">
        <f>HYPERLINK("https://ceds.ed.gov/cedselementdetails.aspx?termid=26007")</f>
        <v>https://ceds.ed.gov/cedselementdetails.aspx?termid=26007</v>
      </c>
      <c r="Q3092" s="16">
        <v>74456</v>
      </c>
    </row>
    <row r="3093" spans="1:17" ht="72" x14ac:dyDescent="0.3">
      <c r="A3093" s="16" t="s">
        <v>7724</v>
      </c>
      <c r="B3093" s="16" t="s">
        <v>7730</v>
      </c>
      <c r="C3093" s="16" t="s">
        <v>7684</v>
      </c>
      <c r="D3093" s="16" t="s">
        <v>7597</v>
      </c>
      <c r="E3093" s="16" t="s">
        <v>129</v>
      </c>
      <c r="F3093" s="16" t="s">
        <v>130</v>
      </c>
      <c r="G3093" s="16" t="s">
        <v>32</v>
      </c>
      <c r="H3093" s="16" t="s">
        <v>64</v>
      </c>
      <c r="I3093" s="16"/>
      <c r="J3093" s="16" t="s">
        <v>106</v>
      </c>
      <c r="K3093" s="16"/>
      <c r="L3093" s="16" t="s">
        <v>131</v>
      </c>
      <c r="M3093" s="19" t="s">
        <v>132</v>
      </c>
      <c r="N3093" s="16"/>
      <c r="O3093" s="16" t="s">
        <v>133</v>
      </c>
      <c r="P3093" s="16" t="str">
        <f>HYPERLINK("https://ceds.ed.gov/cedselementdetails.aspx?termid=26008")</f>
        <v>https://ceds.ed.gov/cedselementdetails.aspx?termid=26008</v>
      </c>
      <c r="Q3093" s="16">
        <v>74459</v>
      </c>
    </row>
    <row r="3094" spans="1:17" ht="72" x14ac:dyDescent="0.3">
      <c r="A3094" s="16" t="s">
        <v>7724</v>
      </c>
      <c r="B3094" s="16" t="s">
        <v>7730</v>
      </c>
      <c r="C3094" s="16" t="s">
        <v>7684</v>
      </c>
      <c r="D3094" s="16" t="s">
        <v>7597</v>
      </c>
      <c r="E3094" s="16" t="s">
        <v>134</v>
      </c>
      <c r="F3094" s="16" t="s">
        <v>135</v>
      </c>
      <c r="G3094" s="16" t="s">
        <v>32</v>
      </c>
      <c r="H3094" s="16"/>
      <c r="I3094" s="16"/>
      <c r="J3094" s="16" t="s">
        <v>136</v>
      </c>
      <c r="K3094" s="16"/>
      <c r="L3094" s="16"/>
      <c r="M3094" s="19" t="s">
        <v>137</v>
      </c>
      <c r="N3094" s="16"/>
      <c r="O3094" s="16" t="s">
        <v>138</v>
      </c>
      <c r="P3094" s="16" t="str">
        <f>HYPERLINK("https://ceds.ed.gov/cedselementdetails.aspx?termid=27502")</f>
        <v>https://ceds.ed.gov/cedselementdetails.aspx?termid=27502</v>
      </c>
      <c r="Q3094" s="16">
        <v>74460</v>
      </c>
    </row>
    <row r="3095" spans="1:17" ht="86.4" x14ac:dyDescent="0.3">
      <c r="A3095" s="16" t="s">
        <v>7724</v>
      </c>
      <c r="B3095" s="16" t="s">
        <v>7730</v>
      </c>
      <c r="C3095" s="16" t="s">
        <v>7684</v>
      </c>
      <c r="D3095" s="16" t="s">
        <v>7597</v>
      </c>
      <c r="E3095" s="16" t="s">
        <v>139</v>
      </c>
      <c r="F3095" s="16" t="s">
        <v>140</v>
      </c>
      <c r="G3095" s="16" t="s">
        <v>8290</v>
      </c>
      <c r="H3095" s="16"/>
      <c r="I3095" s="16"/>
      <c r="J3095" s="16"/>
      <c r="K3095" s="16"/>
      <c r="L3095" s="16"/>
      <c r="M3095" s="19" t="s">
        <v>141</v>
      </c>
      <c r="N3095" s="16"/>
      <c r="O3095" s="16" t="s">
        <v>142</v>
      </c>
      <c r="P3095" s="16" t="str">
        <f>HYPERLINK("https://ceds.ed.gov/cedselementdetails.aspx?termid=27503")</f>
        <v>https://ceds.ed.gov/cedselementdetails.aspx?termid=27503</v>
      </c>
      <c r="Q3095" s="16">
        <v>74461</v>
      </c>
    </row>
    <row r="3096" spans="1:17" ht="43.2" x14ac:dyDescent="0.3">
      <c r="A3096" s="16" t="s">
        <v>7724</v>
      </c>
      <c r="B3096" s="16" t="s">
        <v>7730</v>
      </c>
      <c r="C3096" s="16" t="s">
        <v>7742</v>
      </c>
      <c r="D3096" s="16" t="s">
        <v>7597</v>
      </c>
      <c r="E3096" s="16" t="s">
        <v>1908</v>
      </c>
      <c r="F3096" s="16" t="s">
        <v>1909</v>
      </c>
      <c r="G3096" s="16" t="s">
        <v>32</v>
      </c>
      <c r="H3096" s="16"/>
      <c r="I3096" s="16"/>
      <c r="J3096" s="16" t="s">
        <v>106</v>
      </c>
      <c r="K3096" s="16"/>
      <c r="L3096" s="16"/>
      <c r="M3096" s="19" t="s">
        <v>1910</v>
      </c>
      <c r="N3096" s="16"/>
      <c r="O3096" s="16" t="s">
        <v>1911</v>
      </c>
      <c r="P3096" s="16" t="str">
        <f>HYPERLINK("https://ceds.ed.gov/cedselementdetails.aspx?termid=27563")</f>
        <v>https://ceds.ed.gov/cedselementdetails.aspx?termid=27563</v>
      </c>
      <c r="Q3096" s="16">
        <v>74048</v>
      </c>
    </row>
    <row r="3097" spans="1:17" ht="57.6" x14ac:dyDescent="0.3">
      <c r="A3097" s="16" t="s">
        <v>7724</v>
      </c>
      <c r="B3097" s="16" t="s">
        <v>7730</v>
      </c>
      <c r="C3097" s="16" t="s">
        <v>7742</v>
      </c>
      <c r="D3097" s="16" t="s">
        <v>7597</v>
      </c>
      <c r="E3097" s="16" t="s">
        <v>1899</v>
      </c>
      <c r="F3097" s="16" t="s">
        <v>1900</v>
      </c>
      <c r="G3097" s="16" t="s">
        <v>32</v>
      </c>
      <c r="H3097" s="16"/>
      <c r="I3097" s="16"/>
      <c r="J3097" s="16" t="s">
        <v>106</v>
      </c>
      <c r="K3097" s="16"/>
      <c r="L3097" s="16" t="s">
        <v>131</v>
      </c>
      <c r="M3097" s="19" t="s">
        <v>1902</v>
      </c>
      <c r="N3097" s="16"/>
      <c r="O3097" s="16" t="s">
        <v>1903</v>
      </c>
      <c r="P3097" s="16" t="str">
        <f>HYPERLINK("https://ceds.ed.gov/cedselementdetails.aspx?termid=27562")</f>
        <v>https://ceds.ed.gov/cedselementdetails.aspx?termid=27562</v>
      </c>
      <c r="Q3097" s="16">
        <v>74041</v>
      </c>
    </row>
    <row r="3098" spans="1:17" ht="72" x14ac:dyDescent="0.3">
      <c r="A3098" s="16" t="s">
        <v>7724</v>
      </c>
      <c r="B3098" s="16" t="s">
        <v>7730</v>
      </c>
      <c r="C3098" s="16" t="s">
        <v>7742</v>
      </c>
      <c r="D3098" s="16" t="s">
        <v>7597</v>
      </c>
      <c r="E3098" s="16" t="s">
        <v>1904</v>
      </c>
      <c r="F3098" s="16" t="s">
        <v>1905</v>
      </c>
      <c r="G3098" s="16" t="s">
        <v>22</v>
      </c>
      <c r="H3098" s="16"/>
      <c r="I3098" s="16"/>
      <c r="J3098" s="16"/>
      <c r="K3098" s="16"/>
      <c r="L3098" s="16"/>
      <c r="M3098" s="19" t="s">
        <v>1906</v>
      </c>
      <c r="N3098" s="16"/>
      <c r="O3098" s="16" t="s">
        <v>1907</v>
      </c>
      <c r="P3098" s="16" t="str">
        <f>HYPERLINK("https://ceds.ed.gov/cedselementdetails.aspx?termid=27257")</f>
        <v>https://ceds.ed.gov/cedselementdetails.aspx?termid=27257</v>
      </c>
      <c r="Q3098" s="16">
        <v>74030</v>
      </c>
    </row>
    <row r="3099" spans="1:17" ht="86.4" x14ac:dyDescent="0.3">
      <c r="A3099" s="16" t="s">
        <v>7724</v>
      </c>
      <c r="B3099" s="16" t="s">
        <v>7730</v>
      </c>
      <c r="C3099" s="16" t="s">
        <v>7742</v>
      </c>
      <c r="D3099" s="16" t="s">
        <v>7597</v>
      </c>
      <c r="E3099" s="16" t="s">
        <v>1857</v>
      </c>
      <c r="F3099" s="16" t="s">
        <v>1858</v>
      </c>
      <c r="G3099" s="16" t="s">
        <v>22</v>
      </c>
      <c r="H3099" s="16" t="s">
        <v>1863</v>
      </c>
      <c r="I3099" s="16"/>
      <c r="J3099" s="16"/>
      <c r="K3099" s="16"/>
      <c r="L3099" s="16"/>
      <c r="M3099" s="19" t="s">
        <v>1860</v>
      </c>
      <c r="N3099" s="16" t="s">
        <v>1861</v>
      </c>
      <c r="O3099" s="16" t="s">
        <v>1862</v>
      </c>
      <c r="P3099" s="16" t="str">
        <f>HYPERLINK("https://ceds.ed.gov/cedselementdetails.aspx?termid=26037")</f>
        <v>https://ceds.ed.gov/cedselementdetails.aspx?termid=26037</v>
      </c>
      <c r="Q3099" s="16">
        <v>71348</v>
      </c>
    </row>
    <row r="3100" spans="1:17" ht="57.6" x14ac:dyDescent="0.3">
      <c r="A3100" s="16" t="s">
        <v>7724</v>
      </c>
      <c r="B3100" s="16" t="s">
        <v>7730</v>
      </c>
      <c r="C3100" s="16" t="s">
        <v>7742</v>
      </c>
      <c r="D3100" s="16" t="s">
        <v>7597</v>
      </c>
      <c r="E3100" s="16" t="s">
        <v>1882</v>
      </c>
      <c r="F3100" s="16" t="s">
        <v>1883</v>
      </c>
      <c r="G3100" s="16" t="s">
        <v>22</v>
      </c>
      <c r="H3100" s="16" t="s">
        <v>214</v>
      </c>
      <c r="I3100" s="16"/>
      <c r="J3100" s="16"/>
      <c r="K3100" s="16"/>
      <c r="L3100" s="16"/>
      <c r="M3100" s="19" t="s">
        <v>1884</v>
      </c>
      <c r="N3100" s="16" t="s">
        <v>1885</v>
      </c>
      <c r="O3100" s="16" t="s">
        <v>1886</v>
      </c>
      <c r="P3100" s="16" t="str">
        <f>HYPERLINK("https://ceds.ed.gov/cedselementdetails.aspx?termid=26585")</f>
        <v>https://ceds.ed.gov/cedselementdetails.aspx?termid=26585</v>
      </c>
      <c r="Q3100" s="16">
        <v>71349</v>
      </c>
    </row>
    <row r="3101" spans="1:17" ht="86.4" x14ac:dyDescent="0.3">
      <c r="A3101" s="16" t="s">
        <v>7724</v>
      </c>
      <c r="B3101" s="16" t="s">
        <v>7730</v>
      </c>
      <c r="C3101" s="16" t="s">
        <v>7742</v>
      </c>
      <c r="D3101" s="16" t="s">
        <v>7597</v>
      </c>
      <c r="E3101" s="16" t="s">
        <v>1912</v>
      </c>
      <c r="F3101" s="16" t="s">
        <v>1913</v>
      </c>
      <c r="G3101" s="16" t="s">
        <v>8427</v>
      </c>
      <c r="H3101" s="16" t="s">
        <v>214</v>
      </c>
      <c r="I3101" s="16"/>
      <c r="J3101" s="16"/>
      <c r="K3101" s="16"/>
      <c r="L3101" s="16"/>
      <c r="M3101" s="19" t="s">
        <v>1914</v>
      </c>
      <c r="N3101" s="16" t="s">
        <v>1915</v>
      </c>
      <c r="O3101" s="16" t="s">
        <v>1916</v>
      </c>
      <c r="P3101" s="16" t="str">
        <f>HYPERLINK("https://ceds.ed.gov/cedselementdetails.aspx?termid=26581")</f>
        <v>https://ceds.ed.gov/cedselementdetails.aspx?termid=26581</v>
      </c>
      <c r="Q3101" s="16">
        <v>71350</v>
      </c>
    </row>
    <row r="3102" spans="1:17" ht="230.4" x14ac:dyDescent="0.3">
      <c r="A3102" s="16" t="s">
        <v>7724</v>
      </c>
      <c r="B3102" s="16" t="s">
        <v>7730</v>
      </c>
      <c r="C3102" s="16" t="s">
        <v>7742</v>
      </c>
      <c r="D3102" s="16" t="s">
        <v>7597</v>
      </c>
      <c r="E3102" s="16" t="s">
        <v>1917</v>
      </c>
      <c r="F3102" s="16" t="s">
        <v>7897</v>
      </c>
      <c r="G3102" s="16" t="s">
        <v>22</v>
      </c>
      <c r="H3102" s="16" t="s">
        <v>214</v>
      </c>
      <c r="I3102" s="16"/>
      <c r="J3102" s="16"/>
      <c r="K3102" s="16"/>
      <c r="L3102" s="16"/>
      <c r="M3102" s="19" t="s">
        <v>1919</v>
      </c>
      <c r="N3102" s="16" t="s">
        <v>1920</v>
      </c>
      <c r="O3102" s="16" t="s">
        <v>1921</v>
      </c>
      <c r="P3102" s="16" t="str">
        <f>HYPERLINK("https://ceds.ed.gov/cedselementdetails.aspx?termid=26084")</f>
        <v>https://ceds.ed.gov/cedselementdetails.aspx?termid=26084</v>
      </c>
      <c r="Q3102" s="16">
        <v>71344</v>
      </c>
    </row>
    <row r="3103" spans="1:17" ht="86.4" x14ac:dyDescent="0.3">
      <c r="A3103" s="16" t="s">
        <v>7724</v>
      </c>
      <c r="B3103" s="16" t="s">
        <v>7730</v>
      </c>
      <c r="C3103" s="16" t="s">
        <v>7742</v>
      </c>
      <c r="D3103" s="16" t="s">
        <v>7597</v>
      </c>
      <c r="E3103" s="16" t="s">
        <v>1876</v>
      </c>
      <c r="F3103" s="16" t="s">
        <v>1877</v>
      </c>
      <c r="G3103" s="16" t="s">
        <v>22</v>
      </c>
      <c r="H3103" s="16" t="s">
        <v>214</v>
      </c>
      <c r="I3103" s="16"/>
      <c r="J3103" s="16"/>
      <c r="K3103" s="16"/>
      <c r="L3103" s="16"/>
      <c r="M3103" s="19" t="s">
        <v>1879</v>
      </c>
      <c r="N3103" s="16" t="s">
        <v>1880</v>
      </c>
      <c r="O3103" s="16" t="s">
        <v>1881</v>
      </c>
      <c r="P3103" s="16" t="str">
        <f>HYPERLINK("https://ceds.ed.gov/cedselementdetails.aspx?termid=26586")</f>
        <v>https://ceds.ed.gov/cedselementdetails.aspx?termid=26586</v>
      </c>
      <c r="Q3103" s="16">
        <v>72838</v>
      </c>
    </row>
    <row r="3104" spans="1:17" ht="244.8" x14ac:dyDescent="0.3">
      <c r="A3104" s="16" t="s">
        <v>7724</v>
      </c>
      <c r="B3104" s="16" t="s">
        <v>7730</v>
      </c>
      <c r="C3104" s="16" t="s">
        <v>7742</v>
      </c>
      <c r="D3104" s="16" t="s">
        <v>7597</v>
      </c>
      <c r="E3104" s="16" t="s">
        <v>5664</v>
      </c>
      <c r="F3104" s="16" t="s">
        <v>5665</v>
      </c>
      <c r="G3104" s="16" t="s">
        <v>2987</v>
      </c>
      <c r="H3104" s="16"/>
      <c r="I3104" s="16" t="s">
        <v>160</v>
      </c>
      <c r="J3104" s="16"/>
      <c r="K3104" s="16" t="s">
        <v>12935</v>
      </c>
      <c r="L3104" s="16"/>
      <c r="M3104" s="19" t="s">
        <v>5666</v>
      </c>
      <c r="N3104" s="16"/>
      <c r="O3104" s="16" t="s">
        <v>5667</v>
      </c>
      <c r="P3104" s="16" t="str">
        <f>HYPERLINK("https://ceds.ed.gov/cedselementdetails.aspx?termid=27908")</f>
        <v>https://ceds.ed.gov/cedselementdetails.aspx?termid=27908</v>
      </c>
      <c r="Q3104" s="16">
        <v>75431</v>
      </c>
    </row>
    <row r="3105" spans="1:17" ht="43.2" x14ac:dyDescent="0.3">
      <c r="A3105" s="16" t="s">
        <v>7724</v>
      </c>
      <c r="B3105" s="16" t="s">
        <v>7730</v>
      </c>
      <c r="C3105" s="16" t="s">
        <v>7642</v>
      </c>
      <c r="D3105" s="16" t="s">
        <v>7597</v>
      </c>
      <c r="E3105" s="16" t="s">
        <v>3117</v>
      </c>
      <c r="F3105" s="16" t="s">
        <v>3118</v>
      </c>
      <c r="G3105" s="16" t="s">
        <v>22</v>
      </c>
      <c r="H3105" s="16" t="s">
        <v>214</v>
      </c>
      <c r="I3105" s="16"/>
      <c r="J3105" s="16"/>
      <c r="K3105" s="16"/>
      <c r="L3105" s="16"/>
      <c r="M3105" s="19" t="s">
        <v>3119</v>
      </c>
      <c r="N3105" s="16"/>
      <c r="O3105" s="16" t="s">
        <v>3120</v>
      </c>
      <c r="P3105" s="16" t="str">
        <f>HYPERLINK("https://ceds.ed.gov/cedselementdetails.aspx?termid=26569")</f>
        <v>https://ceds.ed.gov/cedselementdetails.aspx?termid=26569</v>
      </c>
      <c r="Q3105" s="16">
        <v>73127</v>
      </c>
    </row>
    <row r="3106" spans="1:17" ht="230.4" x14ac:dyDescent="0.3">
      <c r="A3106" s="16" t="s">
        <v>7724</v>
      </c>
      <c r="B3106" s="16" t="s">
        <v>7730</v>
      </c>
      <c r="C3106" s="16" t="s">
        <v>7642</v>
      </c>
      <c r="D3106" s="16" t="s">
        <v>7597</v>
      </c>
      <c r="E3106" s="16" t="s">
        <v>4346</v>
      </c>
      <c r="F3106" s="16" t="s">
        <v>4347</v>
      </c>
      <c r="G3106" s="16" t="s">
        <v>22</v>
      </c>
      <c r="H3106" s="16" t="s">
        <v>4350</v>
      </c>
      <c r="I3106" s="16"/>
      <c r="J3106" s="16"/>
      <c r="K3106" s="16"/>
      <c r="L3106" s="16"/>
      <c r="M3106" s="19" t="s">
        <v>4348</v>
      </c>
      <c r="N3106" s="16"/>
      <c r="O3106" s="16" t="s">
        <v>4349</v>
      </c>
      <c r="P3106" s="16" t="str">
        <f>HYPERLINK("https://ceds.ed.gov/cedselementdetails.aspx?termid=26151")</f>
        <v>https://ceds.ed.gov/cedselementdetails.aspx?termid=26151</v>
      </c>
      <c r="Q3106" s="16">
        <v>73214</v>
      </c>
    </row>
    <row r="3107" spans="1:17" ht="201.6" x14ac:dyDescent="0.3">
      <c r="A3107" s="16" t="s">
        <v>7724</v>
      </c>
      <c r="B3107" s="16" t="s">
        <v>7730</v>
      </c>
      <c r="C3107" s="16" t="s">
        <v>7642</v>
      </c>
      <c r="D3107" s="16" t="s">
        <v>7597</v>
      </c>
      <c r="E3107" s="16" t="s">
        <v>5859</v>
      </c>
      <c r="F3107" s="16" t="s">
        <v>5860</v>
      </c>
      <c r="G3107" s="16" t="s">
        <v>8767</v>
      </c>
      <c r="H3107" s="16" t="s">
        <v>5864</v>
      </c>
      <c r="I3107" s="16"/>
      <c r="J3107" s="16"/>
      <c r="K3107" s="16"/>
      <c r="L3107" s="16" t="s">
        <v>5861</v>
      </c>
      <c r="M3107" s="19" t="s">
        <v>5862</v>
      </c>
      <c r="N3107" s="16"/>
      <c r="O3107" s="16" t="s">
        <v>5863</v>
      </c>
      <c r="P3107" s="16" t="str">
        <f>HYPERLINK("https://ceds.ed.gov/cedselementdetails.aspx?termid=26218")</f>
        <v>https://ceds.ed.gov/cedselementdetails.aspx?termid=26218</v>
      </c>
      <c r="Q3107" s="16">
        <v>73325</v>
      </c>
    </row>
    <row r="3108" spans="1:17" ht="316.8" x14ac:dyDescent="0.3">
      <c r="A3108" s="16" t="s">
        <v>7724</v>
      </c>
      <c r="B3108" s="16" t="s">
        <v>7730</v>
      </c>
      <c r="C3108" s="16" t="s">
        <v>7642</v>
      </c>
      <c r="D3108" s="16" t="s">
        <v>7597</v>
      </c>
      <c r="E3108" s="16" t="s">
        <v>85</v>
      </c>
      <c r="F3108" s="16"/>
      <c r="G3108" s="16" t="s">
        <v>8286</v>
      </c>
      <c r="H3108" s="16"/>
      <c r="I3108" s="16" t="s">
        <v>160</v>
      </c>
      <c r="J3108" s="16"/>
      <c r="K3108" s="16" t="s">
        <v>12933</v>
      </c>
      <c r="L3108" s="16"/>
      <c r="M3108" s="19" t="s">
        <v>87</v>
      </c>
      <c r="N3108" s="16"/>
      <c r="O3108" s="16"/>
      <c r="P3108" s="16" t="str">
        <f>HYPERLINK("https://ceds.ed.gov/cedselementdetails.aspx?termid=27243")</f>
        <v>https://ceds.ed.gov/cedselementdetails.aspx?termid=27243</v>
      </c>
      <c r="Q3108" s="16">
        <v>73044</v>
      </c>
    </row>
    <row r="3109" spans="1:17" ht="216" x14ac:dyDescent="0.3">
      <c r="A3109" s="16" t="s">
        <v>7724</v>
      </c>
      <c r="B3109" s="16" t="s">
        <v>7730</v>
      </c>
      <c r="C3109" s="16" t="s">
        <v>7642</v>
      </c>
      <c r="D3109" s="16" t="s">
        <v>7597</v>
      </c>
      <c r="E3109" s="16" t="s">
        <v>3108</v>
      </c>
      <c r="F3109" s="16" t="s">
        <v>3109</v>
      </c>
      <c r="G3109" s="16" t="s">
        <v>8504</v>
      </c>
      <c r="H3109" s="16"/>
      <c r="I3109" s="16"/>
      <c r="J3109" s="16"/>
      <c r="K3109" s="16"/>
      <c r="L3109" s="16" t="s">
        <v>3110</v>
      </c>
      <c r="M3109" s="19" t="s">
        <v>3111</v>
      </c>
      <c r="N3109" s="16"/>
      <c r="O3109" s="16" t="s">
        <v>3112</v>
      </c>
      <c r="P3109" s="16" t="str">
        <f>HYPERLINK("https://ceds.ed.gov/cedselementdetails.aspx?termid=27286")</f>
        <v>https://ceds.ed.gov/cedselementdetails.aspx?termid=27286</v>
      </c>
      <c r="Q3109" s="16">
        <v>73125</v>
      </c>
    </row>
    <row r="3110" spans="1:17" ht="72" x14ac:dyDescent="0.3">
      <c r="A3110" s="16" t="s">
        <v>7724</v>
      </c>
      <c r="B3110" s="16" t="s">
        <v>7730</v>
      </c>
      <c r="C3110" s="16" t="s">
        <v>7642</v>
      </c>
      <c r="D3110" s="16" t="s">
        <v>7597</v>
      </c>
      <c r="E3110" s="16" t="s">
        <v>3103</v>
      </c>
      <c r="F3110" s="16" t="s">
        <v>3104</v>
      </c>
      <c r="G3110" s="16" t="s">
        <v>8503</v>
      </c>
      <c r="H3110" s="16"/>
      <c r="I3110" s="16"/>
      <c r="J3110" s="16"/>
      <c r="K3110" s="16"/>
      <c r="L3110" s="16"/>
      <c r="M3110" s="19" t="s">
        <v>3105</v>
      </c>
      <c r="N3110" s="16" t="s">
        <v>3106</v>
      </c>
      <c r="O3110" s="16" t="s">
        <v>3107</v>
      </c>
      <c r="P3110" s="16" t="str">
        <f>HYPERLINK("https://ceds.ed.gov/cedselementdetails.aspx?termid=27285")</f>
        <v>https://ceds.ed.gov/cedselementdetails.aspx?termid=27285</v>
      </c>
      <c r="Q3110" s="16">
        <v>73124</v>
      </c>
    </row>
    <row r="3111" spans="1:17" ht="144" x14ac:dyDescent="0.3">
      <c r="A3111" s="16" t="s">
        <v>7724</v>
      </c>
      <c r="B3111" s="16" t="s">
        <v>7730</v>
      </c>
      <c r="C3111" s="16" t="s">
        <v>7642</v>
      </c>
      <c r="D3111" s="16" t="s">
        <v>7597</v>
      </c>
      <c r="E3111" s="16" t="s">
        <v>3113</v>
      </c>
      <c r="F3111" s="16" t="s">
        <v>3114</v>
      </c>
      <c r="G3111" s="16" t="s">
        <v>8506</v>
      </c>
      <c r="H3111" s="16"/>
      <c r="I3111" s="16"/>
      <c r="J3111" s="16"/>
      <c r="K3111" s="16"/>
      <c r="L3111" s="16" t="s">
        <v>3110</v>
      </c>
      <c r="M3111" s="19" t="s">
        <v>3115</v>
      </c>
      <c r="N3111" s="16"/>
      <c r="O3111" s="16" t="s">
        <v>3116</v>
      </c>
      <c r="P3111" s="16" t="str">
        <f>HYPERLINK("https://ceds.ed.gov/cedselementdetails.aspx?termid=27287")</f>
        <v>https://ceds.ed.gov/cedselementdetails.aspx?termid=27287</v>
      </c>
      <c r="Q3111" s="16">
        <v>73126</v>
      </c>
    </row>
    <row r="3112" spans="1:17" ht="86.4" x14ac:dyDescent="0.3">
      <c r="A3112" s="16" t="s">
        <v>7724</v>
      </c>
      <c r="B3112" s="16" t="s">
        <v>7730</v>
      </c>
      <c r="C3112" s="16" t="s">
        <v>7642</v>
      </c>
      <c r="D3112" s="16" t="s">
        <v>7597</v>
      </c>
      <c r="E3112" s="16" t="s">
        <v>6575</v>
      </c>
      <c r="F3112" s="16" t="s">
        <v>6576</v>
      </c>
      <c r="G3112" s="16" t="s">
        <v>22</v>
      </c>
      <c r="H3112" s="16" t="s">
        <v>4350</v>
      </c>
      <c r="I3112" s="16"/>
      <c r="J3112" s="16"/>
      <c r="K3112" s="16"/>
      <c r="L3112" s="16"/>
      <c r="M3112" s="19" t="s">
        <v>6577</v>
      </c>
      <c r="N3112" s="16"/>
      <c r="O3112" s="16" t="s">
        <v>6578</v>
      </c>
      <c r="P3112" s="16" t="str">
        <f>HYPERLINK("https://ceds.ed.gov/cedselementdetails.aspx?termid=26249")</f>
        <v>https://ceds.ed.gov/cedselementdetails.aspx?termid=26249</v>
      </c>
      <c r="Q3112" s="16">
        <v>75660</v>
      </c>
    </row>
    <row r="3113" spans="1:17" ht="57.6" x14ac:dyDescent="0.3">
      <c r="A3113" s="16" t="s">
        <v>7724</v>
      </c>
      <c r="B3113" s="16" t="s">
        <v>7730</v>
      </c>
      <c r="C3113" s="16" t="s">
        <v>7642</v>
      </c>
      <c r="D3113" s="16" t="s">
        <v>7597</v>
      </c>
      <c r="E3113" s="16" t="s">
        <v>12736</v>
      </c>
      <c r="F3113" s="16" t="s">
        <v>12737</v>
      </c>
      <c r="G3113" s="16" t="s">
        <v>12904</v>
      </c>
      <c r="H3113" s="16"/>
      <c r="I3113" s="16" t="s">
        <v>155</v>
      </c>
      <c r="J3113" s="16" t="s">
        <v>2</v>
      </c>
      <c r="K3113" s="16" t="s">
        <v>12636</v>
      </c>
      <c r="L3113" s="16"/>
      <c r="M3113" s="19" t="s">
        <v>12738</v>
      </c>
      <c r="N3113" s="16"/>
      <c r="O3113" s="16" t="s">
        <v>12739</v>
      </c>
      <c r="P3113" s="16" t="str">
        <f>HYPERLINK("https://ceds.ed.gov/cedselementdetails.aspx?termid=28112")</f>
        <v>https://ceds.ed.gov/cedselementdetails.aspx?termid=28112</v>
      </c>
      <c r="Q3113" s="16">
        <v>76596</v>
      </c>
    </row>
    <row r="3114" spans="1:17" ht="86.4" x14ac:dyDescent="0.3">
      <c r="A3114" s="16" t="s">
        <v>7724</v>
      </c>
      <c r="B3114" s="16" t="s">
        <v>7730</v>
      </c>
      <c r="C3114" s="16" t="s">
        <v>7642</v>
      </c>
      <c r="D3114" s="16" t="s">
        <v>7597</v>
      </c>
      <c r="E3114" s="16" t="s">
        <v>12877</v>
      </c>
      <c r="F3114" s="16" t="s">
        <v>12878</v>
      </c>
      <c r="G3114" s="16" t="s">
        <v>12927</v>
      </c>
      <c r="H3114" s="16"/>
      <c r="I3114" s="16" t="s">
        <v>155</v>
      </c>
      <c r="J3114" s="16" t="s">
        <v>2</v>
      </c>
      <c r="K3114" s="16" t="s">
        <v>12636</v>
      </c>
      <c r="L3114" s="16"/>
      <c r="M3114" s="19" t="s">
        <v>12879</v>
      </c>
      <c r="N3114" s="16"/>
      <c r="O3114" s="16" t="s">
        <v>12880</v>
      </c>
      <c r="P3114" s="16" t="str">
        <f>HYPERLINK("https://ceds.ed.gov/cedselementdetails.aspx?termid=28113")</f>
        <v>https://ceds.ed.gov/cedselementdetails.aspx?termid=28113</v>
      </c>
      <c r="Q3114" s="16">
        <v>76600</v>
      </c>
    </row>
    <row r="3115" spans="1:17" ht="86.4" x14ac:dyDescent="0.3">
      <c r="A3115" s="16" t="s">
        <v>7724</v>
      </c>
      <c r="B3115" s="16" t="s">
        <v>7730</v>
      </c>
      <c r="C3115" s="16" t="s">
        <v>7743</v>
      </c>
      <c r="D3115" s="16" t="s">
        <v>7597</v>
      </c>
      <c r="E3115" s="16" t="s">
        <v>3192</v>
      </c>
      <c r="F3115" s="16" t="s">
        <v>3193</v>
      </c>
      <c r="G3115" s="16" t="s">
        <v>8515</v>
      </c>
      <c r="H3115" s="16"/>
      <c r="I3115" s="16"/>
      <c r="J3115" s="16"/>
      <c r="K3115" s="16"/>
      <c r="L3115" s="16"/>
      <c r="M3115" s="19" t="s">
        <v>3194</v>
      </c>
      <c r="N3115" s="16"/>
      <c r="O3115" s="16" t="s">
        <v>3195</v>
      </c>
      <c r="P3115" s="16" t="str">
        <f>HYPERLINK("https://ceds.ed.gov/cedselementdetails.aspx?termid=27293")</f>
        <v>https://ceds.ed.gov/cedselementdetails.aspx?termid=27293</v>
      </c>
      <c r="Q3115" s="16">
        <v>73133</v>
      </c>
    </row>
    <row r="3116" spans="1:17" ht="43.2" x14ac:dyDescent="0.3">
      <c r="A3116" s="16" t="s">
        <v>7724</v>
      </c>
      <c r="B3116" s="16" t="s">
        <v>7730</v>
      </c>
      <c r="C3116" s="16" t="s">
        <v>7743</v>
      </c>
      <c r="D3116" s="16" t="s">
        <v>7597</v>
      </c>
      <c r="E3116" s="16" t="s">
        <v>3188</v>
      </c>
      <c r="F3116" s="16" t="s">
        <v>3189</v>
      </c>
      <c r="G3116" s="16" t="s">
        <v>32</v>
      </c>
      <c r="H3116" s="16"/>
      <c r="I3116" s="16"/>
      <c r="J3116" s="16" t="s">
        <v>106</v>
      </c>
      <c r="K3116" s="16"/>
      <c r="L3116" s="16"/>
      <c r="M3116" s="19" t="s">
        <v>3190</v>
      </c>
      <c r="N3116" s="16"/>
      <c r="O3116" s="16" t="s">
        <v>3191</v>
      </c>
      <c r="P3116" s="16" t="str">
        <f>HYPERLINK("https://ceds.ed.gov/cedselementdetails.aspx?termid=27292")</f>
        <v>https://ceds.ed.gov/cedselementdetails.aspx?termid=27292</v>
      </c>
      <c r="Q3116" s="16">
        <v>73132</v>
      </c>
    </row>
    <row r="3117" spans="1:17" ht="86.4" x14ac:dyDescent="0.3">
      <c r="A3117" s="16" t="s">
        <v>7724</v>
      </c>
      <c r="B3117" s="16" t="s">
        <v>7730</v>
      </c>
      <c r="C3117" s="16" t="s">
        <v>7743</v>
      </c>
      <c r="D3117" s="16" t="s">
        <v>7597</v>
      </c>
      <c r="E3117" s="16" t="s">
        <v>4188</v>
      </c>
      <c r="F3117" s="16" t="s">
        <v>4189</v>
      </c>
      <c r="G3117" s="16" t="s">
        <v>8616</v>
      </c>
      <c r="H3117" s="16"/>
      <c r="I3117" s="16"/>
      <c r="J3117" s="16"/>
      <c r="K3117" s="16"/>
      <c r="L3117" s="16"/>
      <c r="M3117" s="19" t="s">
        <v>4190</v>
      </c>
      <c r="N3117" s="16"/>
      <c r="O3117" s="16" t="s">
        <v>4191</v>
      </c>
      <c r="P3117" s="16" t="str">
        <f>HYPERLINK("https://ceds.ed.gov/cedselementdetails.aspx?termid=27324")</f>
        <v>https://ceds.ed.gov/cedselementdetails.aspx?termid=27324</v>
      </c>
      <c r="Q3117" s="16">
        <v>73209</v>
      </c>
    </row>
    <row r="3118" spans="1:17" ht="43.2" x14ac:dyDescent="0.3">
      <c r="A3118" s="16" t="s">
        <v>7724</v>
      </c>
      <c r="B3118" s="16" t="s">
        <v>7730</v>
      </c>
      <c r="C3118" s="16" t="s">
        <v>7743</v>
      </c>
      <c r="D3118" s="16" t="s">
        <v>7597</v>
      </c>
      <c r="E3118" s="16" t="s">
        <v>3179</v>
      </c>
      <c r="F3118" s="16" t="s">
        <v>3180</v>
      </c>
      <c r="G3118" s="16" t="s">
        <v>8514</v>
      </c>
      <c r="H3118" s="16"/>
      <c r="I3118" s="16"/>
      <c r="J3118" s="16"/>
      <c r="K3118" s="16"/>
      <c r="L3118" s="16"/>
      <c r="M3118" s="19" t="s">
        <v>3182</v>
      </c>
      <c r="N3118" s="16"/>
      <c r="O3118" s="16" t="s">
        <v>3183</v>
      </c>
      <c r="P3118" s="16" t="str">
        <f>HYPERLINK("https://ceds.ed.gov/cedselementdetails.aspx?termid=27290")</f>
        <v>https://ceds.ed.gov/cedselementdetails.aspx?termid=27290</v>
      </c>
      <c r="Q3118" s="16">
        <v>73130</v>
      </c>
    </row>
    <row r="3119" spans="1:17" ht="28.8" x14ac:dyDescent="0.3">
      <c r="A3119" s="16" t="s">
        <v>7724</v>
      </c>
      <c r="B3119" s="16" t="s">
        <v>7730</v>
      </c>
      <c r="C3119" s="16" t="s">
        <v>7743</v>
      </c>
      <c r="D3119" s="16" t="s">
        <v>7597</v>
      </c>
      <c r="E3119" s="16" t="s">
        <v>3184</v>
      </c>
      <c r="F3119" s="16" t="s">
        <v>3185</v>
      </c>
      <c r="G3119" s="16" t="s">
        <v>32</v>
      </c>
      <c r="H3119" s="16"/>
      <c r="I3119" s="16"/>
      <c r="J3119" s="16" t="s">
        <v>106</v>
      </c>
      <c r="K3119" s="16"/>
      <c r="L3119" s="16"/>
      <c r="M3119" s="19" t="s">
        <v>3186</v>
      </c>
      <c r="N3119" s="16"/>
      <c r="O3119" s="16" t="s">
        <v>3187</v>
      </c>
      <c r="P3119" s="16" t="str">
        <f>HYPERLINK("https://ceds.ed.gov/cedselementdetails.aspx?termid=27291")</f>
        <v>https://ceds.ed.gov/cedselementdetails.aspx?termid=27291</v>
      </c>
      <c r="Q3119" s="16">
        <v>73131</v>
      </c>
    </row>
    <row r="3120" spans="1:17" x14ac:dyDescent="0.3">
      <c r="A3120" s="16" t="s">
        <v>7724</v>
      </c>
      <c r="B3120" s="16" t="s">
        <v>7730</v>
      </c>
      <c r="C3120" s="16" t="s">
        <v>7743</v>
      </c>
      <c r="D3120" s="16" t="s">
        <v>7597</v>
      </c>
      <c r="E3120" s="16" t="s">
        <v>7074</v>
      </c>
      <c r="F3120" s="16" t="s">
        <v>7075</v>
      </c>
      <c r="G3120" s="16" t="s">
        <v>32</v>
      </c>
      <c r="H3120" s="16"/>
      <c r="I3120" s="16"/>
      <c r="J3120" s="16" t="s">
        <v>316</v>
      </c>
      <c r="K3120" s="16"/>
      <c r="L3120" s="16"/>
      <c r="M3120" s="19" t="s">
        <v>7076</v>
      </c>
      <c r="N3120" s="16"/>
      <c r="O3120" s="16" t="s">
        <v>7077</v>
      </c>
      <c r="P3120" s="16" t="str">
        <f>HYPERLINK("https://ceds.ed.gov/cedselementdetails.aspx?termid=27468")</f>
        <v>https://ceds.ed.gov/cedselementdetails.aspx?termid=27468</v>
      </c>
      <c r="Q3120" s="16">
        <v>73449</v>
      </c>
    </row>
    <row r="3121" spans="1:17" ht="28.8" x14ac:dyDescent="0.3">
      <c r="A3121" s="16" t="s">
        <v>7724</v>
      </c>
      <c r="B3121" s="16" t="s">
        <v>7730</v>
      </c>
      <c r="C3121" s="16" t="s">
        <v>7743</v>
      </c>
      <c r="D3121" s="16" t="s">
        <v>7597</v>
      </c>
      <c r="E3121" s="16" t="s">
        <v>5578</v>
      </c>
      <c r="F3121" s="16" t="s">
        <v>5579</v>
      </c>
      <c r="G3121" s="16" t="s">
        <v>32</v>
      </c>
      <c r="H3121" s="16"/>
      <c r="I3121" s="16"/>
      <c r="J3121" s="16" t="s">
        <v>106</v>
      </c>
      <c r="K3121" s="16"/>
      <c r="L3121" s="16"/>
      <c r="M3121" s="19" t="s">
        <v>5580</v>
      </c>
      <c r="N3121" s="16"/>
      <c r="O3121" s="16" t="s">
        <v>5581</v>
      </c>
      <c r="P3121" s="16" t="str">
        <f>HYPERLINK("https://ceds.ed.gov/cedselementdetails.aspx?termid=27386")</f>
        <v>https://ceds.ed.gov/cedselementdetails.aspx?termid=27386</v>
      </c>
      <c r="Q3121" s="16">
        <v>73298</v>
      </c>
    </row>
    <row r="3122" spans="1:17" ht="72" x14ac:dyDescent="0.3">
      <c r="A3122" s="16" t="s">
        <v>7724</v>
      </c>
      <c r="B3122" s="16" t="s">
        <v>7730</v>
      </c>
      <c r="C3122" s="16" t="s">
        <v>7743</v>
      </c>
      <c r="D3122" s="16" t="s">
        <v>7597</v>
      </c>
      <c r="E3122" s="16" t="s">
        <v>5574</v>
      </c>
      <c r="F3122" s="16" t="s">
        <v>5575</v>
      </c>
      <c r="G3122" s="16" t="s">
        <v>22</v>
      </c>
      <c r="H3122" s="16"/>
      <c r="I3122" s="16"/>
      <c r="J3122" s="16"/>
      <c r="K3122" s="16"/>
      <c r="L3122" s="16"/>
      <c r="M3122" s="19" t="s">
        <v>5576</v>
      </c>
      <c r="N3122" s="16"/>
      <c r="O3122" s="16" t="s">
        <v>5577</v>
      </c>
      <c r="P3122" s="16" t="str">
        <f>HYPERLINK("https://ceds.ed.gov/cedselementdetails.aspx?termid=27385")</f>
        <v>https://ceds.ed.gov/cedselementdetails.aspx?termid=27385</v>
      </c>
      <c r="Q3122" s="16">
        <v>73297</v>
      </c>
    </row>
    <row r="3123" spans="1:17" ht="158.4" x14ac:dyDescent="0.3">
      <c r="A3123" s="16" t="s">
        <v>7724</v>
      </c>
      <c r="B3123" s="16" t="s">
        <v>7730</v>
      </c>
      <c r="C3123" s="16" t="s">
        <v>7744</v>
      </c>
      <c r="D3123" s="16" t="s">
        <v>7597</v>
      </c>
      <c r="E3123" s="16" t="s">
        <v>6261</v>
      </c>
      <c r="F3123" s="16" t="s">
        <v>6262</v>
      </c>
      <c r="G3123" s="16" t="s">
        <v>8257</v>
      </c>
      <c r="H3123" s="16"/>
      <c r="I3123" s="16"/>
      <c r="J3123" s="16"/>
      <c r="K3123" s="16"/>
      <c r="L3123" s="16"/>
      <c r="M3123" s="19" t="s">
        <v>6263</v>
      </c>
      <c r="N3123" s="16"/>
      <c r="O3123" s="16" t="s">
        <v>6264</v>
      </c>
      <c r="P3123" s="16" t="str">
        <f>HYPERLINK("https://ceds.ed.gov/cedselementdetails.aspx?termid=26515")</f>
        <v>https://ceds.ed.gov/cedselementdetails.aspx?termid=26515</v>
      </c>
      <c r="Q3123" s="16">
        <v>73527</v>
      </c>
    </row>
    <row r="3124" spans="1:17" ht="158.4" x14ac:dyDescent="0.3">
      <c r="A3124" s="16" t="s">
        <v>7724</v>
      </c>
      <c r="B3124" s="16" t="s">
        <v>7730</v>
      </c>
      <c r="C3124" s="16" t="s">
        <v>7744</v>
      </c>
      <c r="D3124" s="16" t="s">
        <v>7597</v>
      </c>
      <c r="E3124" s="16" t="s">
        <v>3990</v>
      </c>
      <c r="F3124" s="16" t="s">
        <v>3991</v>
      </c>
      <c r="G3124" s="16" t="s">
        <v>32</v>
      </c>
      <c r="H3124" s="16" t="s">
        <v>3994</v>
      </c>
      <c r="I3124" s="16"/>
      <c r="J3124" s="16" t="s">
        <v>7426</v>
      </c>
      <c r="K3124" s="16"/>
      <c r="L3124" s="16" t="s">
        <v>8047</v>
      </c>
      <c r="M3124" s="19" t="s">
        <v>3992</v>
      </c>
      <c r="N3124" s="16"/>
      <c r="O3124" s="16" t="s">
        <v>3993</v>
      </c>
      <c r="P3124" s="16" t="str">
        <f>HYPERLINK("https://ceds.ed.gov/cedselementdetails.aspx?termid=26115")</f>
        <v>https://ceds.ed.gov/cedselementdetails.aspx?termid=26115</v>
      </c>
      <c r="Q3124" s="16">
        <v>73858</v>
      </c>
    </row>
    <row r="3125" spans="1:17" ht="158.4" x14ac:dyDescent="0.3">
      <c r="A3125" s="16" t="s">
        <v>7724</v>
      </c>
      <c r="B3125" s="16" t="s">
        <v>7730</v>
      </c>
      <c r="C3125" s="16" t="s">
        <v>7744</v>
      </c>
      <c r="D3125" s="16" t="s">
        <v>7597</v>
      </c>
      <c r="E3125" s="16" t="s">
        <v>5328</v>
      </c>
      <c r="F3125" s="16" t="s">
        <v>5329</v>
      </c>
      <c r="G3125" s="16" t="s">
        <v>32</v>
      </c>
      <c r="H3125" s="16" t="s">
        <v>3994</v>
      </c>
      <c r="I3125" s="16"/>
      <c r="J3125" s="16" t="s">
        <v>7426</v>
      </c>
      <c r="K3125" s="16"/>
      <c r="L3125" s="16" t="s">
        <v>8053</v>
      </c>
      <c r="M3125" s="19" t="s">
        <v>5330</v>
      </c>
      <c r="N3125" s="16"/>
      <c r="O3125" s="16" t="s">
        <v>5331</v>
      </c>
      <c r="P3125" s="16" t="str">
        <f>HYPERLINK("https://ceds.ed.gov/cedselementdetails.aspx?termid=26184")</f>
        <v>https://ceds.ed.gov/cedselementdetails.aspx?termid=26184</v>
      </c>
      <c r="Q3125" s="16">
        <v>73528</v>
      </c>
    </row>
    <row r="3126" spans="1:17" ht="158.4" x14ac:dyDescent="0.3">
      <c r="A3126" s="16" t="s">
        <v>7724</v>
      </c>
      <c r="B3126" s="16" t="s">
        <v>7730</v>
      </c>
      <c r="C3126" s="16" t="s">
        <v>7744</v>
      </c>
      <c r="D3126" s="16" t="s">
        <v>7597</v>
      </c>
      <c r="E3126" s="16" t="s">
        <v>4893</v>
      </c>
      <c r="F3126" s="16" t="s">
        <v>4894</v>
      </c>
      <c r="G3126" s="16" t="s">
        <v>32</v>
      </c>
      <c r="H3126" s="16" t="s">
        <v>3994</v>
      </c>
      <c r="I3126" s="16"/>
      <c r="J3126" s="16" t="s">
        <v>7426</v>
      </c>
      <c r="K3126" s="16"/>
      <c r="L3126" s="16" t="s">
        <v>8053</v>
      </c>
      <c r="M3126" s="19" t="s">
        <v>4895</v>
      </c>
      <c r="N3126" s="16" t="s">
        <v>4896</v>
      </c>
      <c r="O3126" s="16" t="s">
        <v>4897</v>
      </c>
      <c r="P3126" s="16" t="str">
        <f>HYPERLINK("https://ceds.ed.gov/cedselementdetails.aspx?termid=26172")</f>
        <v>https://ceds.ed.gov/cedselementdetails.aspx?termid=26172</v>
      </c>
      <c r="Q3126" s="16">
        <v>73529</v>
      </c>
    </row>
    <row r="3127" spans="1:17" ht="28.8" x14ac:dyDescent="0.3">
      <c r="A3127" s="16" t="s">
        <v>7724</v>
      </c>
      <c r="B3127" s="16" t="s">
        <v>7730</v>
      </c>
      <c r="C3127" s="16" t="s">
        <v>7744</v>
      </c>
      <c r="D3127" s="16" t="s">
        <v>7597</v>
      </c>
      <c r="E3127" s="16" t="s">
        <v>5631</v>
      </c>
      <c r="F3127" s="16" t="s">
        <v>5632</v>
      </c>
      <c r="G3127" s="16" t="s">
        <v>32</v>
      </c>
      <c r="H3127" s="16"/>
      <c r="I3127" s="16"/>
      <c r="J3127" s="16" t="s">
        <v>1266</v>
      </c>
      <c r="K3127" s="16"/>
      <c r="L3127" s="16" t="s">
        <v>5633</v>
      </c>
      <c r="M3127" s="19" t="s">
        <v>5634</v>
      </c>
      <c r="N3127" s="16"/>
      <c r="O3127" s="16" t="s">
        <v>5635</v>
      </c>
      <c r="P3127" s="16" t="str">
        <f>HYPERLINK("https://ceds.ed.gov/cedselementdetails.aspx?termid=27486")</f>
        <v>https://ceds.ed.gov/cedselementdetails.aspx?termid=27486</v>
      </c>
      <c r="Q3127" s="16">
        <v>73641</v>
      </c>
    </row>
    <row r="3128" spans="1:17" ht="28.8" x14ac:dyDescent="0.3">
      <c r="A3128" s="16" t="s">
        <v>7724</v>
      </c>
      <c r="B3128" s="16" t="s">
        <v>7730</v>
      </c>
      <c r="C3128" s="16" t="s">
        <v>7744</v>
      </c>
      <c r="D3128" s="16" t="s">
        <v>7597</v>
      </c>
      <c r="E3128" s="16" t="s">
        <v>5636</v>
      </c>
      <c r="F3128" s="16" t="s">
        <v>5637</v>
      </c>
      <c r="G3128" s="16" t="s">
        <v>32</v>
      </c>
      <c r="H3128" s="16"/>
      <c r="I3128" s="16"/>
      <c r="J3128" s="16" t="s">
        <v>1266</v>
      </c>
      <c r="K3128" s="16"/>
      <c r="L3128" s="16" t="s">
        <v>5638</v>
      </c>
      <c r="M3128" s="19" t="s">
        <v>5639</v>
      </c>
      <c r="N3128" s="16"/>
      <c r="O3128" s="16" t="s">
        <v>5640</v>
      </c>
      <c r="P3128" s="16" t="str">
        <f>HYPERLINK("https://ceds.ed.gov/cedselementdetails.aspx?termid=27485")</f>
        <v>https://ceds.ed.gov/cedselementdetails.aspx?termid=27485</v>
      </c>
      <c r="Q3128" s="16">
        <v>73625</v>
      </c>
    </row>
    <row r="3129" spans="1:17" ht="28.8" x14ac:dyDescent="0.3">
      <c r="A3129" s="16" t="s">
        <v>7724</v>
      </c>
      <c r="B3129" s="16" t="s">
        <v>7730</v>
      </c>
      <c r="C3129" s="16" t="s">
        <v>7744</v>
      </c>
      <c r="D3129" s="16" t="s">
        <v>7597</v>
      </c>
      <c r="E3129" s="16" t="s">
        <v>5641</v>
      </c>
      <c r="F3129" s="16" t="s">
        <v>5642</v>
      </c>
      <c r="G3129" s="16" t="s">
        <v>32</v>
      </c>
      <c r="H3129" s="16"/>
      <c r="I3129" s="16"/>
      <c r="J3129" s="16" t="s">
        <v>1266</v>
      </c>
      <c r="K3129" s="16"/>
      <c r="L3129" s="16" t="s">
        <v>5643</v>
      </c>
      <c r="M3129" s="19" t="s">
        <v>5644</v>
      </c>
      <c r="N3129" s="16"/>
      <c r="O3129" s="16" t="s">
        <v>5645</v>
      </c>
      <c r="P3129" s="16" t="str">
        <f>HYPERLINK("https://ceds.ed.gov/cedselementdetails.aspx?termid=27487")</f>
        <v>https://ceds.ed.gov/cedselementdetails.aspx?termid=27487</v>
      </c>
      <c r="Q3129" s="16">
        <v>73657</v>
      </c>
    </row>
    <row r="3130" spans="1:17" ht="129.6" x14ac:dyDescent="0.3">
      <c r="A3130" s="16" t="s">
        <v>7724</v>
      </c>
      <c r="B3130" s="16" t="s">
        <v>7730</v>
      </c>
      <c r="C3130" s="16" t="s">
        <v>7744</v>
      </c>
      <c r="D3130" s="16" t="s">
        <v>7597</v>
      </c>
      <c r="E3130" s="16" t="s">
        <v>5646</v>
      </c>
      <c r="F3130" s="16" t="s">
        <v>5647</v>
      </c>
      <c r="G3130" s="16" t="s">
        <v>32</v>
      </c>
      <c r="H3130" s="16" t="s">
        <v>4059</v>
      </c>
      <c r="I3130" s="16"/>
      <c r="J3130" s="16" t="s">
        <v>120</v>
      </c>
      <c r="K3130" s="16"/>
      <c r="L3130" s="16"/>
      <c r="M3130" s="19" t="s">
        <v>5648</v>
      </c>
      <c r="N3130" s="16"/>
      <c r="O3130" s="16" t="s">
        <v>5649</v>
      </c>
      <c r="P3130" s="16" t="str">
        <f>HYPERLINK("https://ceds.ed.gov/cedselementdetails.aspx?termid=26206")</f>
        <v>https://ceds.ed.gov/cedselementdetails.aspx?termid=26206</v>
      </c>
      <c r="Q3130" s="16">
        <v>73530</v>
      </c>
    </row>
    <row r="3131" spans="1:17" ht="57.6" x14ac:dyDescent="0.3">
      <c r="A3131" s="16" t="s">
        <v>7724</v>
      </c>
      <c r="B3131" s="16" t="s">
        <v>7730</v>
      </c>
      <c r="C3131" s="16" t="s">
        <v>7745</v>
      </c>
      <c r="D3131" s="16" t="s">
        <v>7597</v>
      </c>
      <c r="E3131" s="16" t="s">
        <v>7001</v>
      </c>
      <c r="F3131" s="16" t="s">
        <v>7002</v>
      </c>
      <c r="G3131" s="16" t="s">
        <v>8843</v>
      </c>
      <c r="H3131" s="16" t="s">
        <v>343</v>
      </c>
      <c r="I3131" s="16"/>
      <c r="J3131" s="16"/>
      <c r="K3131" s="16"/>
      <c r="L3131" s="16"/>
      <c r="M3131" s="19" t="s">
        <v>7003</v>
      </c>
      <c r="N3131" s="16"/>
      <c r="O3131" s="16" t="s">
        <v>7004</v>
      </c>
      <c r="P3131" s="16" t="str">
        <f>HYPERLINK("https://ceds.ed.gov/cedselementdetails.aspx?termid=26749")</f>
        <v>https://ceds.ed.gov/cedselementdetails.aspx?termid=26749</v>
      </c>
      <c r="Q3131" s="16">
        <v>71269</v>
      </c>
    </row>
    <row r="3132" spans="1:17" ht="100.8" x14ac:dyDescent="0.3">
      <c r="A3132" s="16" t="s">
        <v>7724</v>
      </c>
      <c r="B3132" s="16" t="s">
        <v>7730</v>
      </c>
      <c r="C3132" s="16" t="s">
        <v>7745</v>
      </c>
      <c r="D3132" s="16" t="s">
        <v>7597</v>
      </c>
      <c r="E3132" s="16" t="s">
        <v>6998</v>
      </c>
      <c r="F3132" s="16" t="s">
        <v>8164</v>
      </c>
      <c r="G3132" s="16" t="s">
        <v>8317</v>
      </c>
      <c r="H3132" s="16" t="s">
        <v>343</v>
      </c>
      <c r="I3132" s="16"/>
      <c r="J3132" s="16"/>
      <c r="K3132" s="16"/>
      <c r="L3132" s="16"/>
      <c r="M3132" s="19" t="s">
        <v>6999</v>
      </c>
      <c r="N3132" s="16"/>
      <c r="O3132" s="16" t="s">
        <v>7000</v>
      </c>
      <c r="P3132" s="16" t="str">
        <f>HYPERLINK("https://ceds.ed.gov/cedselementdetails.aspx?termid=26750")</f>
        <v>https://ceds.ed.gov/cedselementdetails.aspx?termid=26750</v>
      </c>
      <c r="Q3132" s="16">
        <v>71270</v>
      </c>
    </row>
    <row r="3133" spans="1:17" ht="216" x14ac:dyDescent="0.3">
      <c r="A3133" s="16" t="s">
        <v>7724</v>
      </c>
      <c r="B3133" s="16" t="s">
        <v>7730</v>
      </c>
      <c r="C3133" s="16" t="s">
        <v>7745</v>
      </c>
      <c r="D3133" s="16" t="s">
        <v>7597</v>
      </c>
      <c r="E3133" s="16" t="s">
        <v>7029</v>
      </c>
      <c r="F3133" s="16" t="s">
        <v>7030</v>
      </c>
      <c r="G3133" s="16" t="s">
        <v>8845</v>
      </c>
      <c r="H3133" s="16" t="s">
        <v>343</v>
      </c>
      <c r="I3133" s="16"/>
      <c r="J3133" s="16"/>
      <c r="K3133" s="16"/>
      <c r="L3133" s="16"/>
      <c r="M3133" s="19" t="s">
        <v>7031</v>
      </c>
      <c r="N3133" s="16"/>
      <c r="O3133" s="16" t="s">
        <v>7032</v>
      </c>
      <c r="P3133" s="16" t="str">
        <f>HYPERLINK("https://ceds.ed.gov/cedselementdetails.aspx?termid=26278")</f>
        <v>https://ceds.ed.gov/cedselementdetails.aspx?termid=26278</v>
      </c>
      <c r="Q3133" s="16">
        <v>71278</v>
      </c>
    </row>
    <row r="3134" spans="1:17" ht="187.2" x14ac:dyDescent="0.3">
      <c r="A3134" s="16" t="s">
        <v>7724</v>
      </c>
      <c r="B3134" s="16" t="s">
        <v>7730</v>
      </c>
      <c r="C3134" s="16" t="s">
        <v>7745</v>
      </c>
      <c r="D3134" s="16" t="s">
        <v>7597</v>
      </c>
      <c r="E3134" s="16" t="s">
        <v>7025</v>
      </c>
      <c r="F3134" s="16" t="s">
        <v>7026</v>
      </c>
      <c r="G3134" s="16" t="s">
        <v>8844</v>
      </c>
      <c r="H3134" s="16" t="s">
        <v>343</v>
      </c>
      <c r="I3134" s="16"/>
      <c r="J3134" s="16"/>
      <c r="K3134" s="16"/>
      <c r="L3134" s="16"/>
      <c r="M3134" s="19" t="s">
        <v>7027</v>
      </c>
      <c r="N3134" s="16"/>
      <c r="O3134" s="16" t="s">
        <v>7028</v>
      </c>
      <c r="P3134" s="16" t="str">
        <f>HYPERLINK("https://ceds.ed.gov/cedselementdetails.aspx?termid=26277")</f>
        <v>https://ceds.ed.gov/cedselementdetails.aspx?termid=26277</v>
      </c>
      <c r="Q3134" s="16">
        <v>71277</v>
      </c>
    </row>
    <row r="3135" spans="1:17" ht="57.6" x14ac:dyDescent="0.3">
      <c r="A3135" s="16" t="s">
        <v>7724</v>
      </c>
      <c r="B3135" s="16" t="s">
        <v>7730</v>
      </c>
      <c r="C3135" s="16" t="s">
        <v>7745</v>
      </c>
      <c r="D3135" s="16" t="s">
        <v>7597</v>
      </c>
      <c r="E3135" s="16" t="s">
        <v>6954</v>
      </c>
      <c r="F3135" s="16" t="s">
        <v>6955</v>
      </c>
      <c r="G3135" s="16" t="s">
        <v>8317</v>
      </c>
      <c r="H3135" s="16" t="s">
        <v>343</v>
      </c>
      <c r="I3135" s="16"/>
      <c r="J3135" s="16"/>
      <c r="K3135" s="16"/>
      <c r="L3135" s="16"/>
      <c r="M3135" s="19" t="s">
        <v>6956</v>
      </c>
      <c r="N3135" s="16"/>
      <c r="O3135" s="16" t="s">
        <v>6957</v>
      </c>
      <c r="P3135" s="16" t="str">
        <f>HYPERLINK("https://ceds.ed.gov/cedselementdetails.aspx?termid=26754")</f>
        <v>https://ceds.ed.gov/cedselementdetails.aspx?termid=26754</v>
      </c>
      <c r="Q3135" s="16">
        <v>71273</v>
      </c>
    </row>
    <row r="3136" spans="1:17" ht="57.6" x14ac:dyDescent="0.3">
      <c r="A3136" s="16" t="s">
        <v>7724</v>
      </c>
      <c r="B3136" s="16" t="s">
        <v>7730</v>
      </c>
      <c r="C3136" s="16" t="s">
        <v>7745</v>
      </c>
      <c r="D3136" s="16" t="s">
        <v>7597</v>
      </c>
      <c r="E3136" s="16" t="s">
        <v>6958</v>
      </c>
      <c r="F3136" s="16" t="s">
        <v>8162</v>
      </c>
      <c r="G3136" s="16" t="s">
        <v>32</v>
      </c>
      <c r="H3136" s="16" t="s">
        <v>343</v>
      </c>
      <c r="I3136" s="16"/>
      <c r="J3136" s="16" t="s">
        <v>305</v>
      </c>
      <c r="K3136" s="16"/>
      <c r="L3136" s="16"/>
      <c r="M3136" s="19" t="s">
        <v>6959</v>
      </c>
      <c r="N3136" s="16"/>
      <c r="O3136" s="16" t="s">
        <v>6960</v>
      </c>
      <c r="P3136" s="16" t="str">
        <f>HYPERLINK("https://ceds.ed.gov/cedselementdetails.aspx?termid=26755")</f>
        <v>https://ceds.ed.gov/cedselementdetails.aspx?termid=26755</v>
      </c>
      <c r="Q3136" s="16">
        <v>71274</v>
      </c>
    </row>
    <row r="3137" spans="1:17" ht="86.4" x14ac:dyDescent="0.3">
      <c r="A3137" s="16" t="s">
        <v>7724</v>
      </c>
      <c r="B3137" s="16" t="s">
        <v>7730</v>
      </c>
      <c r="C3137" s="16" t="s">
        <v>7745</v>
      </c>
      <c r="D3137" s="16" t="s">
        <v>7597</v>
      </c>
      <c r="E3137" s="16" t="s">
        <v>6984</v>
      </c>
      <c r="F3137" s="16" t="s">
        <v>6985</v>
      </c>
      <c r="G3137" s="16" t="s">
        <v>8272</v>
      </c>
      <c r="H3137" s="16" t="s">
        <v>343</v>
      </c>
      <c r="I3137" s="16"/>
      <c r="J3137" s="16"/>
      <c r="K3137" s="16"/>
      <c r="L3137" s="16"/>
      <c r="M3137" s="19" t="s">
        <v>6986</v>
      </c>
      <c r="N3137" s="16"/>
      <c r="O3137" s="16" t="s">
        <v>6987</v>
      </c>
      <c r="P3137" s="16" t="str">
        <f>HYPERLINK("https://ceds.ed.gov/cedselementdetails.aspx?termid=26756")</f>
        <v>https://ceds.ed.gov/cedselementdetails.aspx?termid=26756</v>
      </c>
      <c r="Q3137" s="16">
        <v>71275</v>
      </c>
    </row>
    <row r="3138" spans="1:17" ht="86.4" x14ac:dyDescent="0.3">
      <c r="A3138" s="16" t="s">
        <v>7724</v>
      </c>
      <c r="B3138" s="16" t="s">
        <v>7730</v>
      </c>
      <c r="C3138" s="16" t="s">
        <v>7745</v>
      </c>
      <c r="D3138" s="16" t="s">
        <v>7597</v>
      </c>
      <c r="E3138" s="16" t="s">
        <v>6980</v>
      </c>
      <c r="F3138" s="16" t="s">
        <v>6981</v>
      </c>
      <c r="G3138" s="16" t="s">
        <v>32</v>
      </c>
      <c r="H3138" s="16" t="s">
        <v>343</v>
      </c>
      <c r="I3138" s="16"/>
      <c r="J3138" s="16" t="s">
        <v>81</v>
      </c>
      <c r="K3138" s="16"/>
      <c r="L3138" s="16" t="s">
        <v>8163</v>
      </c>
      <c r="M3138" s="19" t="s">
        <v>6982</v>
      </c>
      <c r="N3138" s="16"/>
      <c r="O3138" s="16" t="s">
        <v>6983</v>
      </c>
      <c r="P3138" s="16" t="str">
        <f>HYPERLINK("https://ceds.ed.gov/cedselementdetails.aspx?termid=26757")</f>
        <v>https://ceds.ed.gov/cedselementdetails.aspx?termid=26757</v>
      </c>
      <c r="Q3138" s="16">
        <v>71276</v>
      </c>
    </row>
    <row r="3139" spans="1:17" ht="144" x14ac:dyDescent="0.3">
      <c r="A3139" s="16" t="s">
        <v>7724</v>
      </c>
      <c r="B3139" s="16" t="s">
        <v>7730</v>
      </c>
      <c r="C3139" s="16" t="s">
        <v>7745</v>
      </c>
      <c r="D3139" s="16" t="s">
        <v>7597</v>
      </c>
      <c r="E3139" s="16" t="s">
        <v>6988</v>
      </c>
      <c r="F3139" s="16" t="s">
        <v>6989</v>
      </c>
      <c r="G3139" s="16" t="s">
        <v>8842</v>
      </c>
      <c r="H3139" s="16" t="s">
        <v>343</v>
      </c>
      <c r="I3139" s="16"/>
      <c r="J3139" s="16"/>
      <c r="K3139" s="16"/>
      <c r="L3139" s="16"/>
      <c r="M3139" s="19" t="s">
        <v>6990</v>
      </c>
      <c r="N3139" s="16"/>
      <c r="O3139" s="16" t="s">
        <v>6991</v>
      </c>
      <c r="P3139" s="16" t="str">
        <f>HYPERLINK("https://ceds.ed.gov/cedselementdetails.aspx?termid=26748")</f>
        <v>https://ceds.ed.gov/cedselementdetails.aspx?termid=26748</v>
      </c>
      <c r="Q3139" s="16">
        <v>71268</v>
      </c>
    </row>
    <row r="3140" spans="1:17" ht="57.6" x14ac:dyDescent="0.3">
      <c r="A3140" s="16" t="s">
        <v>7724</v>
      </c>
      <c r="B3140" s="16" t="s">
        <v>7730</v>
      </c>
      <c r="C3140" s="16" t="s">
        <v>7745</v>
      </c>
      <c r="D3140" s="16" t="s">
        <v>7597</v>
      </c>
      <c r="E3140" s="16" t="s">
        <v>338</v>
      </c>
      <c r="F3140" s="16" t="s">
        <v>339</v>
      </c>
      <c r="G3140" s="16" t="s">
        <v>8317</v>
      </c>
      <c r="H3140" s="16" t="s">
        <v>343</v>
      </c>
      <c r="I3140" s="16"/>
      <c r="J3140" s="16"/>
      <c r="K3140" s="16"/>
      <c r="L3140" s="16"/>
      <c r="M3140" s="19" t="s">
        <v>341</v>
      </c>
      <c r="N3140" s="16"/>
      <c r="O3140" s="16" t="s">
        <v>342</v>
      </c>
      <c r="P3140" s="16" t="str">
        <f>HYPERLINK("https://ceds.ed.gov/cedselementdetails.aspx?termid=26751")</f>
        <v>https://ceds.ed.gov/cedselementdetails.aspx?termid=26751</v>
      </c>
      <c r="Q3140" s="16">
        <v>71271</v>
      </c>
    </row>
    <row r="3141" spans="1:17" ht="57.6" x14ac:dyDescent="0.3">
      <c r="A3141" s="16" t="s">
        <v>7724</v>
      </c>
      <c r="B3141" s="16" t="s">
        <v>7730</v>
      </c>
      <c r="C3141" s="16" t="s">
        <v>7745</v>
      </c>
      <c r="D3141" s="16" t="s">
        <v>7597</v>
      </c>
      <c r="E3141" s="16" t="s">
        <v>2965</v>
      </c>
      <c r="F3141" s="16" t="s">
        <v>2966</v>
      </c>
      <c r="G3141" s="16" t="s">
        <v>8317</v>
      </c>
      <c r="H3141" s="16" t="s">
        <v>343</v>
      </c>
      <c r="I3141" s="16"/>
      <c r="J3141" s="16"/>
      <c r="K3141" s="16"/>
      <c r="L3141" s="16" t="s">
        <v>2967</v>
      </c>
      <c r="M3141" s="19" t="s">
        <v>2968</v>
      </c>
      <c r="N3141" s="16"/>
      <c r="O3141" s="16" t="s">
        <v>2969</v>
      </c>
      <c r="P3141" s="16" t="str">
        <f>HYPERLINK("https://ceds.ed.gov/cedselementdetails.aspx?termid=26753")</f>
        <v>https://ceds.ed.gov/cedselementdetails.aspx?termid=26753</v>
      </c>
      <c r="Q3141" s="16">
        <v>71272</v>
      </c>
    </row>
    <row r="3142" spans="1:17" ht="57.6" x14ac:dyDescent="0.3">
      <c r="A3142" s="16" t="s">
        <v>7724</v>
      </c>
      <c r="B3142" s="16" t="s">
        <v>7730</v>
      </c>
      <c r="C3142" s="16" t="s">
        <v>7745</v>
      </c>
      <c r="D3142" s="16" t="s">
        <v>7597</v>
      </c>
      <c r="E3142" s="16" t="s">
        <v>5547</v>
      </c>
      <c r="F3142" s="16" t="s">
        <v>5548</v>
      </c>
      <c r="G3142" s="16" t="s">
        <v>32</v>
      </c>
      <c r="H3142" s="16" t="s">
        <v>195</v>
      </c>
      <c r="I3142" s="16"/>
      <c r="J3142" s="16" t="s">
        <v>1481</v>
      </c>
      <c r="K3142" s="16"/>
      <c r="L3142" s="16"/>
      <c r="M3142" s="19" t="s">
        <v>5549</v>
      </c>
      <c r="N3142" s="16"/>
      <c r="O3142" s="16" t="s">
        <v>5550</v>
      </c>
      <c r="P3142" s="16" t="str">
        <f>HYPERLINK("https://ceds.ed.gov/cedselementdetails.aspx?termid=26815")</f>
        <v>https://ceds.ed.gov/cedselementdetails.aspx?termid=26815</v>
      </c>
      <c r="Q3142" s="16">
        <v>75679</v>
      </c>
    </row>
    <row r="3143" spans="1:17" ht="144" x14ac:dyDescent="0.3">
      <c r="A3143" s="16" t="s">
        <v>7724</v>
      </c>
      <c r="B3143" s="16" t="s">
        <v>7730</v>
      </c>
      <c r="C3143" s="16" t="s">
        <v>7746</v>
      </c>
      <c r="D3143" s="16" t="s">
        <v>7597</v>
      </c>
      <c r="E3143" s="16" t="s">
        <v>383</v>
      </c>
      <c r="F3143" s="16" t="s">
        <v>384</v>
      </c>
      <c r="G3143" s="16" t="s">
        <v>8323</v>
      </c>
      <c r="H3143" s="16" t="s">
        <v>84</v>
      </c>
      <c r="I3143" s="16"/>
      <c r="J3143" s="16"/>
      <c r="K3143" s="16"/>
      <c r="L3143" s="16"/>
      <c r="M3143" s="19" t="s">
        <v>386</v>
      </c>
      <c r="N3143" s="16"/>
      <c r="O3143" s="16" t="s">
        <v>387</v>
      </c>
      <c r="P3143" s="16" t="str">
        <f>HYPERLINK("https://ceds.ed.gov/cedselementdetails.aspx?termid=26374")</f>
        <v>https://ceds.ed.gov/cedselementdetails.aspx?termid=26374</v>
      </c>
      <c r="Q3143" s="16">
        <v>73069</v>
      </c>
    </row>
    <row r="3144" spans="1:17" ht="43.2" x14ac:dyDescent="0.3">
      <c r="A3144" s="16" t="s">
        <v>7724</v>
      </c>
      <c r="B3144" s="16" t="s">
        <v>7730</v>
      </c>
      <c r="C3144" s="16" t="s">
        <v>7658</v>
      </c>
      <c r="D3144" s="16" t="s">
        <v>7597</v>
      </c>
      <c r="E3144" s="16" t="s">
        <v>3471</v>
      </c>
      <c r="F3144" s="16" t="s">
        <v>3472</v>
      </c>
      <c r="G3144" s="16" t="s">
        <v>2838</v>
      </c>
      <c r="H3144" s="16"/>
      <c r="I3144" s="16"/>
      <c r="J3144" s="16" t="s">
        <v>2839</v>
      </c>
      <c r="K3144" s="16"/>
      <c r="L3144" s="16"/>
      <c r="M3144" s="19" t="s">
        <v>3474</v>
      </c>
      <c r="N3144" s="16"/>
      <c r="O3144" s="16" t="s">
        <v>3475</v>
      </c>
      <c r="P3144" s="16" t="str">
        <f>HYPERLINK("https://ceds.ed.gov/cedselementdetails.aspx?termid=27070")</f>
        <v>https://ceds.ed.gov/cedselementdetails.aspx?termid=27070</v>
      </c>
      <c r="Q3144" s="16">
        <v>71620</v>
      </c>
    </row>
    <row r="3145" spans="1:17" ht="57.6" x14ac:dyDescent="0.3">
      <c r="A3145" s="16" t="s">
        <v>7724</v>
      </c>
      <c r="B3145" s="16" t="s">
        <v>7730</v>
      </c>
      <c r="C3145" s="16" t="s">
        <v>7658</v>
      </c>
      <c r="D3145" s="16" t="s">
        <v>7597</v>
      </c>
      <c r="E3145" s="16" t="s">
        <v>3462</v>
      </c>
      <c r="F3145" s="16" t="s">
        <v>3463</v>
      </c>
      <c r="G3145" s="16" t="s">
        <v>32</v>
      </c>
      <c r="H3145" s="16" t="s">
        <v>195</v>
      </c>
      <c r="I3145" s="16"/>
      <c r="J3145" s="16" t="s">
        <v>106</v>
      </c>
      <c r="K3145" s="16"/>
      <c r="L3145" s="16" t="s">
        <v>131</v>
      </c>
      <c r="M3145" s="19" t="s">
        <v>3464</v>
      </c>
      <c r="N3145" s="16"/>
      <c r="O3145" s="16" t="s">
        <v>3465</v>
      </c>
      <c r="P3145" s="16" t="str">
        <f>HYPERLINK("https://ceds.ed.gov/cedselementdetails.aspx?termid=26794")</f>
        <v>https://ceds.ed.gov/cedselementdetails.aspx?termid=26794</v>
      </c>
      <c r="Q3145" s="16">
        <v>73702</v>
      </c>
    </row>
    <row r="3146" spans="1:17" ht="57.6" x14ac:dyDescent="0.3">
      <c r="A3146" s="16" t="s">
        <v>7724</v>
      </c>
      <c r="B3146" s="16" t="s">
        <v>7730</v>
      </c>
      <c r="C3146" s="16" t="s">
        <v>7658</v>
      </c>
      <c r="D3146" s="16" t="s">
        <v>7597</v>
      </c>
      <c r="E3146" s="16" t="s">
        <v>3498</v>
      </c>
      <c r="F3146" s="16" t="s">
        <v>3499</v>
      </c>
      <c r="G3146" s="16" t="s">
        <v>32</v>
      </c>
      <c r="H3146" s="16" t="s">
        <v>3502</v>
      </c>
      <c r="I3146" s="16"/>
      <c r="J3146" s="16" t="s">
        <v>106</v>
      </c>
      <c r="K3146" s="16"/>
      <c r="L3146" s="16"/>
      <c r="M3146" s="19" t="s">
        <v>3500</v>
      </c>
      <c r="N3146" s="16"/>
      <c r="O3146" s="16" t="s">
        <v>3501</v>
      </c>
      <c r="P3146" s="16" t="str">
        <f>HYPERLINK("https://ceds.ed.gov/cedselementdetails.aspx?termid=26345")</f>
        <v>https://ceds.ed.gov/cedselementdetails.aspx?termid=26345</v>
      </c>
      <c r="Q3146" s="16">
        <v>73707</v>
      </c>
    </row>
    <row r="3147" spans="1:17" ht="201.6" x14ac:dyDescent="0.3">
      <c r="A3147" s="16" t="s">
        <v>7724</v>
      </c>
      <c r="B3147" s="16" t="s">
        <v>7730</v>
      </c>
      <c r="C3147" s="16" t="s">
        <v>7658</v>
      </c>
      <c r="D3147" s="16" t="s">
        <v>7597</v>
      </c>
      <c r="E3147" s="16" t="s">
        <v>3457</v>
      </c>
      <c r="F3147" s="16" t="s">
        <v>3458</v>
      </c>
      <c r="G3147" s="16" t="s">
        <v>3446</v>
      </c>
      <c r="H3147" s="16" t="s">
        <v>3450</v>
      </c>
      <c r="I3147" s="16"/>
      <c r="J3147" s="16"/>
      <c r="K3147" s="16"/>
      <c r="L3147" s="16" t="s">
        <v>3459</v>
      </c>
      <c r="M3147" s="19" t="s">
        <v>3460</v>
      </c>
      <c r="N3147" s="16"/>
      <c r="O3147" s="16" t="s">
        <v>3461</v>
      </c>
      <c r="P3147" s="16" t="str">
        <f>HYPERLINK("https://ceds.ed.gov/cedselementdetails.aspx?termid=26989")</f>
        <v>https://ceds.ed.gov/cedselementdetails.aspx?termid=26989</v>
      </c>
      <c r="Q3147" s="16">
        <v>71618</v>
      </c>
    </row>
    <row r="3148" spans="1:17" ht="57.6" x14ac:dyDescent="0.3">
      <c r="A3148" s="16" t="s">
        <v>7724</v>
      </c>
      <c r="B3148" s="16" t="s">
        <v>7730</v>
      </c>
      <c r="C3148" s="16" t="s">
        <v>7658</v>
      </c>
      <c r="D3148" s="16" t="s">
        <v>7597</v>
      </c>
      <c r="E3148" s="16" t="s">
        <v>3506</v>
      </c>
      <c r="F3148" s="16" t="s">
        <v>3507</v>
      </c>
      <c r="G3148" s="16" t="s">
        <v>8556</v>
      </c>
      <c r="H3148" s="16"/>
      <c r="I3148" s="16" t="s">
        <v>160</v>
      </c>
      <c r="J3148" s="16"/>
      <c r="K3148" s="16" t="s">
        <v>12935</v>
      </c>
      <c r="L3148" s="16"/>
      <c r="M3148" s="19" t="s">
        <v>3508</v>
      </c>
      <c r="N3148" s="16"/>
      <c r="O3148" s="16" t="s">
        <v>3509</v>
      </c>
      <c r="P3148" s="16" t="str">
        <f>HYPERLINK("https://ceds.ed.gov/cedselementdetails.aspx?termid=27310")</f>
        <v>https://ceds.ed.gov/cedselementdetails.aspx?termid=27310</v>
      </c>
      <c r="Q3148" s="16">
        <v>73156</v>
      </c>
    </row>
    <row r="3149" spans="1:17" ht="230.4" x14ac:dyDescent="0.3">
      <c r="A3149" s="16" t="s">
        <v>7724</v>
      </c>
      <c r="B3149" s="16" t="s">
        <v>7730</v>
      </c>
      <c r="C3149" s="16" t="s">
        <v>7658</v>
      </c>
      <c r="D3149" s="16" t="s">
        <v>7597</v>
      </c>
      <c r="E3149" s="16" t="s">
        <v>3444</v>
      </c>
      <c r="F3149" s="16" t="s">
        <v>3445</v>
      </c>
      <c r="G3149" s="16" t="s">
        <v>3446</v>
      </c>
      <c r="H3149" s="16" t="s">
        <v>3450</v>
      </c>
      <c r="I3149" s="16"/>
      <c r="J3149" s="16"/>
      <c r="K3149" s="16"/>
      <c r="L3149" s="16" t="s">
        <v>7965</v>
      </c>
      <c r="M3149" s="19" t="s">
        <v>3448</v>
      </c>
      <c r="N3149" s="16"/>
      <c r="O3149" s="16" t="s">
        <v>3449</v>
      </c>
      <c r="P3149" s="16" t="str">
        <f>HYPERLINK("https://ceds.ed.gov/cedselementdetails.aspx?termid=26990")</f>
        <v>https://ceds.ed.gov/cedselementdetails.aspx?termid=26990</v>
      </c>
      <c r="Q3149" s="16">
        <v>71616</v>
      </c>
    </row>
    <row r="3150" spans="1:17" ht="230.4" x14ac:dyDescent="0.3">
      <c r="A3150" s="16" t="s">
        <v>7724</v>
      </c>
      <c r="B3150" s="16" t="s">
        <v>7730</v>
      </c>
      <c r="C3150" s="16" t="s">
        <v>7658</v>
      </c>
      <c r="D3150" s="16" t="s">
        <v>7597</v>
      </c>
      <c r="E3150" s="16" t="s">
        <v>7543</v>
      </c>
      <c r="F3150" s="16" t="s">
        <v>7544</v>
      </c>
      <c r="G3150" s="16" t="s">
        <v>13093</v>
      </c>
      <c r="H3150" s="16"/>
      <c r="I3150" s="16" t="s">
        <v>160</v>
      </c>
      <c r="J3150" s="16"/>
      <c r="K3150" s="16" t="s">
        <v>12951</v>
      </c>
      <c r="L3150" s="16"/>
      <c r="M3150" s="19" t="s">
        <v>7545</v>
      </c>
      <c r="N3150" s="16"/>
      <c r="O3150" s="16" t="s">
        <v>7543</v>
      </c>
      <c r="P3150" s="16" t="str">
        <f>HYPERLINK("https://ceds.ed.gov/cedselementdetails.aspx?termid=27959")</f>
        <v>https://ceds.ed.gov/cedselementdetails.aspx?termid=27959</v>
      </c>
      <c r="Q3150" s="16">
        <v>75664</v>
      </c>
    </row>
    <row r="3151" spans="1:17" ht="230.4" x14ac:dyDescent="0.3">
      <c r="A3151" s="16" t="s">
        <v>7724</v>
      </c>
      <c r="B3151" s="16" t="s">
        <v>7730</v>
      </c>
      <c r="C3151" s="16" t="s">
        <v>7747</v>
      </c>
      <c r="D3151" s="16" t="s">
        <v>7597</v>
      </c>
      <c r="E3151" s="16" t="s">
        <v>7286</v>
      </c>
      <c r="F3151" s="16" t="s">
        <v>7287</v>
      </c>
      <c r="G3151" s="16" t="s">
        <v>9348</v>
      </c>
      <c r="H3151" s="16"/>
      <c r="I3151" s="16"/>
      <c r="J3151" s="16"/>
      <c r="K3151" s="16"/>
      <c r="L3151" s="16"/>
      <c r="M3151" s="19" t="s">
        <v>7288</v>
      </c>
      <c r="N3151" s="16"/>
      <c r="O3151" s="16" t="s">
        <v>7289</v>
      </c>
      <c r="P3151" s="16" t="str">
        <f>HYPERLINK("https://ceds.ed.gov/cedselementdetails.aspx?termid=27471")</f>
        <v>https://ceds.ed.gov/cedselementdetails.aspx?termid=27471</v>
      </c>
      <c r="Q3151" s="16">
        <v>73453</v>
      </c>
    </row>
    <row r="3152" spans="1:17" ht="28.8" x14ac:dyDescent="0.3">
      <c r="A3152" s="16" t="s">
        <v>7724</v>
      </c>
      <c r="B3152" s="16" t="s">
        <v>7730</v>
      </c>
      <c r="C3152" s="16" t="s">
        <v>7747</v>
      </c>
      <c r="D3152" s="16" t="s">
        <v>7597</v>
      </c>
      <c r="E3152" s="16" t="s">
        <v>6057</v>
      </c>
      <c r="F3152" s="16" t="s">
        <v>6058</v>
      </c>
      <c r="G3152" s="16" t="s">
        <v>32</v>
      </c>
      <c r="H3152" s="16"/>
      <c r="I3152" s="16" t="s">
        <v>160</v>
      </c>
      <c r="J3152" s="16" t="s">
        <v>101</v>
      </c>
      <c r="K3152" s="16" t="s">
        <v>12935</v>
      </c>
      <c r="L3152" s="16"/>
      <c r="M3152" s="19" t="s">
        <v>6059</v>
      </c>
      <c r="N3152" s="16"/>
      <c r="O3152" s="16" t="s">
        <v>6060</v>
      </c>
      <c r="P3152" s="16" t="str">
        <f>HYPERLINK("https://ceds.ed.gov/cedselementdetails.aspx?termid=27909")</f>
        <v>https://ceds.ed.gov/cedselementdetails.aspx?termid=27909</v>
      </c>
      <c r="Q3152" s="16">
        <v>75439</v>
      </c>
    </row>
    <row r="3153" spans="1:17" ht="43.2" x14ac:dyDescent="0.3">
      <c r="A3153" s="16" t="s">
        <v>7724</v>
      </c>
      <c r="B3153" s="16" t="s">
        <v>7730</v>
      </c>
      <c r="C3153" s="16" t="s">
        <v>7747</v>
      </c>
      <c r="D3153" s="16" t="s">
        <v>7597</v>
      </c>
      <c r="E3153" s="16" t="s">
        <v>369</v>
      </c>
      <c r="F3153" s="16" t="s">
        <v>7829</v>
      </c>
      <c r="G3153" s="16" t="s">
        <v>32</v>
      </c>
      <c r="H3153" s="16" t="s">
        <v>372</v>
      </c>
      <c r="I3153" s="16"/>
      <c r="J3153" s="16" t="s">
        <v>106</v>
      </c>
      <c r="K3153" s="16"/>
      <c r="L3153" s="16"/>
      <c r="M3153" s="19" t="s">
        <v>370</v>
      </c>
      <c r="N3153" s="16"/>
      <c r="O3153" s="16" t="s">
        <v>371</v>
      </c>
      <c r="P3153" s="16" t="str">
        <f>HYPERLINK("https://ceds.ed.gov/cedselementdetails.aspx?termid=26323")</f>
        <v>https://ceds.ed.gov/cedselementdetails.aspx?termid=26323</v>
      </c>
      <c r="Q3153" s="16">
        <v>75675</v>
      </c>
    </row>
    <row r="3154" spans="1:17" ht="244.8" x14ac:dyDescent="0.3">
      <c r="A3154" s="16" t="s">
        <v>7724</v>
      </c>
      <c r="B3154" s="16" t="s">
        <v>7730</v>
      </c>
      <c r="C3154" s="16" t="s">
        <v>7747</v>
      </c>
      <c r="D3154" s="16" t="s">
        <v>7597</v>
      </c>
      <c r="E3154" s="16" t="s">
        <v>1887</v>
      </c>
      <c r="F3154" s="16" t="s">
        <v>1888</v>
      </c>
      <c r="G3154" s="16" t="s">
        <v>8425</v>
      </c>
      <c r="H3154" s="16"/>
      <c r="I3154" s="16" t="s">
        <v>160</v>
      </c>
      <c r="J3154" s="16"/>
      <c r="K3154" s="16" t="s">
        <v>12935</v>
      </c>
      <c r="L3154" s="16" t="s">
        <v>7896</v>
      </c>
      <c r="M3154" s="19" t="s">
        <v>1889</v>
      </c>
      <c r="N3154" s="16"/>
      <c r="O3154" s="16" t="s">
        <v>1890</v>
      </c>
      <c r="P3154" s="16" t="str">
        <f>HYPERLINK("https://ceds.ed.gov/cedselementdetails.aspx?termid=27254")</f>
        <v>https://ceds.ed.gov/cedselementdetails.aspx?termid=27254</v>
      </c>
      <c r="Q3154" s="16">
        <v>75676</v>
      </c>
    </row>
    <row r="3155" spans="1:17" ht="409.6" x14ac:dyDescent="0.3">
      <c r="A3155" s="16" t="s">
        <v>7724</v>
      </c>
      <c r="B3155" s="16" t="s">
        <v>7730</v>
      </c>
      <c r="C3155" s="16" t="s">
        <v>7747</v>
      </c>
      <c r="D3155" s="16" t="s">
        <v>7597</v>
      </c>
      <c r="E3155" s="16" t="s">
        <v>6945</v>
      </c>
      <c r="F3155" s="16" t="s">
        <v>6946</v>
      </c>
      <c r="G3155" s="16" t="s">
        <v>9421</v>
      </c>
      <c r="H3155" s="16"/>
      <c r="I3155" s="16"/>
      <c r="J3155" s="16"/>
      <c r="K3155" s="16"/>
      <c r="L3155" s="16" t="s">
        <v>6947</v>
      </c>
      <c r="M3155" s="19" t="s">
        <v>6948</v>
      </c>
      <c r="N3155" s="16"/>
      <c r="O3155" s="16" t="s">
        <v>6949</v>
      </c>
      <c r="P3155" s="16" t="str">
        <f>HYPERLINK("https://ceds.ed.gov/cedselementdetails.aspx?termid=26273")</f>
        <v>https://ceds.ed.gov/cedselementdetails.aspx?termid=26273</v>
      </c>
      <c r="Q3155" s="16">
        <v>75677</v>
      </c>
    </row>
    <row r="3156" spans="1:17" ht="100.8" x14ac:dyDescent="0.3">
      <c r="A3156" s="16" t="s">
        <v>7724</v>
      </c>
      <c r="B3156" s="16" t="s">
        <v>7730</v>
      </c>
      <c r="C3156" s="16" t="s">
        <v>7747</v>
      </c>
      <c r="D3156" s="16" t="s">
        <v>7597</v>
      </c>
      <c r="E3156" s="16" t="s">
        <v>8159</v>
      </c>
      <c r="F3156" s="16" t="s">
        <v>8160</v>
      </c>
      <c r="G3156" s="16" t="s">
        <v>8204</v>
      </c>
      <c r="H3156" s="16"/>
      <c r="I3156" s="16"/>
      <c r="J3156" s="16" t="s">
        <v>2</v>
      </c>
      <c r="K3156" s="16"/>
      <c r="L3156" s="16"/>
      <c r="M3156" s="19" t="s">
        <v>8196</v>
      </c>
      <c r="N3156" s="16"/>
      <c r="O3156" s="16" t="s">
        <v>8161</v>
      </c>
      <c r="P3156" s="16" t="str">
        <f>HYPERLINK("https://ceds.ed.gov/cedselementdetails.aspx?termid=27994")</f>
        <v>https://ceds.ed.gov/cedselementdetails.aspx?termid=27994</v>
      </c>
      <c r="Q3156" s="16">
        <v>75953</v>
      </c>
    </row>
    <row r="3157" spans="1:17" ht="100.8" x14ac:dyDescent="0.3">
      <c r="A3157" s="16" t="s">
        <v>7724</v>
      </c>
      <c r="B3157" s="16" t="s">
        <v>7730</v>
      </c>
      <c r="C3157" s="16" t="s">
        <v>7640</v>
      </c>
      <c r="D3157" s="16" t="s">
        <v>7597</v>
      </c>
      <c r="E3157" s="16" t="s">
        <v>4849</v>
      </c>
      <c r="F3157" s="16" t="s">
        <v>13082</v>
      </c>
      <c r="G3157" s="16" t="s">
        <v>7313</v>
      </c>
      <c r="H3157" s="16" t="s">
        <v>4851</v>
      </c>
      <c r="I3157" s="16" t="s">
        <v>160</v>
      </c>
      <c r="J3157" s="16"/>
      <c r="K3157" s="16" t="s">
        <v>12946</v>
      </c>
      <c r="L3157" s="16"/>
      <c r="M3157" s="19" t="s">
        <v>4850</v>
      </c>
      <c r="N3157" s="16"/>
      <c r="O3157" s="16"/>
      <c r="P3157" s="16" t="str">
        <f>HYPERLINK("https://ceds.ed.gov/cedselementdetails.aspx?termid=26317")</f>
        <v>https://ceds.ed.gov/cedselementdetails.aspx?termid=26317</v>
      </c>
      <c r="Q3157" s="16">
        <v>75435</v>
      </c>
    </row>
    <row r="3158" spans="1:17" ht="129.6" x14ac:dyDescent="0.3">
      <c r="A3158" s="16" t="s">
        <v>7724</v>
      </c>
      <c r="B3158" s="16" t="s">
        <v>7730</v>
      </c>
      <c r="C3158" s="16" t="s">
        <v>7640</v>
      </c>
      <c r="D3158" s="16" t="s">
        <v>7597</v>
      </c>
      <c r="E3158" s="16" t="s">
        <v>4852</v>
      </c>
      <c r="F3158" s="16" t="s">
        <v>13083</v>
      </c>
      <c r="G3158" s="16" t="s">
        <v>7313</v>
      </c>
      <c r="H3158" s="16"/>
      <c r="I3158" s="16" t="s">
        <v>160</v>
      </c>
      <c r="J3158" s="16"/>
      <c r="K3158" s="16" t="s">
        <v>12947</v>
      </c>
      <c r="L3158" s="16" t="s">
        <v>13084</v>
      </c>
      <c r="M3158" s="19" t="s">
        <v>4853</v>
      </c>
      <c r="N3158" s="16"/>
      <c r="O3158" s="16"/>
      <c r="P3158" s="16" t="str">
        <f>HYPERLINK("https://ceds.ed.gov/cedselementdetails.aspx?termid=27618")</f>
        <v>https://ceds.ed.gov/cedselementdetails.aspx?termid=27618</v>
      </c>
      <c r="Q3158" s="16">
        <v>75436</v>
      </c>
    </row>
    <row r="3159" spans="1:17" ht="409.6" x14ac:dyDescent="0.3">
      <c r="A3159" s="16" t="s">
        <v>7724</v>
      </c>
      <c r="B3159" s="16" t="s">
        <v>7730</v>
      </c>
      <c r="C3159" s="16" t="s">
        <v>7640</v>
      </c>
      <c r="D3159" s="16" t="s">
        <v>7597</v>
      </c>
      <c r="E3159" s="16" t="s">
        <v>4854</v>
      </c>
      <c r="F3159" s="16" t="s">
        <v>13085</v>
      </c>
      <c r="G3159" s="16" t="s">
        <v>8683</v>
      </c>
      <c r="H3159" s="16"/>
      <c r="I3159" s="16" t="s">
        <v>160</v>
      </c>
      <c r="J3159" s="16"/>
      <c r="K3159" s="16" t="s">
        <v>12948</v>
      </c>
      <c r="L3159" s="16" t="s">
        <v>13086</v>
      </c>
      <c r="M3159" s="19" t="s">
        <v>4855</v>
      </c>
      <c r="N3159" s="16"/>
      <c r="O3159" s="16"/>
      <c r="P3159" s="16" t="str">
        <f>HYPERLINK("https://ceds.ed.gov/cedselementdetails.aspx?termid=27619")</f>
        <v>https://ceds.ed.gov/cedselementdetails.aspx?termid=27619</v>
      </c>
      <c r="Q3159" s="16">
        <v>75437</v>
      </c>
    </row>
    <row r="3160" spans="1:17" ht="43.2" x14ac:dyDescent="0.3">
      <c r="A3160" s="16" t="s">
        <v>7724</v>
      </c>
      <c r="B3160" s="16" t="s">
        <v>7730</v>
      </c>
      <c r="C3160" s="16" t="s">
        <v>7640</v>
      </c>
      <c r="D3160" s="16" t="s">
        <v>7597</v>
      </c>
      <c r="E3160" s="16" t="s">
        <v>4886</v>
      </c>
      <c r="F3160" s="16" t="s">
        <v>4887</v>
      </c>
      <c r="G3160" s="16" t="s">
        <v>13005</v>
      </c>
      <c r="H3160" s="16"/>
      <c r="I3160" s="16"/>
      <c r="J3160" s="16"/>
      <c r="K3160" s="16"/>
      <c r="L3160" s="16"/>
      <c r="M3160" s="19"/>
      <c r="N3160" s="16"/>
      <c r="O3160" s="16"/>
      <c r="P3160" s="16"/>
      <c r="Q3160" s="16"/>
    </row>
    <row r="3161" spans="1:17" x14ac:dyDescent="0.3">
      <c r="A3161" s="16"/>
      <c r="B3161" s="16"/>
      <c r="C3161" s="16"/>
      <c r="D3161" s="16"/>
      <c r="E3161" s="16"/>
      <c r="F3161" s="16"/>
      <c r="G3161" s="16"/>
      <c r="H3161" s="16"/>
      <c r="I3161" s="16"/>
      <c r="J3161" s="16"/>
      <c r="K3161" s="16"/>
      <c r="L3161" s="16"/>
      <c r="M3161" s="19"/>
      <c r="N3161" s="16"/>
      <c r="O3161" s="16"/>
      <c r="P3161" s="16"/>
      <c r="Q3161" s="16"/>
    </row>
    <row r="3162" spans="1:17" ht="144" x14ac:dyDescent="0.3">
      <c r="A3162" s="16"/>
      <c r="B3162" s="16" t="s">
        <v>13051</v>
      </c>
      <c r="C3162" s="16" t="s">
        <v>4851</v>
      </c>
      <c r="D3162" s="16"/>
      <c r="E3162" s="16"/>
      <c r="F3162" s="16"/>
      <c r="G3162" s="16"/>
      <c r="H3162" s="16">
        <v>316</v>
      </c>
      <c r="I3162" s="16"/>
      <c r="J3162" s="16" t="s">
        <v>4888</v>
      </c>
      <c r="K3162" s="16" t="str">
        <f>HYPERLINK("https://ceds.ed.gov/cedselementdetails.aspx?termid=26316")</f>
        <v>https://ceds.ed.gov/cedselementdetails.aspx?termid=26316</v>
      </c>
      <c r="L3162" s="16">
        <v>75438</v>
      </c>
      <c r="M3162" s="19"/>
      <c r="N3162" s="16"/>
      <c r="O3162" s="16"/>
      <c r="P3162" s="16"/>
      <c r="Q3162" s="16"/>
    </row>
    <row r="3163" spans="1:17" ht="57.6" x14ac:dyDescent="0.3">
      <c r="A3163" s="16" t="s">
        <v>7724</v>
      </c>
      <c r="B3163" s="16" t="s">
        <v>7730</v>
      </c>
      <c r="C3163" s="16" t="s">
        <v>7652</v>
      </c>
      <c r="D3163" s="16" t="s">
        <v>7597</v>
      </c>
      <c r="E3163" s="16" t="s">
        <v>2985</v>
      </c>
      <c r="F3163" s="16" t="s">
        <v>2986</v>
      </c>
      <c r="G3163" s="16" t="s">
        <v>2987</v>
      </c>
      <c r="H3163" s="16" t="s">
        <v>372</v>
      </c>
      <c r="I3163" s="16"/>
      <c r="J3163" s="16"/>
      <c r="K3163" s="16"/>
      <c r="L3163" s="16"/>
      <c r="M3163" s="19" t="s">
        <v>2988</v>
      </c>
      <c r="N3163" s="16"/>
      <c r="O3163" s="16" t="s">
        <v>2989</v>
      </c>
      <c r="P3163" s="16" t="str">
        <f>HYPERLINK("https://ceds.ed.gov/cedselementdetails.aspx?termid=26328")</f>
        <v>https://ceds.ed.gov/cedselementdetails.aspx?termid=26328</v>
      </c>
      <c r="Q3163" s="16">
        <v>75440</v>
      </c>
    </row>
    <row r="3164" spans="1:17" ht="409.6" x14ac:dyDescent="0.3">
      <c r="A3164" s="16" t="s">
        <v>7724</v>
      </c>
      <c r="B3164" s="16" t="s">
        <v>7730</v>
      </c>
      <c r="C3164" s="16" t="s">
        <v>7652</v>
      </c>
      <c r="D3164" s="16" t="s">
        <v>7597</v>
      </c>
      <c r="E3164" s="16" t="s">
        <v>5751</v>
      </c>
      <c r="F3164" s="16" t="s">
        <v>5752</v>
      </c>
      <c r="G3164" s="16" t="s">
        <v>8753</v>
      </c>
      <c r="H3164" s="16" t="s">
        <v>1516</v>
      </c>
      <c r="I3164" s="16"/>
      <c r="J3164" s="16"/>
      <c r="K3164" s="16"/>
      <c r="L3164" s="16" t="s">
        <v>5753</v>
      </c>
      <c r="M3164" s="19" t="s">
        <v>5754</v>
      </c>
      <c r="N3164" s="16"/>
      <c r="O3164" s="16" t="s">
        <v>5755</v>
      </c>
      <c r="P3164" s="16" t="str">
        <f>HYPERLINK("https://ceds.ed.gov/cedselementdetails.aspx?termid=26415")</f>
        <v>https://ceds.ed.gov/cedselementdetails.aspx?termid=26415</v>
      </c>
      <c r="Q3164" s="16">
        <v>75441</v>
      </c>
    </row>
    <row r="3165" spans="1:17" ht="43.2" x14ac:dyDescent="0.3">
      <c r="A3165" s="16" t="s">
        <v>7724</v>
      </c>
      <c r="B3165" s="16" t="s">
        <v>7730</v>
      </c>
      <c r="C3165" s="16" t="s">
        <v>4</v>
      </c>
      <c r="D3165" s="16" t="s">
        <v>7597</v>
      </c>
      <c r="E3165" s="16" t="s">
        <v>1490</v>
      </c>
      <c r="F3165" s="16" t="s">
        <v>1491</v>
      </c>
      <c r="G3165" s="16" t="s">
        <v>22</v>
      </c>
      <c r="H3165" s="16"/>
      <c r="I3165" s="16"/>
      <c r="J3165" s="16"/>
      <c r="K3165" s="16"/>
      <c r="L3165" s="16"/>
      <c r="M3165" s="19" t="s">
        <v>1492</v>
      </c>
      <c r="N3165" s="16"/>
      <c r="O3165" s="16" t="s">
        <v>1493</v>
      </c>
      <c r="P3165" s="16" t="str">
        <f>HYPERLINK("https://ceds.ed.gov/cedselementdetails.aspx?termid=27903")</f>
        <v>https://ceds.ed.gov/cedselementdetails.aspx?termid=27903</v>
      </c>
      <c r="Q3165" s="16">
        <v>75442</v>
      </c>
    </row>
    <row r="3166" spans="1:17" ht="57.6" x14ac:dyDescent="0.3">
      <c r="A3166" s="16" t="s">
        <v>7724</v>
      </c>
      <c r="B3166" s="16" t="s">
        <v>7730</v>
      </c>
      <c r="C3166" s="16" t="s">
        <v>4</v>
      </c>
      <c r="D3166" s="16" t="s">
        <v>7597</v>
      </c>
      <c r="E3166" s="16" t="s">
        <v>6162</v>
      </c>
      <c r="F3166" s="16" t="s">
        <v>6163</v>
      </c>
      <c r="G3166" s="16" t="s">
        <v>22</v>
      </c>
      <c r="H3166" s="16"/>
      <c r="I3166" s="16"/>
      <c r="J3166" s="16"/>
      <c r="K3166" s="16"/>
      <c r="L3166" s="16"/>
      <c r="M3166" s="19" t="s">
        <v>6164</v>
      </c>
      <c r="N3166" s="16"/>
      <c r="O3166" s="16" t="s">
        <v>6165</v>
      </c>
      <c r="P3166" s="16" t="str">
        <f>HYPERLINK("https://ceds.ed.gov/cedselementdetails.aspx?termid=26760")</f>
        <v>https://ceds.ed.gov/cedselementdetails.aspx?termid=26760</v>
      </c>
      <c r="Q3166" s="16">
        <v>75443</v>
      </c>
    </row>
    <row r="3167" spans="1:17" ht="72" x14ac:dyDescent="0.3">
      <c r="A3167" s="16" t="s">
        <v>7724</v>
      </c>
      <c r="B3167" s="16" t="s">
        <v>7730</v>
      </c>
      <c r="C3167" s="16" t="s">
        <v>4</v>
      </c>
      <c r="D3167" s="16" t="s">
        <v>7597</v>
      </c>
      <c r="E3167" s="16" t="s">
        <v>5398</v>
      </c>
      <c r="F3167" s="16" t="s">
        <v>5399</v>
      </c>
      <c r="G3167" s="16" t="s">
        <v>8245</v>
      </c>
      <c r="H3167" s="16"/>
      <c r="I3167" s="16"/>
      <c r="J3167" s="16"/>
      <c r="K3167" s="16"/>
      <c r="L3167" s="16"/>
      <c r="M3167" s="19" t="s">
        <v>5400</v>
      </c>
      <c r="N3167" s="16"/>
      <c r="O3167" s="16" t="s">
        <v>5401</v>
      </c>
      <c r="P3167" s="16" t="str">
        <f>HYPERLINK("https://ceds.ed.gov/cedselementdetails.aspx?termid=27555")</f>
        <v>https://ceds.ed.gov/cedselementdetails.aspx?termid=27555</v>
      </c>
      <c r="Q3167" s="16">
        <v>75678</v>
      </c>
    </row>
    <row r="3168" spans="1:17" ht="57.6" x14ac:dyDescent="0.3">
      <c r="A3168" s="16" t="s">
        <v>7724</v>
      </c>
      <c r="B3168" s="16" t="s">
        <v>7730</v>
      </c>
      <c r="C3168" s="16" t="s">
        <v>7653</v>
      </c>
      <c r="D3168" s="16" t="s">
        <v>7597</v>
      </c>
      <c r="E3168" s="16" t="s">
        <v>7446</v>
      </c>
      <c r="F3168" s="16" t="s">
        <v>7447</v>
      </c>
      <c r="G3168" s="16" t="s">
        <v>32</v>
      </c>
      <c r="H3168" s="16"/>
      <c r="I3168" s="16"/>
      <c r="J3168" s="16" t="s">
        <v>136</v>
      </c>
      <c r="K3168" s="16"/>
      <c r="L3168" s="16" t="s">
        <v>7448</v>
      </c>
      <c r="M3168" s="19" t="s">
        <v>7449</v>
      </c>
      <c r="N3168" s="16"/>
      <c r="O3168" s="16" t="s">
        <v>7450</v>
      </c>
      <c r="P3168" s="16" t="str">
        <f>HYPERLINK("https://ceds.ed.gov/cedselementdetails.aspx?termid=27938")</f>
        <v>https://ceds.ed.gov/cedselementdetails.aspx?termid=27938</v>
      </c>
      <c r="Q3168" s="16">
        <v>75657</v>
      </c>
    </row>
    <row r="3169" spans="1:17" ht="43.2" x14ac:dyDescent="0.3">
      <c r="A3169" s="16" t="s">
        <v>7724</v>
      </c>
      <c r="B3169" s="16" t="s">
        <v>7730</v>
      </c>
      <c r="C3169" s="16" t="s">
        <v>7653</v>
      </c>
      <c r="D3169" s="16" t="s">
        <v>7597</v>
      </c>
      <c r="E3169" s="16" t="s">
        <v>7456</v>
      </c>
      <c r="F3169" s="16" t="s">
        <v>7457</v>
      </c>
      <c r="G3169" s="16" t="s">
        <v>32</v>
      </c>
      <c r="H3169" s="16"/>
      <c r="I3169" s="16"/>
      <c r="J3169" s="16" t="s">
        <v>812</v>
      </c>
      <c r="K3169" s="16"/>
      <c r="L3169" s="16" t="s">
        <v>7458</v>
      </c>
      <c r="M3169" s="19" t="s">
        <v>7459</v>
      </c>
      <c r="N3169" s="16"/>
      <c r="O3169" s="16" t="s">
        <v>7460</v>
      </c>
      <c r="P3169" s="16" t="str">
        <f>HYPERLINK("https://ceds.ed.gov/cedselementdetails.aspx?termid=27940")</f>
        <v>https://ceds.ed.gov/cedselementdetails.aspx?termid=27940</v>
      </c>
      <c r="Q3169" s="16">
        <v>75658</v>
      </c>
    </row>
    <row r="3170" spans="1:17" ht="57.6" x14ac:dyDescent="0.3">
      <c r="A3170" s="16" t="s">
        <v>7724</v>
      </c>
      <c r="B3170" s="16" t="s">
        <v>7730</v>
      </c>
      <c r="C3170" s="16" t="s">
        <v>7653</v>
      </c>
      <c r="D3170" s="16" t="s">
        <v>7597</v>
      </c>
      <c r="E3170" s="16" t="s">
        <v>7461</v>
      </c>
      <c r="F3170" s="16" t="s">
        <v>7462</v>
      </c>
      <c r="G3170" s="16" t="s">
        <v>32</v>
      </c>
      <c r="H3170" s="16"/>
      <c r="I3170" s="16"/>
      <c r="J3170" s="16" t="s">
        <v>136</v>
      </c>
      <c r="K3170" s="16"/>
      <c r="L3170" s="16" t="s">
        <v>7463</v>
      </c>
      <c r="M3170" s="19" t="s">
        <v>7464</v>
      </c>
      <c r="N3170" s="16"/>
      <c r="O3170" s="16" t="s">
        <v>7465</v>
      </c>
      <c r="P3170" s="16" t="str">
        <f>HYPERLINK("https://ceds.ed.gov/cedselementdetails.aspx?termid=27941")</f>
        <v>https://ceds.ed.gov/cedselementdetails.aspx?termid=27941</v>
      </c>
      <c r="Q3170" s="16">
        <v>75659</v>
      </c>
    </row>
    <row r="3171" spans="1:17" ht="86.4" x14ac:dyDescent="0.3">
      <c r="A3171" s="16" t="s">
        <v>7724</v>
      </c>
      <c r="B3171" s="16" t="s">
        <v>7730</v>
      </c>
      <c r="C3171" s="16" t="s">
        <v>7702</v>
      </c>
      <c r="D3171" s="16" t="s">
        <v>7597</v>
      </c>
      <c r="E3171" s="16" t="s">
        <v>3387</v>
      </c>
      <c r="F3171" s="16" t="s">
        <v>3388</v>
      </c>
      <c r="G3171" s="16" t="s">
        <v>22</v>
      </c>
      <c r="H3171" s="16" t="s">
        <v>1863</v>
      </c>
      <c r="I3171" s="16"/>
      <c r="J3171" s="16"/>
      <c r="K3171" s="16"/>
      <c r="L3171" s="16"/>
      <c r="M3171" s="19" t="s">
        <v>3390</v>
      </c>
      <c r="N3171" s="16"/>
      <c r="O3171" s="16" t="s">
        <v>3391</v>
      </c>
      <c r="P3171" s="16" t="str">
        <f>HYPERLINK("https://ceds.ed.gov/cedselementdetails.aspx?termid=26086")</f>
        <v>https://ceds.ed.gov/cedselementdetails.aspx?termid=26086</v>
      </c>
      <c r="Q3171" s="16">
        <v>75661</v>
      </c>
    </row>
    <row r="3172" spans="1:17" ht="374.4" x14ac:dyDescent="0.3">
      <c r="A3172" s="16" t="s">
        <v>7724</v>
      </c>
      <c r="B3172" s="16" t="s">
        <v>7730</v>
      </c>
      <c r="C3172" s="16" t="s">
        <v>7702</v>
      </c>
      <c r="D3172" s="16" t="s">
        <v>7597</v>
      </c>
      <c r="E3172" s="16" t="s">
        <v>6903</v>
      </c>
      <c r="F3172" s="16" t="s">
        <v>9323</v>
      </c>
      <c r="G3172" s="16" t="s">
        <v>32</v>
      </c>
      <c r="H3172" s="16"/>
      <c r="I3172" s="16" t="s">
        <v>160</v>
      </c>
      <c r="J3172" s="16" t="s">
        <v>812</v>
      </c>
      <c r="K3172" s="16" t="s">
        <v>12952</v>
      </c>
      <c r="L3172" s="16" t="s">
        <v>8158</v>
      </c>
      <c r="M3172" s="19" t="s">
        <v>6904</v>
      </c>
      <c r="N3172" s="16"/>
      <c r="O3172" s="16" t="s">
        <v>6905</v>
      </c>
      <c r="P3172" s="16" t="str">
        <f>HYPERLINK("https://ceds.ed.gov/cedselementdetails.aspx?termid=27193")</f>
        <v>https://ceds.ed.gov/cedselementdetails.aspx?termid=27193</v>
      </c>
      <c r="Q3172" s="16">
        <v>75662</v>
      </c>
    </row>
    <row r="3173" spans="1:17" ht="28.8" x14ac:dyDescent="0.3">
      <c r="A3173" s="16" t="s">
        <v>7724</v>
      </c>
      <c r="B3173" s="16" t="s">
        <v>7730</v>
      </c>
      <c r="C3173" s="16" t="s">
        <v>7702</v>
      </c>
      <c r="D3173" s="16" t="s">
        <v>7597</v>
      </c>
      <c r="E3173" s="16" t="s">
        <v>6906</v>
      </c>
      <c r="F3173" s="16" t="s">
        <v>9324</v>
      </c>
      <c r="G3173" s="16" t="s">
        <v>32</v>
      </c>
      <c r="H3173" s="16"/>
      <c r="I3173" s="16" t="s">
        <v>160</v>
      </c>
      <c r="J3173" s="16" t="s">
        <v>812</v>
      </c>
      <c r="K3173" s="16" t="s">
        <v>12952</v>
      </c>
      <c r="L3173" s="16"/>
      <c r="M3173" s="19" t="s">
        <v>6907</v>
      </c>
      <c r="N3173" s="16"/>
      <c r="O3173" s="16" t="s">
        <v>6908</v>
      </c>
      <c r="P3173" s="16" t="str">
        <f>HYPERLINK("https://ceds.ed.gov/cedselementdetails.aspx?termid=27192")</f>
        <v>https://ceds.ed.gov/cedselementdetails.aspx?termid=27192</v>
      </c>
      <c r="Q3173" s="16">
        <v>75663</v>
      </c>
    </row>
    <row r="3174" spans="1:17" ht="57.6" x14ac:dyDescent="0.3">
      <c r="A3174" s="16" t="s">
        <v>7724</v>
      </c>
      <c r="B3174" s="16" t="s">
        <v>7730</v>
      </c>
      <c r="C3174" s="16" t="s">
        <v>7657</v>
      </c>
      <c r="D3174" s="16" t="s">
        <v>7597</v>
      </c>
      <c r="E3174" s="16" t="s">
        <v>7502</v>
      </c>
      <c r="F3174" s="16" t="s">
        <v>7503</v>
      </c>
      <c r="G3174" s="16" t="s">
        <v>32</v>
      </c>
      <c r="H3174" s="16"/>
      <c r="I3174" s="16"/>
      <c r="J3174" s="16" t="s">
        <v>305</v>
      </c>
      <c r="K3174" s="16"/>
      <c r="L3174" s="16" t="s">
        <v>7504</v>
      </c>
      <c r="M3174" s="19" t="s">
        <v>7505</v>
      </c>
      <c r="N3174" s="16"/>
      <c r="O3174" s="16" t="s">
        <v>7506</v>
      </c>
      <c r="P3174" s="16" t="str">
        <f>HYPERLINK("https://ceds.ed.gov/cedselementdetails.aspx?termid=27950")</f>
        <v>https://ceds.ed.gov/cedselementdetails.aspx?termid=27950</v>
      </c>
      <c r="Q3174" s="16">
        <v>75665</v>
      </c>
    </row>
    <row r="3175" spans="1:17" ht="86.4" x14ac:dyDescent="0.3">
      <c r="A3175" s="16" t="s">
        <v>7724</v>
      </c>
      <c r="B3175" s="16" t="s">
        <v>7730</v>
      </c>
      <c r="C3175" s="16" t="s">
        <v>7657</v>
      </c>
      <c r="D3175" s="16" t="s">
        <v>7597</v>
      </c>
      <c r="E3175" s="16" t="s">
        <v>5538</v>
      </c>
      <c r="F3175" s="16" t="s">
        <v>5539</v>
      </c>
      <c r="G3175" s="16" t="s">
        <v>32</v>
      </c>
      <c r="H3175" s="16" t="s">
        <v>3047</v>
      </c>
      <c r="I3175" s="16"/>
      <c r="J3175" s="16" t="s">
        <v>305</v>
      </c>
      <c r="K3175" s="16"/>
      <c r="L3175" s="16" t="s">
        <v>7507</v>
      </c>
      <c r="M3175" s="19" t="s">
        <v>5540</v>
      </c>
      <c r="N3175" s="16"/>
      <c r="O3175" s="16" t="s">
        <v>5541</v>
      </c>
      <c r="P3175" s="16" t="str">
        <f>HYPERLINK("https://ceds.ed.gov/cedselementdetails.aspx?termid=26330")</f>
        <v>https://ceds.ed.gov/cedselementdetails.aspx?termid=26330</v>
      </c>
      <c r="Q3175" s="16">
        <v>75666</v>
      </c>
    </row>
    <row r="3176" spans="1:17" ht="374.4" x14ac:dyDescent="0.3">
      <c r="A3176" s="16" t="s">
        <v>7724</v>
      </c>
      <c r="B3176" s="16" t="s">
        <v>7730</v>
      </c>
      <c r="C3176" s="16" t="s">
        <v>7651</v>
      </c>
      <c r="D3176" s="16" t="s">
        <v>7597</v>
      </c>
      <c r="E3176" s="16" t="s">
        <v>4298</v>
      </c>
      <c r="F3176" s="16" t="s">
        <v>4299</v>
      </c>
      <c r="G3176" s="16" t="s">
        <v>22</v>
      </c>
      <c r="H3176" s="16" t="s">
        <v>4302</v>
      </c>
      <c r="I3176" s="16"/>
      <c r="J3176" s="16"/>
      <c r="K3176" s="16"/>
      <c r="L3176" s="16" t="s">
        <v>9319</v>
      </c>
      <c r="M3176" s="19" t="s">
        <v>4300</v>
      </c>
      <c r="N3176" s="16"/>
      <c r="O3176" s="16" t="s">
        <v>4301</v>
      </c>
      <c r="P3176" s="16" t="str">
        <f>HYPERLINK("https://ceds.ed.gov/cedselementdetails.aspx?termid=26149")</f>
        <v>https://ceds.ed.gov/cedselementdetails.aspx?termid=26149</v>
      </c>
      <c r="Q3176" s="16">
        <v>75667</v>
      </c>
    </row>
    <row r="3177" spans="1:17" ht="374.4" x14ac:dyDescent="0.3">
      <c r="A3177" s="16" t="s">
        <v>7724</v>
      </c>
      <c r="B3177" s="16" t="s">
        <v>7730</v>
      </c>
      <c r="C3177" s="16" t="s">
        <v>7651</v>
      </c>
      <c r="D3177" s="16" t="s">
        <v>7597</v>
      </c>
      <c r="E3177" s="16" t="s">
        <v>6903</v>
      </c>
      <c r="F3177" s="16" t="s">
        <v>9323</v>
      </c>
      <c r="G3177" s="16" t="s">
        <v>32</v>
      </c>
      <c r="H3177" s="16"/>
      <c r="I3177" s="16" t="s">
        <v>160</v>
      </c>
      <c r="J3177" s="16" t="s">
        <v>812</v>
      </c>
      <c r="K3177" s="16" t="s">
        <v>12952</v>
      </c>
      <c r="L3177" s="16" t="s">
        <v>8158</v>
      </c>
      <c r="M3177" s="19" t="s">
        <v>6904</v>
      </c>
      <c r="N3177" s="16"/>
      <c r="O3177" s="16" t="s">
        <v>6905</v>
      </c>
      <c r="P3177" s="16" t="str">
        <f>HYPERLINK("https://ceds.ed.gov/cedselementdetails.aspx?termid=27193")</f>
        <v>https://ceds.ed.gov/cedselementdetails.aspx?termid=27193</v>
      </c>
      <c r="Q3177" s="16">
        <v>75668</v>
      </c>
    </row>
    <row r="3178" spans="1:17" ht="28.8" x14ac:dyDescent="0.3">
      <c r="A3178" s="16" t="s">
        <v>7724</v>
      </c>
      <c r="B3178" s="16" t="s">
        <v>7730</v>
      </c>
      <c r="C3178" s="16" t="s">
        <v>7651</v>
      </c>
      <c r="D3178" s="16" t="s">
        <v>7597</v>
      </c>
      <c r="E3178" s="16" t="s">
        <v>6906</v>
      </c>
      <c r="F3178" s="16" t="s">
        <v>9324</v>
      </c>
      <c r="G3178" s="16" t="s">
        <v>32</v>
      </c>
      <c r="H3178" s="16"/>
      <c r="I3178" s="16" t="s">
        <v>160</v>
      </c>
      <c r="J3178" s="16" t="s">
        <v>812</v>
      </c>
      <c r="K3178" s="16" t="s">
        <v>12952</v>
      </c>
      <c r="L3178" s="16"/>
      <c r="M3178" s="19" t="s">
        <v>6907</v>
      </c>
      <c r="N3178" s="16"/>
      <c r="O3178" s="16" t="s">
        <v>6908</v>
      </c>
      <c r="P3178" s="16" t="str">
        <f>HYPERLINK("https://ceds.ed.gov/cedselementdetails.aspx?termid=27192")</f>
        <v>https://ceds.ed.gov/cedselementdetails.aspx?termid=27192</v>
      </c>
      <c r="Q3178" s="16">
        <v>75669</v>
      </c>
    </row>
    <row r="3179" spans="1:17" ht="230.4" x14ac:dyDescent="0.3">
      <c r="A3179" s="16" t="s">
        <v>7724</v>
      </c>
      <c r="B3179" s="16" t="s">
        <v>7730</v>
      </c>
      <c r="C3179" s="16" t="s">
        <v>7708</v>
      </c>
      <c r="D3179" s="16" t="s">
        <v>7597</v>
      </c>
      <c r="E3179" s="16" t="s">
        <v>5387</v>
      </c>
      <c r="F3179" s="16" t="s">
        <v>5388</v>
      </c>
      <c r="G3179" s="16" t="s">
        <v>22</v>
      </c>
      <c r="H3179" s="16" t="s">
        <v>1863</v>
      </c>
      <c r="I3179" s="16"/>
      <c r="J3179" s="16"/>
      <c r="K3179" s="16"/>
      <c r="L3179" s="16"/>
      <c r="M3179" s="19" t="s">
        <v>5389</v>
      </c>
      <c r="N3179" s="16"/>
      <c r="O3179" s="16" t="s">
        <v>5390</v>
      </c>
      <c r="P3179" s="16" t="str">
        <f>HYPERLINK("https://ceds.ed.gov/cedselementdetails.aspx?termid=26189")</f>
        <v>https://ceds.ed.gov/cedselementdetails.aspx?termid=26189</v>
      </c>
      <c r="Q3179" s="16">
        <v>75674</v>
      </c>
    </row>
    <row r="3180" spans="1:17" ht="72" x14ac:dyDescent="0.3">
      <c r="A3180" s="16" t="s">
        <v>7724</v>
      </c>
      <c r="B3180" s="16" t="s">
        <v>7730</v>
      </c>
      <c r="C3180" s="16" t="s">
        <v>9412</v>
      </c>
      <c r="D3180" s="16" t="s">
        <v>7597</v>
      </c>
      <c r="E3180" s="16" t="s">
        <v>9312</v>
      </c>
      <c r="F3180" s="16" t="s">
        <v>9313</v>
      </c>
      <c r="G3180" s="16" t="s">
        <v>9325</v>
      </c>
      <c r="H3180" s="16"/>
      <c r="I3180" s="16"/>
      <c r="J3180" s="16"/>
      <c r="K3180" s="16"/>
      <c r="L3180" s="16"/>
      <c r="M3180" s="19" t="s">
        <v>5394</v>
      </c>
      <c r="N3180" s="16"/>
      <c r="O3180" s="16" t="s">
        <v>9314</v>
      </c>
      <c r="P3180" s="16" t="str">
        <f>HYPERLINK("https://ceds.ed.gov/cedselementdetails.aspx?termid=27556")</f>
        <v>https://ceds.ed.gov/cedselementdetails.aspx?termid=27556</v>
      </c>
      <c r="Q3180" s="16">
        <v>76433</v>
      </c>
    </row>
    <row r="3181" spans="1:17" ht="144" x14ac:dyDescent="0.3">
      <c r="A3181" s="16" t="s">
        <v>7724</v>
      </c>
      <c r="B3181" s="16" t="s">
        <v>7730</v>
      </c>
      <c r="C3181" s="16" t="s">
        <v>9412</v>
      </c>
      <c r="D3181" s="16" t="s">
        <v>7597</v>
      </c>
      <c r="E3181" s="16" t="s">
        <v>9087</v>
      </c>
      <c r="F3181" s="16" t="s">
        <v>9088</v>
      </c>
      <c r="G3181" s="16" t="s">
        <v>9298</v>
      </c>
      <c r="H3181" s="16"/>
      <c r="I3181" s="16"/>
      <c r="J3181" s="16" t="s">
        <v>2</v>
      </c>
      <c r="K3181" s="16"/>
      <c r="L3181" s="16" t="s">
        <v>9089</v>
      </c>
      <c r="M3181" s="19" t="s">
        <v>9090</v>
      </c>
      <c r="N3181" s="16"/>
      <c r="O3181" s="16" t="s">
        <v>9091</v>
      </c>
      <c r="P3181" s="16" t="str">
        <f>HYPERLINK("https://ceds.ed.gov/cedselementdetails.aspx?termid=28047")</f>
        <v>https://ceds.ed.gov/cedselementdetails.aspx?termid=28047</v>
      </c>
      <c r="Q3181" s="16">
        <v>76434</v>
      </c>
    </row>
    <row r="3182" spans="1:17" ht="409.6" x14ac:dyDescent="0.3">
      <c r="A3182" s="16" t="s">
        <v>7724</v>
      </c>
      <c r="B3182" s="16" t="s">
        <v>7730</v>
      </c>
      <c r="C3182" s="16" t="s">
        <v>9412</v>
      </c>
      <c r="D3182" s="16" t="s">
        <v>7597</v>
      </c>
      <c r="E3182" s="16" t="s">
        <v>9092</v>
      </c>
      <c r="F3182" s="16" t="s">
        <v>9093</v>
      </c>
      <c r="G3182" s="16" t="s">
        <v>9299</v>
      </c>
      <c r="H3182" s="16"/>
      <c r="I3182" s="16"/>
      <c r="J3182" s="16" t="s">
        <v>2</v>
      </c>
      <c r="K3182" s="16"/>
      <c r="L3182" s="16" t="s">
        <v>9094</v>
      </c>
      <c r="M3182" s="19" t="s">
        <v>9095</v>
      </c>
      <c r="N3182" s="16"/>
      <c r="O3182" s="16" t="s">
        <v>9096</v>
      </c>
      <c r="P3182" s="16" t="str">
        <f>HYPERLINK("https://ceds.ed.gov/cedselementdetails.aspx?termid=28048")</f>
        <v>https://ceds.ed.gov/cedselementdetails.aspx?termid=28048</v>
      </c>
      <c r="Q3182" s="16">
        <v>76435</v>
      </c>
    </row>
    <row r="3183" spans="1:17" ht="100.8" x14ac:dyDescent="0.3">
      <c r="A3183" s="16" t="s">
        <v>7724</v>
      </c>
      <c r="B3183" s="16" t="s">
        <v>7730</v>
      </c>
      <c r="C3183" s="16" t="s">
        <v>9412</v>
      </c>
      <c r="D3183" s="16" t="s">
        <v>7597</v>
      </c>
      <c r="E3183" s="16" t="s">
        <v>9097</v>
      </c>
      <c r="F3183" s="16" t="s">
        <v>9098</v>
      </c>
      <c r="G3183" s="16" t="s">
        <v>32</v>
      </c>
      <c r="H3183" s="16"/>
      <c r="I3183" s="16"/>
      <c r="J3183" s="16" t="s">
        <v>120</v>
      </c>
      <c r="K3183" s="16"/>
      <c r="L3183" s="16" t="s">
        <v>9089</v>
      </c>
      <c r="M3183" s="19" t="s">
        <v>9099</v>
      </c>
      <c r="N3183" s="16"/>
      <c r="O3183" s="16" t="s">
        <v>9100</v>
      </c>
      <c r="P3183" s="16" t="str">
        <f>HYPERLINK("https://ceds.ed.gov/cedselementdetails.aspx?termid=28049")</f>
        <v>https://ceds.ed.gov/cedselementdetails.aspx?termid=28049</v>
      </c>
      <c r="Q3183" s="16">
        <v>76436</v>
      </c>
    </row>
    <row r="3184" spans="1:17" ht="100.8" x14ac:dyDescent="0.3">
      <c r="A3184" s="16" t="s">
        <v>7724</v>
      </c>
      <c r="B3184" s="16" t="s">
        <v>7730</v>
      </c>
      <c r="C3184" s="16" t="s">
        <v>9412</v>
      </c>
      <c r="D3184" s="16" t="s">
        <v>7597</v>
      </c>
      <c r="E3184" s="16" t="s">
        <v>9101</v>
      </c>
      <c r="F3184" s="16" t="s">
        <v>9102</v>
      </c>
      <c r="G3184" s="16" t="s">
        <v>32</v>
      </c>
      <c r="H3184" s="16"/>
      <c r="I3184" s="16"/>
      <c r="J3184" s="16" t="s">
        <v>9103</v>
      </c>
      <c r="K3184" s="16"/>
      <c r="L3184" s="16" t="s">
        <v>9089</v>
      </c>
      <c r="M3184" s="19" t="s">
        <v>9104</v>
      </c>
      <c r="N3184" s="16"/>
      <c r="O3184" s="16" t="s">
        <v>9105</v>
      </c>
      <c r="P3184" s="16" t="str">
        <f>HYPERLINK("https://ceds.ed.gov/cedselementdetails.aspx?termid=28050")</f>
        <v>https://ceds.ed.gov/cedselementdetails.aspx?termid=28050</v>
      </c>
      <c r="Q3184" s="16">
        <v>76437</v>
      </c>
    </row>
    <row r="3185" spans="1:17" ht="100.8" x14ac:dyDescent="0.3">
      <c r="A3185" s="16" t="s">
        <v>7724</v>
      </c>
      <c r="B3185" s="16" t="s">
        <v>7730</v>
      </c>
      <c r="C3185" s="16" t="s">
        <v>9412</v>
      </c>
      <c r="D3185" s="16" t="s">
        <v>7597</v>
      </c>
      <c r="E3185" s="16" t="s">
        <v>9106</v>
      </c>
      <c r="F3185" s="16" t="s">
        <v>9107</v>
      </c>
      <c r="G3185" s="16" t="s">
        <v>32</v>
      </c>
      <c r="H3185" s="16"/>
      <c r="I3185" s="16"/>
      <c r="J3185" s="16" t="s">
        <v>9108</v>
      </c>
      <c r="K3185" s="16"/>
      <c r="L3185" s="16" t="s">
        <v>9089</v>
      </c>
      <c r="M3185" s="19" t="s">
        <v>9109</v>
      </c>
      <c r="N3185" s="16"/>
      <c r="O3185" s="16" t="s">
        <v>9110</v>
      </c>
      <c r="P3185" s="16" t="str">
        <f>HYPERLINK("https://ceds.ed.gov/cedselementdetails.aspx?termid=28051")</f>
        <v>https://ceds.ed.gov/cedselementdetails.aspx?termid=28051</v>
      </c>
      <c r="Q3185" s="16">
        <v>76438</v>
      </c>
    </row>
    <row r="3186" spans="1:17" ht="100.8" x14ac:dyDescent="0.3">
      <c r="A3186" s="16" t="s">
        <v>7724</v>
      </c>
      <c r="B3186" s="16" t="s">
        <v>7730</v>
      </c>
      <c r="C3186" s="16" t="s">
        <v>9412</v>
      </c>
      <c r="D3186" s="16" t="s">
        <v>7597</v>
      </c>
      <c r="E3186" s="16" t="s">
        <v>9111</v>
      </c>
      <c r="F3186" s="16" t="s">
        <v>9112</v>
      </c>
      <c r="G3186" s="16" t="s">
        <v>32</v>
      </c>
      <c r="H3186" s="16"/>
      <c r="I3186" s="16"/>
      <c r="J3186" s="16" t="s">
        <v>9103</v>
      </c>
      <c r="K3186" s="16"/>
      <c r="L3186" s="16" t="s">
        <v>9089</v>
      </c>
      <c r="M3186" s="19" t="s">
        <v>9113</v>
      </c>
      <c r="N3186" s="16"/>
      <c r="O3186" s="16" t="s">
        <v>9114</v>
      </c>
      <c r="P3186" s="16" t="str">
        <f>HYPERLINK("https://ceds.ed.gov/cedselementdetails.aspx?termid=28052")</f>
        <v>https://ceds.ed.gov/cedselementdetails.aspx?termid=28052</v>
      </c>
      <c r="Q3186" s="16">
        <v>76439</v>
      </c>
    </row>
    <row r="3187" spans="1:17" ht="100.8" x14ac:dyDescent="0.3">
      <c r="A3187" s="16" t="s">
        <v>7724</v>
      </c>
      <c r="B3187" s="16" t="s">
        <v>7730</v>
      </c>
      <c r="C3187" s="16" t="s">
        <v>9412</v>
      </c>
      <c r="D3187" s="16" t="s">
        <v>7597</v>
      </c>
      <c r="E3187" s="16" t="s">
        <v>9115</v>
      </c>
      <c r="F3187" s="16" t="s">
        <v>9116</v>
      </c>
      <c r="G3187" s="16" t="s">
        <v>32</v>
      </c>
      <c r="H3187" s="16"/>
      <c r="I3187" s="16"/>
      <c r="J3187" s="16" t="s">
        <v>34</v>
      </c>
      <c r="K3187" s="16"/>
      <c r="L3187" s="16" t="s">
        <v>9089</v>
      </c>
      <c r="M3187" s="19" t="s">
        <v>9117</v>
      </c>
      <c r="N3187" s="16"/>
      <c r="O3187" s="16" t="s">
        <v>9118</v>
      </c>
      <c r="P3187" s="16" t="str">
        <f>HYPERLINK("https://ceds.ed.gov/cedselementdetails.aspx?termid=28053")</f>
        <v>https://ceds.ed.gov/cedselementdetails.aspx?termid=28053</v>
      </c>
      <c r="Q3187" s="16">
        <v>76440</v>
      </c>
    </row>
    <row r="3188" spans="1:17" ht="100.8" x14ac:dyDescent="0.3">
      <c r="A3188" s="16" t="s">
        <v>7724</v>
      </c>
      <c r="B3188" s="16" t="s">
        <v>7730</v>
      </c>
      <c r="C3188" s="16" t="s">
        <v>9412</v>
      </c>
      <c r="D3188" s="16" t="s">
        <v>7597</v>
      </c>
      <c r="E3188" s="16" t="s">
        <v>9119</v>
      </c>
      <c r="F3188" s="16" t="s">
        <v>9120</v>
      </c>
      <c r="G3188" s="16" t="s">
        <v>32</v>
      </c>
      <c r="H3188" s="16"/>
      <c r="I3188" s="16"/>
      <c r="J3188" s="16" t="s">
        <v>9103</v>
      </c>
      <c r="K3188" s="16"/>
      <c r="L3188" s="16" t="s">
        <v>9089</v>
      </c>
      <c r="M3188" s="19" t="s">
        <v>9121</v>
      </c>
      <c r="N3188" s="16"/>
      <c r="O3188" s="16" t="s">
        <v>9122</v>
      </c>
      <c r="P3188" s="16" t="str">
        <f>HYPERLINK("https://ceds.ed.gov/cedselementdetails.aspx?termid=28054")</f>
        <v>https://ceds.ed.gov/cedselementdetails.aspx?termid=28054</v>
      </c>
      <c r="Q3188" s="16">
        <v>76441</v>
      </c>
    </row>
    <row r="3189" spans="1:17" ht="100.8" x14ac:dyDescent="0.3">
      <c r="A3189" s="16" t="s">
        <v>7724</v>
      </c>
      <c r="B3189" s="16" t="s">
        <v>7730</v>
      </c>
      <c r="C3189" s="16" t="s">
        <v>9412</v>
      </c>
      <c r="D3189" s="16" t="s">
        <v>7597</v>
      </c>
      <c r="E3189" s="16" t="s">
        <v>9123</v>
      </c>
      <c r="F3189" s="16" t="s">
        <v>9124</v>
      </c>
      <c r="G3189" s="16" t="s">
        <v>32</v>
      </c>
      <c r="H3189" s="16"/>
      <c r="I3189" s="16"/>
      <c r="J3189" s="16" t="s">
        <v>747</v>
      </c>
      <c r="K3189" s="16"/>
      <c r="L3189" s="16" t="s">
        <v>9089</v>
      </c>
      <c r="M3189" s="19" t="s">
        <v>9125</v>
      </c>
      <c r="N3189" s="16"/>
      <c r="O3189" s="16" t="s">
        <v>9126</v>
      </c>
      <c r="P3189" s="16" t="str">
        <f>HYPERLINK("https://ceds.ed.gov/cedselementdetails.aspx?termid=28055")</f>
        <v>https://ceds.ed.gov/cedselementdetails.aspx?termid=28055</v>
      </c>
      <c r="Q3189" s="16">
        <v>76442</v>
      </c>
    </row>
    <row r="3190" spans="1:17" ht="100.8" x14ac:dyDescent="0.3">
      <c r="A3190" s="16" t="s">
        <v>7724</v>
      </c>
      <c r="B3190" s="16" t="s">
        <v>7730</v>
      </c>
      <c r="C3190" s="16" t="s">
        <v>9412</v>
      </c>
      <c r="D3190" s="16" t="s">
        <v>7597</v>
      </c>
      <c r="E3190" s="16" t="s">
        <v>9127</v>
      </c>
      <c r="F3190" s="16" t="s">
        <v>9128</v>
      </c>
      <c r="G3190" s="16" t="s">
        <v>32</v>
      </c>
      <c r="H3190" s="16"/>
      <c r="I3190" s="16"/>
      <c r="J3190" s="16" t="s">
        <v>34</v>
      </c>
      <c r="K3190" s="16"/>
      <c r="L3190" s="16" t="s">
        <v>9089</v>
      </c>
      <c r="M3190" s="19" t="s">
        <v>9129</v>
      </c>
      <c r="N3190" s="16"/>
      <c r="O3190" s="16" t="s">
        <v>9130</v>
      </c>
      <c r="P3190" s="16" t="str">
        <f>HYPERLINK("https://ceds.ed.gov/cedselementdetails.aspx?termid=28056")</f>
        <v>https://ceds.ed.gov/cedselementdetails.aspx?termid=28056</v>
      </c>
      <c r="Q3190" s="16">
        <v>76443</v>
      </c>
    </row>
    <row r="3191" spans="1:17" ht="144" x14ac:dyDescent="0.3">
      <c r="A3191" s="16" t="s">
        <v>7724</v>
      </c>
      <c r="B3191" s="16" t="s">
        <v>7730</v>
      </c>
      <c r="C3191" s="16" t="s">
        <v>9412</v>
      </c>
      <c r="D3191" s="16" t="s">
        <v>7597</v>
      </c>
      <c r="E3191" s="16" t="s">
        <v>9131</v>
      </c>
      <c r="F3191" s="16" t="s">
        <v>9132</v>
      </c>
      <c r="G3191" s="16" t="s">
        <v>9300</v>
      </c>
      <c r="H3191" s="16"/>
      <c r="I3191" s="16"/>
      <c r="J3191" s="16" t="s">
        <v>2</v>
      </c>
      <c r="K3191" s="16"/>
      <c r="L3191" s="16" t="s">
        <v>9089</v>
      </c>
      <c r="M3191" s="19" t="s">
        <v>9133</v>
      </c>
      <c r="N3191" s="16"/>
      <c r="O3191" s="16" t="s">
        <v>9134</v>
      </c>
      <c r="P3191" s="16" t="str">
        <f>HYPERLINK("https://ceds.ed.gov/cedselementdetails.aspx?termid=28057")</f>
        <v>https://ceds.ed.gov/cedselementdetails.aspx?termid=28057</v>
      </c>
      <c r="Q3191" s="16">
        <v>76444</v>
      </c>
    </row>
    <row r="3192" spans="1:17" ht="158.4" x14ac:dyDescent="0.3">
      <c r="A3192" s="16" t="s">
        <v>7724</v>
      </c>
      <c r="B3192" s="16" t="s">
        <v>7730</v>
      </c>
      <c r="C3192" s="16" t="s">
        <v>9412</v>
      </c>
      <c r="D3192" s="16" t="s">
        <v>7597</v>
      </c>
      <c r="E3192" s="16" t="s">
        <v>9135</v>
      </c>
      <c r="F3192" s="16" t="s">
        <v>9136</v>
      </c>
      <c r="G3192" s="16" t="s">
        <v>9301</v>
      </c>
      <c r="H3192" s="16"/>
      <c r="I3192" s="16"/>
      <c r="J3192" s="16" t="s">
        <v>2</v>
      </c>
      <c r="K3192" s="16"/>
      <c r="L3192" s="16" t="s">
        <v>9089</v>
      </c>
      <c r="M3192" s="19" t="s">
        <v>9137</v>
      </c>
      <c r="N3192" s="16"/>
      <c r="O3192" s="16" t="s">
        <v>9138</v>
      </c>
      <c r="P3192" s="16" t="str">
        <f>HYPERLINK("https://ceds.ed.gov/cedselementdetails.aspx?termid=28058")</f>
        <v>https://ceds.ed.gov/cedselementdetails.aspx?termid=28058</v>
      </c>
      <c r="Q3192" s="16">
        <v>76445</v>
      </c>
    </row>
    <row r="3193" spans="1:17" ht="100.8" x14ac:dyDescent="0.3">
      <c r="A3193" s="16" t="s">
        <v>7724</v>
      </c>
      <c r="B3193" s="16" t="s">
        <v>7730</v>
      </c>
      <c r="C3193" s="16" t="s">
        <v>9412</v>
      </c>
      <c r="D3193" s="16" t="s">
        <v>7597</v>
      </c>
      <c r="E3193" s="16" t="s">
        <v>9139</v>
      </c>
      <c r="F3193" s="16" t="s">
        <v>9140</v>
      </c>
      <c r="G3193" s="16" t="s">
        <v>32</v>
      </c>
      <c r="H3193" s="16"/>
      <c r="I3193" s="16"/>
      <c r="J3193" s="16" t="s">
        <v>34</v>
      </c>
      <c r="K3193" s="16"/>
      <c r="L3193" s="16" t="s">
        <v>9089</v>
      </c>
      <c r="M3193" s="19" t="s">
        <v>9141</v>
      </c>
      <c r="N3193" s="16"/>
      <c r="O3193" s="16" t="s">
        <v>9142</v>
      </c>
      <c r="P3193" s="16" t="str">
        <f>HYPERLINK("https://ceds.ed.gov/cedselementdetails.aspx?termid=28059")</f>
        <v>https://ceds.ed.gov/cedselementdetails.aspx?termid=28059</v>
      </c>
      <c r="Q3193" s="16">
        <v>76446</v>
      </c>
    </row>
    <row r="3194" spans="1:17" ht="100.8" x14ac:dyDescent="0.3">
      <c r="A3194" s="16" t="s">
        <v>7724</v>
      </c>
      <c r="B3194" s="16" t="s">
        <v>7730</v>
      </c>
      <c r="C3194" s="16" t="s">
        <v>9412</v>
      </c>
      <c r="D3194" s="16" t="s">
        <v>7597</v>
      </c>
      <c r="E3194" s="16" t="s">
        <v>9143</v>
      </c>
      <c r="F3194" s="16" t="s">
        <v>9144</v>
      </c>
      <c r="G3194" s="16" t="s">
        <v>32</v>
      </c>
      <c r="H3194" s="16"/>
      <c r="I3194" s="16"/>
      <c r="J3194" s="16" t="s">
        <v>120</v>
      </c>
      <c r="K3194" s="16"/>
      <c r="L3194" s="16" t="s">
        <v>9089</v>
      </c>
      <c r="M3194" s="19" t="s">
        <v>9145</v>
      </c>
      <c r="N3194" s="16"/>
      <c r="O3194" s="16" t="s">
        <v>9146</v>
      </c>
      <c r="P3194" s="16" t="str">
        <f>HYPERLINK("https://ceds.ed.gov/cedselementdetails.aspx?termid=28060")</f>
        <v>https://ceds.ed.gov/cedselementdetails.aspx?termid=28060</v>
      </c>
      <c r="Q3194" s="16">
        <v>76447</v>
      </c>
    </row>
    <row r="3195" spans="1:17" ht="129.6" x14ac:dyDescent="0.3">
      <c r="A3195" s="16" t="s">
        <v>7724</v>
      </c>
      <c r="B3195" s="16" t="s">
        <v>7730</v>
      </c>
      <c r="C3195" s="16" t="s">
        <v>9412</v>
      </c>
      <c r="D3195" s="16" t="s">
        <v>7597</v>
      </c>
      <c r="E3195" s="16" t="s">
        <v>9147</v>
      </c>
      <c r="F3195" s="16" t="s">
        <v>9148</v>
      </c>
      <c r="G3195" s="16" t="s">
        <v>9302</v>
      </c>
      <c r="H3195" s="16"/>
      <c r="I3195" s="16"/>
      <c r="J3195" s="16" t="s">
        <v>2</v>
      </c>
      <c r="K3195" s="16"/>
      <c r="L3195" s="16" t="s">
        <v>9089</v>
      </c>
      <c r="M3195" s="19" t="s">
        <v>9149</v>
      </c>
      <c r="N3195" s="16"/>
      <c r="O3195" s="16" t="s">
        <v>9150</v>
      </c>
      <c r="P3195" s="16" t="str">
        <f>HYPERLINK("https://ceds.ed.gov/cedselementdetails.aspx?termid=28061")</f>
        <v>https://ceds.ed.gov/cedselementdetails.aspx?termid=28061</v>
      </c>
      <c r="Q3195" s="16">
        <v>76448</v>
      </c>
    </row>
    <row r="3196" spans="1:17" ht="115.2" x14ac:dyDescent="0.3">
      <c r="A3196" s="16" t="s">
        <v>7724</v>
      </c>
      <c r="B3196" s="16" t="s">
        <v>7730</v>
      </c>
      <c r="C3196" s="16" t="s">
        <v>9412</v>
      </c>
      <c r="D3196" s="16" t="s">
        <v>7597</v>
      </c>
      <c r="E3196" s="16" t="s">
        <v>9151</v>
      </c>
      <c r="F3196" s="16" t="s">
        <v>9152</v>
      </c>
      <c r="G3196" s="16" t="s">
        <v>9303</v>
      </c>
      <c r="H3196" s="16"/>
      <c r="I3196" s="16"/>
      <c r="J3196" s="16" t="s">
        <v>2</v>
      </c>
      <c r="K3196" s="16"/>
      <c r="L3196" s="16" t="s">
        <v>9089</v>
      </c>
      <c r="M3196" s="19" t="s">
        <v>9153</v>
      </c>
      <c r="N3196" s="16"/>
      <c r="O3196" s="16" t="s">
        <v>9154</v>
      </c>
      <c r="P3196" s="16" t="str">
        <f>HYPERLINK("https://ceds.ed.gov/cedselementdetails.aspx?termid=28062")</f>
        <v>https://ceds.ed.gov/cedselementdetails.aspx?termid=28062</v>
      </c>
      <c r="Q3196" s="16">
        <v>76449</v>
      </c>
    </row>
    <row r="3197" spans="1:17" ht="100.8" x14ac:dyDescent="0.3">
      <c r="A3197" s="16" t="s">
        <v>7724</v>
      </c>
      <c r="B3197" s="16" t="s">
        <v>7730</v>
      </c>
      <c r="C3197" s="16" t="s">
        <v>9412</v>
      </c>
      <c r="D3197" s="16" t="s">
        <v>7597</v>
      </c>
      <c r="E3197" s="16" t="s">
        <v>9155</v>
      </c>
      <c r="F3197" s="16" t="s">
        <v>9156</v>
      </c>
      <c r="G3197" s="16" t="s">
        <v>32</v>
      </c>
      <c r="H3197" s="16"/>
      <c r="I3197" s="16"/>
      <c r="J3197" s="16" t="s">
        <v>120</v>
      </c>
      <c r="K3197" s="16"/>
      <c r="L3197" s="16" t="s">
        <v>9089</v>
      </c>
      <c r="M3197" s="19" t="s">
        <v>9157</v>
      </c>
      <c r="N3197" s="16"/>
      <c r="O3197" s="16" t="s">
        <v>9158</v>
      </c>
      <c r="P3197" s="16" t="str">
        <f>HYPERLINK("https://ceds.ed.gov/cedselementdetails.aspx?termid=28063")</f>
        <v>https://ceds.ed.gov/cedselementdetails.aspx?termid=28063</v>
      </c>
      <c r="Q3197" s="16">
        <v>76450</v>
      </c>
    </row>
    <row r="3198" spans="1:17" ht="100.8" x14ac:dyDescent="0.3">
      <c r="A3198" s="16" t="s">
        <v>7724</v>
      </c>
      <c r="B3198" s="16" t="s">
        <v>7730</v>
      </c>
      <c r="C3198" s="16" t="s">
        <v>9412</v>
      </c>
      <c r="D3198" s="16" t="s">
        <v>7597</v>
      </c>
      <c r="E3198" s="16" t="s">
        <v>9159</v>
      </c>
      <c r="F3198" s="16" t="s">
        <v>9160</v>
      </c>
      <c r="G3198" s="16" t="s">
        <v>32</v>
      </c>
      <c r="H3198" s="16"/>
      <c r="I3198" s="16"/>
      <c r="J3198" s="16" t="s">
        <v>120</v>
      </c>
      <c r="K3198" s="16"/>
      <c r="L3198" s="16" t="s">
        <v>9089</v>
      </c>
      <c r="M3198" s="19" t="s">
        <v>9161</v>
      </c>
      <c r="N3198" s="16"/>
      <c r="O3198" s="16" t="s">
        <v>9162</v>
      </c>
      <c r="P3198" s="16" t="str">
        <f>HYPERLINK("https://ceds.ed.gov/cedselementdetails.aspx?termid=28064")</f>
        <v>https://ceds.ed.gov/cedselementdetails.aspx?termid=28064</v>
      </c>
      <c r="Q3198" s="16">
        <v>76451</v>
      </c>
    </row>
    <row r="3199" spans="1:17" ht="100.8" x14ac:dyDescent="0.3">
      <c r="A3199" s="16" t="s">
        <v>7724</v>
      </c>
      <c r="B3199" s="16" t="s">
        <v>7730</v>
      </c>
      <c r="C3199" s="16" t="s">
        <v>9412</v>
      </c>
      <c r="D3199" s="16" t="s">
        <v>7597</v>
      </c>
      <c r="E3199" s="16" t="s">
        <v>9163</v>
      </c>
      <c r="F3199" s="16" t="s">
        <v>9164</v>
      </c>
      <c r="G3199" s="16" t="s">
        <v>32</v>
      </c>
      <c r="H3199" s="16"/>
      <c r="I3199" s="16"/>
      <c r="J3199" s="16" t="s">
        <v>34</v>
      </c>
      <c r="K3199" s="16"/>
      <c r="L3199" s="16" t="s">
        <v>9089</v>
      </c>
      <c r="M3199" s="19" t="s">
        <v>9165</v>
      </c>
      <c r="N3199" s="16"/>
      <c r="O3199" s="16" t="s">
        <v>9166</v>
      </c>
      <c r="P3199" s="16" t="str">
        <f>HYPERLINK("https://ceds.ed.gov/cedselementdetails.aspx?termid=28065")</f>
        <v>https://ceds.ed.gov/cedselementdetails.aspx?termid=28065</v>
      </c>
      <c r="Q3199" s="16">
        <v>76452</v>
      </c>
    </row>
    <row r="3200" spans="1:17" ht="100.8" x14ac:dyDescent="0.3">
      <c r="A3200" s="16" t="s">
        <v>7724</v>
      </c>
      <c r="B3200" s="16" t="s">
        <v>7730</v>
      </c>
      <c r="C3200" s="16" t="s">
        <v>9412</v>
      </c>
      <c r="D3200" s="16" t="s">
        <v>7597</v>
      </c>
      <c r="E3200" s="16" t="s">
        <v>9167</v>
      </c>
      <c r="F3200" s="16" t="s">
        <v>9168</v>
      </c>
      <c r="G3200" s="16" t="s">
        <v>32</v>
      </c>
      <c r="H3200" s="16"/>
      <c r="I3200" s="16"/>
      <c r="J3200" s="16" t="s">
        <v>120</v>
      </c>
      <c r="K3200" s="16"/>
      <c r="L3200" s="16" t="s">
        <v>9089</v>
      </c>
      <c r="M3200" s="19" t="s">
        <v>9169</v>
      </c>
      <c r="N3200" s="16"/>
      <c r="O3200" s="16" t="s">
        <v>9170</v>
      </c>
      <c r="P3200" s="16" t="str">
        <f>HYPERLINK("https://ceds.ed.gov/cedselementdetails.aspx?termid=28066")</f>
        <v>https://ceds.ed.gov/cedselementdetails.aspx?termid=28066</v>
      </c>
      <c r="Q3200" s="16">
        <v>76453</v>
      </c>
    </row>
    <row r="3201" spans="1:17" ht="259.2" x14ac:dyDescent="0.3">
      <c r="A3201" s="16" t="s">
        <v>7724</v>
      </c>
      <c r="B3201" s="16" t="s">
        <v>7730</v>
      </c>
      <c r="C3201" s="16" t="s">
        <v>9412</v>
      </c>
      <c r="D3201" s="16" t="s">
        <v>7597</v>
      </c>
      <c r="E3201" s="16" t="s">
        <v>9171</v>
      </c>
      <c r="F3201" s="16" t="s">
        <v>9172</v>
      </c>
      <c r="G3201" s="16" t="s">
        <v>32</v>
      </c>
      <c r="H3201" s="16"/>
      <c r="I3201" s="16"/>
      <c r="J3201" s="16" t="s">
        <v>9103</v>
      </c>
      <c r="K3201" s="16"/>
      <c r="L3201" s="16" t="s">
        <v>9173</v>
      </c>
      <c r="M3201" s="19" t="s">
        <v>9174</v>
      </c>
      <c r="N3201" s="16"/>
      <c r="O3201" s="16" t="s">
        <v>9175</v>
      </c>
      <c r="P3201" s="16" t="str">
        <f>HYPERLINK("https://ceds.ed.gov/cedselementdetails.aspx?termid=28067")</f>
        <v>https://ceds.ed.gov/cedselementdetails.aspx?termid=28067</v>
      </c>
      <c r="Q3201" s="16">
        <v>76454</v>
      </c>
    </row>
    <row r="3202" spans="1:17" ht="100.8" x14ac:dyDescent="0.3">
      <c r="A3202" s="16" t="s">
        <v>7724</v>
      </c>
      <c r="B3202" s="16" t="s">
        <v>7730</v>
      </c>
      <c r="C3202" s="16" t="s">
        <v>9412</v>
      </c>
      <c r="D3202" s="16" t="s">
        <v>7597</v>
      </c>
      <c r="E3202" s="16" t="s">
        <v>9176</v>
      </c>
      <c r="F3202" s="16" t="s">
        <v>9177</v>
      </c>
      <c r="G3202" s="16" t="s">
        <v>32</v>
      </c>
      <c r="H3202" s="16"/>
      <c r="I3202" s="16"/>
      <c r="J3202" s="16" t="s">
        <v>34</v>
      </c>
      <c r="K3202" s="16"/>
      <c r="L3202" s="16" t="s">
        <v>9089</v>
      </c>
      <c r="M3202" s="19" t="s">
        <v>9178</v>
      </c>
      <c r="N3202" s="16"/>
      <c r="O3202" s="16" t="s">
        <v>9179</v>
      </c>
      <c r="P3202" s="16" t="str">
        <f>HYPERLINK("https://ceds.ed.gov/cedselementdetails.aspx?termid=28068")</f>
        <v>https://ceds.ed.gov/cedselementdetails.aspx?termid=28068</v>
      </c>
      <c r="Q3202" s="16">
        <v>76455</v>
      </c>
    </row>
    <row r="3203" spans="1:17" ht="100.8" x14ac:dyDescent="0.3">
      <c r="A3203" s="16" t="s">
        <v>7724</v>
      </c>
      <c r="B3203" s="16" t="s">
        <v>7730</v>
      </c>
      <c r="C3203" s="16" t="s">
        <v>9412</v>
      </c>
      <c r="D3203" s="16" t="s">
        <v>7597</v>
      </c>
      <c r="E3203" s="16" t="s">
        <v>9180</v>
      </c>
      <c r="F3203" s="16" t="s">
        <v>9181</v>
      </c>
      <c r="G3203" s="16" t="s">
        <v>32</v>
      </c>
      <c r="H3203" s="16"/>
      <c r="I3203" s="16"/>
      <c r="J3203" s="16" t="s">
        <v>316</v>
      </c>
      <c r="K3203" s="16"/>
      <c r="L3203" s="16" t="s">
        <v>9089</v>
      </c>
      <c r="M3203" s="19" t="s">
        <v>9182</v>
      </c>
      <c r="N3203" s="16"/>
      <c r="O3203" s="16" t="s">
        <v>9183</v>
      </c>
      <c r="P3203" s="16" t="str">
        <f>HYPERLINK("https://ceds.ed.gov/cedselementdetails.aspx?termid=28069")</f>
        <v>https://ceds.ed.gov/cedselementdetails.aspx?termid=28069</v>
      </c>
      <c r="Q3203" s="16">
        <v>76456</v>
      </c>
    </row>
    <row r="3204" spans="1:17" ht="100.8" x14ac:dyDescent="0.3">
      <c r="A3204" s="16" t="s">
        <v>7724</v>
      </c>
      <c r="B3204" s="16" t="s">
        <v>7730</v>
      </c>
      <c r="C3204" s="16" t="s">
        <v>9412</v>
      </c>
      <c r="D3204" s="16" t="s">
        <v>7597</v>
      </c>
      <c r="E3204" s="16" t="s">
        <v>9184</v>
      </c>
      <c r="F3204" s="16" t="s">
        <v>9185</v>
      </c>
      <c r="G3204" s="16" t="s">
        <v>32</v>
      </c>
      <c r="H3204" s="16"/>
      <c r="I3204" s="16"/>
      <c r="J3204" s="16" t="s">
        <v>120</v>
      </c>
      <c r="K3204" s="16"/>
      <c r="L3204" s="16" t="s">
        <v>9186</v>
      </c>
      <c r="M3204" s="19" t="s">
        <v>9187</v>
      </c>
      <c r="N3204" s="16"/>
      <c r="O3204" s="16" t="s">
        <v>9188</v>
      </c>
      <c r="P3204" s="16" t="str">
        <f>HYPERLINK("https://ceds.ed.gov/cedselementdetails.aspx?termid=28070")</f>
        <v>https://ceds.ed.gov/cedselementdetails.aspx?termid=28070</v>
      </c>
      <c r="Q3204" s="16">
        <v>76457</v>
      </c>
    </row>
    <row r="3205" spans="1:17" ht="57.6" x14ac:dyDescent="0.3">
      <c r="A3205" s="16" t="s">
        <v>7724</v>
      </c>
      <c r="B3205" s="16" t="s">
        <v>7730</v>
      </c>
      <c r="C3205" s="16" t="s">
        <v>9412</v>
      </c>
      <c r="D3205" s="16" t="s">
        <v>7597</v>
      </c>
      <c r="E3205" s="16" t="s">
        <v>9320</v>
      </c>
      <c r="F3205" s="16" t="s">
        <v>9321</v>
      </c>
      <c r="G3205" s="16" t="s">
        <v>8730</v>
      </c>
      <c r="H3205" s="16"/>
      <c r="I3205" s="16"/>
      <c r="J3205" s="16"/>
      <c r="K3205" s="16"/>
      <c r="L3205" s="16"/>
      <c r="M3205" s="19" t="s">
        <v>5406</v>
      </c>
      <c r="N3205" s="16"/>
      <c r="O3205" s="16" t="s">
        <v>9322</v>
      </c>
      <c r="P3205" s="16" t="str">
        <f>HYPERLINK("https://ceds.ed.gov/cedselementdetails.aspx?termid=27557")</f>
        <v>https://ceds.ed.gov/cedselementdetails.aspx?termid=27557</v>
      </c>
      <c r="Q3205" s="16">
        <v>76458</v>
      </c>
    </row>
    <row r="3206" spans="1:17" ht="100.8" x14ac:dyDescent="0.3">
      <c r="A3206" s="16" t="s">
        <v>7724</v>
      </c>
      <c r="B3206" s="16" t="s">
        <v>7730</v>
      </c>
      <c r="C3206" s="16" t="s">
        <v>9412</v>
      </c>
      <c r="D3206" s="16" t="s">
        <v>7597</v>
      </c>
      <c r="E3206" s="16" t="s">
        <v>9193</v>
      </c>
      <c r="F3206" s="16" t="s">
        <v>9194</v>
      </c>
      <c r="G3206" s="16" t="s">
        <v>2987</v>
      </c>
      <c r="H3206" s="16"/>
      <c r="I3206" s="16"/>
      <c r="J3206" s="16" t="s">
        <v>2</v>
      </c>
      <c r="K3206" s="16"/>
      <c r="L3206" s="16" t="s">
        <v>9089</v>
      </c>
      <c r="M3206" s="19" t="s">
        <v>9195</v>
      </c>
      <c r="N3206" s="16"/>
      <c r="O3206" s="16" t="s">
        <v>9196</v>
      </c>
      <c r="P3206" s="16" t="str">
        <f>HYPERLINK("https://ceds.ed.gov/cedselementdetails.aspx?termid=28072")</f>
        <v>https://ceds.ed.gov/cedselementdetails.aspx?termid=28072</v>
      </c>
      <c r="Q3206" s="16">
        <v>76459</v>
      </c>
    </row>
    <row r="3207" spans="1:17" ht="158.4" x14ac:dyDescent="0.3">
      <c r="A3207" s="16" t="s">
        <v>7724</v>
      </c>
      <c r="B3207" s="16" t="s">
        <v>7654</v>
      </c>
      <c r="C3207" s="16" t="s">
        <v>7625</v>
      </c>
      <c r="D3207" s="16" t="s">
        <v>7597</v>
      </c>
      <c r="E3207" s="16" t="s">
        <v>3990</v>
      </c>
      <c r="F3207" s="16" t="s">
        <v>3991</v>
      </c>
      <c r="G3207" s="16" t="s">
        <v>32</v>
      </c>
      <c r="H3207" s="16" t="s">
        <v>3994</v>
      </c>
      <c r="I3207" s="16"/>
      <c r="J3207" s="16" t="s">
        <v>7426</v>
      </c>
      <c r="K3207" s="16"/>
      <c r="L3207" s="16" t="s">
        <v>8047</v>
      </c>
      <c r="M3207" s="19" t="s">
        <v>3992</v>
      </c>
      <c r="N3207" s="16"/>
      <c r="O3207" s="16" t="s">
        <v>3993</v>
      </c>
      <c r="P3207" s="16" t="str">
        <f>HYPERLINK("https://ceds.ed.gov/cedselementdetails.aspx?termid=26115")</f>
        <v>https://ceds.ed.gov/cedselementdetails.aspx?termid=26115</v>
      </c>
      <c r="Q3207" s="16">
        <v>73467</v>
      </c>
    </row>
    <row r="3208" spans="1:17" ht="158.4" x14ac:dyDescent="0.3">
      <c r="A3208" s="16" t="s">
        <v>7724</v>
      </c>
      <c r="B3208" s="16" t="s">
        <v>7654</v>
      </c>
      <c r="C3208" s="16" t="s">
        <v>7625</v>
      </c>
      <c r="D3208" s="16" t="s">
        <v>7597</v>
      </c>
      <c r="E3208" s="16" t="s">
        <v>5328</v>
      </c>
      <c r="F3208" s="16" t="s">
        <v>5329</v>
      </c>
      <c r="G3208" s="16" t="s">
        <v>32</v>
      </c>
      <c r="H3208" s="16" t="s">
        <v>3994</v>
      </c>
      <c r="I3208" s="16"/>
      <c r="J3208" s="16" t="s">
        <v>7426</v>
      </c>
      <c r="K3208" s="16"/>
      <c r="L3208" s="16" t="s">
        <v>8053</v>
      </c>
      <c r="M3208" s="19" t="s">
        <v>5330</v>
      </c>
      <c r="N3208" s="16"/>
      <c r="O3208" s="16" t="s">
        <v>5331</v>
      </c>
      <c r="P3208" s="16" t="str">
        <f>HYPERLINK("https://ceds.ed.gov/cedselementdetails.aspx?termid=26184")</f>
        <v>https://ceds.ed.gov/cedselementdetails.aspx?termid=26184</v>
      </c>
      <c r="Q3208" s="16">
        <v>73470</v>
      </c>
    </row>
    <row r="3209" spans="1:17" ht="158.4" x14ac:dyDescent="0.3">
      <c r="A3209" s="16" t="s">
        <v>7724</v>
      </c>
      <c r="B3209" s="16" t="s">
        <v>7654</v>
      </c>
      <c r="C3209" s="16" t="s">
        <v>7625</v>
      </c>
      <c r="D3209" s="16" t="s">
        <v>7597</v>
      </c>
      <c r="E3209" s="16" t="s">
        <v>4893</v>
      </c>
      <c r="F3209" s="16" t="s">
        <v>4894</v>
      </c>
      <c r="G3209" s="16" t="s">
        <v>32</v>
      </c>
      <c r="H3209" s="16" t="s">
        <v>3994</v>
      </c>
      <c r="I3209" s="16"/>
      <c r="J3209" s="16" t="s">
        <v>7426</v>
      </c>
      <c r="K3209" s="16"/>
      <c r="L3209" s="16" t="s">
        <v>8053</v>
      </c>
      <c r="M3209" s="19" t="s">
        <v>4895</v>
      </c>
      <c r="N3209" s="16" t="s">
        <v>4896</v>
      </c>
      <c r="O3209" s="16" t="s">
        <v>4897</v>
      </c>
      <c r="P3209" s="16" t="str">
        <f>HYPERLINK("https://ceds.ed.gov/cedselementdetails.aspx?termid=26172")</f>
        <v>https://ceds.ed.gov/cedselementdetails.aspx?termid=26172</v>
      </c>
      <c r="Q3209" s="16">
        <v>73469</v>
      </c>
    </row>
    <row r="3210" spans="1:17" ht="129.6" x14ac:dyDescent="0.3">
      <c r="A3210" s="16" t="s">
        <v>7724</v>
      </c>
      <c r="B3210" s="16" t="s">
        <v>7654</v>
      </c>
      <c r="C3210" s="16" t="s">
        <v>7625</v>
      </c>
      <c r="D3210" s="16" t="s">
        <v>7597</v>
      </c>
      <c r="E3210" s="16" t="s">
        <v>4054</v>
      </c>
      <c r="F3210" s="16" t="s">
        <v>4055</v>
      </c>
      <c r="G3210" s="16" t="s">
        <v>32</v>
      </c>
      <c r="H3210" s="16" t="s">
        <v>4059</v>
      </c>
      <c r="I3210" s="16"/>
      <c r="J3210" s="16" t="s">
        <v>2697</v>
      </c>
      <c r="K3210" s="16"/>
      <c r="L3210" s="16" t="s">
        <v>8053</v>
      </c>
      <c r="M3210" s="19" t="s">
        <v>4057</v>
      </c>
      <c r="N3210" s="16"/>
      <c r="O3210" s="16" t="s">
        <v>4058</v>
      </c>
      <c r="P3210" s="16" t="str">
        <f>HYPERLINK("https://ceds.ed.gov/cedselementdetails.aspx?termid=26121")</f>
        <v>https://ceds.ed.gov/cedselementdetails.aspx?termid=26121</v>
      </c>
      <c r="Q3210" s="16">
        <v>73468</v>
      </c>
    </row>
    <row r="3211" spans="1:17" ht="86.4" x14ac:dyDescent="0.3">
      <c r="A3211" s="16" t="s">
        <v>7724</v>
      </c>
      <c r="B3211" s="16" t="s">
        <v>7654</v>
      </c>
      <c r="C3211" s="16" t="s">
        <v>7625</v>
      </c>
      <c r="D3211" s="16" t="s">
        <v>7597</v>
      </c>
      <c r="E3211" s="16" t="s">
        <v>5760</v>
      </c>
      <c r="F3211" s="16" t="s">
        <v>5761</v>
      </c>
      <c r="G3211" s="16" t="s">
        <v>32</v>
      </c>
      <c r="H3211" s="16" t="s">
        <v>5765</v>
      </c>
      <c r="I3211" s="16"/>
      <c r="J3211" s="16" t="s">
        <v>81</v>
      </c>
      <c r="K3211" s="16"/>
      <c r="L3211" s="16"/>
      <c r="M3211" s="19" t="s">
        <v>5762</v>
      </c>
      <c r="N3211" s="16" t="s">
        <v>5763</v>
      </c>
      <c r="O3211" s="16" t="s">
        <v>5764</v>
      </c>
      <c r="P3211" s="16" t="str">
        <f>HYPERLINK("https://ceds.ed.gov/cedselementdetails.aspx?termid=26212")</f>
        <v>https://ceds.ed.gov/cedselementdetails.aspx?termid=26212</v>
      </c>
      <c r="Q3211" s="16">
        <v>73471</v>
      </c>
    </row>
    <row r="3212" spans="1:17" ht="28.8" x14ac:dyDescent="0.3">
      <c r="A3212" s="16" t="s">
        <v>7724</v>
      </c>
      <c r="B3212" s="16" t="s">
        <v>7654</v>
      </c>
      <c r="C3212" s="16" t="s">
        <v>7626</v>
      </c>
      <c r="D3212" s="16" t="s">
        <v>7597</v>
      </c>
      <c r="E3212" s="16" t="s">
        <v>5631</v>
      </c>
      <c r="F3212" s="16" t="s">
        <v>5632</v>
      </c>
      <c r="G3212" s="16" t="s">
        <v>32</v>
      </c>
      <c r="H3212" s="16"/>
      <c r="I3212" s="16"/>
      <c r="J3212" s="16" t="s">
        <v>1266</v>
      </c>
      <c r="K3212" s="16"/>
      <c r="L3212" s="16" t="s">
        <v>5633</v>
      </c>
      <c r="M3212" s="19" t="s">
        <v>5634</v>
      </c>
      <c r="N3212" s="16"/>
      <c r="O3212" s="16" t="s">
        <v>5635</v>
      </c>
      <c r="P3212" s="16" t="str">
        <f>HYPERLINK("https://ceds.ed.gov/cedselementdetails.aspx?termid=27486")</f>
        <v>https://ceds.ed.gov/cedselementdetails.aspx?termid=27486</v>
      </c>
      <c r="Q3212" s="16">
        <v>73640</v>
      </c>
    </row>
    <row r="3213" spans="1:17" ht="28.8" x14ac:dyDescent="0.3">
      <c r="A3213" s="16" t="s">
        <v>7724</v>
      </c>
      <c r="B3213" s="16" t="s">
        <v>7654</v>
      </c>
      <c r="C3213" s="16" t="s">
        <v>7626</v>
      </c>
      <c r="D3213" s="16" t="s">
        <v>7597</v>
      </c>
      <c r="E3213" s="16" t="s">
        <v>5636</v>
      </c>
      <c r="F3213" s="16" t="s">
        <v>5637</v>
      </c>
      <c r="G3213" s="16" t="s">
        <v>32</v>
      </c>
      <c r="H3213" s="16"/>
      <c r="I3213" s="16"/>
      <c r="J3213" s="16" t="s">
        <v>1266</v>
      </c>
      <c r="K3213" s="16"/>
      <c r="L3213" s="16" t="s">
        <v>5638</v>
      </c>
      <c r="M3213" s="19" t="s">
        <v>5639</v>
      </c>
      <c r="N3213" s="16"/>
      <c r="O3213" s="16" t="s">
        <v>5640</v>
      </c>
      <c r="P3213" s="16" t="str">
        <f>HYPERLINK("https://ceds.ed.gov/cedselementdetails.aspx?termid=27485")</f>
        <v>https://ceds.ed.gov/cedselementdetails.aspx?termid=27485</v>
      </c>
      <c r="Q3213" s="16">
        <v>73624</v>
      </c>
    </row>
    <row r="3214" spans="1:17" ht="28.8" x14ac:dyDescent="0.3">
      <c r="A3214" s="16" t="s">
        <v>7724</v>
      </c>
      <c r="B3214" s="16" t="s">
        <v>7654</v>
      </c>
      <c r="C3214" s="16" t="s">
        <v>7626</v>
      </c>
      <c r="D3214" s="16" t="s">
        <v>7597</v>
      </c>
      <c r="E3214" s="16" t="s">
        <v>5641</v>
      </c>
      <c r="F3214" s="16" t="s">
        <v>5642</v>
      </c>
      <c r="G3214" s="16" t="s">
        <v>32</v>
      </c>
      <c r="H3214" s="16"/>
      <c r="I3214" s="16"/>
      <c r="J3214" s="16" t="s">
        <v>1266</v>
      </c>
      <c r="K3214" s="16"/>
      <c r="L3214" s="16" t="s">
        <v>5643</v>
      </c>
      <c r="M3214" s="19" t="s">
        <v>5644</v>
      </c>
      <c r="N3214" s="16"/>
      <c r="O3214" s="16" t="s">
        <v>5645</v>
      </c>
      <c r="P3214" s="16" t="str">
        <f>HYPERLINK("https://ceds.ed.gov/cedselementdetails.aspx?termid=27487")</f>
        <v>https://ceds.ed.gov/cedselementdetails.aspx?termid=27487</v>
      </c>
      <c r="Q3214" s="16">
        <v>73656</v>
      </c>
    </row>
    <row r="3215" spans="1:17" ht="129.6" x14ac:dyDescent="0.3">
      <c r="A3215" s="16" t="s">
        <v>7724</v>
      </c>
      <c r="B3215" s="16" t="s">
        <v>7654</v>
      </c>
      <c r="C3215" s="16" t="s">
        <v>7626</v>
      </c>
      <c r="D3215" s="16" t="s">
        <v>7597</v>
      </c>
      <c r="E3215" s="16" t="s">
        <v>5646</v>
      </c>
      <c r="F3215" s="16" t="s">
        <v>5647</v>
      </c>
      <c r="G3215" s="16" t="s">
        <v>32</v>
      </c>
      <c r="H3215" s="16" t="s">
        <v>4059</v>
      </c>
      <c r="I3215" s="16"/>
      <c r="J3215" s="16" t="s">
        <v>120</v>
      </c>
      <c r="K3215" s="16"/>
      <c r="L3215" s="16"/>
      <c r="M3215" s="19" t="s">
        <v>5648</v>
      </c>
      <c r="N3215" s="16"/>
      <c r="O3215" s="16" t="s">
        <v>5649</v>
      </c>
      <c r="P3215" s="16" t="str">
        <f>HYPERLINK("https://ceds.ed.gov/cedselementdetails.aspx?termid=26206")</f>
        <v>https://ceds.ed.gov/cedselementdetails.aspx?termid=26206</v>
      </c>
      <c r="Q3215" s="16">
        <v>73472</v>
      </c>
    </row>
    <row r="3216" spans="1:17" ht="115.2" x14ac:dyDescent="0.3">
      <c r="A3216" s="16" t="s">
        <v>7724</v>
      </c>
      <c r="B3216" s="16" t="s">
        <v>7654</v>
      </c>
      <c r="C3216" s="16" t="s">
        <v>7626</v>
      </c>
      <c r="D3216" s="16" t="s">
        <v>7597</v>
      </c>
      <c r="E3216" s="16" t="s">
        <v>5650</v>
      </c>
      <c r="F3216" s="16" t="s">
        <v>5651</v>
      </c>
      <c r="G3216" s="16" t="s">
        <v>8746</v>
      </c>
      <c r="H3216" s="16" t="s">
        <v>5654</v>
      </c>
      <c r="I3216" s="16"/>
      <c r="J3216" s="16" t="s">
        <v>81</v>
      </c>
      <c r="K3216" s="16"/>
      <c r="L3216" s="16"/>
      <c r="M3216" s="19" t="s">
        <v>5652</v>
      </c>
      <c r="N3216" s="16"/>
      <c r="O3216" s="16" t="s">
        <v>5653</v>
      </c>
      <c r="P3216" s="16" t="str">
        <f>HYPERLINK("https://ceds.ed.gov/cedselementdetails.aspx?termid=26627")</f>
        <v>https://ceds.ed.gov/cedselementdetails.aspx?termid=26627</v>
      </c>
      <c r="Q3216" s="16">
        <v>73473</v>
      </c>
    </row>
    <row r="3217" spans="1:17" ht="172.8" x14ac:dyDescent="0.3">
      <c r="A3217" s="16" t="s">
        <v>7724</v>
      </c>
      <c r="B3217" s="16" t="s">
        <v>7654</v>
      </c>
      <c r="C3217" s="16" t="s">
        <v>7627</v>
      </c>
      <c r="D3217" s="16" t="s">
        <v>7597</v>
      </c>
      <c r="E3217" s="16" t="s">
        <v>5738</v>
      </c>
      <c r="F3217" s="16" t="s">
        <v>5739</v>
      </c>
      <c r="G3217" s="16" t="s">
        <v>32</v>
      </c>
      <c r="H3217" s="16"/>
      <c r="I3217" s="16"/>
      <c r="J3217" s="16" t="s">
        <v>120</v>
      </c>
      <c r="K3217" s="16"/>
      <c r="L3217" s="16" t="s">
        <v>7905</v>
      </c>
      <c r="M3217" s="19" t="s">
        <v>5740</v>
      </c>
      <c r="N3217" s="16"/>
      <c r="O3217" s="16" t="s">
        <v>5741</v>
      </c>
      <c r="P3217" s="16" t="str">
        <f>HYPERLINK("https://ceds.ed.gov/cedselementdetails.aspx?termid=27551")</f>
        <v>https://ceds.ed.gov/cedselementdetails.aspx?termid=27551</v>
      </c>
      <c r="Q3217" s="16">
        <v>74759</v>
      </c>
    </row>
    <row r="3218" spans="1:17" ht="273.60000000000002" x14ac:dyDescent="0.3">
      <c r="A3218" s="16" t="s">
        <v>7724</v>
      </c>
      <c r="B3218" s="16" t="s">
        <v>7654</v>
      </c>
      <c r="C3218" s="16" t="s">
        <v>7627</v>
      </c>
      <c r="D3218" s="16" t="s">
        <v>7597</v>
      </c>
      <c r="E3218" s="16" t="s">
        <v>5734</v>
      </c>
      <c r="F3218" s="16" t="s">
        <v>5735</v>
      </c>
      <c r="G3218" s="16" t="s">
        <v>9336</v>
      </c>
      <c r="H3218" s="16"/>
      <c r="I3218" s="16"/>
      <c r="J3218" s="16"/>
      <c r="K3218" s="16"/>
      <c r="L3218" s="16"/>
      <c r="M3218" s="19" t="s">
        <v>5736</v>
      </c>
      <c r="N3218" s="16"/>
      <c r="O3218" s="16" t="s">
        <v>5737</v>
      </c>
      <c r="P3218" s="16" t="str">
        <f>HYPERLINK("https://ceds.ed.gov/cedselementdetails.aspx?termid=27550")</f>
        <v>https://ceds.ed.gov/cedselementdetails.aspx?termid=27550</v>
      </c>
      <c r="Q3218" s="16">
        <v>74758</v>
      </c>
    </row>
    <row r="3219" spans="1:17" ht="403.2" x14ac:dyDescent="0.3">
      <c r="A3219" s="16" t="s">
        <v>7724</v>
      </c>
      <c r="B3219" s="16" t="s">
        <v>7654</v>
      </c>
      <c r="C3219" s="16" t="s">
        <v>7627</v>
      </c>
      <c r="D3219" s="16" t="s">
        <v>7597</v>
      </c>
      <c r="E3219" s="16" t="s">
        <v>5756</v>
      </c>
      <c r="F3219" s="16" t="s">
        <v>5757</v>
      </c>
      <c r="G3219" s="16" t="s">
        <v>8252</v>
      </c>
      <c r="H3219" s="16"/>
      <c r="I3219" s="16"/>
      <c r="J3219" s="16"/>
      <c r="K3219" s="16"/>
      <c r="L3219" s="16"/>
      <c r="M3219" s="19" t="s">
        <v>5758</v>
      </c>
      <c r="N3219" s="16"/>
      <c r="O3219" s="16" t="s">
        <v>5759</v>
      </c>
      <c r="P3219" s="16" t="str">
        <f>HYPERLINK("https://ceds.ed.gov/cedselementdetails.aspx?termid=26611")</f>
        <v>https://ceds.ed.gov/cedselementdetails.aspx?termid=26611</v>
      </c>
      <c r="Q3219" s="16">
        <v>73475</v>
      </c>
    </row>
    <row r="3220" spans="1:17" ht="72" x14ac:dyDescent="0.3">
      <c r="A3220" s="16" t="s">
        <v>7724</v>
      </c>
      <c r="B3220" s="16" t="s">
        <v>7654</v>
      </c>
      <c r="C3220" s="16" t="s">
        <v>7627</v>
      </c>
      <c r="D3220" s="16" t="s">
        <v>7597</v>
      </c>
      <c r="E3220" s="16" t="s">
        <v>7508</v>
      </c>
      <c r="F3220" s="16" t="s">
        <v>7509</v>
      </c>
      <c r="G3220" s="16" t="s">
        <v>8251</v>
      </c>
      <c r="H3220" s="16"/>
      <c r="I3220" s="16"/>
      <c r="J3220" s="16"/>
      <c r="K3220" s="16"/>
      <c r="L3220" s="16"/>
      <c r="M3220" s="19" t="s">
        <v>7510</v>
      </c>
      <c r="N3220" s="16"/>
      <c r="O3220" s="16" t="s">
        <v>7511</v>
      </c>
      <c r="P3220" s="16" t="str">
        <f>HYPERLINK("https://ceds.ed.gov/cedselementdetails.aspx?termid=27951")</f>
        <v>https://ceds.ed.gov/cedselementdetails.aspx?termid=27951</v>
      </c>
      <c r="Q3220" s="16">
        <v>75585</v>
      </c>
    </row>
    <row r="3221" spans="1:17" ht="172.8" x14ac:dyDescent="0.3">
      <c r="A3221" s="16" t="s">
        <v>7724</v>
      </c>
      <c r="B3221" s="16" t="s">
        <v>7654</v>
      </c>
      <c r="C3221" s="16" t="s">
        <v>7603</v>
      </c>
      <c r="D3221" s="16" t="s">
        <v>7597</v>
      </c>
      <c r="E3221" s="16" t="s">
        <v>182</v>
      </c>
      <c r="F3221" s="16" t="s">
        <v>183</v>
      </c>
      <c r="G3221" s="16" t="s">
        <v>8293</v>
      </c>
      <c r="H3221" s="16" t="s">
        <v>186</v>
      </c>
      <c r="I3221" s="16"/>
      <c r="J3221" s="16" t="s">
        <v>81</v>
      </c>
      <c r="K3221" s="16"/>
      <c r="L3221" s="16"/>
      <c r="M3221" s="19" t="s">
        <v>184</v>
      </c>
      <c r="N3221" s="16"/>
      <c r="O3221" s="16" t="s">
        <v>185</v>
      </c>
      <c r="P3221" s="16" t="str">
        <f>HYPERLINK("https://ceds.ed.gov/cedselementdetails.aspx?termid=26358")</f>
        <v>https://ceds.ed.gov/cedselementdetails.aspx?termid=26358</v>
      </c>
      <c r="Q3221" s="16">
        <v>73482</v>
      </c>
    </row>
    <row r="3222" spans="1:17" ht="187.2" x14ac:dyDescent="0.3">
      <c r="A3222" s="16" t="s">
        <v>7724</v>
      </c>
      <c r="B3222" s="16" t="s">
        <v>7654</v>
      </c>
      <c r="C3222" s="16" t="s">
        <v>7603</v>
      </c>
      <c r="D3222" s="16" t="s">
        <v>7597</v>
      </c>
      <c r="E3222" s="16" t="s">
        <v>177</v>
      </c>
      <c r="F3222" s="16" t="s">
        <v>178</v>
      </c>
      <c r="G3222" s="16" t="s">
        <v>32</v>
      </c>
      <c r="H3222" s="16" t="s">
        <v>163</v>
      </c>
      <c r="I3222" s="16"/>
      <c r="J3222" s="16" t="s">
        <v>179</v>
      </c>
      <c r="K3222" s="16"/>
      <c r="L3222" s="16"/>
      <c r="M3222" s="19" t="s">
        <v>180</v>
      </c>
      <c r="N3222" s="16"/>
      <c r="O3222" s="16" t="s">
        <v>181</v>
      </c>
      <c r="P3222" s="16" t="str">
        <f>HYPERLINK("https://ceds.ed.gov/cedselementdetails.aspx?termid=26269")</f>
        <v>https://ceds.ed.gov/cedselementdetails.aspx?termid=26269</v>
      </c>
      <c r="Q3222" s="16">
        <v>73476</v>
      </c>
    </row>
    <row r="3223" spans="1:17" ht="187.2" x14ac:dyDescent="0.3">
      <c r="A3223" s="16" t="s">
        <v>7724</v>
      </c>
      <c r="B3223" s="16" t="s">
        <v>7654</v>
      </c>
      <c r="C3223" s="16" t="s">
        <v>7603</v>
      </c>
      <c r="D3223" s="16" t="s">
        <v>7597</v>
      </c>
      <c r="E3223" s="16" t="s">
        <v>158</v>
      </c>
      <c r="F3223" s="16" t="s">
        <v>159</v>
      </c>
      <c r="G3223" s="16" t="s">
        <v>32</v>
      </c>
      <c r="H3223" s="16" t="s">
        <v>163</v>
      </c>
      <c r="I3223" s="16"/>
      <c r="J3223" s="16" t="s">
        <v>145</v>
      </c>
      <c r="K3223" s="16"/>
      <c r="L3223" s="16"/>
      <c r="M3223" s="19" t="s">
        <v>161</v>
      </c>
      <c r="N3223" s="16"/>
      <c r="O3223" s="16" t="s">
        <v>162</v>
      </c>
      <c r="P3223" s="16" t="str">
        <f>HYPERLINK("https://ceds.ed.gov/cedselementdetails.aspx?termid=26019")</f>
        <v>https://ceds.ed.gov/cedselementdetails.aspx?termid=26019</v>
      </c>
      <c r="Q3223" s="16">
        <v>73477</v>
      </c>
    </row>
    <row r="3224" spans="1:17" ht="187.2" x14ac:dyDescent="0.3">
      <c r="A3224" s="16" t="s">
        <v>7724</v>
      </c>
      <c r="B3224" s="16" t="s">
        <v>7654</v>
      </c>
      <c r="C3224" s="16" t="s">
        <v>7603</v>
      </c>
      <c r="D3224" s="16" t="s">
        <v>7597</v>
      </c>
      <c r="E3224" s="16" t="s">
        <v>164</v>
      </c>
      <c r="F3224" s="16" t="s">
        <v>165</v>
      </c>
      <c r="G3224" s="16" t="s">
        <v>32</v>
      </c>
      <c r="H3224" s="16" t="s">
        <v>163</v>
      </c>
      <c r="I3224" s="16"/>
      <c r="J3224" s="16" t="s">
        <v>81</v>
      </c>
      <c r="K3224" s="16"/>
      <c r="L3224" s="16"/>
      <c r="M3224" s="19" t="s">
        <v>166</v>
      </c>
      <c r="N3224" s="16"/>
      <c r="O3224" s="16" t="s">
        <v>167</v>
      </c>
      <c r="P3224" s="16" t="str">
        <f>HYPERLINK("https://ceds.ed.gov/cedselementdetails.aspx?termid=26040")</f>
        <v>https://ceds.ed.gov/cedselementdetails.aspx?termid=26040</v>
      </c>
      <c r="Q3224" s="16">
        <v>73478</v>
      </c>
    </row>
    <row r="3225" spans="1:17" ht="409.6" x14ac:dyDescent="0.3">
      <c r="A3225" s="16" t="s">
        <v>7724</v>
      </c>
      <c r="B3225" s="16" t="s">
        <v>7654</v>
      </c>
      <c r="C3225" s="16" t="s">
        <v>7603</v>
      </c>
      <c r="D3225" s="16" t="s">
        <v>7597</v>
      </c>
      <c r="E3225" s="16" t="s">
        <v>6840</v>
      </c>
      <c r="F3225" s="16" t="s">
        <v>6841</v>
      </c>
      <c r="G3225" s="16" t="s">
        <v>8266</v>
      </c>
      <c r="H3225" s="16" t="s">
        <v>6844</v>
      </c>
      <c r="I3225" s="16"/>
      <c r="J3225" s="16"/>
      <c r="K3225" s="16"/>
      <c r="L3225" s="16"/>
      <c r="M3225" s="19" t="s">
        <v>6842</v>
      </c>
      <c r="N3225" s="16"/>
      <c r="O3225" s="16" t="s">
        <v>6843</v>
      </c>
      <c r="P3225" s="16" t="str">
        <f>HYPERLINK("https://ceds.ed.gov/cedselementdetails.aspx?termid=26267")</f>
        <v>https://ceds.ed.gov/cedselementdetails.aspx?termid=26267</v>
      </c>
      <c r="Q3225" s="16">
        <v>73479</v>
      </c>
    </row>
    <row r="3226" spans="1:17" ht="187.2" x14ac:dyDescent="0.3">
      <c r="A3226" s="16" t="s">
        <v>7724</v>
      </c>
      <c r="B3226" s="16" t="s">
        <v>7654</v>
      </c>
      <c r="C3226" s="16" t="s">
        <v>7603</v>
      </c>
      <c r="D3226" s="16" t="s">
        <v>7597</v>
      </c>
      <c r="E3226" s="16" t="s">
        <v>172</v>
      </c>
      <c r="F3226" s="16" t="s">
        <v>173</v>
      </c>
      <c r="G3226" s="16" t="s">
        <v>32</v>
      </c>
      <c r="H3226" s="16" t="s">
        <v>163</v>
      </c>
      <c r="I3226" s="16"/>
      <c r="J3226" s="16" t="s">
        <v>174</v>
      </c>
      <c r="K3226" s="16"/>
      <c r="L3226" s="16"/>
      <c r="M3226" s="19" t="s">
        <v>175</v>
      </c>
      <c r="N3226" s="16"/>
      <c r="O3226" s="16" t="s">
        <v>176</v>
      </c>
      <c r="P3226" s="16" t="str">
        <f>HYPERLINK("https://ceds.ed.gov/cedselementdetails.aspx?termid=26214")</f>
        <v>https://ceds.ed.gov/cedselementdetails.aspx?termid=26214</v>
      </c>
      <c r="Q3226" s="16">
        <v>73480</v>
      </c>
    </row>
    <row r="3227" spans="1:17" ht="187.2" x14ac:dyDescent="0.3">
      <c r="A3227" s="16" t="s">
        <v>7724</v>
      </c>
      <c r="B3227" s="16" t="s">
        <v>7654</v>
      </c>
      <c r="C3227" s="16" t="s">
        <v>7603</v>
      </c>
      <c r="D3227" s="16" t="s">
        <v>7597</v>
      </c>
      <c r="E3227" s="16" t="s">
        <v>168</v>
      </c>
      <c r="F3227" s="16" t="s">
        <v>169</v>
      </c>
      <c r="G3227" s="16" t="s">
        <v>32</v>
      </c>
      <c r="H3227" s="16" t="s">
        <v>163</v>
      </c>
      <c r="I3227" s="16"/>
      <c r="J3227" s="16" t="s">
        <v>81</v>
      </c>
      <c r="K3227" s="16"/>
      <c r="L3227" s="16"/>
      <c r="M3227" s="19" t="s">
        <v>170</v>
      </c>
      <c r="N3227" s="16"/>
      <c r="O3227" s="16" t="s">
        <v>171</v>
      </c>
      <c r="P3227" s="16" t="str">
        <f>HYPERLINK("https://ceds.ed.gov/cedselementdetails.aspx?termid=26190")</f>
        <v>https://ceds.ed.gov/cedselementdetails.aspx?termid=26190</v>
      </c>
      <c r="Q3227" s="16">
        <v>73481</v>
      </c>
    </row>
    <row r="3228" spans="1:17" ht="409.6" x14ac:dyDescent="0.3">
      <c r="A3228" s="16" t="s">
        <v>7724</v>
      </c>
      <c r="B3228" s="16" t="s">
        <v>7654</v>
      </c>
      <c r="C3228" s="16" t="s">
        <v>7603</v>
      </c>
      <c r="D3228" s="16" t="s">
        <v>7597</v>
      </c>
      <c r="E3228" s="16" t="s">
        <v>2483</v>
      </c>
      <c r="F3228" s="16" t="s">
        <v>2484</v>
      </c>
      <c r="G3228" s="16" t="s">
        <v>8454</v>
      </c>
      <c r="H3228" s="16" t="s">
        <v>2487</v>
      </c>
      <c r="I3228" s="16"/>
      <c r="J3228" s="16"/>
      <c r="K3228" s="16"/>
      <c r="L3228" s="16" t="s">
        <v>7915</v>
      </c>
      <c r="M3228" s="19" t="s">
        <v>2485</v>
      </c>
      <c r="N3228" s="16"/>
      <c r="O3228" s="16" t="s">
        <v>2486</v>
      </c>
      <c r="P3228" s="16" t="str">
        <f>HYPERLINK("https://ceds.ed.gov/cedselementdetails.aspx?termid=26050")</f>
        <v>https://ceds.ed.gov/cedselementdetails.aspx?termid=26050</v>
      </c>
      <c r="Q3228" s="16">
        <v>73483</v>
      </c>
    </row>
    <row r="3229" spans="1:17" ht="57.6" x14ac:dyDescent="0.3">
      <c r="A3229" s="16" t="s">
        <v>7724</v>
      </c>
      <c r="B3229" s="16" t="s">
        <v>7654</v>
      </c>
      <c r="C3229" s="16" t="s">
        <v>7603</v>
      </c>
      <c r="D3229" s="16" t="s">
        <v>7597</v>
      </c>
      <c r="E3229" s="16" t="s">
        <v>4902</v>
      </c>
      <c r="F3229" s="16" t="s">
        <v>4903</v>
      </c>
      <c r="G3229" s="16" t="s">
        <v>32</v>
      </c>
      <c r="H3229" s="16"/>
      <c r="I3229" s="16"/>
      <c r="J3229" s="16" t="s">
        <v>1130</v>
      </c>
      <c r="K3229" s="16"/>
      <c r="L3229" s="16"/>
      <c r="M3229" s="19" t="s">
        <v>4904</v>
      </c>
      <c r="N3229" s="16"/>
      <c r="O3229" s="16" t="s">
        <v>4902</v>
      </c>
      <c r="P3229" s="16" t="str">
        <f>HYPERLINK("https://ceds.ed.gov/cedselementdetails.aspx?termid=26599")</f>
        <v>https://ceds.ed.gov/cedselementdetails.aspx?termid=26599</v>
      </c>
      <c r="Q3229" s="16">
        <v>74269</v>
      </c>
    </row>
    <row r="3230" spans="1:17" ht="57.6" x14ac:dyDescent="0.3">
      <c r="A3230" s="16" t="s">
        <v>7724</v>
      </c>
      <c r="B3230" s="16" t="s">
        <v>7654</v>
      </c>
      <c r="C3230" s="16" t="s">
        <v>7603</v>
      </c>
      <c r="D3230" s="16" t="s">
        <v>7597</v>
      </c>
      <c r="E3230" s="16" t="s">
        <v>5285</v>
      </c>
      <c r="F3230" s="16" t="s">
        <v>5286</v>
      </c>
      <c r="G3230" s="16" t="s">
        <v>32</v>
      </c>
      <c r="H3230" s="16"/>
      <c r="I3230" s="16"/>
      <c r="J3230" s="16" t="s">
        <v>1130</v>
      </c>
      <c r="K3230" s="16"/>
      <c r="L3230" s="16"/>
      <c r="M3230" s="19" t="s">
        <v>5287</v>
      </c>
      <c r="N3230" s="16"/>
      <c r="O3230" s="16" t="s">
        <v>5285</v>
      </c>
      <c r="P3230" s="16" t="str">
        <f>HYPERLINK("https://ceds.ed.gov/cedselementdetails.aspx?termid=26600")</f>
        <v>https://ceds.ed.gov/cedselementdetails.aspx?termid=26600</v>
      </c>
      <c r="Q3230" s="16">
        <v>74292</v>
      </c>
    </row>
    <row r="3231" spans="1:17" ht="158.4" x14ac:dyDescent="0.3">
      <c r="A3231" s="16" t="s">
        <v>7724</v>
      </c>
      <c r="B3231" s="16" t="s">
        <v>7654</v>
      </c>
      <c r="C3231" s="16" t="s">
        <v>7603</v>
      </c>
      <c r="D3231" s="16" t="s">
        <v>7597</v>
      </c>
      <c r="E3231" s="16" t="s">
        <v>2493</v>
      </c>
      <c r="F3231" s="16" t="s">
        <v>2494</v>
      </c>
      <c r="G3231" s="16" t="s">
        <v>32</v>
      </c>
      <c r="H3231" s="16"/>
      <c r="I3231" s="16"/>
      <c r="J3231" s="16" t="s">
        <v>2495</v>
      </c>
      <c r="K3231" s="16"/>
      <c r="L3231" s="16"/>
      <c r="M3231" s="19" t="s">
        <v>2496</v>
      </c>
      <c r="N3231" s="16"/>
      <c r="O3231" s="16" t="s">
        <v>2497</v>
      </c>
      <c r="P3231" s="16" t="str">
        <f>HYPERLINK("https://ceds.ed.gov/cedselementdetails.aspx?termid=27176")</f>
        <v>https://ceds.ed.gov/cedselementdetails.aspx?termid=27176</v>
      </c>
      <c r="Q3231" s="16">
        <v>75397</v>
      </c>
    </row>
    <row r="3232" spans="1:17" ht="57.6" x14ac:dyDescent="0.3">
      <c r="A3232" s="16" t="s">
        <v>7724</v>
      </c>
      <c r="B3232" s="16" t="s">
        <v>7654</v>
      </c>
      <c r="C3232" s="16" t="s">
        <v>7603</v>
      </c>
      <c r="D3232" s="16" t="s">
        <v>7597</v>
      </c>
      <c r="E3232" s="16" t="s">
        <v>3175</v>
      </c>
      <c r="F3232" s="16" t="s">
        <v>3176</v>
      </c>
      <c r="G3232" s="16" t="s">
        <v>2987</v>
      </c>
      <c r="H3232" s="16"/>
      <c r="I3232" s="16"/>
      <c r="J3232" s="16"/>
      <c r="K3232" s="16"/>
      <c r="L3232" s="16"/>
      <c r="M3232" s="19" t="s">
        <v>3177</v>
      </c>
      <c r="N3232" s="16"/>
      <c r="O3232" s="16" t="s">
        <v>3178</v>
      </c>
      <c r="P3232" s="16" t="str">
        <f>HYPERLINK("https://ceds.ed.gov/cedselementdetails.aspx?termid=27905")</f>
        <v>https://ceds.ed.gov/cedselementdetails.aspx?termid=27905</v>
      </c>
      <c r="Q3232" s="16">
        <v>75398</v>
      </c>
    </row>
    <row r="3233" spans="1:17" ht="72" x14ac:dyDescent="0.3">
      <c r="A3233" s="16" t="s">
        <v>7724</v>
      </c>
      <c r="B3233" s="16" t="s">
        <v>7654</v>
      </c>
      <c r="C3233" s="16" t="s">
        <v>7604</v>
      </c>
      <c r="D3233" s="16" t="s">
        <v>7597</v>
      </c>
      <c r="E3233" s="16" t="s">
        <v>7053</v>
      </c>
      <c r="F3233" s="16" t="s">
        <v>7054</v>
      </c>
      <c r="G3233" s="16" t="s">
        <v>32</v>
      </c>
      <c r="H3233" s="16" t="s">
        <v>64</v>
      </c>
      <c r="I3233" s="16"/>
      <c r="J3233" s="16" t="s">
        <v>7055</v>
      </c>
      <c r="K3233" s="16"/>
      <c r="L3233" s="16"/>
      <c r="M3233" s="19" t="s">
        <v>7056</v>
      </c>
      <c r="N3233" s="16"/>
      <c r="O3233" s="16" t="s">
        <v>7057</v>
      </c>
      <c r="P3233" s="16" t="str">
        <f>HYPERLINK("https://ceds.ed.gov/cedselementdetails.aspx?termid=26279")</f>
        <v>https://ceds.ed.gov/cedselementdetails.aspx?termid=26279</v>
      </c>
      <c r="Q3233" s="16">
        <v>73486</v>
      </c>
    </row>
    <row r="3234" spans="1:17" ht="86.4" x14ac:dyDescent="0.3">
      <c r="A3234" s="16" t="s">
        <v>7724</v>
      </c>
      <c r="B3234" s="16" t="s">
        <v>7654</v>
      </c>
      <c r="C3234" s="16" t="s">
        <v>7604</v>
      </c>
      <c r="D3234" s="16" t="s">
        <v>7597</v>
      </c>
      <c r="E3234" s="16" t="s">
        <v>7062</v>
      </c>
      <c r="F3234" s="16" t="s">
        <v>7063</v>
      </c>
      <c r="G3234" s="16" t="s">
        <v>8849</v>
      </c>
      <c r="H3234" s="16" t="s">
        <v>64</v>
      </c>
      <c r="I3234" s="16"/>
      <c r="J3234" s="16" t="s">
        <v>2500</v>
      </c>
      <c r="K3234" s="16"/>
      <c r="L3234" s="16"/>
      <c r="M3234" s="19" t="s">
        <v>7064</v>
      </c>
      <c r="N3234" s="16"/>
      <c r="O3234" s="16" t="s">
        <v>7065</v>
      </c>
      <c r="P3234" s="16" t="str">
        <f>HYPERLINK("https://ceds.ed.gov/cedselementdetails.aspx?termid=26280")</f>
        <v>https://ceds.ed.gov/cedselementdetails.aspx?termid=26280</v>
      </c>
      <c r="Q3234" s="16">
        <v>73484</v>
      </c>
    </row>
    <row r="3235" spans="1:17" ht="72" x14ac:dyDescent="0.3">
      <c r="A3235" s="16" t="s">
        <v>7724</v>
      </c>
      <c r="B3235" s="16" t="s">
        <v>7654</v>
      </c>
      <c r="C3235" s="16" t="s">
        <v>7604</v>
      </c>
      <c r="D3235" s="16" t="s">
        <v>7597</v>
      </c>
      <c r="E3235" s="16" t="s">
        <v>5865</v>
      </c>
      <c r="F3235" s="16" t="s">
        <v>5866</v>
      </c>
      <c r="G3235" s="16" t="s">
        <v>22</v>
      </c>
      <c r="H3235" s="16" t="s">
        <v>64</v>
      </c>
      <c r="I3235" s="16"/>
      <c r="J3235" s="16"/>
      <c r="K3235" s="16"/>
      <c r="L3235" s="16"/>
      <c r="M3235" s="19" t="s">
        <v>5867</v>
      </c>
      <c r="N3235" s="16"/>
      <c r="O3235" s="16" t="s">
        <v>5868</v>
      </c>
      <c r="P3235" s="16" t="str">
        <f>HYPERLINK("https://ceds.ed.gov/cedselementdetails.aspx?termid=26219")</f>
        <v>https://ceds.ed.gov/cedselementdetails.aspx?termid=26219</v>
      </c>
      <c r="Q3235" s="16">
        <v>73485</v>
      </c>
    </row>
    <row r="3236" spans="1:17" ht="57.6" x14ac:dyDescent="0.3">
      <c r="A3236" s="16" t="s">
        <v>7724</v>
      </c>
      <c r="B3236" s="16" t="s">
        <v>7654</v>
      </c>
      <c r="C3236" s="16" t="s">
        <v>7604</v>
      </c>
      <c r="D3236" s="16" t="s">
        <v>7597</v>
      </c>
      <c r="E3236" s="16" t="s">
        <v>3175</v>
      </c>
      <c r="F3236" s="16" t="s">
        <v>3176</v>
      </c>
      <c r="G3236" s="16" t="s">
        <v>2987</v>
      </c>
      <c r="H3236" s="16"/>
      <c r="I3236" s="16"/>
      <c r="J3236" s="16"/>
      <c r="K3236" s="16"/>
      <c r="L3236" s="16"/>
      <c r="M3236" s="19" t="s">
        <v>3177</v>
      </c>
      <c r="N3236" s="16"/>
      <c r="O3236" s="16" t="s">
        <v>3178</v>
      </c>
      <c r="P3236" s="16" t="str">
        <f>HYPERLINK("https://ceds.ed.gov/cedselementdetails.aspx?termid=27905")</f>
        <v>https://ceds.ed.gov/cedselementdetails.aspx?termid=27905</v>
      </c>
      <c r="Q3236" s="16">
        <v>75400</v>
      </c>
    </row>
    <row r="3237" spans="1:17" ht="57.6" x14ac:dyDescent="0.3">
      <c r="A3237" s="16" t="s">
        <v>7724</v>
      </c>
      <c r="B3237" s="16" t="s">
        <v>7654</v>
      </c>
      <c r="C3237" s="16" t="s">
        <v>7604</v>
      </c>
      <c r="D3237" s="16" t="s">
        <v>7597</v>
      </c>
      <c r="E3237" s="16" t="s">
        <v>7058</v>
      </c>
      <c r="F3237" s="16" t="s">
        <v>7059</v>
      </c>
      <c r="G3237" s="16" t="s">
        <v>8848</v>
      </c>
      <c r="H3237" s="16"/>
      <c r="I3237" s="16"/>
      <c r="J3237" s="16"/>
      <c r="K3237" s="16"/>
      <c r="L3237" s="16"/>
      <c r="M3237" s="19" t="s">
        <v>7060</v>
      </c>
      <c r="N3237" s="16"/>
      <c r="O3237" s="16" t="s">
        <v>7061</v>
      </c>
      <c r="P3237" s="16" t="str">
        <f>HYPERLINK("https://ceds.ed.gov/cedselementdetails.aspx?termid=27911")</f>
        <v>https://ceds.ed.gov/cedselementdetails.aspx?termid=27911</v>
      </c>
      <c r="Q3237" s="16">
        <v>75401</v>
      </c>
    </row>
    <row r="3238" spans="1:17" ht="72" x14ac:dyDescent="0.3">
      <c r="A3238" s="16" t="s">
        <v>7724</v>
      </c>
      <c r="B3238" s="16" t="s">
        <v>7654</v>
      </c>
      <c r="C3238" s="16" t="s">
        <v>7605</v>
      </c>
      <c r="D3238" s="16" t="s">
        <v>7597</v>
      </c>
      <c r="E3238" s="16" t="s">
        <v>3412</v>
      </c>
      <c r="F3238" s="16" t="s">
        <v>3413</v>
      </c>
      <c r="G3238" s="16" t="s">
        <v>9330</v>
      </c>
      <c r="H3238" s="16" t="s">
        <v>64</v>
      </c>
      <c r="I3238" s="16"/>
      <c r="J3238" s="16"/>
      <c r="K3238" s="16"/>
      <c r="L3238" s="16"/>
      <c r="M3238" s="19" t="s">
        <v>3414</v>
      </c>
      <c r="N3238" s="16" t="s">
        <v>3415</v>
      </c>
      <c r="O3238" s="16" t="s">
        <v>3416</v>
      </c>
      <c r="P3238" s="16" t="str">
        <f>HYPERLINK("https://ceds.ed.gov/cedselementdetails.aspx?termid=26089")</f>
        <v>https://ceds.ed.gov/cedselementdetails.aspx?termid=26089</v>
      </c>
      <c r="Q3238" s="16">
        <v>73487</v>
      </c>
    </row>
    <row r="3239" spans="1:17" ht="72" x14ac:dyDescent="0.3">
      <c r="A3239" s="16" t="s">
        <v>7724</v>
      </c>
      <c r="B3239" s="16" t="s">
        <v>7654</v>
      </c>
      <c r="C3239" s="16" t="s">
        <v>7605</v>
      </c>
      <c r="D3239" s="16" t="s">
        <v>7597</v>
      </c>
      <c r="E3239" s="16" t="s">
        <v>3406</v>
      </c>
      <c r="F3239" s="16" t="s">
        <v>3407</v>
      </c>
      <c r="G3239" s="16" t="s">
        <v>32</v>
      </c>
      <c r="H3239" s="16" t="s">
        <v>64</v>
      </c>
      <c r="I3239" s="16"/>
      <c r="J3239" s="16" t="s">
        <v>3408</v>
      </c>
      <c r="K3239" s="16"/>
      <c r="L3239" s="16"/>
      <c r="M3239" s="19" t="s">
        <v>3409</v>
      </c>
      <c r="N3239" s="16" t="s">
        <v>3410</v>
      </c>
      <c r="O3239" s="16" t="s">
        <v>3411</v>
      </c>
      <c r="P3239" s="16" t="str">
        <f>HYPERLINK("https://ceds.ed.gov/cedselementdetails.aspx?termid=26088")</f>
        <v>https://ceds.ed.gov/cedselementdetails.aspx?termid=26088</v>
      </c>
      <c r="Q3239" s="16">
        <v>73488</v>
      </c>
    </row>
    <row r="3240" spans="1:17" ht="57.6" x14ac:dyDescent="0.3">
      <c r="A3240" s="16" t="s">
        <v>7724</v>
      </c>
      <c r="B3240" s="16" t="s">
        <v>7654</v>
      </c>
      <c r="C3240" s="16" t="s">
        <v>7605</v>
      </c>
      <c r="D3240" s="16" t="s">
        <v>7597</v>
      </c>
      <c r="E3240" s="16" t="s">
        <v>3175</v>
      </c>
      <c r="F3240" s="16" t="s">
        <v>3176</v>
      </c>
      <c r="G3240" s="16" t="s">
        <v>2987</v>
      </c>
      <c r="H3240" s="16"/>
      <c r="I3240" s="16"/>
      <c r="J3240" s="16"/>
      <c r="K3240" s="16"/>
      <c r="L3240" s="16"/>
      <c r="M3240" s="19" t="s">
        <v>3177</v>
      </c>
      <c r="N3240" s="16"/>
      <c r="O3240" s="16" t="s">
        <v>3178</v>
      </c>
      <c r="P3240" s="16" t="str">
        <f>HYPERLINK("https://ceds.ed.gov/cedselementdetails.aspx?termid=27905")</f>
        <v>https://ceds.ed.gov/cedselementdetails.aspx?termid=27905</v>
      </c>
      <c r="Q3240" s="16">
        <v>75399</v>
      </c>
    </row>
    <row r="3241" spans="1:17" ht="172.8" x14ac:dyDescent="0.3">
      <c r="A3241" s="16" t="s">
        <v>7724</v>
      </c>
      <c r="B3241" s="16" t="s">
        <v>7654</v>
      </c>
      <c r="C3241" s="16" t="s">
        <v>7652</v>
      </c>
      <c r="D3241" s="16" t="s">
        <v>7597</v>
      </c>
      <c r="E3241" s="16" t="s">
        <v>5738</v>
      </c>
      <c r="F3241" s="16" t="s">
        <v>5739</v>
      </c>
      <c r="G3241" s="16" t="s">
        <v>32</v>
      </c>
      <c r="H3241" s="16"/>
      <c r="I3241" s="16"/>
      <c r="J3241" s="16" t="s">
        <v>120</v>
      </c>
      <c r="K3241" s="16"/>
      <c r="L3241" s="16" t="s">
        <v>7905</v>
      </c>
      <c r="M3241" s="19" t="s">
        <v>5740</v>
      </c>
      <c r="N3241" s="16"/>
      <c r="O3241" s="16" t="s">
        <v>5741</v>
      </c>
      <c r="P3241" s="16" t="str">
        <f>HYPERLINK("https://ceds.ed.gov/cedselementdetails.aspx?termid=27551")</f>
        <v>https://ceds.ed.gov/cedselementdetails.aspx?termid=27551</v>
      </c>
      <c r="Q3241" s="16">
        <v>73910</v>
      </c>
    </row>
    <row r="3242" spans="1:17" ht="273.60000000000002" x14ac:dyDescent="0.3">
      <c r="A3242" s="16" t="s">
        <v>7724</v>
      </c>
      <c r="B3242" s="16" t="s">
        <v>7654</v>
      </c>
      <c r="C3242" s="16" t="s">
        <v>7652</v>
      </c>
      <c r="D3242" s="16" t="s">
        <v>7597</v>
      </c>
      <c r="E3242" s="16" t="s">
        <v>5734</v>
      </c>
      <c r="F3242" s="16" t="s">
        <v>5735</v>
      </c>
      <c r="G3242" s="16" t="s">
        <v>9336</v>
      </c>
      <c r="H3242" s="16"/>
      <c r="I3242" s="16"/>
      <c r="J3242" s="16"/>
      <c r="K3242" s="16"/>
      <c r="L3242" s="16"/>
      <c r="M3242" s="19" t="s">
        <v>5736</v>
      </c>
      <c r="N3242" s="16"/>
      <c r="O3242" s="16" t="s">
        <v>5737</v>
      </c>
      <c r="P3242" s="16" t="str">
        <f>HYPERLINK("https://ceds.ed.gov/cedselementdetails.aspx?termid=27550")</f>
        <v>https://ceds.ed.gov/cedselementdetails.aspx?termid=27550</v>
      </c>
      <c r="Q3242" s="16">
        <v>73905</v>
      </c>
    </row>
    <row r="3243" spans="1:17" ht="409.6" x14ac:dyDescent="0.3">
      <c r="A3243" s="16" t="s">
        <v>7724</v>
      </c>
      <c r="B3243" s="16" t="s">
        <v>7654</v>
      </c>
      <c r="C3243" s="16" t="s">
        <v>7652</v>
      </c>
      <c r="D3243" s="16" t="s">
        <v>7597</v>
      </c>
      <c r="E3243" s="16" t="s">
        <v>5751</v>
      </c>
      <c r="F3243" s="16" t="s">
        <v>5752</v>
      </c>
      <c r="G3243" s="16" t="s">
        <v>8753</v>
      </c>
      <c r="H3243" s="16" t="s">
        <v>1516</v>
      </c>
      <c r="I3243" s="16"/>
      <c r="J3243" s="16"/>
      <c r="K3243" s="16"/>
      <c r="L3243" s="16" t="s">
        <v>5753</v>
      </c>
      <c r="M3243" s="19" t="s">
        <v>5754</v>
      </c>
      <c r="N3243" s="16"/>
      <c r="O3243" s="16" t="s">
        <v>5755</v>
      </c>
      <c r="P3243" s="16" t="str">
        <f>HYPERLINK("https://ceds.ed.gov/cedselementdetails.aspx?termid=26415")</f>
        <v>https://ceds.ed.gov/cedselementdetails.aspx?termid=26415</v>
      </c>
      <c r="Q3243" s="16">
        <v>73489</v>
      </c>
    </row>
    <row r="3244" spans="1:17" ht="57.6" x14ac:dyDescent="0.3">
      <c r="A3244" s="16" t="s">
        <v>7724</v>
      </c>
      <c r="B3244" s="16" t="s">
        <v>7654</v>
      </c>
      <c r="C3244" s="16" t="s">
        <v>7652</v>
      </c>
      <c r="D3244" s="16" t="s">
        <v>7597</v>
      </c>
      <c r="E3244" s="16" t="s">
        <v>2985</v>
      </c>
      <c r="F3244" s="16" t="s">
        <v>2986</v>
      </c>
      <c r="G3244" s="16" t="s">
        <v>2987</v>
      </c>
      <c r="H3244" s="16" t="s">
        <v>372</v>
      </c>
      <c r="I3244" s="16"/>
      <c r="J3244" s="16"/>
      <c r="K3244" s="16"/>
      <c r="L3244" s="16"/>
      <c r="M3244" s="19" t="s">
        <v>2988</v>
      </c>
      <c r="N3244" s="16"/>
      <c r="O3244" s="16" t="s">
        <v>2989</v>
      </c>
      <c r="P3244" s="16" t="str">
        <f>HYPERLINK("https://ceds.ed.gov/cedselementdetails.aspx?termid=26328")</f>
        <v>https://ceds.ed.gov/cedselementdetails.aspx?termid=26328</v>
      </c>
      <c r="Q3244" s="16">
        <v>75410</v>
      </c>
    </row>
    <row r="3245" spans="1:17" ht="409.6" x14ac:dyDescent="0.3">
      <c r="A3245" s="16" t="s">
        <v>7724</v>
      </c>
      <c r="B3245" s="16" t="s">
        <v>7654</v>
      </c>
      <c r="C3245" s="16" t="s">
        <v>7628</v>
      </c>
      <c r="D3245" s="16" t="s">
        <v>7597</v>
      </c>
      <c r="E3245" s="16" t="s">
        <v>2488</v>
      </c>
      <c r="F3245" s="16" t="s">
        <v>2489</v>
      </c>
      <c r="G3245" s="16" t="s">
        <v>8454</v>
      </c>
      <c r="H3245" s="16" t="s">
        <v>2492</v>
      </c>
      <c r="I3245" s="16"/>
      <c r="J3245" s="16"/>
      <c r="K3245" s="16"/>
      <c r="L3245" s="16" t="s">
        <v>7915</v>
      </c>
      <c r="M3245" s="19" t="s">
        <v>2490</v>
      </c>
      <c r="N3245" s="16"/>
      <c r="O3245" s="16" t="s">
        <v>2491</v>
      </c>
      <c r="P3245" s="16" t="str">
        <f>HYPERLINK("https://ceds.ed.gov/cedselementdetails.aspx?termid=26051")</f>
        <v>https://ceds.ed.gov/cedselementdetails.aspx?termid=26051</v>
      </c>
      <c r="Q3245" s="16">
        <v>75402</v>
      </c>
    </row>
    <row r="3246" spans="1:17" ht="100.8" x14ac:dyDescent="0.3">
      <c r="A3246" s="16" t="s">
        <v>7724</v>
      </c>
      <c r="B3246" s="16" t="s">
        <v>7654</v>
      </c>
      <c r="C3246" s="16" t="s">
        <v>7628</v>
      </c>
      <c r="D3246" s="16" t="s">
        <v>7597</v>
      </c>
      <c r="E3246" s="16" t="s">
        <v>5395</v>
      </c>
      <c r="F3246" s="16" t="s">
        <v>8092</v>
      </c>
      <c r="G3246" s="16" t="s">
        <v>8728</v>
      </c>
      <c r="H3246" s="16"/>
      <c r="I3246" s="16"/>
      <c r="J3246" s="16"/>
      <c r="K3246" s="16"/>
      <c r="L3246" s="16"/>
      <c r="M3246" s="19" t="s">
        <v>5396</v>
      </c>
      <c r="N3246" s="16"/>
      <c r="O3246" s="16" t="s">
        <v>5397</v>
      </c>
      <c r="P3246" s="16" t="str">
        <f>HYPERLINK("https://ceds.ed.gov/cedselementdetails.aspx?termid=27621")</f>
        <v>https://ceds.ed.gov/cedselementdetails.aspx?termid=27621</v>
      </c>
      <c r="Q3246" s="16">
        <v>75403</v>
      </c>
    </row>
    <row r="3247" spans="1:17" ht="115.2" x14ac:dyDescent="0.3">
      <c r="A3247" s="16" t="s">
        <v>7724</v>
      </c>
      <c r="B3247" s="16" t="s">
        <v>7654</v>
      </c>
      <c r="C3247" s="16" t="s">
        <v>7628</v>
      </c>
      <c r="D3247" s="16" t="s">
        <v>7597</v>
      </c>
      <c r="E3247" s="16" t="s">
        <v>6823</v>
      </c>
      <c r="F3247" s="16" t="s">
        <v>8155</v>
      </c>
      <c r="G3247" s="16" t="s">
        <v>32</v>
      </c>
      <c r="H3247" s="16" t="s">
        <v>69</v>
      </c>
      <c r="I3247" s="16"/>
      <c r="J3247" s="16" t="s">
        <v>6824</v>
      </c>
      <c r="K3247" s="16"/>
      <c r="L3247" s="16"/>
      <c r="M3247" s="19" t="s">
        <v>6825</v>
      </c>
      <c r="N3247" s="16"/>
      <c r="O3247" s="16" t="s">
        <v>6826</v>
      </c>
      <c r="P3247" s="16" t="str">
        <f>HYPERLINK("https://ceds.ed.gov/cedselementdetails.aspx?termid=26707")</f>
        <v>https://ceds.ed.gov/cedselementdetails.aspx?termid=26707</v>
      </c>
      <c r="Q3247" s="16">
        <v>75404</v>
      </c>
    </row>
    <row r="3248" spans="1:17" ht="57.6" x14ac:dyDescent="0.3">
      <c r="A3248" s="16" t="s">
        <v>7724</v>
      </c>
      <c r="B3248" s="16" t="s">
        <v>7654</v>
      </c>
      <c r="C3248" s="16" t="s">
        <v>7628</v>
      </c>
      <c r="D3248" s="16" t="s">
        <v>7597</v>
      </c>
      <c r="E3248" s="16" t="s">
        <v>7181</v>
      </c>
      <c r="F3248" s="16" t="s">
        <v>7182</v>
      </c>
      <c r="G3248" s="16" t="s">
        <v>7313</v>
      </c>
      <c r="H3248" s="16"/>
      <c r="I3248" s="16"/>
      <c r="J3248" s="16"/>
      <c r="K3248" s="16"/>
      <c r="L3248" s="16"/>
      <c r="M3248" s="19" t="s">
        <v>7183</v>
      </c>
      <c r="N3248" s="16"/>
      <c r="O3248" s="16" t="s">
        <v>7184</v>
      </c>
      <c r="P3248" s="16" t="str">
        <f>HYPERLINK("https://ceds.ed.gov/cedselementdetails.aspx?termid=27638")</f>
        <v>https://ceds.ed.gov/cedselementdetails.aspx?termid=27638</v>
      </c>
      <c r="Q3248" s="16">
        <v>75405</v>
      </c>
    </row>
    <row r="3249" spans="1:17" ht="201.6" x14ac:dyDescent="0.3">
      <c r="A3249" s="16" t="s">
        <v>7724</v>
      </c>
      <c r="B3249" s="16" t="s">
        <v>7654</v>
      </c>
      <c r="C3249" s="16" t="s">
        <v>7628</v>
      </c>
      <c r="D3249" s="16" t="s">
        <v>7597</v>
      </c>
      <c r="E3249" s="16" t="s">
        <v>1507</v>
      </c>
      <c r="F3249" s="16" t="s">
        <v>1508</v>
      </c>
      <c r="G3249" s="16" t="s">
        <v>32</v>
      </c>
      <c r="H3249" s="16" t="s">
        <v>1510</v>
      </c>
      <c r="I3249" s="16"/>
      <c r="J3249" s="16" t="s">
        <v>106</v>
      </c>
      <c r="K3249" s="16"/>
      <c r="L3249" s="16"/>
      <c r="M3249" s="19" t="s">
        <v>1509</v>
      </c>
      <c r="N3249" s="16"/>
      <c r="O3249" s="16" t="s">
        <v>1507</v>
      </c>
      <c r="P3249" s="16" t="str">
        <f>HYPERLINK("https://ceds.ed.gov/cedselementdetails.aspx?termid=26033")</f>
        <v>https://ceds.ed.gov/cedselementdetails.aspx?termid=26033</v>
      </c>
      <c r="Q3249" s="16">
        <v>75583</v>
      </c>
    </row>
    <row r="3250" spans="1:17" ht="144" x14ac:dyDescent="0.3">
      <c r="A3250" s="16" t="s">
        <v>7724</v>
      </c>
      <c r="B3250" s="16" t="s">
        <v>7654</v>
      </c>
      <c r="C3250" s="16" t="s">
        <v>7628</v>
      </c>
      <c r="D3250" s="16" t="s">
        <v>7597</v>
      </c>
      <c r="E3250" s="16" t="s">
        <v>7527</v>
      </c>
      <c r="F3250" s="16" t="s">
        <v>7528</v>
      </c>
      <c r="G3250" s="16" t="s">
        <v>8811</v>
      </c>
      <c r="H3250" s="16"/>
      <c r="I3250" s="16"/>
      <c r="J3250" s="16"/>
      <c r="K3250" s="16"/>
      <c r="L3250" s="16" t="s">
        <v>7529</v>
      </c>
      <c r="M3250" s="19" t="s">
        <v>7530</v>
      </c>
      <c r="N3250" s="16"/>
      <c r="O3250" s="16" t="s">
        <v>7527</v>
      </c>
      <c r="P3250" s="16" t="str">
        <f>HYPERLINK("https://ceds.ed.gov/cedselementdetails.aspx?termid=27955")</f>
        <v>https://ceds.ed.gov/cedselementdetails.aspx?termid=27955</v>
      </c>
      <c r="Q3250" s="16">
        <v>75584</v>
      </c>
    </row>
    <row r="3251" spans="1:17" ht="100.8" x14ac:dyDescent="0.3">
      <c r="A3251" s="16" t="s">
        <v>7724</v>
      </c>
      <c r="B3251" s="16" t="s">
        <v>7654</v>
      </c>
      <c r="C3251" s="16" t="s">
        <v>7640</v>
      </c>
      <c r="D3251" s="16" t="s">
        <v>7597</v>
      </c>
      <c r="E3251" s="16" t="s">
        <v>4849</v>
      </c>
      <c r="F3251" s="16" t="s">
        <v>13082</v>
      </c>
      <c r="G3251" s="16" t="s">
        <v>7313</v>
      </c>
      <c r="H3251" s="16" t="s">
        <v>4851</v>
      </c>
      <c r="I3251" s="16" t="s">
        <v>160</v>
      </c>
      <c r="J3251" s="16"/>
      <c r="K3251" s="16" t="s">
        <v>12946</v>
      </c>
      <c r="L3251" s="16"/>
      <c r="M3251" s="19" t="s">
        <v>4850</v>
      </c>
      <c r="N3251" s="16"/>
      <c r="O3251" s="16"/>
      <c r="P3251" s="16" t="str">
        <f>HYPERLINK("https://ceds.ed.gov/cedselementdetails.aspx?termid=26317")</f>
        <v>https://ceds.ed.gov/cedselementdetails.aspx?termid=26317</v>
      </c>
      <c r="Q3251" s="16">
        <v>75406</v>
      </c>
    </row>
    <row r="3252" spans="1:17" ht="129.6" x14ac:dyDescent="0.3">
      <c r="A3252" s="16" t="s">
        <v>7724</v>
      </c>
      <c r="B3252" s="16" t="s">
        <v>7654</v>
      </c>
      <c r="C3252" s="16" t="s">
        <v>7640</v>
      </c>
      <c r="D3252" s="16" t="s">
        <v>7597</v>
      </c>
      <c r="E3252" s="16" t="s">
        <v>4852</v>
      </c>
      <c r="F3252" s="16" t="s">
        <v>13083</v>
      </c>
      <c r="G3252" s="16" t="s">
        <v>7313</v>
      </c>
      <c r="H3252" s="16"/>
      <c r="I3252" s="16" t="s">
        <v>160</v>
      </c>
      <c r="J3252" s="16"/>
      <c r="K3252" s="16" t="s">
        <v>12947</v>
      </c>
      <c r="L3252" s="16" t="s">
        <v>13084</v>
      </c>
      <c r="M3252" s="19" t="s">
        <v>4853</v>
      </c>
      <c r="N3252" s="16"/>
      <c r="O3252" s="16"/>
      <c r="P3252" s="16" t="str">
        <f>HYPERLINK("https://ceds.ed.gov/cedselementdetails.aspx?termid=27618")</f>
        <v>https://ceds.ed.gov/cedselementdetails.aspx?termid=27618</v>
      </c>
      <c r="Q3252" s="16">
        <v>75407</v>
      </c>
    </row>
    <row r="3253" spans="1:17" ht="409.6" x14ac:dyDescent="0.3">
      <c r="A3253" s="16" t="s">
        <v>7724</v>
      </c>
      <c r="B3253" s="16" t="s">
        <v>7654</v>
      </c>
      <c r="C3253" s="16" t="s">
        <v>7640</v>
      </c>
      <c r="D3253" s="16" t="s">
        <v>7597</v>
      </c>
      <c r="E3253" s="16" t="s">
        <v>4854</v>
      </c>
      <c r="F3253" s="16" t="s">
        <v>13085</v>
      </c>
      <c r="G3253" s="16" t="s">
        <v>8683</v>
      </c>
      <c r="H3253" s="16"/>
      <c r="I3253" s="16" t="s">
        <v>160</v>
      </c>
      <c r="J3253" s="16"/>
      <c r="K3253" s="16" t="s">
        <v>12948</v>
      </c>
      <c r="L3253" s="16" t="s">
        <v>13086</v>
      </c>
      <c r="M3253" s="19" t="s">
        <v>4855</v>
      </c>
      <c r="N3253" s="16"/>
      <c r="O3253" s="16"/>
      <c r="P3253" s="16" t="str">
        <f>HYPERLINK("https://ceds.ed.gov/cedselementdetails.aspx?termid=27619")</f>
        <v>https://ceds.ed.gov/cedselementdetails.aspx?termid=27619</v>
      </c>
      <c r="Q3253" s="16">
        <v>75408</v>
      </c>
    </row>
    <row r="3254" spans="1:17" ht="43.2" x14ac:dyDescent="0.3">
      <c r="A3254" s="16" t="s">
        <v>7724</v>
      </c>
      <c r="B3254" s="16" t="s">
        <v>7654</v>
      </c>
      <c r="C3254" s="16" t="s">
        <v>7640</v>
      </c>
      <c r="D3254" s="16" t="s">
        <v>7597</v>
      </c>
      <c r="E3254" s="16" t="s">
        <v>4886</v>
      </c>
      <c r="F3254" s="16" t="s">
        <v>4887</v>
      </c>
      <c r="G3254" s="16" t="s">
        <v>13005</v>
      </c>
      <c r="H3254" s="16"/>
      <c r="I3254" s="16"/>
      <c r="J3254" s="16"/>
      <c r="K3254" s="16"/>
      <c r="L3254" s="16"/>
      <c r="M3254" s="19"/>
      <c r="N3254" s="16"/>
      <c r="O3254" s="16"/>
      <c r="P3254" s="16"/>
      <c r="Q3254" s="16"/>
    </row>
    <row r="3255" spans="1:17" x14ac:dyDescent="0.3">
      <c r="A3255" s="16"/>
      <c r="B3255" s="16"/>
      <c r="C3255" s="16"/>
      <c r="D3255" s="16"/>
      <c r="E3255" s="16"/>
      <c r="F3255" s="16"/>
      <c r="G3255" s="16"/>
      <c r="H3255" s="16"/>
      <c r="I3255" s="16"/>
      <c r="J3255" s="16"/>
      <c r="K3255" s="16"/>
      <c r="L3255" s="16"/>
      <c r="M3255" s="19"/>
      <c r="N3255" s="16"/>
      <c r="O3255" s="16"/>
      <c r="P3255" s="16"/>
      <c r="Q3255" s="16"/>
    </row>
    <row r="3256" spans="1:17" ht="144" x14ac:dyDescent="0.3">
      <c r="A3256" s="16"/>
      <c r="B3256" s="16" t="s">
        <v>13051</v>
      </c>
      <c r="C3256" s="16" t="s">
        <v>4851</v>
      </c>
      <c r="D3256" s="16"/>
      <c r="E3256" s="16"/>
      <c r="F3256" s="16"/>
      <c r="G3256" s="16"/>
      <c r="H3256" s="16">
        <v>316</v>
      </c>
      <c r="I3256" s="16"/>
      <c r="J3256" s="16" t="s">
        <v>4888</v>
      </c>
      <c r="K3256" s="16" t="str">
        <f>HYPERLINK("https://ceds.ed.gov/cedselementdetails.aspx?termid=26316")</f>
        <v>https://ceds.ed.gov/cedselementdetails.aspx?termid=26316</v>
      </c>
      <c r="L3256" s="16">
        <v>75409</v>
      </c>
      <c r="M3256" s="19"/>
      <c r="N3256" s="16"/>
      <c r="O3256" s="16"/>
      <c r="P3256" s="16"/>
      <c r="Q3256" s="16"/>
    </row>
    <row r="3257" spans="1:17" ht="57.6" x14ac:dyDescent="0.3">
      <c r="A3257" s="16" t="s">
        <v>7724</v>
      </c>
      <c r="B3257" s="16" t="s">
        <v>7654</v>
      </c>
      <c r="C3257" s="16" t="s">
        <v>4</v>
      </c>
      <c r="D3257" s="16" t="s">
        <v>7597</v>
      </c>
      <c r="E3257" s="16" t="s">
        <v>6162</v>
      </c>
      <c r="F3257" s="16" t="s">
        <v>6163</v>
      </c>
      <c r="G3257" s="16" t="s">
        <v>22</v>
      </c>
      <c r="H3257" s="16"/>
      <c r="I3257" s="16"/>
      <c r="J3257" s="16"/>
      <c r="K3257" s="16"/>
      <c r="L3257" s="16"/>
      <c r="M3257" s="19" t="s">
        <v>6164</v>
      </c>
      <c r="N3257" s="16"/>
      <c r="O3257" s="16" t="s">
        <v>6165</v>
      </c>
      <c r="P3257" s="16" t="str">
        <f>HYPERLINK("https://ceds.ed.gov/cedselementdetails.aspx?termid=26760")</f>
        <v>https://ceds.ed.gov/cedselementdetails.aspx?termid=26760</v>
      </c>
      <c r="Q3257" s="16">
        <v>75411</v>
      </c>
    </row>
    <row r="3258" spans="1:17" ht="72" x14ac:dyDescent="0.3">
      <c r="A3258" s="16" t="s">
        <v>7724</v>
      </c>
      <c r="B3258" s="16" t="s">
        <v>7654</v>
      </c>
      <c r="C3258" s="16" t="s">
        <v>9412</v>
      </c>
      <c r="D3258" s="16" t="s">
        <v>7597</v>
      </c>
      <c r="E3258" s="16" t="s">
        <v>9312</v>
      </c>
      <c r="F3258" s="16" t="s">
        <v>9313</v>
      </c>
      <c r="G3258" s="16" t="s">
        <v>9325</v>
      </c>
      <c r="H3258" s="16"/>
      <c r="I3258" s="16"/>
      <c r="J3258" s="16"/>
      <c r="K3258" s="16"/>
      <c r="L3258" s="16"/>
      <c r="M3258" s="19" t="s">
        <v>5394</v>
      </c>
      <c r="N3258" s="16"/>
      <c r="O3258" s="16" t="s">
        <v>9314</v>
      </c>
      <c r="P3258" s="16" t="str">
        <f>HYPERLINK("https://ceds.ed.gov/cedselementdetails.aspx?termid=27556")</f>
        <v>https://ceds.ed.gov/cedselementdetails.aspx?termid=27556</v>
      </c>
      <c r="Q3258" s="16">
        <v>76373</v>
      </c>
    </row>
    <row r="3259" spans="1:17" ht="144" x14ac:dyDescent="0.3">
      <c r="A3259" s="16" t="s">
        <v>7724</v>
      </c>
      <c r="B3259" s="16" t="s">
        <v>7654</v>
      </c>
      <c r="C3259" s="16" t="s">
        <v>9412</v>
      </c>
      <c r="D3259" s="16" t="s">
        <v>7597</v>
      </c>
      <c r="E3259" s="16" t="s">
        <v>9087</v>
      </c>
      <c r="F3259" s="16" t="s">
        <v>9088</v>
      </c>
      <c r="G3259" s="16" t="s">
        <v>9298</v>
      </c>
      <c r="H3259" s="16"/>
      <c r="I3259" s="16"/>
      <c r="J3259" s="16" t="s">
        <v>2</v>
      </c>
      <c r="K3259" s="16"/>
      <c r="L3259" s="16" t="s">
        <v>9089</v>
      </c>
      <c r="M3259" s="19" t="s">
        <v>9090</v>
      </c>
      <c r="N3259" s="16"/>
      <c r="O3259" s="16" t="s">
        <v>9091</v>
      </c>
      <c r="P3259" s="16" t="str">
        <f>HYPERLINK("https://ceds.ed.gov/cedselementdetails.aspx?termid=28047")</f>
        <v>https://ceds.ed.gov/cedselementdetails.aspx?termid=28047</v>
      </c>
      <c r="Q3259" s="16">
        <v>76374</v>
      </c>
    </row>
    <row r="3260" spans="1:17" ht="409.6" x14ac:dyDescent="0.3">
      <c r="A3260" s="16" t="s">
        <v>7724</v>
      </c>
      <c r="B3260" s="16" t="s">
        <v>7654</v>
      </c>
      <c r="C3260" s="16" t="s">
        <v>9412</v>
      </c>
      <c r="D3260" s="16" t="s">
        <v>7597</v>
      </c>
      <c r="E3260" s="16" t="s">
        <v>9092</v>
      </c>
      <c r="F3260" s="16" t="s">
        <v>9093</v>
      </c>
      <c r="G3260" s="16" t="s">
        <v>9299</v>
      </c>
      <c r="H3260" s="16"/>
      <c r="I3260" s="16"/>
      <c r="J3260" s="16" t="s">
        <v>2</v>
      </c>
      <c r="K3260" s="16"/>
      <c r="L3260" s="16" t="s">
        <v>9094</v>
      </c>
      <c r="M3260" s="19" t="s">
        <v>9095</v>
      </c>
      <c r="N3260" s="16"/>
      <c r="O3260" s="16" t="s">
        <v>9096</v>
      </c>
      <c r="P3260" s="16" t="str">
        <f>HYPERLINK("https://ceds.ed.gov/cedselementdetails.aspx?termid=28048")</f>
        <v>https://ceds.ed.gov/cedselementdetails.aspx?termid=28048</v>
      </c>
      <c r="Q3260" s="16">
        <v>76375</v>
      </c>
    </row>
    <row r="3261" spans="1:17" ht="100.8" x14ac:dyDescent="0.3">
      <c r="A3261" s="16" t="s">
        <v>7724</v>
      </c>
      <c r="B3261" s="16" t="s">
        <v>7654</v>
      </c>
      <c r="C3261" s="16" t="s">
        <v>9412</v>
      </c>
      <c r="D3261" s="16" t="s">
        <v>7597</v>
      </c>
      <c r="E3261" s="16" t="s">
        <v>9097</v>
      </c>
      <c r="F3261" s="16" t="s">
        <v>9098</v>
      </c>
      <c r="G3261" s="16" t="s">
        <v>32</v>
      </c>
      <c r="H3261" s="16"/>
      <c r="I3261" s="16"/>
      <c r="J3261" s="16" t="s">
        <v>120</v>
      </c>
      <c r="K3261" s="16"/>
      <c r="L3261" s="16" t="s">
        <v>9089</v>
      </c>
      <c r="M3261" s="19" t="s">
        <v>9099</v>
      </c>
      <c r="N3261" s="16"/>
      <c r="O3261" s="16" t="s">
        <v>9100</v>
      </c>
      <c r="P3261" s="16" t="str">
        <f>HYPERLINK("https://ceds.ed.gov/cedselementdetails.aspx?termid=28049")</f>
        <v>https://ceds.ed.gov/cedselementdetails.aspx?termid=28049</v>
      </c>
      <c r="Q3261" s="16">
        <v>76376</v>
      </c>
    </row>
    <row r="3262" spans="1:17" ht="100.8" x14ac:dyDescent="0.3">
      <c r="A3262" s="16" t="s">
        <v>7724</v>
      </c>
      <c r="B3262" s="16" t="s">
        <v>7654</v>
      </c>
      <c r="C3262" s="16" t="s">
        <v>9412</v>
      </c>
      <c r="D3262" s="16" t="s">
        <v>7597</v>
      </c>
      <c r="E3262" s="16" t="s">
        <v>9101</v>
      </c>
      <c r="F3262" s="16" t="s">
        <v>9102</v>
      </c>
      <c r="G3262" s="16" t="s">
        <v>32</v>
      </c>
      <c r="H3262" s="16"/>
      <c r="I3262" s="16"/>
      <c r="J3262" s="16" t="s">
        <v>9103</v>
      </c>
      <c r="K3262" s="16"/>
      <c r="L3262" s="16" t="s">
        <v>9089</v>
      </c>
      <c r="M3262" s="19" t="s">
        <v>9104</v>
      </c>
      <c r="N3262" s="16"/>
      <c r="O3262" s="16" t="s">
        <v>9105</v>
      </c>
      <c r="P3262" s="16" t="str">
        <f>HYPERLINK("https://ceds.ed.gov/cedselementdetails.aspx?termid=28050")</f>
        <v>https://ceds.ed.gov/cedselementdetails.aspx?termid=28050</v>
      </c>
      <c r="Q3262" s="16">
        <v>76377</v>
      </c>
    </row>
    <row r="3263" spans="1:17" ht="100.8" x14ac:dyDescent="0.3">
      <c r="A3263" s="16" t="s">
        <v>7724</v>
      </c>
      <c r="B3263" s="16" t="s">
        <v>7654</v>
      </c>
      <c r="C3263" s="16" t="s">
        <v>9412</v>
      </c>
      <c r="D3263" s="16" t="s">
        <v>7597</v>
      </c>
      <c r="E3263" s="16" t="s">
        <v>9106</v>
      </c>
      <c r="F3263" s="16" t="s">
        <v>9107</v>
      </c>
      <c r="G3263" s="16" t="s">
        <v>32</v>
      </c>
      <c r="H3263" s="16"/>
      <c r="I3263" s="16"/>
      <c r="J3263" s="16" t="s">
        <v>9108</v>
      </c>
      <c r="K3263" s="16"/>
      <c r="L3263" s="16" t="s">
        <v>9089</v>
      </c>
      <c r="M3263" s="19" t="s">
        <v>9109</v>
      </c>
      <c r="N3263" s="16"/>
      <c r="O3263" s="16" t="s">
        <v>9110</v>
      </c>
      <c r="P3263" s="16" t="str">
        <f>HYPERLINK("https://ceds.ed.gov/cedselementdetails.aspx?termid=28051")</f>
        <v>https://ceds.ed.gov/cedselementdetails.aspx?termid=28051</v>
      </c>
      <c r="Q3263" s="16">
        <v>76378</v>
      </c>
    </row>
    <row r="3264" spans="1:17" ht="100.8" x14ac:dyDescent="0.3">
      <c r="A3264" s="16" t="s">
        <v>7724</v>
      </c>
      <c r="B3264" s="16" t="s">
        <v>7654</v>
      </c>
      <c r="C3264" s="16" t="s">
        <v>9412</v>
      </c>
      <c r="D3264" s="16" t="s">
        <v>7597</v>
      </c>
      <c r="E3264" s="16" t="s">
        <v>9111</v>
      </c>
      <c r="F3264" s="16" t="s">
        <v>9112</v>
      </c>
      <c r="G3264" s="16" t="s">
        <v>32</v>
      </c>
      <c r="H3264" s="16"/>
      <c r="I3264" s="16"/>
      <c r="J3264" s="16" t="s">
        <v>9103</v>
      </c>
      <c r="K3264" s="16"/>
      <c r="L3264" s="16" t="s">
        <v>9089</v>
      </c>
      <c r="M3264" s="19" t="s">
        <v>9113</v>
      </c>
      <c r="N3264" s="16"/>
      <c r="O3264" s="16" t="s">
        <v>9114</v>
      </c>
      <c r="P3264" s="16" t="str">
        <f>HYPERLINK("https://ceds.ed.gov/cedselementdetails.aspx?termid=28052")</f>
        <v>https://ceds.ed.gov/cedselementdetails.aspx?termid=28052</v>
      </c>
      <c r="Q3264" s="16">
        <v>76379</v>
      </c>
    </row>
    <row r="3265" spans="1:17" ht="100.8" x14ac:dyDescent="0.3">
      <c r="A3265" s="16" t="s">
        <v>7724</v>
      </c>
      <c r="B3265" s="16" t="s">
        <v>7654</v>
      </c>
      <c r="C3265" s="16" t="s">
        <v>9412</v>
      </c>
      <c r="D3265" s="16" t="s">
        <v>7597</v>
      </c>
      <c r="E3265" s="16" t="s">
        <v>9115</v>
      </c>
      <c r="F3265" s="16" t="s">
        <v>9116</v>
      </c>
      <c r="G3265" s="16" t="s">
        <v>32</v>
      </c>
      <c r="H3265" s="16"/>
      <c r="I3265" s="16"/>
      <c r="J3265" s="16" t="s">
        <v>34</v>
      </c>
      <c r="K3265" s="16"/>
      <c r="L3265" s="16" t="s">
        <v>9089</v>
      </c>
      <c r="M3265" s="19" t="s">
        <v>9117</v>
      </c>
      <c r="N3265" s="16"/>
      <c r="O3265" s="16" t="s">
        <v>9118</v>
      </c>
      <c r="P3265" s="16" t="str">
        <f>HYPERLINK("https://ceds.ed.gov/cedselementdetails.aspx?termid=28053")</f>
        <v>https://ceds.ed.gov/cedselementdetails.aspx?termid=28053</v>
      </c>
      <c r="Q3265" s="16">
        <v>76380</v>
      </c>
    </row>
    <row r="3266" spans="1:17" ht="100.8" x14ac:dyDescent="0.3">
      <c r="A3266" s="16" t="s">
        <v>7724</v>
      </c>
      <c r="B3266" s="16" t="s">
        <v>7654</v>
      </c>
      <c r="C3266" s="16" t="s">
        <v>9412</v>
      </c>
      <c r="D3266" s="16" t="s">
        <v>7597</v>
      </c>
      <c r="E3266" s="16" t="s">
        <v>9119</v>
      </c>
      <c r="F3266" s="16" t="s">
        <v>9120</v>
      </c>
      <c r="G3266" s="16" t="s">
        <v>32</v>
      </c>
      <c r="H3266" s="16"/>
      <c r="I3266" s="16"/>
      <c r="J3266" s="16" t="s">
        <v>9103</v>
      </c>
      <c r="K3266" s="16"/>
      <c r="L3266" s="16" t="s">
        <v>9089</v>
      </c>
      <c r="M3266" s="19" t="s">
        <v>9121</v>
      </c>
      <c r="N3266" s="16"/>
      <c r="O3266" s="16" t="s">
        <v>9122</v>
      </c>
      <c r="P3266" s="16" t="str">
        <f>HYPERLINK("https://ceds.ed.gov/cedselementdetails.aspx?termid=28054")</f>
        <v>https://ceds.ed.gov/cedselementdetails.aspx?termid=28054</v>
      </c>
      <c r="Q3266" s="16">
        <v>76381</v>
      </c>
    </row>
    <row r="3267" spans="1:17" ht="100.8" x14ac:dyDescent="0.3">
      <c r="A3267" s="16" t="s">
        <v>7724</v>
      </c>
      <c r="B3267" s="16" t="s">
        <v>7654</v>
      </c>
      <c r="C3267" s="16" t="s">
        <v>9412</v>
      </c>
      <c r="D3267" s="16" t="s">
        <v>7597</v>
      </c>
      <c r="E3267" s="16" t="s">
        <v>9123</v>
      </c>
      <c r="F3267" s="16" t="s">
        <v>9124</v>
      </c>
      <c r="G3267" s="16" t="s">
        <v>32</v>
      </c>
      <c r="H3267" s="16"/>
      <c r="I3267" s="16"/>
      <c r="J3267" s="16" t="s">
        <v>747</v>
      </c>
      <c r="K3267" s="16"/>
      <c r="L3267" s="16" t="s">
        <v>9089</v>
      </c>
      <c r="M3267" s="19" t="s">
        <v>9125</v>
      </c>
      <c r="N3267" s="16"/>
      <c r="O3267" s="16" t="s">
        <v>9126</v>
      </c>
      <c r="P3267" s="16" t="str">
        <f>HYPERLINK("https://ceds.ed.gov/cedselementdetails.aspx?termid=28055")</f>
        <v>https://ceds.ed.gov/cedselementdetails.aspx?termid=28055</v>
      </c>
      <c r="Q3267" s="16">
        <v>76382</v>
      </c>
    </row>
    <row r="3268" spans="1:17" ht="100.8" x14ac:dyDescent="0.3">
      <c r="A3268" s="16" t="s">
        <v>7724</v>
      </c>
      <c r="B3268" s="16" t="s">
        <v>7654</v>
      </c>
      <c r="C3268" s="16" t="s">
        <v>9412</v>
      </c>
      <c r="D3268" s="16" t="s">
        <v>7597</v>
      </c>
      <c r="E3268" s="16" t="s">
        <v>9127</v>
      </c>
      <c r="F3268" s="16" t="s">
        <v>9128</v>
      </c>
      <c r="G3268" s="16" t="s">
        <v>32</v>
      </c>
      <c r="H3268" s="16"/>
      <c r="I3268" s="16"/>
      <c r="J3268" s="16" t="s">
        <v>34</v>
      </c>
      <c r="K3268" s="16"/>
      <c r="L3268" s="16" t="s">
        <v>9089</v>
      </c>
      <c r="M3268" s="19" t="s">
        <v>9129</v>
      </c>
      <c r="N3268" s="16"/>
      <c r="O3268" s="16" t="s">
        <v>9130</v>
      </c>
      <c r="P3268" s="16" t="str">
        <f>HYPERLINK("https://ceds.ed.gov/cedselementdetails.aspx?termid=28056")</f>
        <v>https://ceds.ed.gov/cedselementdetails.aspx?termid=28056</v>
      </c>
      <c r="Q3268" s="16">
        <v>76383</v>
      </c>
    </row>
    <row r="3269" spans="1:17" ht="144" x14ac:dyDescent="0.3">
      <c r="A3269" s="16" t="s">
        <v>7724</v>
      </c>
      <c r="B3269" s="16" t="s">
        <v>7654</v>
      </c>
      <c r="C3269" s="16" t="s">
        <v>9412</v>
      </c>
      <c r="D3269" s="16" t="s">
        <v>7597</v>
      </c>
      <c r="E3269" s="16" t="s">
        <v>9131</v>
      </c>
      <c r="F3269" s="16" t="s">
        <v>9132</v>
      </c>
      <c r="G3269" s="16" t="s">
        <v>9300</v>
      </c>
      <c r="H3269" s="16"/>
      <c r="I3269" s="16"/>
      <c r="J3269" s="16" t="s">
        <v>2</v>
      </c>
      <c r="K3269" s="16"/>
      <c r="L3269" s="16" t="s">
        <v>9089</v>
      </c>
      <c r="M3269" s="19" t="s">
        <v>9133</v>
      </c>
      <c r="N3269" s="16"/>
      <c r="O3269" s="16" t="s">
        <v>9134</v>
      </c>
      <c r="P3269" s="16" t="str">
        <f>HYPERLINK("https://ceds.ed.gov/cedselementdetails.aspx?termid=28057")</f>
        <v>https://ceds.ed.gov/cedselementdetails.aspx?termid=28057</v>
      </c>
      <c r="Q3269" s="16">
        <v>76384</v>
      </c>
    </row>
    <row r="3270" spans="1:17" ht="158.4" x14ac:dyDescent="0.3">
      <c r="A3270" s="16" t="s">
        <v>7724</v>
      </c>
      <c r="B3270" s="16" t="s">
        <v>7654</v>
      </c>
      <c r="C3270" s="16" t="s">
        <v>9412</v>
      </c>
      <c r="D3270" s="16" t="s">
        <v>7597</v>
      </c>
      <c r="E3270" s="16" t="s">
        <v>9135</v>
      </c>
      <c r="F3270" s="16" t="s">
        <v>9136</v>
      </c>
      <c r="G3270" s="16" t="s">
        <v>9301</v>
      </c>
      <c r="H3270" s="16"/>
      <c r="I3270" s="16"/>
      <c r="J3270" s="16" t="s">
        <v>2</v>
      </c>
      <c r="K3270" s="16"/>
      <c r="L3270" s="16" t="s">
        <v>9089</v>
      </c>
      <c r="M3270" s="19" t="s">
        <v>9137</v>
      </c>
      <c r="N3270" s="16"/>
      <c r="O3270" s="16" t="s">
        <v>9138</v>
      </c>
      <c r="P3270" s="16" t="str">
        <f>HYPERLINK("https://ceds.ed.gov/cedselementdetails.aspx?termid=28058")</f>
        <v>https://ceds.ed.gov/cedselementdetails.aspx?termid=28058</v>
      </c>
      <c r="Q3270" s="16">
        <v>76385</v>
      </c>
    </row>
    <row r="3271" spans="1:17" ht="100.8" x14ac:dyDescent="0.3">
      <c r="A3271" s="16" t="s">
        <v>7724</v>
      </c>
      <c r="B3271" s="16" t="s">
        <v>7654</v>
      </c>
      <c r="C3271" s="16" t="s">
        <v>9412</v>
      </c>
      <c r="D3271" s="16" t="s">
        <v>7597</v>
      </c>
      <c r="E3271" s="16" t="s">
        <v>9139</v>
      </c>
      <c r="F3271" s="16" t="s">
        <v>9140</v>
      </c>
      <c r="G3271" s="16" t="s">
        <v>32</v>
      </c>
      <c r="H3271" s="16"/>
      <c r="I3271" s="16"/>
      <c r="J3271" s="16" t="s">
        <v>34</v>
      </c>
      <c r="K3271" s="16"/>
      <c r="L3271" s="16" t="s">
        <v>9089</v>
      </c>
      <c r="M3271" s="19" t="s">
        <v>9141</v>
      </c>
      <c r="N3271" s="16"/>
      <c r="O3271" s="16" t="s">
        <v>9142</v>
      </c>
      <c r="P3271" s="16" t="str">
        <f>HYPERLINK("https://ceds.ed.gov/cedselementdetails.aspx?termid=28059")</f>
        <v>https://ceds.ed.gov/cedselementdetails.aspx?termid=28059</v>
      </c>
      <c r="Q3271" s="16">
        <v>76386</v>
      </c>
    </row>
    <row r="3272" spans="1:17" ht="100.8" x14ac:dyDescent="0.3">
      <c r="A3272" s="16" t="s">
        <v>7724</v>
      </c>
      <c r="B3272" s="16" t="s">
        <v>7654</v>
      </c>
      <c r="C3272" s="16" t="s">
        <v>9412</v>
      </c>
      <c r="D3272" s="16" t="s">
        <v>7597</v>
      </c>
      <c r="E3272" s="16" t="s">
        <v>9143</v>
      </c>
      <c r="F3272" s="16" t="s">
        <v>9144</v>
      </c>
      <c r="G3272" s="16" t="s">
        <v>32</v>
      </c>
      <c r="H3272" s="16"/>
      <c r="I3272" s="16"/>
      <c r="J3272" s="16" t="s">
        <v>120</v>
      </c>
      <c r="K3272" s="16"/>
      <c r="L3272" s="16" t="s">
        <v>9089</v>
      </c>
      <c r="M3272" s="19" t="s">
        <v>9145</v>
      </c>
      <c r="N3272" s="16"/>
      <c r="O3272" s="16" t="s">
        <v>9146</v>
      </c>
      <c r="P3272" s="16" t="str">
        <f>HYPERLINK("https://ceds.ed.gov/cedselementdetails.aspx?termid=28060")</f>
        <v>https://ceds.ed.gov/cedselementdetails.aspx?termid=28060</v>
      </c>
      <c r="Q3272" s="16">
        <v>76387</v>
      </c>
    </row>
    <row r="3273" spans="1:17" ht="129.6" x14ac:dyDescent="0.3">
      <c r="A3273" s="16" t="s">
        <v>7724</v>
      </c>
      <c r="B3273" s="16" t="s">
        <v>7654</v>
      </c>
      <c r="C3273" s="16" t="s">
        <v>9412</v>
      </c>
      <c r="D3273" s="16" t="s">
        <v>7597</v>
      </c>
      <c r="E3273" s="16" t="s">
        <v>9147</v>
      </c>
      <c r="F3273" s="16" t="s">
        <v>9148</v>
      </c>
      <c r="G3273" s="16" t="s">
        <v>9302</v>
      </c>
      <c r="H3273" s="16"/>
      <c r="I3273" s="16"/>
      <c r="J3273" s="16" t="s">
        <v>2</v>
      </c>
      <c r="K3273" s="16"/>
      <c r="L3273" s="16" t="s">
        <v>9089</v>
      </c>
      <c r="M3273" s="19" t="s">
        <v>9149</v>
      </c>
      <c r="N3273" s="16"/>
      <c r="O3273" s="16" t="s">
        <v>9150</v>
      </c>
      <c r="P3273" s="16" t="str">
        <f>HYPERLINK("https://ceds.ed.gov/cedselementdetails.aspx?termid=28061")</f>
        <v>https://ceds.ed.gov/cedselementdetails.aspx?termid=28061</v>
      </c>
      <c r="Q3273" s="16">
        <v>76388</v>
      </c>
    </row>
    <row r="3274" spans="1:17" ht="115.2" x14ac:dyDescent="0.3">
      <c r="A3274" s="16" t="s">
        <v>7724</v>
      </c>
      <c r="B3274" s="16" t="s">
        <v>7654</v>
      </c>
      <c r="C3274" s="16" t="s">
        <v>9412</v>
      </c>
      <c r="D3274" s="16" t="s">
        <v>7597</v>
      </c>
      <c r="E3274" s="16" t="s">
        <v>9151</v>
      </c>
      <c r="F3274" s="16" t="s">
        <v>9152</v>
      </c>
      <c r="G3274" s="16" t="s">
        <v>9303</v>
      </c>
      <c r="H3274" s="16"/>
      <c r="I3274" s="16"/>
      <c r="J3274" s="16" t="s">
        <v>2</v>
      </c>
      <c r="K3274" s="16"/>
      <c r="L3274" s="16" t="s">
        <v>9089</v>
      </c>
      <c r="M3274" s="19" t="s">
        <v>9153</v>
      </c>
      <c r="N3274" s="16"/>
      <c r="O3274" s="16" t="s">
        <v>9154</v>
      </c>
      <c r="P3274" s="16" t="str">
        <f>HYPERLINK("https://ceds.ed.gov/cedselementdetails.aspx?termid=28062")</f>
        <v>https://ceds.ed.gov/cedselementdetails.aspx?termid=28062</v>
      </c>
      <c r="Q3274" s="16">
        <v>76389</v>
      </c>
    </row>
    <row r="3275" spans="1:17" ht="100.8" x14ac:dyDescent="0.3">
      <c r="A3275" s="16" t="s">
        <v>7724</v>
      </c>
      <c r="B3275" s="16" t="s">
        <v>7654</v>
      </c>
      <c r="C3275" s="16" t="s">
        <v>9412</v>
      </c>
      <c r="D3275" s="16" t="s">
        <v>7597</v>
      </c>
      <c r="E3275" s="16" t="s">
        <v>9155</v>
      </c>
      <c r="F3275" s="16" t="s">
        <v>9156</v>
      </c>
      <c r="G3275" s="16" t="s">
        <v>32</v>
      </c>
      <c r="H3275" s="16"/>
      <c r="I3275" s="16"/>
      <c r="J3275" s="16" t="s">
        <v>120</v>
      </c>
      <c r="K3275" s="16"/>
      <c r="L3275" s="16" t="s">
        <v>9089</v>
      </c>
      <c r="M3275" s="19" t="s">
        <v>9157</v>
      </c>
      <c r="N3275" s="16"/>
      <c r="O3275" s="16" t="s">
        <v>9158</v>
      </c>
      <c r="P3275" s="16" t="str">
        <f>HYPERLINK("https://ceds.ed.gov/cedselementdetails.aspx?termid=28063")</f>
        <v>https://ceds.ed.gov/cedselementdetails.aspx?termid=28063</v>
      </c>
      <c r="Q3275" s="16">
        <v>76390</v>
      </c>
    </row>
    <row r="3276" spans="1:17" ht="100.8" x14ac:dyDescent="0.3">
      <c r="A3276" s="16" t="s">
        <v>7724</v>
      </c>
      <c r="B3276" s="16" t="s">
        <v>7654</v>
      </c>
      <c r="C3276" s="16" t="s">
        <v>9412</v>
      </c>
      <c r="D3276" s="16" t="s">
        <v>7597</v>
      </c>
      <c r="E3276" s="16" t="s">
        <v>9159</v>
      </c>
      <c r="F3276" s="16" t="s">
        <v>9160</v>
      </c>
      <c r="G3276" s="16" t="s">
        <v>32</v>
      </c>
      <c r="H3276" s="16"/>
      <c r="I3276" s="16"/>
      <c r="J3276" s="16" t="s">
        <v>120</v>
      </c>
      <c r="K3276" s="16"/>
      <c r="L3276" s="16" t="s">
        <v>9089</v>
      </c>
      <c r="M3276" s="19" t="s">
        <v>9161</v>
      </c>
      <c r="N3276" s="16"/>
      <c r="O3276" s="16" t="s">
        <v>9162</v>
      </c>
      <c r="P3276" s="16" t="str">
        <f>HYPERLINK("https://ceds.ed.gov/cedselementdetails.aspx?termid=28064")</f>
        <v>https://ceds.ed.gov/cedselementdetails.aspx?termid=28064</v>
      </c>
      <c r="Q3276" s="16">
        <v>76391</v>
      </c>
    </row>
    <row r="3277" spans="1:17" ht="100.8" x14ac:dyDescent="0.3">
      <c r="A3277" s="16" t="s">
        <v>7724</v>
      </c>
      <c r="B3277" s="16" t="s">
        <v>7654</v>
      </c>
      <c r="C3277" s="16" t="s">
        <v>9412</v>
      </c>
      <c r="D3277" s="16" t="s">
        <v>7597</v>
      </c>
      <c r="E3277" s="16" t="s">
        <v>9163</v>
      </c>
      <c r="F3277" s="16" t="s">
        <v>9164</v>
      </c>
      <c r="G3277" s="16" t="s">
        <v>32</v>
      </c>
      <c r="H3277" s="16"/>
      <c r="I3277" s="16"/>
      <c r="J3277" s="16" t="s">
        <v>34</v>
      </c>
      <c r="K3277" s="16"/>
      <c r="L3277" s="16" t="s">
        <v>9089</v>
      </c>
      <c r="M3277" s="19" t="s">
        <v>9165</v>
      </c>
      <c r="N3277" s="16"/>
      <c r="O3277" s="16" t="s">
        <v>9166</v>
      </c>
      <c r="P3277" s="16" t="str">
        <f>HYPERLINK("https://ceds.ed.gov/cedselementdetails.aspx?termid=28065")</f>
        <v>https://ceds.ed.gov/cedselementdetails.aspx?termid=28065</v>
      </c>
      <c r="Q3277" s="16">
        <v>76392</v>
      </c>
    </row>
    <row r="3278" spans="1:17" ht="100.8" x14ac:dyDescent="0.3">
      <c r="A3278" s="16" t="s">
        <v>7724</v>
      </c>
      <c r="B3278" s="16" t="s">
        <v>7654</v>
      </c>
      <c r="C3278" s="16" t="s">
        <v>9412</v>
      </c>
      <c r="D3278" s="16" t="s">
        <v>7597</v>
      </c>
      <c r="E3278" s="16" t="s">
        <v>9167</v>
      </c>
      <c r="F3278" s="16" t="s">
        <v>9168</v>
      </c>
      <c r="G3278" s="16" t="s">
        <v>32</v>
      </c>
      <c r="H3278" s="16"/>
      <c r="I3278" s="16"/>
      <c r="J3278" s="16" t="s">
        <v>120</v>
      </c>
      <c r="K3278" s="16"/>
      <c r="L3278" s="16" t="s">
        <v>9089</v>
      </c>
      <c r="M3278" s="19" t="s">
        <v>9169</v>
      </c>
      <c r="N3278" s="16"/>
      <c r="O3278" s="16" t="s">
        <v>9170</v>
      </c>
      <c r="P3278" s="16" t="str">
        <f>HYPERLINK("https://ceds.ed.gov/cedselementdetails.aspx?termid=28066")</f>
        <v>https://ceds.ed.gov/cedselementdetails.aspx?termid=28066</v>
      </c>
      <c r="Q3278" s="16">
        <v>76393</v>
      </c>
    </row>
    <row r="3279" spans="1:17" ht="259.2" x14ac:dyDescent="0.3">
      <c r="A3279" s="16" t="s">
        <v>7724</v>
      </c>
      <c r="B3279" s="16" t="s">
        <v>7654</v>
      </c>
      <c r="C3279" s="16" t="s">
        <v>9412</v>
      </c>
      <c r="D3279" s="16" t="s">
        <v>7597</v>
      </c>
      <c r="E3279" s="16" t="s">
        <v>9171</v>
      </c>
      <c r="F3279" s="16" t="s">
        <v>9172</v>
      </c>
      <c r="G3279" s="16" t="s">
        <v>32</v>
      </c>
      <c r="H3279" s="16"/>
      <c r="I3279" s="16"/>
      <c r="J3279" s="16" t="s">
        <v>9103</v>
      </c>
      <c r="K3279" s="16"/>
      <c r="L3279" s="16" t="s">
        <v>9173</v>
      </c>
      <c r="M3279" s="19" t="s">
        <v>9174</v>
      </c>
      <c r="N3279" s="16"/>
      <c r="O3279" s="16" t="s">
        <v>9175</v>
      </c>
      <c r="P3279" s="16" t="str">
        <f>HYPERLINK("https://ceds.ed.gov/cedselementdetails.aspx?termid=28067")</f>
        <v>https://ceds.ed.gov/cedselementdetails.aspx?termid=28067</v>
      </c>
      <c r="Q3279" s="16">
        <v>76394</v>
      </c>
    </row>
    <row r="3280" spans="1:17" ht="100.8" x14ac:dyDescent="0.3">
      <c r="A3280" s="16" t="s">
        <v>7724</v>
      </c>
      <c r="B3280" s="16" t="s">
        <v>7654</v>
      </c>
      <c r="C3280" s="16" t="s">
        <v>9412</v>
      </c>
      <c r="D3280" s="16" t="s">
        <v>7597</v>
      </c>
      <c r="E3280" s="16" t="s">
        <v>9176</v>
      </c>
      <c r="F3280" s="16" t="s">
        <v>9177</v>
      </c>
      <c r="G3280" s="16" t="s">
        <v>32</v>
      </c>
      <c r="H3280" s="16"/>
      <c r="I3280" s="16"/>
      <c r="J3280" s="16" t="s">
        <v>34</v>
      </c>
      <c r="K3280" s="16"/>
      <c r="L3280" s="16" t="s">
        <v>9089</v>
      </c>
      <c r="M3280" s="19" t="s">
        <v>9178</v>
      </c>
      <c r="N3280" s="16"/>
      <c r="O3280" s="16" t="s">
        <v>9179</v>
      </c>
      <c r="P3280" s="16" t="str">
        <f>HYPERLINK("https://ceds.ed.gov/cedselementdetails.aspx?termid=28068")</f>
        <v>https://ceds.ed.gov/cedselementdetails.aspx?termid=28068</v>
      </c>
      <c r="Q3280" s="16">
        <v>76395</v>
      </c>
    </row>
    <row r="3281" spans="1:17" ht="100.8" x14ac:dyDescent="0.3">
      <c r="A3281" s="16" t="s">
        <v>7724</v>
      </c>
      <c r="B3281" s="16" t="s">
        <v>7654</v>
      </c>
      <c r="C3281" s="16" t="s">
        <v>9412</v>
      </c>
      <c r="D3281" s="16" t="s">
        <v>7597</v>
      </c>
      <c r="E3281" s="16" t="s">
        <v>9180</v>
      </c>
      <c r="F3281" s="16" t="s">
        <v>9181</v>
      </c>
      <c r="G3281" s="16" t="s">
        <v>32</v>
      </c>
      <c r="H3281" s="16"/>
      <c r="I3281" s="16"/>
      <c r="J3281" s="16" t="s">
        <v>316</v>
      </c>
      <c r="K3281" s="16"/>
      <c r="L3281" s="16" t="s">
        <v>9089</v>
      </c>
      <c r="M3281" s="19" t="s">
        <v>9182</v>
      </c>
      <c r="N3281" s="16"/>
      <c r="O3281" s="16" t="s">
        <v>9183</v>
      </c>
      <c r="P3281" s="16" t="str">
        <f>HYPERLINK("https://ceds.ed.gov/cedselementdetails.aspx?termid=28069")</f>
        <v>https://ceds.ed.gov/cedselementdetails.aspx?termid=28069</v>
      </c>
      <c r="Q3281" s="16">
        <v>76396</v>
      </c>
    </row>
    <row r="3282" spans="1:17" ht="100.8" x14ac:dyDescent="0.3">
      <c r="A3282" s="16" t="s">
        <v>7724</v>
      </c>
      <c r="B3282" s="16" t="s">
        <v>7654</v>
      </c>
      <c r="C3282" s="16" t="s">
        <v>9412</v>
      </c>
      <c r="D3282" s="16" t="s">
        <v>7597</v>
      </c>
      <c r="E3282" s="16" t="s">
        <v>9184</v>
      </c>
      <c r="F3282" s="16" t="s">
        <v>9185</v>
      </c>
      <c r="G3282" s="16" t="s">
        <v>32</v>
      </c>
      <c r="H3282" s="16"/>
      <c r="I3282" s="16"/>
      <c r="J3282" s="16" t="s">
        <v>120</v>
      </c>
      <c r="K3282" s="16"/>
      <c r="L3282" s="16" t="s">
        <v>9186</v>
      </c>
      <c r="M3282" s="19" t="s">
        <v>9187</v>
      </c>
      <c r="N3282" s="16"/>
      <c r="O3282" s="16" t="s">
        <v>9188</v>
      </c>
      <c r="P3282" s="16" t="str">
        <f>HYPERLINK("https://ceds.ed.gov/cedselementdetails.aspx?termid=28070")</f>
        <v>https://ceds.ed.gov/cedselementdetails.aspx?termid=28070</v>
      </c>
      <c r="Q3282" s="16">
        <v>76397</v>
      </c>
    </row>
    <row r="3283" spans="1:17" ht="57.6" x14ac:dyDescent="0.3">
      <c r="A3283" s="16" t="s">
        <v>7724</v>
      </c>
      <c r="B3283" s="16" t="s">
        <v>7654</v>
      </c>
      <c r="C3283" s="16" t="s">
        <v>9412</v>
      </c>
      <c r="D3283" s="16" t="s">
        <v>7597</v>
      </c>
      <c r="E3283" s="16" t="s">
        <v>9320</v>
      </c>
      <c r="F3283" s="16" t="s">
        <v>9321</v>
      </c>
      <c r="G3283" s="16" t="s">
        <v>8730</v>
      </c>
      <c r="H3283" s="16"/>
      <c r="I3283" s="16"/>
      <c r="J3283" s="16"/>
      <c r="K3283" s="16"/>
      <c r="L3283" s="16"/>
      <c r="M3283" s="19" t="s">
        <v>5406</v>
      </c>
      <c r="N3283" s="16"/>
      <c r="O3283" s="16" t="s">
        <v>9322</v>
      </c>
      <c r="P3283" s="16" t="str">
        <f>HYPERLINK("https://ceds.ed.gov/cedselementdetails.aspx?termid=27557")</f>
        <v>https://ceds.ed.gov/cedselementdetails.aspx?termid=27557</v>
      </c>
      <c r="Q3283" s="16">
        <v>76398</v>
      </c>
    </row>
    <row r="3284" spans="1:17" ht="100.8" x14ac:dyDescent="0.3">
      <c r="A3284" s="16" t="s">
        <v>7724</v>
      </c>
      <c r="B3284" s="16" t="s">
        <v>7654</v>
      </c>
      <c r="C3284" s="16" t="s">
        <v>9412</v>
      </c>
      <c r="D3284" s="16" t="s">
        <v>7597</v>
      </c>
      <c r="E3284" s="16" t="s">
        <v>9193</v>
      </c>
      <c r="F3284" s="16" t="s">
        <v>9194</v>
      </c>
      <c r="G3284" s="16" t="s">
        <v>2987</v>
      </c>
      <c r="H3284" s="16"/>
      <c r="I3284" s="16"/>
      <c r="J3284" s="16" t="s">
        <v>2</v>
      </c>
      <c r="K3284" s="16"/>
      <c r="L3284" s="16" t="s">
        <v>9089</v>
      </c>
      <c r="M3284" s="19" t="s">
        <v>9195</v>
      </c>
      <c r="N3284" s="16"/>
      <c r="O3284" s="16" t="s">
        <v>9196</v>
      </c>
      <c r="P3284" s="16" t="str">
        <f>HYPERLINK("https://ceds.ed.gov/cedselementdetails.aspx?termid=28072")</f>
        <v>https://ceds.ed.gov/cedselementdetails.aspx?termid=28072</v>
      </c>
      <c r="Q3284" s="16">
        <v>76399</v>
      </c>
    </row>
    <row r="3285" spans="1:17" ht="158.4" x14ac:dyDescent="0.3">
      <c r="A3285" s="16" t="s">
        <v>7724</v>
      </c>
      <c r="B3285" s="16" t="s">
        <v>7748</v>
      </c>
      <c r="C3285" s="16" t="s">
        <v>7625</v>
      </c>
      <c r="D3285" s="16" t="s">
        <v>7597</v>
      </c>
      <c r="E3285" s="16" t="s">
        <v>3990</v>
      </c>
      <c r="F3285" s="16" t="s">
        <v>3991</v>
      </c>
      <c r="G3285" s="16" t="s">
        <v>32</v>
      </c>
      <c r="H3285" s="16" t="s">
        <v>3994</v>
      </c>
      <c r="I3285" s="16"/>
      <c r="J3285" s="16" t="s">
        <v>7426</v>
      </c>
      <c r="K3285" s="16"/>
      <c r="L3285" s="16" t="s">
        <v>8047</v>
      </c>
      <c r="M3285" s="19" t="s">
        <v>3992</v>
      </c>
      <c r="N3285" s="16"/>
      <c r="O3285" s="16" t="s">
        <v>3993</v>
      </c>
      <c r="P3285" s="16" t="str">
        <f>HYPERLINK("https://ceds.ed.gov/cedselementdetails.aspx?termid=26115")</f>
        <v>https://ceds.ed.gov/cedselementdetails.aspx?termid=26115</v>
      </c>
      <c r="Q3285" s="16">
        <v>72026</v>
      </c>
    </row>
    <row r="3286" spans="1:17" ht="158.4" x14ac:dyDescent="0.3">
      <c r="A3286" s="16" t="s">
        <v>7724</v>
      </c>
      <c r="B3286" s="16" t="s">
        <v>7748</v>
      </c>
      <c r="C3286" s="16" t="s">
        <v>7625</v>
      </c>
      <c r="D3286" s="16" t="s">
        <v>7597</v>
      </c>
      <c r="E3286" s="16" t="s">
        <v>5328</v>
      </c>
      <c r="F3286" s="16" t="s">
        <v>5329</v>
      </c>
      <c r="G3286" s="16" t="s">
        <v>32</v>
      </c>
      <c r="H3286" s="16" t="s">
        <v>3994</v>
      </c>
      <c r="I3286" s="16"/>
      <c r="J3286" s="16" t="s">
        <v>7426</v>
      </c>
      <c r="K3286" s="16"/>
      <c r="L3286" s="16" t="s">
        <v>8053</v>
      </c>
      <c r="M3286" s="19" t="s">
        <v>5330</v>
      </c>
      <c r="N3286" s="16"/>
      <c r="O3286" s="16" t="s">
        <v>5331</v>
      </c>
      <c r="P3286" s="16" t="str">
        <f>HYPERLINK("https://ceds.ed.gov/cedselementdetails.aspx?termid=26184")</f>
        <v>https://ceds.ed.gov/cedselementdetails.aspx?termid=26184</v>
      </c>
      <c r="Q3286" s="16">
        <v>72027</v>
      </c>
    </row>
    <row r="3287" spans="1:17" ht="158.4" x14ac:dyDescent="0.3">
      <c r="A3287" s="16" t="s">
        <v>7724</v>
      </c>
      <c r="B3287" s="16" t="s">
        <v>7748</v>
      </c>
      <c r="C3287" s="16" t="s">
        <v>7625</v>
      </c>
      <c r="D3287" s="16" t="s">
        <v>7597</v>
      </c>
      <c r="E3287" s="16" t="s">
        <v>4893</v>
      </c>
      <c r="F3287" s="16" t="s">
        <v>4894</v>
      </c>
      <c r="G3287" s="16" t="s">
        <v>32</v>
      </c>
      <c r="H3287" s="16" t="s">
        <v>3994</v>
      </c>
      <c r="I3287" s="16"/>
      <c r="J3287" s="16" t="s">
        <v>7426</v>
      </c>
      <c r="K3287" s="16"/>
      <c r="L3287" s="16" t="s">
        <v>8053</v>
      </c>
      <c r="M3287" s="19" t="s">
        <v>4895</v>
      </c>
      <c r="N3287" s="16" t="s">
        <v>4896</v>
      </c>
      <c r="O3287" s="16" t="s">
        <v>4897</v>
      </c>
      <c r="P3287" s="16" t="str">
        <f>HYPERLINK("https://ceds.ed.gov/cedselementdetails.aspx?termid=26172")</f>
        <v>https://ceds.ed.gov/cedselementdetails.aspx?termid=26172</v>
      </c>
      <c r="Q3287" s="16">
        <v>72028</v>
      </c>
    </row>
    <row r="3288" spans="1:17" ht="129.6" x14ac:dyDescent="0.3">
      <c r="A3288" s="16" t="s">
        <v>7724</v>
      </c>
      <c r="B3288" s="16" t="s">
        <v>7748</v>
      </c>
      <c r="C3288" s="16" t="s">
        <v>7625</v>
      </c>
      <c r="D3288" s="16" t="s">
        <v>7597</v>
      </c>
      <c r="E3288" s="16" t="s">
        <v>4054</v>
      </c>
      <c r="F3288" s="16" t="s">
        <v>4055</v>
      </c>
      <c r="G3288" s="16" t="s">
        <v>32</v>
      </c>
      <c r="H3288" s="16" t="s">
        <v>4059</v>
      </c>
      <c r="I3288" s="16"/>
      <c r="J3288" s="16" t="s">
        <v>2697</v>
      </c>
      <c r="K3288" s="16"/>
      <c r="L3288" s="16" t="s">
        <v>8053</v>
      </c>
      <c r="M3288" s="19" t="s">
        <v>4057</v>
      </c>
      <c r="N3288" s="16"/>
      <c r="O3288" s="16" t="s">
        <v>4058</v>
      </c>
      <c r="P3288" s="16" t="str">
        <f>HYPERLINK("https://ceds.ed.gov/cedselementdetails.aspx?termid=26121")</f>
        <v>https://ceds.ed.gov/cedselementdetails.aspx?termid=26121</v>
      </c>
      <c r="Q3288" s="16">
        <v>72029</v>
      </c>
    </row>
    <row r="3289" spans="1:17" ht="86.4" x14ac:dyDescent="0.3">
      <c r="A3289" s="16" t="s">
        <v>7724</v>
      </c>
      <c r="B3289" s="16" t="s">
        <v>7748</v>
      </c>
      <c r="C3289" s="16" t="s">
        <v>7625</v>
      </c>
      <c r="D3289" s="16" t="s">
        <v>7597</v>
      </c>
      <c r="E3289" s="16" t="s">
        <v>5760</v>
      </c>
      <c r="F3289" s="16" t="s">
        <v>5761</v>
      </c>
      <c r="G3289" s="16" t="s">
        <v>32</v>
      </c>
      <c r="H3289" s="16" t="s">
        <v>5765</v>
      </c>
      <c r="I3289" s="16"/>
      <c r="J3289" s="16" t="s">
        <v>81</v>
      </c>
      <c r="K3289" s="16"/>
      <c r="L3289" s="16"/>
      <c r="M3289" s="19" t="s">
        <v>5762</v>
      </c>
      <c r="N3289" s="16" t="s">
        <v>5763</v>
      </c>
      <c r="O3289" s="16" t="s">
        <v>5764</v>
      </c>
      <c r="P3289" s="16" t="str">
        <f>HYPERLINK("https://ceds.ed.gov/cedselementdetails.aspx?termid=26212")</f>
        <v>https://ceds.ed.gov/cedselementdetails.aspx?termid=26212</v>
      </c>
      <c r="Q3289" s="16">
        <v>72030</v>
      </c>
    </row>
    <row r="3290" spans="1:17" ht="28.8" x14ac:dyDescent="0.3">
      <c r="A3290" s="16" t="s">
        <v>7724</v>
      </c>
      <c r="B3290" s="16" t="s">
        <v>7748</v>
      </c>
      <c r="C3290" s="16" t="s">
        <v>7626</v>
      </c>
      <c r="D3290" s="16" t="s">
        <v>7597</v>
      </c>
      <c r="E3290" s="16" t="s">
        <v>5631</v>
      </c>
      <c r="F3290" s="16" t="s">
        <v>5632</v>
      </c>
      <c r="G3290" s="16" t="s">
        <v>32</v>
      </c>
      <c r="H3290" s="16"/>
      <c r="I3290" s="16"/>
      <c r="J3290" s="16" t="s">
        <v>1266</v>
      </c>
      <c r="K3290" s="16"/>
      <c r="L3290" s="16" t="s">
        <v>5633</v>
      </c>
      <c r="M3290" s="19" t="s">
        <v>5634</v>
      </c>
      <c r="N3290" s="16"/>
      <c r="O3290" s="16" t="s">
        <v>5635</v>
      </c>
      <c r="P3290" s="16" t="str">
        <f>HYPERLINK("https://ceds.ed.gov/cedselementdetails.aspx?termid=27486")</f>
        <v>https://ceds.ed.gov/cedselementdetails.aspx?termid=27486</v>
      </c>
      <c r="Q3290" s="16">
        <v>73634</v>
      </c>
    </row>
    <row r="3291" spans="1:17" ht="28.8" x14ac:dyDescent="0.3">
      <c r="A3291" s="16" t="s">
        <v>7724</v>
      </c>
      <c r="B3291" s="16" t="s">
        <v>7748</v>
      </c>
      <c r="C3291" s="16" t="s">
        <v>7626</v>
      </c>
      <c r="D3291" s="16" t="s">
        <v>7597</v>
      </c>
      <c r="E3291" s="16" t="s">
        <v>5636</v>
      </c>
      <c r="F3291" s="16" t="s">
        <v>5637</v>
      </c>
      <c r="G3291" s="16" t="s">
        <v>32</v>
      </c>
      <c r="H3291" s="16"/>
      <c r="I3291" s="16"/>
      <c r="J3291" s="16" t="s">
        <v>1266</v>
      </c>
      <c r="K3291" s="16"/>
      <c r="L3291" s="16" t="s">
        <v>5638</v>
      </c>
      <c r="M3291" s="19" t="s">
        <v>5639</v>
      </c>
      <c r="N3291" s="16"/>
      <c r="O3291" s="16" t="s">
        <v>5640</v>
      </c>
      <c r="P3291" s="16" t="str">
        <f>HYPERLINK("https://ceds.ed.gov/cedselementdetails.aspx?termid=27485")</f>
        <v>https://ceds.ed.gov/cedselementdetails.aspx?termid=27485</v>
      </c>
      <c r="Q3291" s="16">
        <v>73618</v>
      </c>
    </row>
    <row r="3292" spans="1:17" ht="28.8" x14ac:dyDescent="0.3">
      <c r="A3292" s="16" t="s">
        <v>7724</v>
      </c>
      <c r="B3292" s="16" t="s">
        <v>7748</v>
      </c>
      <c r="C3292" s="16" t="s">
        <v>7626</v>
      </c>
      <c r="D3292" s="16" t="s">
        <v>7597</v>
      </c>
      <c r="E3292" s="16" t="s">
        <v>5641</v>
      </c>
      <c r="F3292" s="16" t="s">
        <v>5642</v>
      </c>
      <c r="G3292" s="16" t="s">
        <v>32</v>
      </c>
      <c r="H3292" s="16"/>
      <c r="I3292" s="16"/>
      <c r="J3292" s="16" t="s">
        <v>1266</v>
      </c>
      <c r="K3292" s="16"/>
      <c r="L3292" s="16" t="s">
        <v>5643</v>
      </c>
      <c r="M3292" s="19" t="s">
        <v>5644</v>
      </c>
      <c r="N3292" s="16"/>
      <c r="O3292" s="16" t="s">
        <v>5645</v>
      </c>
      <c r="P3292" s="16" t="str">
        <f>HYPERLINK("https://ceds.ed.gov/cedselementdetails.aspx?termid=27487")</f>
        <v>https://ceds.ed.gov/cedselementdetails.aspx?termid=27487</v>
      </c>
      <c r="Q3292" s="16">
        <v>73650</v>
      </c>
    </row>
    <row r="3293" spans="1:17" ht="129.6" x14ac:dyDescent="0.3">
      <c r="A3293" s="16" t="s">
        <v>7724</v>
      </c>
      <c r="B3293" s="16" t="s">
        <v>7748</v>
      </c>
      <c r="C3293" s="16" t="s">
        <v>7626</v>
      </c>
      <c r="D3293" s="16" t="s">
        <v>7597</v>
      </c>
      <c r="E3293" s="16" t="s">
        <v>5646</v>
      </c>
      <c r="F3293" s="16" t="s">
        <v>5647</v>
      </c>
      <c r="G3293" s="16" t="s">
        <v>32</v>
      </c>
      <c r="H3293" s="16" t="s">
        <v>4059</v>
      </c>
      <c r="I3293" s="16"/>
      <c r="J3293" s="16" t="s">
        <v>120</v>
      </c>
      <c r="K3293" s="16"/>
      <c r="L3293" s="16"/>
      <c r="M3293" s="19" t="s">
        <v>5648</v>
      </c>
      <c r="N3293" s="16"/>
      <c r="O3293" s="16" t="s">
        <v>5649</v>
      </c>
      <c r="P3293" s="16" t="str">
        <f>HYPERLINK("https://ceds.ed.gov/cedselementdetails.aspx?termid=26206")</f>
        <v>https://ceds.ed.gov/cedselementdetails.aspx?termid=26206</v>
      </c>
      <c r="Q3293" s="16">
        <v>72031</v>
      </c>
    </row>
    <row r="3294" spans="1:17" ht="115.2" x14ac:dyDescent="0.3">
      <c r="A3294" s="16" t="s">
        <v>7724</v>
      </c>
      <c r="B3294" s="16" t="s">
        <v>7748</v>
      </c>
      <c r="C3294" s="16" t="s">
        <v>7626</v>
      </c>
      <c r="D3294" s="16" t="s">
        <v>7597</v>
      </c>
      <c r="E3294" s="16" t="s">
        <v>5650</v>
      </c>
      <c r="F3294" s="16" t="s">
        <v>5651</v>
      </c>
      <c r="G3294" s="16" t="s">
        <v>8746</v>
      </c>
      <c r="H3294" s="16" t="s">
        <v>5654</v>
      </c>
      <c r="I3294" s="16"/>
      <c r="J3294" s="16" t="s">
        <v>81</v>
      </c>
      <c r="K3294" s="16"/>
      <c r="L3294" s="16"/>
      <c r="M3294" s="19" t="s">
        <v>5652</v>
      </c>
      <c r="N3294" s="16"/>
      <c r="O3294" s="16" t="s">
        <v>5653</v>
      </c>
      <c r="P3294" s="16" t="str">
        <f>HYPERLINK("https://ceds.ed.gov/cedselementdetails.aspx?termid=26627")</f>
        <v>https://ceds.ed.gov/cedselementdetails.aspx?termid=26627</v>
      </c>
      <c r="Q3294" s="16">
        <v>72032</v>
      </c>
    </row>
    <row r="3295" spans="1:17" ht="172.8" x14ac:dyDescent="0.3">
      <c r="A3295" s="16" t="s">
        <v>7724</v>
      </c>
      <c r="B3295" s="16" t="s">
        <v>7748</v>
      </c>
      <c r="C3295" s="16" t="s">
        <v>7627</v>
      </c>
      <c r="D3295" s="16" t="s">
        <v>7597</v>
      </c>
      <c r="E3295" s="16" t="s">
        <v>6810</v>
      </c>
      <c r="F3295" s="16" t="s">
        <v>6811</v>
      </c>
      <c r="G3295" s="16" t="s">
        <v>32</v>
      </c>
      <c r="H3295" s="16" t="s">
        <v>6814</v>
      </c>
      <c r="I3295" s="16"/>
      <c r="J3295" s="16" t="s">
        <v>120</v>
      </c>
      <c r="K3295" s="16"/>
      <c r="L3295" s="16" t="s">
        <v>7817</v>
      </c>
      <c r="M3295" s="19" t="s">
        <v>6812</v>
      </c>
      <c r="N3295" s="16"/>
      <c r="O3295" s="16" t="s">
        <v>6813</v>
      </c>
      <c r="P3295" s="16" t="str">
        <f>HYPERLINK("https://ceds.ed.gov/cedselementdetails.aspx?termid=26156")</f>
        <v>https://ceds.ed.gov/cedselementdetails.aspx?termid=26156</v>
      </c>
      <c r="Q3295" s="16">
        <v>72152</v>
      </c>
    </row>
    <row r="3296" spans="1:17" ht="259.2" x14ac:dyDescent="0.3">
      <c r="A3296" s="16" t="s">
        <v>7724</v>
      </c>
      <c r="B3296" s="16" t="s">
        <v>7748</v>
      </c>
      <c r="C3296" s="16" t="s">
        <v>7627</v>
      </c>
      <c r="D3296" s="16" t="s">
        <v>7597</v>
      </c>
      <c r="E3296" s="16" t="s">
        <v>6805</v>
      </c>
      <c r="F3296" s="16" t="s">
        <v>6806</v>
      </c>
      <c r="G3296" s="16" t="s">
        <v>9342</v>
      </c>
      <c r="H3296" s="16" t="s">
        <v>6809</v>
      </c>
      <c r="I3296" s="16"/>
      <c r="J3296" s="16"/>
      <c r="K3296" s="16"/>
      <c r="L3296" s="16"/>
      <c r="M3296" s="19" t="s">
        <v>6807</v>
      </c>
      <c r="N3296" s="16"/>
      <c r="O3296" s="16" t="s">
        <v>6808</v>
      </c>
      <c r="P3296" s="16" t="str">
        <f>HYPERLINK("https://ceds.ed.gov/cedselementdetails.aspx?termid=26162")</f>
        <v>https://ceds.ed.gov/cedselementdetails.aspx?termid=26162</v>
      </c>
      <c r="Q3296" s="16">
        <v>71615</v>
      </c>
    </row>
    <row r="3297" spans="1:17" ht="403.2" x14ac:dyDescent="0.3">
      <c r="A3297" s="16" t="s">
        <v>7724</v>
      </c>
      <c r="B3297" s="16" t="s">
        <v>7748</v>
      </c>
      <c r="C3297" s="16" t="s">
        <v>7627</v>
      </c>
      <c r="D3297" s="16" t="s">
        <v>7597</v>
      </c>
      <c r="E3297" s="16" t="s">
        <v>5756</v>
      </c>
      <c r="F3297" s="16" t="s">
        <v>5757</v>
      </c>
      <c r="G3297" s="16" t="s">
        <v>8252</v>
      </c>
      <c r="H3297" s="16"/>
      <c r="I3297" s="16"/>
      <c r="J3297" s="16"/>
      <c r="K3297" s="16"/>
      <c r="L3297" s="16"/>
      <c r="M3297" s="19" t="s">
        <v>5758</v>
      </c>
      <c r="N3297" s="16"/>
      <c r="O3297" s="16" t="s">
        <v>5759</v>
      </c>
      <c r="P3297" s="16" t="str">
        <f>HYPERLINK("https://ceds.ed.gov/cedselementdetails.aspx?termid=26611")</f>
        <v>https://ceds.ed.gov/cedselementdetails.aspx?termid=26611</v>
      </c>
      <c r="Q3297" s="16">
        <v>72218</v>
      </c>
    </row>
    <row r="3298" spans="1:17" ht="72" x14ac:dyDescent="0.3">
      <c r="A3298" s="16" t="s">
        <v>7724</v>
      </c>
      <c r="B3298" s="16" t="s">
        <v>7748</v>
      </c>
      <c r="C3298" s="16" t="s">
        <v>7627</v>
      </c>
      <c r="D3298" s="16" t="s">
        <v>7597</v>
      </c>
      <c r="E3298" s="16" t="s">
        <v>7508</v>
      </c>
      <c r="F3298" s="16" t="s">
        <v>7509</v>
      </c>
      <c r="G3298" s="16" t="s">
        <v>8251</v>
      </c>
      <c r="H3298" s="16"/>
      <c r="I3298" s="16"/>
      <c r="J3298" s="16"/>
      <c r="K3298" s="16"/>
      <c r="L3298" s="16"/>
      <c r="M3298" s="19" t="s">
        <v>7510</v>
      </c>
      <c r="N3298" s="16"/>
      <c r="O3298" s="16" t="s">
        <v>7511</v>
      </c>
      <c r="P3298" s="16" t="str">
        <f>HYPERLINK("https://ceds.ed.gov/cedselementdetails.aspx?termid=27951")</f>
        <v>https://ceds.ed.gov/cedselementdetails.aspx?termid=27951</v>
      </c>
      <c r="Q3298" s="16">
        <v>75618</v>
      </c>
    </row>
    <row r="3299" spans="1:17" ht="100.8" x14ac:dyDescent="0.3">
      <c r="A3299" s="16" t="s">
        <v>7724</v>
      </c>
      <c r="B3299" s="16" t="s">
        <v>7748</v>
      </c>
      <c r="C3299" s="16" t="s">
        <v>7603</v>
      </c>
      <c r="D3299" s="16" t="s">
        <v>7597</v>
      </c>
      <c r="E3299" s="16" t="s">
        <v>191</v>
      </c>
      <c r="F3299" s="16" t="s">
        <v>192</v>
      </c>
      <c r="G3299" s="16" t="s">
        <v>8295</v>
      </c>
      <c r="H3299" s="16" t="s">
        <v>195</v>
      </c>
      <c r="I3299" s="16"/>
      <c r="J3299" s="16" t="s">
        <v>81</v>
      </c>
      <c r="K3299" s="16"/>
      <c r="L3299" s="16"/>
      <c r="M3299" s="19" t="s">
        <v>193</v>
      </c>
      <c r="N3299" s="16"/>
      <c r="O3299" s="16" t="s">
        <v>194</v>
      </c>
      <c r="P3299" s="16" t="str">
        <f>HYPERLINK("https://ceds.ed.gov/cedselementdetails.aspx?termid=26698")</f>
        <v>https://ceds.ed.gov/cedselementdetails.aspx?termid=26698</v>
      </c>
      <c r="Q3299" s="16">
        <v>72033</v>
      </c>
    </row>
    <row r="3300" spans="1:17" ht="187.2" x14ac:dyDescent="0.3">
      <c r="A3300" s="16" t="s">
        <v>7724</v>
      </c>
      <c r="B3300" s="16" t="s">
        <v>7748</v>
      </c>
      <c r="C3300" s="16" t="s">
        <v>7603</v>
      </c>
      <c r="D3300" s="16" t="s">
        <v>7597</v>
      </c>
      <c r="E3300" s="16" t="s">
        <v>177</v>
      </c>
      <c r="F3300" s="16" t="s">
        <v>178</v>
      </c>
      <c r="G3300" s="16" t="s">
        <v>32</v>
      </c>
      <c r="H3300" s="16" t="s">
        <v>163</v>
      </c>
      <c r="I3300" s="16"/>
      <c r="J3300" s="16" t="s">
        <v>179</v>
      </c>
      <c r="K3300" s="16"/>
      <c r="L3300" s="16"/>
      <c r="M3300" s="19" t="s">
        <v>180</v>
      </c>
      <c r="N3300" s="16"/>
      <c r="O3300" s="16" t="s">
        <v>181</v>
      </c>
      <c r="P3300" s="16" t="str">
        <f>HYPERLINK("https://ceds.ed.gov/cedselementdetails.aspx?termid=26269")</f>
        <v>https://ceds.ed.gov/cedselementdetails.aspx?termid=26269</v>
      </c>
      <c r="Q3300" s="16">
        <v>72034</v>
      </c>
    </row>
    <row r="3301" spans="1:17" ht="187.2" x14ac:dyDescent="0.3">
      <c r="A3301" s="16" t="s">
        <v>7724</v>
      </c>
      <c r="B3301" s="16" t="s">
        <v>7748</v>
      </c>
      <c r="C3301" s="16" t="s">
        <v>7603</v>
      </c>
      <c r="D3301" s="16" t="s">
        <v>7597</v>
      </c>
      <c r="E3301" s="16" t="s">
        <v>158</v>
      </c>
      <c r="F3301" s="16" t="s">
        <v>159</v>
      </c>
      <c r="G3301" s="16" t="s">
        <v>32</v>
      </c>
      <c r="H3301" s="16" t="s">
        <v>163</v>
      </c>
      <c r="I3301" s="16"/>
      <c r="J3301" s="16" t="s">
        <v>145</v>
      </c>
      <c r="K3301" s="16"/>
      <c r="L3301" s="16"/>
      <c r="M3301" s="19" t="s">
        <v>161</v>
      </c>
      <c r="N3301" s="16"/>
      <c r="O3301" s="16" t="s">
        <v>162</v>
      </c>
      <c r="P3301" s="16" t="str">
        <f>HYPERLINK("https://ceds.ed.gov/cedselementdetails.aspx?termid=26019")</f>
        <v>https://ceds.ed.gov/cedselementdetails.aspx?termid=26019</v>
      </c>
      <c r="Q3301" s="16">
        <v>72048</v>
      </c>
    </row>
    <row r="3302" spans="1:17" ht="187.2" x14ac:dyDescent="0.3">
      <c r="A3302" s="16" t="s">
        <v>7724</v>
      </c>
      <c r="B3302" s="16" t="s">
        <v>7748</v>
      </c>
      <c r="C3302" s="16" t="s">
        <v>7603</v>
      </c>
      <c r="D3302" s="16" t="s">
        <v>7597</v>
      </c>
      <c r="E3302" s="16" t="s">
        <v>164</v>
      </c>
      <c r="F3302" s="16" t="s">
        <v>165</v>
      </c>
      <c r="G3302" s="16" t="s">
        <v>32</v>
      </c>
      <c r="H3302" s="16" t="s">
        <v>163</v>
      </c>
      <c r="I3302" s="16"/>
      <c r="J3302" s="16" t="s">
        <v>81</v>
      </c>
      <c r="K3302" s="16"/>
      <c r="L3302" s="16"/>
      <c r="M3302" s="19" t="s">
        <v>166</v>
      </c>
      <c r="N3302" s="16"/>
      <c r="O3302" s="16" t="s">
        <v>167</v>
      </c>
      <c r="P3302" s="16" t="str">
        <f>HYPERLINK("https://ceds.ed.gov/cedselementdetails.aspx?termid=26040")</f>
        <v>https://ceds.ed.gov/cedselementdetails.aspx?termid=26040</v>
      </c>
      <c r="Q3302" s="16">
        <v>72035</v>
      </c>
    </row>
    <row r="3303" spans="1:17" ht="409.6" x14ac:dyDescent="0.3">
      <c r="A3303" s="16" t="s">
        <v>7724</v>
      </c>
      <c r="B3303" s="16" t="s">
        <v>7748</v>
      </c>
      <c r="C3303" s="16" t="s">
        <v>7603</v>
      </c>
      <c r="D3303" s="16" t="s">
        <v>7597</v>
      </c>
      <c r="E3303" s="16" t="s">
        <v>6840</v>
      </c>
      <c r="F3303" s="16" t="s">
        <v>6841</v>
      </c>
      <c r="G3303" s="16" t="s">
        <v>8266</v>
      </c>
      <c r="H3303" s="16" t="s">
        <v>6844</v>
      </c>
      <c r="I3303" s="16"/>
      <c r="J3303" s="16"/>
      <c r="K3303" s="16"/>
      <c r="L3303" s="16"/>
      <c r="M3303" s="19" t="s">
        <v>6842</v>
      </c>
      <c r="N3303" s="16"/>
      <c r="O3303" s="16" t="s">
        <v>6843</v>
      </c>
      <c r="P3303" s="16" t="str">
        <f>HYPERLINK("https://ceds.ed.gov/cedselementdetails.aspx?termid=26267")</f>
        <v>https://ceds.ed.gov/cedselementdetails.aspx?termid=26267</v>
      </c>
      <c r="Q3303" s="16">
        <v>72036</v>
      </c>
    </row>
    <row r="3304" spans="1:17" ht="187.2" x14ac:dyDescent="0.3">
      <c r="A3304" s="16" t="s">
        <v>7724</v>
      </c>
      <c r="B3304" s="16" t="s">
        <v>7748</v>
      </c>
      <c r="C3304" s="16" t="s">
        <v>7603</v>
      </c>
      <c r="D3304" s="16" t="s">
        <v>7597</v>
      </c>
      <c r="E3304" s="16" t="s">
        <v>172</v>
      </c>
      <c r="F3304" s="16" t="s">
        <v>173</v>
      </c>
      <c r="G3304" s="16" t="s">
        <v>32</v>
      </c>
      <c r="H3304" s="16" t="s">
        <v>163</v>
      </c>
      <c r="I3304" s="16"/>
      <c r="J3304" s="16" t="s">
        <v>174</v>
      </c>
      <c r="K3304" s="16"/>
      <c r="L3304" s="16"/>
      <c r="M3304" s="19" t="s">
        <v>175</v>
      </c>
      <c r="N3304" s="16"/>
      <c r="O3304" s="16" t="s">
        <v>176</v>
      </c>
      <c r="P3304" s="16" t="str">
        <f>HYPERLINK("https://ceds.ed.gov/cedselementdetails.aspx?termid=26214")</f>
        <v>https://ceds.ed.gov/cedselementdetails.aspx?termid=26214</v>
      </c>
      <c r="Q3304" s="16">
        <v>72037</v>
      </c>
    </row>
    <row r="3305" spans="1:17" ht="187.2" x14ac:dyDescent="0.3">
      <c r="A3305" s="16" t="s">
        <v>7724</v>
      </c>
      <c r="B3305" s="16" t="s">
        <v>7748</v>
      </c>
      <c r="C3305" s="16" t="s">
        <v>7603</v>
      </c>
      <c r="D3305" s="16" t="s">
        <v>7597</v>
      </c>
      <c r="E3305" s="16" t="s">
        <v>168</v>
      </c>
      <c r="F3305" s="16" t="s">
        <v>169</v>
      </c>
      <c r="G3305" s="16" t="s">
        <v>32</v>
      </c>
      <c r="H3305" s="16" t="s">
        <v>163</v>
      </c>
      <c r="I3305" s="16"/>
      <c r="J3305" s="16" t="s">
        <v>81</v>
      </c>
      <c r="K3305" s="16"/>
      <c r="L3305" s="16"/>
      <c r="M3305" s="19" t="s">
        <v>170</v>
      </c>
      <c r="N3305" s="16"/>
      <c r="O3305" s="16" t="s">
        <v>171</v>
      </c>
      <c r="P3305" s="16" t="str">
        <f>HYPERLINK("https://ceds.ed.gov/cedselementdetails.aspx?termid=26190")</f>
        <v>https://ceds.ed.gov/cedselementdetails.aspx?termid=26190</v>
      </c>
      <c r="Q3305" s="16">
        <v>72135</v>
      </c>
    </row>
    <row r="3306" spans="1:17" ht="409.6" x14ac:dyDescent="0.3">
      <c r="A3306" s="16" t="s">
        <v>7724</v>
      </c>
      <c r="B3306" s="16" t="s">
        <v>7748</v>
      </c>
      <c r="C3306" s="16" t="s">
        <v>7603</v>
      </c>
      <c r="D3306" s="16" t="s">
        <v>7597</v>
      </c>
      <c r="E3306" s="16" t="s">
        <v>2483</v>
      </c>
      <c r="F3306" s="16" t="s">
        <v>2484</v>
      </c>
      <c r="G3306" s="16" t="s">
        <v>8454</v>
      </c>
      <c r="H3306" s="16" t="s">
        <v>2487</v>
      </c>
      <c r="I3306" s="16"/>
      <c r="J3306" s="16"/>
      <c r="K3306" s="16"/>
      <c r="L3306" s="16" t="s">
        <v>7915</v>
      </c>
      <c r="M3306" s="19" t="s">
        <v>2485</v>
      </c>
      <c r="N3306" s="16"/>
      <c r="O3306" s="16" t="s">
        <v>2486</v>
      </c>
      <c r="P3306" s="16" t="str">
        <f>HYPERLINK("https://ceds.ed.gov/cedselementdetails.aspx?termid=26050")</f>
        <v>https://ceds.ed.gov/cedselementdetails.aspx?termid=26050</v>
      </c>
      <c r="Q3306" s="16">
        <v>72134</v>
      </c>
    </row>
    <row r="3307" spans="1:17" ht="57.6" x14ac:dyDescent="0.3">
      <c r="A3307" s="16" t="s">
        <v>7724</v>
      </c>
      <c r="B3307" s="16" t="s">
        <v>7748</v>
      </c>
      <c r="C3307" s="16" t="s">
        <v>7603</v>
      </c>
      <c r="D3307" s="16" t="s">
        <v>7597</v>
      </c>
      <c r="E3307" s="16" t="s">
        <v>4902</v>
      </c>
      <c r="F3307" s="16" t="s">
        <v>4903</v>
      </c>
      <c r="G3307" s="16" t="s">
        <v>32</v>
      </c>
      <c r="H3307" s="16"/>
      <c r="I3307" s="16"/>
      <c r="J3307" s="16" t="s">
        <v>1130</v>
      </c>
      <c r="K3307" s="16"/>
      <c r="L3307" s="16"/>
      <c r="M3307" s="19" t="s">
        <v>4904</v>
      </c>
      <c r="N3307" s="16"/>
      <c r="O3307" s="16" t="s">
        <v>4902</v>
      </c>
      <c r="P3307" s="16" t="str">
        <f>HYPERLINK("https://ceds.ed.gov/cedselementdetails.aspx?termid=26599")</f>
        <v>https://ceds.ed.gov/cedselementdetails.aspx?termid=26599</v>
      </c>
      <c r="Q3307" s="16">
        <v>74264</v>
      </c>
    </row>
    <row r="3308" spans="1:17" ht="57.6" x14ac:dyDescent="0.3">
      <c r="A3308" s="16" t="s">
        <v>7724</v>
      </c>
      <c r="B3308" s="16" t="s">
        <v>7748</v>
      </c>
      <c r="C3308" s="16" t="s">
        <v>7603</v>
      </c>
      <c r="D3308" s="16" t="s">
        <v>7597</v>
      </c>
      <c r="E3308" s="16" t="s">
        <v>5285</v>
      </c>
      <c r="F3308" s="16" t="s">
        <v>5286</v>
      </c>
      <c r="G3308" s="16" t="s">
        <v>32</v>
      </c>
      <c r="H3308" s="16"/>
      <c r="I3308" s="16"/>
      <c r="J3308" s="16" t="s">
        <v>1130</v>
      </c>
      <c r="K3308" s="16"/>
      <c r="L3308" s="16"/>
      <c r="M3308" s="19" t="s">
        <v>5287</v>
      </c>
      <c r="N3308" s="16"/>
      <c r="O3308" s="16" t="s">
        <v>5285</v>
      </c>
      <c r="P3308" s="16" t="str">
        <f>HYPERLINK("https://ceds.ed.gov/cedselementdetails.aspx?termid=26600")</f>
        <v>https://ceds.ed.gov/cedselementdetails.aspx?termid=26600</v>
      </c>
      <c r="Q3308" s="16">
        <v>74287</v>
      </c>
    </row>
    <row r="3309" spans="1:17" ht="158.4" x14ac:dyDescent="0.3">
      <c r="A3309" s="16" t="s">
        <v>7724</v>
      </c>
      <c r="B3309" s="16" t="s">
        <v>7748</v>
      </c>
      <c r="C3309" s="16" t="s">
        <v>7603</v>
      </c>
      <c r="D3309" s="16" t="s">
        <v>7597</v>
      </c>
      <c r="E3309" s="16" t="s">
        <v>2493</v>
      </c>
      <c r="F3309" s="16" t="s">
        <v>2494</v>
      </c>
      <c r="G3309" s="16" t="s">
        <v>32</v>
      </c>
      <c r="H3309" s="16"/>
      <c r="I3309" s="16"/>
      <c r="J3309" s="16" t="s">
        <v>2495</v>
      </c>
      <c r="K3309" s="16"/>
      <c r="L3309" s="16"/>
      <c r="M3309" s="19" t="s">
        <v>2496</v>
      </c>
      <c r="N3309" s="16"/>
      <c r="O3309" s="16" t="s">
        <v>2497</v>
      </c>
      <c r="P3309" s="16" t="str">
        <f>HYPERLINK("https://ceds.ed.gov/cedselementdetails.aspx?termid=27176")</f>
        <v>https://ceds.ed.gov/cedselementdetails.aspx?termid=27176</v>
      </c>
      <c r="Q3309" s="16">
        <v>75413</v>
      </c>
    </row>
    <row r="3310" spans="1:17" ht="57.6" x14ac:dyDescent="0.3">
      <c r="A3310" s="16" t="s">
        <v>7724</v>
      </c>
      <c r="B3310" s="16" t="s">
        <v>7748</v>
      </c>
      <c r="C3310" s="16" t="s">
        <v>7603</v>
      </c>
      <c r="D3310" s="16" t="s">
        <v>7597</v>
      </c>
      <c r="E3310" s="16" t="s">
        <v>3175</v>
      </c>
      <c r="F3310" s="16" t="s">
        <v>3176</v>
      </c>
      <c r="G3310" s="16" t="s">
        <v>2987</v>
      </c>
      <c r="H3310" s="16"/>
      <c r="I3310" s="16"/>
      <c r="J3310" s="16"/>
      <c r="K3310" s="16"/>
      <c r="L3310" s="16"/>
      <c r="M3310" s="19" t="s">
        <v>3177</v>
      </c>
      <c r="N3310" s="16"/>
      <c r="O3310" s="16" t="s">
        <v>3178</v>
      </c>
      <c r="P3310" s="16" t="str">
        <f>HYPERLINK("https://ceds.ed.gov/cedselementdetails.aspx?termid=27905")</f>
        <v>https://ceds.ed.gov/cedselementdetails.aspx?termid=27905</v>
      </c>
      <c r="Q3310" s="16">
        <v>75414</v>
      </c>
    </row>
    <row r="3311" spans="1:17" ht="72" x14ac:dyDescent="0.3">
      <c r="A3311" s="16" t="s">
        <v>7724</v>
      </c>
      <c r="B3311" s="16" t="s">
        <v>7748</v>
      </c>
      <c r="C3311" s="16" t="s">
        <v>7605</v>
      </c>
      <c r="D3311" s="16" t="s">
        <v>7597</v>
      </c>
      <c r="E3311" s="16" t="s">
        <v>3406</v>
      </c>
      <c r="F3311" s="16" t="s">
        <v>3407</v>
      </c>
      <c r="G3311" s="16" t="s">
        <v>32</v>
      </c>
      <c r="H3311" s="16" t="s">
        <v>64</v>
      </c>
      <c r="I3311" s="16"/>
      <c r="J3311" s="16" t="s">
        <v>3408</v>
      </c>
      <c r="K3311" s="16"/>
      <c r="L3311" s="16"/>
      <c r="M3311" s="19" t="s">
        <v>3409</v>
      </c>
      <c r="N3311" s="16" t="s">
        <v>3410</v>
      </c>
      <c r="O3311" s="16" t="s">
        <v>3411</v>
      </c>
      <c r="P3311" s="16" t="str">
        <f>HYPERLINK("https://ceds.ed.gov/cedselementdetails.aspx?termid=26088")</f>
        <v>https://ceds.ed.gov/cedselementdetails.aspx?termid=26088</v>
      </c>
      <c r="Q3311" s="16">
        <v>75174</v>
      </c>
    </row>
    <row r="3312" spans="1:17" ht="72" x14ac:dyDescent="0.3">
      <c r="A3312" s="16" t="s">
        <v>7724</v>
      </c>
      <c r="B3312" s="16" t="s">
        <v>7748</v>
      </c>
      <c r="C3312" s="16" t="s">
        <v>7605</v>
      </c>
      <c r="D3312" s="16" t="s">
        <v>7597</v>
      </c>
      <c r="E3312" s="16" t="s">
        <v>3412</v>
      </c>
      <c r="F3312" s="16" t="s">
        <v>3413</v>
      </c>
      <c r="G3312" s="16" t="s">
        <v>9330</v>
      </c>
      <c r="H3312" s="16" t="s">
        <v>64</v>
      </c>
      <c r="I3312" s="16"/>
      <c r="J3312" s="16"/>
      <c r="K3312" s="16"/>
      <c r="L3312" s="16"/>
      <c r="M3312" s="19" t="s">
        <v>3414</v>
      </c>
      <c r="N3312" s="16" t="s">
        <v>3415</v>
      </c>
      <c r="O3312" s="16" t="s">
        <v>3416</v>
      </c>
      <c r="P3312" s="16" t="str">
        <f>HYPERLINK("https://ceds.ed.gov/cedselementdetails.aspx?termid=26089")</f>
        <v>https://ceds.ed.gov/cedselementdetails.aspx?termid=26089</v>
      </c>
      <c r="Q3312" s="16">
        <v>75175</v>
      </c>
    </row>
    <row r="3313" spans="1:17" ht="57.6" x14ac:dyDescent="0.3">
      <c r="A3313" s="16" t="s">
        <v>7724</v>
      </c>
      <c r="B3313" s="16" t="s">
        <v>7748</v>
      </c>
      <c r="C3313" s="16" t="s">
        <v>7605</v>
      </c>
      <c r="D3313" s="16" t="s">
        <v>7597</v>
      </c>
      <c r="E3313" s="16" t="s">
        <v>3175</v>
      </c>
      <c r="F3313" s="16" t="s">
        <v>3176</v>
      </c>
      <c r="G3313" s="16" t="s">
        <v>2987</v>
      </c>
      <c r="H3313" s="16"/>
      <c r="I3313" s="16"/>
      <c r="J3313" s="16"/>
      <c r="K3313" s="16"/>
      <c r="L3313" s="16"/>
      <c r="M3313" s="19" t="s">
        <v>3177</v>
      </c>
      <c r="N3313" s="16"/>
      <c r="O3313" s="16" t="s">
        <v>3178</v>
      </c>
      <c r="P3313" s="16" t="str">
        <f>HYPERLINK("https://ceds.ed.gov/cedselementdetails.aspx?termid=27905")</f>
        <v>https://ceds.ed.gov/cedselementdetails.aspx?termid=27905</v>
      </c>
      <c r="Q3313" s="16">
        <v>75415</v>
      </c>
    </row>
    <row r="3314" spans="1:17" ht="72" x14ac:dyDescent="0.3">
      <c r="A3314" s="16" t="s">
        <v>7724</v>
      </c>
      <c r="B3314" s="16" t="s">
        <v>7748</v>
      </c>
      <c r="C3314" s="16" t="s">
        <v>7604</v>
      </c>
      <c r="D3314" s="16" t="s">
        <v>7597</v>
      </c>
      <c r="E3314" s="16" t="s">
        <v>5865</v>
      </c>
      <c r="F3314" s="16" t="s">
        <v>5866</v>
      </c>
      <c r="G3314" s="16" t="s">
        <v>22</v>
      </c>
      <c r="H3314" s="16" t="s">
        <v>64</v>
      </c>
      <c r="I3314" s="16"/>
      <c r="J3314" s="16"/>
      <c r="K3314" s="16"/>
      <c r="L3314" s="16"/>
      <c r="M3314" s="19" t="s">
        <v>5867</v>
      </c>
      <c r="N3314" s="16"/>
      <c r="O3314" s="16" t="s">
        <v>5868</v>
      </c>
      <c r="P3314" s="16" t="str">
        <f>HYPERLINK("https://ceds.ed.gov/cedselementdetails.aspx?termid=26219")</f>
        <v>https://ceds.ed.gov/cedselementdetails.aspx?termid=26219</v>
      </c>
      <c r="Q3314" s="16">
        <v>75176</v>
      </c>
    </row>
    <row r="3315" spans="1:17" ht="72" x14ac:dyDescent="0.3">
      <c r="A3315" s="16" t="s">
        <v>7724</v>
      </c>
      <c r="B3315" s="16" t="s">
        <v>7748</v>
      </c>
      <c r="C3315" s="16" t="s">
        <v>7604</v>
      </c>
      <c r="D3315" s="16" t="s">
        <v>7597</v>
      </c>
      <c r="E3315" s="16" t="s">
        <v>7053</v>
      </c>
      <c r="F3315" s="16" t="s">
        <v>7054</v>
      </c>
      <c r="G3315" s="16" t="s">
        <v>32</v>
      </c>
      <c r="H3315" s="16" t="s">
        <v>64</v>
      </c>
      <c r="I3315" s="16"/>
      <c r="J3315" s="16" t="s">
        <v>7055</v>
      </c>
      <c r="K3315" s="16"/>
      <c r="L3315" s="16"/>
      <c r="M3315" s="19" t="s">
        <v>7056</v>
      </c>
      <c r="N3315" s="16"/>
      <c r="O3315" s="16" t="s">
        <v>7057</v>
      </c>
      <c r="P3315" s="16" t="str">
        <f>HYPERLINK("https://ceds.ed.gov/cedselementdetails.aspx?termid=26279")</f>
        <v>https://ceds.ed.gov/cedselementdetails.aspx?termid=26279</v>
      </c>
      <c r="Q3315" s="16">
        <v>75177</v>
      </c>
    </row>
    <row r="3316" spans="1:17" ht="86.4" x14ac:dyDescent="0.3">
      <c r="A3316" s="16" t="s">
        <v>7724</v>
      </c>
      <c r="B3316" s="16" t="s">
        <v>7748</v>
      </c>
      <c r="C3316" s="16" t="s">
        <v>7604</v>
      </c>
      <c r="D3316" s="16" t="s">
        <v>7597</v>
      </c>
      <c r="E3316" s="16" t="s">
        <v>7062</v>
      </c>
      <c r="F3316" s="16" t="s">
        <v>7063</v>
      </c>
      <c r="G3316" s="16" t="s">
        <v>8849</v>
      </c>
      <c r="H3316" s="16" t="s">
        <v>64</v>
      </c>
      <c r="I3316" s="16"/>
      <c r="J3316" s="16" t="s">
        <v>2500</v>
      </c>
      <c r="K3316" s="16"/>
      <c r="L3316" s="16"/>
      <c r="M3316" s="19" t="s">
        <v>7064</v>
      </c>
      <c r="N3316" s="16"/>
      <c r="O3316" s="16" t="s">
        <v>7065</v>
      </c>
      <c r="P3316" s="16" t="str">
        <f>HYPERLINK("https://ceds.ed.gov/cedselementdetails.aspx?termid=26280")</f>
        <v>https://ceds.ed.gov/cedselementdetails.aspx?termid=26280</v>
      </c>
      <c r="Q3316" s="16">
        <v>75178</v>
      </c>
    </row>
    <row r="3317" spans="1:17" ht="57.6" x14ac:dyDescent="0.3">
      <c r="A3317" s="16" t="s">
        <v>7724</v>
      </c>
      <c r="B3317" s="16" t="s">
        <v>7748</v>
      </c>
      <c r="C3317" s="16" t="s">
        <v>7604</v>
      </c>
      <c r="D3317" s="16" t="s">
        <v>7597</v>
      </c>
      <c r="E3317" s="16" t="s">
        <v>3175</v>
      </c>
      <c r="F3317" s="16" t="s">
        <v>3176</v>
      </c>
      <c r="G3317" s="16" t="s">
        <v>2987</v>
      </c>
      <c r="H3317" s="16"/>
      <c r="I3317" s="16"/>
      <c r="J3317" s="16"/>
      <c r="K3317" s="16"/>
      <c r="L3317" s="16"/>
      <c r="M3317" s="19" t="s">
        <v>3177</v>
      </c>
      <c r="N3317" s="16"/>
      <c r="O3317" s="16" t="s">
        <v>3178</v>
      </c>
      <c r="P3317" s="16" t="str">
        <f>HYPERLINK("https://ceds.ed.gov/cedselementdetails.aspx?termid=27905")</f>
        <v>https://ceds.ed.gov/cedselementdetails.aspx?termid=27905</v>
      </c>
      <c r="Q3317" s="16">
        <v>75416</v>
      </c>
    </row>
    <row r="3318" spans="1:17" ht="57.6" x14ac:dyDescent="0.3">
      <c r="A3318" s="16" t="s">
        <v>7724</v>
      </c>
      <c r="B3318" s="16" t="s">
        <v>7748</v>
      </c>
      <c r="C3318" s="16" t="s">
        <v>7604</v>
      </c>
      <c r="D3318" s="16" t="s">
        <v>7597</v>
      </c>
      <c r="E3318" s="16" t="s">
        <v>7058</v>
      </c>
      <c r="F3318" s="16" t="s">
        <v>7059</v>
      </c>
      <c r="G3318" s="16" t="s">
        <v>8848</v>
      </c>
      <c r="H3318" s="16"/>
      <c r="I3318" s="16"/>
      <c r="J3318" s="16"/>
      <c r="K3318" s="16"/>
      <c r="L3318" s="16"/>
      <c r="M3318" s="19" t="s">
        <v>7060</v>
      </c>
      <c r="N3318" s="16"/>
      <c r="O3318" s="16" t="s">
        <v>7061</v>
      </c>
      <c r="P3318" s="16" t="str">
        <f>HYPERLINK("https://ceds.ed.gov/cedselementdetails.aspx?termid=27911")</f>
        <v>https://ceds.ed.gov/cedselementdetails.aspx?termid=27911</v>
      </c>
      <c r="Q3318" s="16">
        <v>75417</v>
      </c>
    </row>
    <row r="3319" spans="1:17" ht="201.6" x14ac:dyDescent="0.3">
      <c r="A3319" s="16" t="s">
        <v>7724</v>
      </c>
      <c r="B3319" s="16" t="s">
        <v>7748</v>
      </c>
      <c r="C3319" s="16" t="s">
        <v>7628</v>
      </c>
      <c r="D3319" s="16" t="s">
        <v>7597</v>
      </c>
      <c r="E3319" s="16" t="s">
        <v>1507</v>
      </c>
      <c r="F3319" s="16" t="s">
        <v>1508</v>
      </c>
      <c r="G3319" s="16" t="s">
        <v>32</v>
      </c>
      <c r="H3319" s="16" t="s">
        <v>1510</v>
      </c>
      <c r="I3319" s="16"/>
      <c r="J3319" s="16" t="s">
        <v>106</v>
      </c>
      <c r="K3319" s="16"/>
      <c r="L3319" s="16"/>
      <c r="M3319" s="19" t="s">
        <v>1509</v>
      </c>
      <c r="N3319" s="16"/>
      <c r="O3319" s="16" t="s">
        <v>1507</v>
      </c>
      <c r="P3319" s="16" t="str">
        <f>HYPERLINK("https://ceds.ed.gov/cedselementdetails.aspx?termid=26033")</f>
        <v>https://ceds.ed.gov/cedselementdetails.aspx?termid=26033</v>
      </c>
      <c r="Q3319" s="16">
        <v>72038</v>
      </c>
    </row>
    <row r="3320" spans="1:17" ht="216" x14ac:dyDescent="0.3">
      <c r="A3320" s="16" t="s">
        <v>7724</v>
      </c>
      <c r="B3320" s="16" t="s">
        <v>7748</v>
      </c>
      <c r="C3320" s="16" t="s">
        <v>7628</v>
      </c>
      <c r="D3320" s="16" t="s">
        <v>7597</v>
      </c>
      <c r="E3320" s="16" t="s">
        <v>6662</v>
      </c>
      <c r="F3320" s="16" t="s">
        <v>6663</v>
      </c>
      <c r="G3320" s="16" t="s">
        <v>8831</v>
      </c>
      <c r="H3320" s="16" t="s">
        <v>6666</v>
      </c>
      <c r="I3320" s="16"/>
      <c r="J3320" s="16"/>
      <c r="K3320" s="16"/>
      <c r="L3320" s="16" t="s">
        <v>6664</v>
      </c>
      <c r="M3320" s="19" t="s">
        <v>6665</v>
      </c>
      <c r="N3320" s="16"/>
      <c r="O3320" s="16" t="s">
        <v>6662</v>
      </c>
      <c r="P3320" s="16" t="str">
        <f>HYPERLINK("https://ceds.ed.gov/cedselementdetails.aspx?termid=26255")</f>
        <v>https://ceds.ed.gov/cedselementdetails.aspx?termid=26255</v>
      </c>
      <c r="Q3320" s="16">
        <v>72170</v>
      </c>
    </row>
    <row r="3321" spans="1:17" ht="201.6" x14ac:dyDescent="0.3">
      <c r="A3321" s="16" t="s">
        <v>7724</v>
      </c>
      <c r="B3321" s="16" t="s">
        <v>7748</v>
      </c>
      <c r="C3321" s="16" t="s">
        <v>7628</v>
      </c>
      <c r="D3321" s="16" t="s">
        <v>7597</v>
      </c>
      <c r="E3321" s="16" t="s">
        <v>348</v>
      </c>
      <c r="F3321" s="16" t="s">
        <v>349</v>
      </c>
      <c r="G3321" s="16" t="s">
        <v>8319</v>
      </c>
      <c r="H3321" s="16" t="s">
        <v>353</v>
      </c>
      <c r="I3321" s="16"/>
      <c r="J3321" s="16"/>
      <c r="K3321" s="16"/>
      <c r="L3321" s="16" t="s">
        <v>7828</v>
      </c>
      <c r="M3321" s="19" t="s">
        <v>350</v>
      </c>
      <c r="N3321" s="16" t="s">
        <v>351</v>
      </c>
      <c r="O3321" s="16" t="s">
        <v>352</v>
      </c>
      <c r="P3321" s="16" t="str">
        <f>HYPERLINK("https://ceds.ed.gov/cedselementdetails.aspx?termid=26655")</f>
        <v>https://ceds.ed.gov/cedselementdetails.aspx?termid=26655</v>
      </c>
      <c r="Q3321" s="16">
        <v>72172</v>
      </c>
    </row>
    <row r="3322" spans="1:17" ht="201.6" x14ac:dyDescent="0.3">
      <c r="A3322" s="16" t="s">
        <v>7724</v>
      </c>
      <c r="B3322" s="16" t="s">
        <v>7748</v>
      </c>
      <c r="C3322" s="16" t="s">
        <v>7628</v>
      </c>
      <c r="D3322" s="16" t="s">
        <v>7597</v>
      </c>
      <c r="E3322" s="16" t="s">
        <v>373</v>
      </c>
      <c r="F3322" s="16" t="s">
        <v>374</v>
      </c>
      <c r="G3322" s="16" t="s">
        <v>8319</v>
      </c>
      <c r="H3322" s="16" t="s">
        <v>353</v>
      </c>
      <c r="I3322" s="16"/>
      <c r="J3322" s="16"/>
      <c r="K3322" s="16"/>
      <c r="L3322" s="16" t="s">
        <v>7828</v>
      </c>
      <c r="M3322" s="19" t="s">
        <v>375</v>
      </c>
      <c r="N3322" s="16" t="s">
        <v>376</v>
      </c>
      <c r="O3322" s="16" t="s">
        <v>373</v>
      </c>
      <c r="P3322" s="16" t="str">
        <f>HYPERLINK("https://ceds.ed.gov/cedselementdetails.aspx?termid=26656")</f>
        <v>https://ceds.ed.gov/cedselementdetails.aspx?termid=26656</v>
      </c>
      <c r="Q3322" s="16">
        <v>72173</v>
      </c>
    </row>
    <row r="3323" spans="1:17" ht="201.6" x14ac:dyDescent="0.3">
      <c r="A3323" s="16" t="s">
        <v>7724</v>
      </c>
      <c r="B3323" s="16" t="s">
        <v>7748</v>
      </c>
      <c r="C3323" s="16" t="s">
        <v>7628</v>
      </c>
      <c r="D3323" s="16" t="s">
        <v>7597</v>
      </c>
      <c r="E3323" s="16" t="s">
        <v>1517</v>
      </c>
      <c r="F3323" s="16" t="s">
        <v>1518</v>
      </c>
      <c r="G3323" s="16" t="s">
        <v>8319</v>
      </c>
      <c r="H3323" s="16" t="s">
        <v>353</v>
      </c>
      <c r="I3323" s="16"/>
      <c r="J3323" s="16"/>
      <c r="K3323" s="16"/>
      <c r="L3323" s="16" t="s">
        <v>7828</v>
      </c>
      <c r="M3323" s="19" t="s">
        <v>1519</v>
      </c>
      <c r="N3323" s="16" t="s">
        <v>1520</v>
      </c>
      <c r="O3323" s="16" t="s">
        <v>1521</v>
      </c>
      <c r="P3323" s="16" t="str">
        <f>HYPERLINK("https://ceds.ed.gov/cedselementdetails.aspx?termid=26657")</f>
        <v>https://ceds.ed.gov/cedselementdetails.aspx?termid=26657</v>
      </c>
      <c r="Q3323" s="16">
        <v>72174</v>
      </c>
    </row>
    <row r="3324" spans="1:17" ht="201.6" x14ac:dyDescent="0.3">
      <c r="A3324" s="16" t="s">
        <v>7724</v>
      </c>
      <c r="B3324" s="16" t="s">
        <v>7748</v>
      </c>
      <c r="C3324" s="16" t="s">
        <v>7628</v>
      </c>
      <c r="D3324" s="16" t="s">
        <v>7597</v>
      </c>
      <c r="E3324" s="16" t="s">
        <v>5454</v>
      </c>
      <c r="F3324" s="16" t="s">
        <v>5455</v>
      </c>
      <c r="G3324" s="16" t="s">
        <v>8319</v>
      </c>
      <c r="H3324" s="16" t="s">
        <v>353</v>
      </c>
      <c r="I3324" s="16"/>
      <c r="J3324" s="16"/>
      <c r="K3324" s="16"/>
      <c r="L3324" s="16" t="s">
        <v>7828</v>
      </c>
      <c r="M3324" s="19" t="s">
        <v>5456</v>
      </c>
      <c r="N3324" s="16" t="s">
        <v>5457</v>
      </c>
      <c r="O3324" s="16" t="s">
        <v>5458</v>
      </c>
      <c r="P3324" s="16" t="str">
        <f>HYPERLINK("https://ceds.ed.gov/cedselementdetails.aspx?termid=26658")</f>
        <v>https://ceds.ed.gov/cedselementdetails.aspx?termid=26658</v>
      </c>
      <c r="Q3324" s="16">
        <v>72175</v>
      </c>
    </row>
    <row r="3325" spans="1:17" ht="201.6" x14ac:dyDescent="0.3">
      <c r="A3325" s="16" t="s">
        <v>7724</v>
      </c>
      <c r="B3325" s="16" t="s">
        <v>7748</v>
      </c>
      <c r="C3325" s="16" t="s">
        <v>7628</v>
      </c>
      <c r="D3325" s="16" t="s">
        <v>7597</v>
      </c>
      <c r="E3325" s="16" t="s">
        <v>7282</v>
      </c>
      <c r="F3325" s="16" t="s">
        <v>7283</v>
      </c>
      <c r="G3325" s="16" t="s">
        <v>8319</v>
      </c>
      <c r="H3325" s="16" t="s">
        <v>353</v>
      </c>
      <c r="I3325" s="16"/>
      <c r="J3325" s="16"/>
      <c r="K3325" s="16"/>
      <c r="L3325" s="16" t="s">
        <v>7828</v>
      </c>
      <c r="M3325" s="19" t="s">
        <v>7284</v>
      </c>
      <c r="N3325" s="16" t="s">
        <v>7285</v>
      </c>
      <c r="O3325" s="16" t="s">
        <v>7282</v>
      </c>
      <c r="P3325" s="16" t="str">
        <f>HYPERLINK("https://ceds.ed.gov/cedselementdetails.aspx?termid=26659")</f>
        <v>https://ceds.ed.gov/cedselementdetails.aspx?termid=26659</v>
      </c>
      <c r="Q3325" s="16">
        <v>72176</v>
      </c>
    </row>
    <row r="3326" spans="1:17" ht="201.6" x14ac:dyDescent="0.3">
      <c r="A3326" s="16" t="s">
        <v>7724</v>
      </c>
      <c r="B3326" s="16" t="s">
        <v>7748</v>
      </c>
      <c r="C3326" s="16" t="s">
        <v>7628</v>
      </c>
      <c r="D3326" s="16" t="s">
        <v>7597</v>
      </c>
      <c r="E3326" s="16" t="s">
        <v>4283</v>
      </c>
      <c r="F3326" s="16" t="s">
        <v>4284</v>
      </c>
      <c r="G3326" s="16" t="s">
        <v>8319</v>
      </c>
      <c r="H3326" s="16" t="s">
        <v>353</v>
      </c>
      <c r="I3326" s="16"/>
      <c r="J3326" s="16"/>
      <c r="K3326" s="16"/>
      <c r="L3326" s="16" t="s">
        <v>7828</v>
      </c>
      <c r="M3326" s="19" t="s">
        <v>4285</v>
      </c>
      <c r="N3326" s="16"/>
      <c r="O3326" s="16" t="s">
        <v>4286</v>
      </c>
      <c r="P3326" s="16" t="str">
        <f>HYPERLINK("https://ceds.ed.gov/cedselementdetails.aspx?termid=26144")</f>
        <v>https://ceds.ed.gov/cedselementdetails.aspx?termid=26144</v>
      </c>
      <c r="Q3326" s="16">
        <v>72171</v>
      </c>
    </row>
    <row r="3327" spans="1:17" ht="86.4" x14ac:dyDescent="0.3">
      <c r="A3327" s="16" t="s">
        <v>7724</v>
      </c>
      <c r="B3327" s="16" t="s">
        <v>7748</v>
      </c>
      <c r="C3327" s="16" t="s">
        <v>7628</v>
      </c>
      <c r="D3327" s="16" t="s">
        <v>7597</v>
      </c>
      <c r="E3327" s="16" t="s">
        <v>7222</v>
      </c>
      <c r="F3327" s="16" t="s">
        <v>7223</v>
      </c>
      <c r="G3327" s="16" t="s">
        <v>8277</v>
      </c>
      <c r="H3327" s="16" t="s">
        <v>7226</v>
      </c>
      <c r="I3327" s="16"/>
      <c r="J3327" s="16"/>
      <c r="K3327" s="16"/>
      <c r="L3327" s="16" t="s">
        <v>6664</v>
      </c>
      <c r="M3327" s="19" t="s">
        <v>7224</v>
      </c>
      <c r="N3327" s="16"/>
      <c r="O3327" s="16" t="s">
        <v>7225</v>
      </c>
      <c r="P3327" s="16" t="str">
        <f>HYPERLINK("https://ceds.ed.gov/cedselementdetails.aspx?termid=26299")</f>
        <v>https://ceds.ed.gov/cedselementdetails.aspx?termid=26299</v>
      </c>
      <c r="Q3327" s="16">
        <v>72177</v>
      </c>
    </row>
    <row r="3328" spans="1:17" ht="72" x14ac:dyDescent="0.3">
      <c r="A3328" s="16" t="s">
        <v>7724</v>
      </c>
      <c r="B3328" s="16" t="s">
        <v>7748</v>
      </c>
      <c r="C3328" s="16" t="s">
        <v>7628</v>
      </c>
      <c r="D3328" s="16" t="s">
        <v>7597</v>
      </c>
      <c r="E3328" s="16" t="s">
        <v>3038</v>
      </c>
      <c r="F3328" s="16" t="s">
        <v>3039</v>
      </c>
      <c r="G3328" s="16" t="s">
        <v>22</v>
      </c>
      <c r="H3328" s="16"/>
      <c r="I3328" s="16"/>
      <c r="J3328" s="16"/>
      <c r="K3328" s="16"/>
      <c r="L3328" s="16" t="s">
        <v>3040</v>
      </c>
      <c r="M3328" s="19" t="s">
        <v>3041</v>
      </c>
      <c r="N3328" s="16"/>
      <c r="O3328" s="16" t="s">
        <v>3042</v>
      </c>
      <c r="P3328" s="16" t="str">
        <f>HYPERLINK("https://ceds.ed.gov/cedselementdetails.aspx?termid=26974")</f>
        <v>https://ceds.ed.gov/cedselementdetails.aspx?termid=26974</v>
      </c>
      <c r="Q3328" s="16">
        <v>75179</v>
      </c>
    </row>
    <row r="3329" spans="1:17" ht="409.6" x14ac:dyDescent="0.3">
      <c r="A3329" s="16" t="s">
        <v>7724</v>
      </c>
      <c r="B3329" s="16" t="s">
        <v>7748</v>
      </c>
      <c r="C3329" s="16" t="s">
        <v>7628</v>
      </c>
      <c r="D3329" s="16" t="s">
        <v>7597</v>
      </c>
      <c r="E3329" s="16" t="s">
        <v>2488</v>
      </c>
      <c r="F3329" s="16" t="s">
        <v>2489</v>
      </c>
      <c r="G3329" s="16" t="s">
        <v>8454</v>
      </c>
      <c r="H3329" s="16" t="s">
        <v>2492</v>
      </c>
      <c r="I3329" s="16"/>
      <c r="J3329" s="16"/>
      <c r="K3329" s="16"/>
      <c r="L3329" s="16" t="s">
        <v>7915</v>
      </c>
      <c r="M3329" s="19" t="s">
        <v>2490</v>
      </c>
      <c r="N3329" s="16"/>
      <c r="O3329" s="16" t="s">
        <v>2491</v>
      </c>
      <c r="P3329" s="16" t="str">
        <f>HYPERLINK("https://ceds.ed.gov/cedselementdetails.aspx?termid=26051")</f>
        <v>https://ceds.ed.gov/cedselementdetails.aspx?termid=26051</v>
      </c>
      <c r="Q3329" s="16">
        <v>75418</v>
      </c>
    </row>
    <row r="3330" spans="1:17" ht="100.8" x14ac:dyDescent="0.3">
      <c r="A3330" s="16" t="s">
        <v>7724</v>
      </c>
      <c r="B3330" s="16" t="s">
        <v>7748</v>
      </c>
      <c r="C3330" s="16" t="s">
        <v>7628</v>
      </c>
      <c r="D3330" s="16" t="s">
        <v>7597</v>
      </c>
      <c r="E3330" s="16" t="s">
        <v>5395</v>
      </c>
      <c r="F3330" s="16" t="s">
        <v>8092</v>
      </c>
      <c r="G3330" s="16" t="s">
        <v>8728</v>
      </c>
      <c r="H3330" s="16"/>
      <c r="I3330" s="16"/>
      <c r="J3330" s="16"/>
      <c r="K3330" s="16"/>
      <c r="L3330" s="16"/>
      <c r="M3330" s="19" t="s">
        <v>5396</v>
      </c>
      <c r="N3330" s="16"/>
      <c r="O3330" s="16" t="s">
        <v>5397</v>
      </c>
      <c r="P3330" s="16" t="str">
        <f>HYPERLINK("https://ceds.ed.gov/cedselementdetails.aspx?termid=27621")</f>
        <v>https://ceds.ed.gov/cedselementdetails.aspx?termid=27621</v>
      </c>
      <c r="Q3330" s="16">
        <v>75419</v>
      </c>
    </row>
    <row r="3331" spans="1:17" ht="57.6" x14ac:dyDescent="0.3">
      <c r="A3331" s="16" t="s">
        <v>7724</v>
      </c>
      <c r="B3331" s="16" t="s">
        <v>7748</v>
      </c>
      <c r="C3331" s="16" t="s">
        <v>7628</v>
      </c>
      <c r="D3331" s="16" t="s">
        <v>7597</v>
      </c>
      <c r="E3331" s="16" t="s">
        <v>7181</v>
      </c>
      <c r="F3331" s="16" t="s">
        <v>7182</v>
      </c>
      <c r="G3331" s="16" t="s">
        <v>7313</v>
      </c>
      <c r="H3331" s="16"/>
      <c r="I3331" s="16"/>
      <c r="J3331" s="16"/>
      <c r="K3331" s="16"/>
      <c r="L3331" s="16"/>
      <c r="M3331" s="19" t="s">
        <v>7183</v>
      </c>
      <c r="N3331" s="16"/>
      <c r="O3331" s="16" t="s">
        <v>7184</v>
      </c>
      <c r="P3331" s="16" t="str">
        <f>HYPERLINK("https://ceds.ed.gov/cedselementdetails.aspx?termid=27638")</f>
        <v>https://ceds.ed.gov/cedselementdetails.aspx?termid=27638</v>
      </c>
      <c r="Q3331" s="16">
        <v>75420</v>
      </c>
    </row>
    <row r="3332" spans="1:17" ht="57.6" x14ac:dyDescent="0.3">
      <c r="A3332" s="16" t="s">
        <v>7724</v>
      </c>
      <c r="B3332" s="16" t="s">
        <v>7748</v>
      </c>
      <c r="C3332" s="16" t="s">
        <v>7628</v>
      </c>
      <c r="D3332" s="16" t="s">
        <v>7597</v>
      </c>
      <c r="E3332" s="16" t="s">
        <v>7418</v>
      </c>
      <c r="F3332" s="16" t="s">
        <v>7419</v>
      </c>
      <c r="G3332" s="16" t="s">
        <v>22</v>
      </c>
      <c r="H3332" s="16"/>
      <c r="I3332" s="16"/>
      <c r="J3332" s="16"/>
      <c r="K3332" s="16"/>
      <c r="L3332" s="16"/>
      <c r="M3332" s="19" t="s">
        <v>7420</v>
      </c>
      <c r="N3332" s="16"/>
      <c r="O3332" s="16" t="s">
        <v>7421</v>
      </c>
      <c r="P3332" s="16" t="str">
        <f>HYPERLINK("https://ceds.ed.gov/cedselementdetails.aspx?termid=27932")</f>
        <v>https://ceds.ed.gov/cedselementdetails.aspx?termid=27932</v>
      </c>
      <c r="Q3332" s="16">
        <v>75609</v>
      </c>
    </row>
    <row r="3333" spans="1:17" ht="115.2" x14ac:dyDescent="0.3">
      <c r="A3333" s="16" t="s">
        <v>7724</v>
      </c>
      <c r="B3333" s="16" t="s">
        <v>7748</v>
      </c>
      <c r="C3333" s="16" t="s">
        <v>7628</v>
      </c>
      <c r="D3333" s="16" t="s">
        <v>7597</v>
      </c>
      <c r="E3333" s="16" t="s">
        <v>7422</v>
      </c>
      <c r="F3333" s="16" t="s">
        <v>7423</v>
      </c>
      <c r="G3333" s="16" t="s">
        <v>2987</v>
      </c>
      <c r="H3333" s="16"/>
      <c r="I3333" s="16"/>
      <c r="J3333" s="16"/>
      <c r="K3333" s="16"/>
      <c r="L3333" s="16"/>
      <c r="M3333" s="19" t="s">
        <v>7424</v>
      </c>
      <c r="N3333" s="16"/>
      <c r="O3333" s="16" t="s">
        <v>7425</v>
      </c>
      <c r="P3333" s="16" t="str">
        <f>HYPERLINK("https://ceds.ed.gov/cedselementdetails.aspx?termid=27933")</f>
        <v>https://ceds.ed.gov/cedselementdetails.aspx?termid=27933</v>
      </c>
      <c r="Q3333" s="16">
        <v>75610</v>
      </c>
    </row>
    <row r="3334" spans="1:17" ht="144" x14ac:dyDescent="0.3">
      <c r="A3334" s="16" t="s">
        <v>7724</v>
      </c>
      <c r="B3334" s="16" t="s">
        <v>7748</v>
      </c>
      <c r="C3334" s="16" t="s">
        <v>7628</v>
      </c>
      <c r="D3334" s="16" t="s">
        <v>7597</v>
      </c>
      <c r="E3334" s="16" t="s">
        <v>7527</v>
      </c>
      <c r="F3334" s="16" t="s">
        <v>7528</v>
      </c>
      <c r="G3334" s="16" t="s">
        <v>8811</v>
      </c>
      <c r="H3334" s="16"/>
      <c r="I3334" s="16"/>
      <c r="J3334" s="16"/>
      <c r="K3334" s="16"/>
      <c r="L3334" s="16" t="s">
        <v>7529</v>
      </c>
      <c r="M3334" s="19" t="s">
        <v>7530</v>
      </c>
      <c r="N3334" s="16"/>
      <c r="O3334" s="16" t="s">
        <v>7527</v>
      </c>
      <c r="P3334" s="16" t="str">
        <f>HYPERLINK("https://ceds.ed.gov/cedselementdetails.aspx?termid=27955")</f>
        <v>https://ceds.ed.gov/cedselementdetails.aspx?termid=27955</v>
      </c>
      <c r="Q3334" s="16">
        <v>75611</v>
      </c>
    </row>
    <row r="3335" spans="1:17" ht="158.4" x14ac:dyDescent="0.3">
      <c r="A3335" s="16" t="s">
        <v>7724</v>
      </c>
      <c r="B3335" s="16" t="s">
        <v>7748</v>
      </c>
      <c r="C3335" s="16" t="s">
        <v>7658</v>
      </c>
      <c r="D3335" s="16" t="s">
        <v>7597</v>
      </c>
      <c r="E3335" s="16" t="s">
        <v>4278</v>
      </c>
      <c r="F3335" s="16" t="s">
        <v>4279</v>
      </c>
      <c r="G3335" s="16" t="s">
        <v>32</v>
      </c>
      <c r="H3335" s="16" t="s">
        <v>4282</v>
      </c>
      <c r="I3335" s="16"/>
      <c r="J3335" s="16" t="s">
        <v>106</v>
      </c>
      <c r="K3335" s="16"/>
      <c r="L3335" s="16" t="s">
        <v>8057</v>
      </c>
      <c r="M3335" s="19" t="s">
        <v>4280</v>
      </c>
      <c r="N3335" s="16"/>
      <c r="O3335" s="16" t="s">
        <v>4281</v>
      </c>
      <c r="P3335" s="16" t="str">
        <f>HYPERLINK("https://ceds.ed.gov/cedselementdetails.aspx?termid=26143")</f>
        <v>https://ceds.ed.gov/cedselementdetails.aspx?termid=26143</v>
      </c>
      <c r="Q3335" s="16">
        <v>72154</v>
      </c>
    </row>
    <row r="3336" spans="1:17" ht="57.6" x14ac:dyDescent="0.3">
      <c r="A3336" s="16" t="s">
        <v>7724</v>
      </c>
      <c r="B3336" s="16" t="s">
        <v>7748</v>
      </c>
      <c r="C3336" s="16" t="s">
        <v>7658</v>
      </c>
      <c r="D3336" s="16" t="s">
        <v>7597</v>
      </c>
      <c r="E3336" s="16" t="s">
        <v>3462</v>
      </c>
      <c r="F3336" s="16" t="s">
        <v>3463</v>
      </c>
      <c r="G3336" s="16" t="s">
        <v>32</v>
      </c>
      <c r="H3336" s="16" t="s">
        <v>195</v>
      </c>
      <c r="I3336" s="16"/>
      <c r="J3336" s="16" t="s">
        <v>106</v>
      </c>
      <c r="K3336" s="16"/>
      <c r="L3336" s="16" t="s">
        <v>131</v>
      </c>
      <c r="M3336" s="19" t="s">
        <v>3464</v>
      </c>
      <c r="N3336" s="16"/>
      <c r="O3336" s="16" t="s">
        <v>3465</v>
      </c>
      <c r="P3336" s="16" t="str">
        <f>HYPERLINK("https://ceds.ed.gov/cedselementdetails.aspx?termid=26794")</f>
        <v>https://ceds.ed.gov/cedselementdetails.aspx?termid=26794</v>
      </c>
      <c r="Q3336" s="16">
        <v>73701</v>
      </c>
    </row>
    <row r="3337" spans="1:17" ht="57.6" x14ac:dyDescent="0.3">
      <c r="A3337" s="16" t="s">
        <v>7724</v>
      </c>
      <c r="B3337" s="16" t="s">
        <v>7748</v>
      </c>
      <c r="C3337" s="16" t="s">
        <v>7658</v>
      </c>
      <c r="D3337" s="16" t="s">
        <v>7597</v>
      </c>
      <c r="E3337" s="16" t="s">
        <v>3498</v>
      </c>
      <c r="F3337" s="16" t="s">
        <v>3499</v>
      </c>
      <c r="G3337" s="16" t="s">
        <v>32</v>
      </c>
      <c r="H3337" s="16" t="s">
        <v>3502</v>
      </c>
      <c r="I3337" s="16"/>
      <c r="J3337" s="16" t="s">
        <v>106</v>
      </c>
      <c r="K3337" s="16"/>
      <c r="L3337" s="16"/>
      <c r="M3337" s="19" t="s">
        <v>3500</v>
      </c>
      <c r="N3337" s="16"/>
      <c r="O3337" s="16" t="s">
        <v>3501</v>
      </c>
      <c r="P3337" s="16" t="str">
        <f>HYPERLINK("https://ceds.ed.gov/cedselementdetails.aspx?termid=26345")</f>
        <v>https://ceds.ed.gov/cedselementdetails.aspx?termid=26345</v>
      </c>
      <c r="Q3337" s="16">
        <v>73706</v>
      </c>
    </row>
    <row r="3338" spans="1:17" ht="144" x14ac:dyDescent="0.3">
      <c r="A3338" s="16" t="s">
        <v>7724</v>
      </c>
      <c r="B3338" s="16" t="s">
        <v>7748</v>
      </c>
      <c r="C3338" s="16" t="s">
        <v>7658</v>
      </c>
      <c r="D3338" s="16" t="s">
        <v>7597</v>
      </c>
      <c r="E3338" s="16" t="s">
        <v>4041</v>
      </c>
      <c r="F3338" s="16" t="s">
        <v>4042</v>
      </c>
      <c r="G3338" s="16" t="s">
        <v>8233</v>
      </c>
      <c r="H3338" s="16" t="s">
        <v>69</v>
      </c>
      <c r="I3338" s="16"/>
      <c r="J3338" s="16"/>
      <c r="K3338" s="16"/>
      <c r="L3338" s="16" t="s">
        <v>8052</v>
      </c>
      <c r="M3338" s="19" t="s">
        <v>4043</v>
      </c>
      <c r="N3338" s="16"/>
      <c r="O3338" s="16" t="s">
        <v>4044</v>
      </c>
      <c r="P3338" s="16" t="str">
        <f>HYPERLINK("https://ceds.ed.gov/cedselementdetails.aspx?termid=26713")</f>
        <v>https://ceds.ed.gov/cedselementdetails.aspx?termid=26713</v>
      </c>
      <c r="Q3338" s="16">
        <v>72161</v>
      </c>
    </row>
    <row r="3339" spans="1:17" ht="86.4" x14ac:dyDescent="0.3">
      <c r="A3339" s="16" t="s">
        <v>7724</v>
      </c>
      <c r="B3339" s="16" t="s">
        <v>7748</v>
      </c>
      <c r="C3339" s="16" t="s">
        <v>7658</v>
      </c>
      <c r="D3339" s="16" t="s">
        <v>7597</v>
      </c>
      <c r="E3339" s="16" t="s">
        <v>4741</v>
      </c>
      <c r="F3339" s="16" t="s">
        <v>4742</v>
      </c>
      <c r="G3339" s="16" t="s">
        <v>8237</v>
      </c>
      <c r="H3339" s="16" t="s">
        <v>69</v>
      </c>
      <c r="I3339" s="16"/>
      <c r="J3339" s="16"/>
      <c r="K3339" s="16"/>
      <c r="L3339" s="16" t="s">
        <v>4743</v>
      </c>
      <c r="M3339" s="19" t="s">
        <v>4744</v>
      </c>
      <c r="N3339" s="16"/>
      <c r="O3339" s="16" t="s">
        <v>4745</v>
      </c>
      <c r="P3339" s="16" t="str">
        <f>HYPERLINK("https://ceds.ed.gov/cedselementdetails.aspx?termid=26712")</f>
        <v>https://ceds.ed.gov/cedselementdetails.aspx?termid=26712</v>
      </c>
      <c r="Q3339" s="16">
        <v>72160</v>
      </c>
    </row>
    <row r="3340" spans="1:17" ht="72" x14ac:dyDescent="0.3">
      <c r="A3340" s="16" t="s">
        <v>7724</v>
      </c>
      <c r="B3340" s="16" t="s">
        <v>7748</v>
      </c>
      <c r="C3340" s="16" t="s">
        <v>7658</v>
      </c>
      <c r="D3340" s="16" t="s">
        <v>7597</v>
      </c>
      <c r="E3340" s="16" t="s">
        <v>4750</v>
      </c>
      <c r="F3340" s="16" t="s">
        <v>8064</v>
      </c>
      <c r="G3340" s="16" t="s">
        <v>22</v>
      </c>
      <c r="H3340" s="16"/>
      <c r="I3340" s="16"/>
      <c r="J3340" s="16"/>
      <c r="K3340" s="16"/>
      <c r="L3340" s="16" t="s">
        <v>3840</v>
      </c>
      <c r="M3340" s="19" t="s">
        <v>4751</v>
      </c>
      <c r="N3340" s="16"/>
      <c r="O3340" s="16" t="s">
        <v>4752</v>
      </c>
      <c r="P3340" s="16" t="str">
        <f>HYPERLINK("https://ceds.ed.gov/cedselementdetails.aspx?termid=26709")</f>
        <v>https://ceds.ed.gov/cedselementdetails.aspx?termid=26709</v>
      </c>
      <c r="Q3340" s="16">
        <v>72157</v>
      </c>
    </row>
    <row r="3341" spans="1:17" ht="360" x14ac:dyDescent="0.3">
      <c r="A3341" s="16" t="s">
        <v>7724</v>
      </c>
      <c r="B3341" s="16" t="s">
        <v>7748</v>
      </c>
      <c r="C3341" s="16" t="s">
        <v>7658</v>
      </c>
      <c r="D3341" s="16" t="s">
        <v>7597</v>
      </c>
      <c r="E3341" s="16" t="s">
        <v>3838</v>
      </c>
      <c r="F3341" s="16" t="s">
        <v>3839</v>
      </c>
      <c r="G3341" s="16" t="s">
        <v>22</v>
      </c>
      <c r="H3341" s="16" t="s">
        <v>69</v>
      </c>
      <c r="I3341" s="16"/>
      <c r="J3341" s="16"/>
      <c r="K3341" s="16"/>
      <c r="L3341" s="16" t="s">
        <v>3840</v>
      </c>
      <c r="M3341" s="19" t="s">
        <v>3841</v>
      </c>
      <c r="N3341" s="16"/>
      <c r="O3341" s="16" t="s">
        <v>3842</v>
      </c>
      <c r="P3341" s="16" t="str">
        <f>HYPERLINK("https://ceds.ed.gov/cedselementdetails.aspx?termid=26711")</f>
        <v>https://ceds.ed.gov/cedselementdetails.aspx?termid=26711</v>
      </c>
      <c r="Q3341" s="16">
        <v>72159</v>
      </c>
    </row>
    <row r="3342" spans="1:17" ht="72" x14ac:dyDescent="0.3">
      <c r="A3342" s="16" t="s">
        <v>7724</v>
      </c>
      <c r="B3342" s="16" t="s">
        <v>7748</v>
      </c>
      <c r="C3342" s="16" t="s">
        <v>7658</v>
      </c>
      <c r="D3342" s="16" t="s">
        <v>7597</v>
      </c>
      <c r="E3342" s="16" t="s">
        <v>4746</v>
      </c>
      <c r="F3342" s="16" t="s">
        <v>4747</v>
      </c>
      <c r="G3342" s="16" t="s">
        <v>8666</v>
      </c>
      <c r="H3342" s="16" t="s">
        <v>69</v>
      </c>
      <c r="I3342" s="16"/>
      <c r="J3342" s="16"/>
      <c r="K3342" s="16"/>
      <c r="L3342" s="16" t="s">
        <v>2453</v>
      </c>
      <c r="M3342" s="19" t="s">
        <v>4748</v>
      </c>
      <c r="N3342" s="16"/>
      <c r="O3342" s="16" t="s">
        <v>4749</v>
      </c>
      <c r="P3342" s="16" t="str">
        <f>HYPERLINK("https://ceds.ed.gov/cedselementdetails.aspx?termid=26716")</f>
        <v>https://ceds.ed.gov/cedselementdetails.aspx?termid=26716</v>
      </c>
      <c r="Q3342" s="16">
        <v>72164</v>
      </c>
    </row>
    <row r="3343" spans="1:17" ht="144" x14ac:dyDescent="0.3">
      <c r="A3343" s="16" t="s">
        <v>7724</v>
      </c>
      <c r="B3343" s="16" t="s">
        <v>7748</v>
      </c>
      <c r="C3343" s="16" t="s">
        <v>7658</v>
      </c>
      <c r="D3343" s="16" t="s">
        <v>7597</v>
      </c>
      <c r="E3343" s="16" t="s">
        <v>5309</v>
      </c>
      <c r="F3343" s="16" t="s">
        <v>8089</v>
      </c>
      <c r="G3343" s="16" t="s">
        <v>22</v>
      </c>
      <c r="H3343" s="16" t="s">
        <v>69</v>
      </c>
      <c r="I3343" s="16"/>
      <c r="J3343" s="16"/>
      <c r="K3343" s="16"/>
      <c r="L3343" s="16" t="s">
        <v>3840</v>
      </c>
      <c r="M3343" s="19" t="s">
        <v>5310</v>
      </c>
      <c r="N3343" s="16"/>
      <c r="O3343" s="16" t="s">
        <v>5311</v>
      </c>
      <c r="P3343" s="16" t="str">
        <f>HYPERLINK("https://ceds.ed.gov/cedselementdetails.aspx?termid=26710")</f>
        <v>https://ceds.ed.gov/cedselementdetails.aspx?termid=26710</v>
      </c>
      <c r="Q3343" s="16">
        <v>72158</v>
      </c>
    </row>
    <row r="3344" spans="1:17" ht="144" x14ac:dyDescent="0.3">
      <c r="A3344" s="16" t="s">
        <v>7724</v>
      </c>
      <c r="B3344" s="16" t="s">
        <v>7748</v>
      </c>
      <c r="C3344" s="16" t="s">
        <v>7658</v>
      </c>
      <c r="D3344" s="16" t="s">
        <v>7597</v>
      </c>
      <c r="E3344" s="16" t="s">
        <v>4185</v>
      </c>
      <c r="F3344" s="16" t="s">
        <v>8055</v>
      </c>
      <c r="G3344" s="16" t="s">
        <v>22</v>
      </c>
      <c r="H3344" s="16" t="s">
        <v>69</v>
      </c>
      <c r="I3344" s="16"/>
      <c r="J3344" s="16"/>
      <c r="K3344" s="16"/>
      <c r="L3344" s="16" t="s">
        <v>356</v>
      </c>
      <c r="M3344" s="19" t="s">
        <v>4186</v>
      </c>
      <c r="N3344" s="16"/>
      <c r="O3344" s="16" t="s">
        <v>4187</v>
      </c>
      <c r="P3344" s="16" t="str">
        <f>HYPERLINK("https://ceds.ed.gov/cedselementdetails.aspx?termid=26720")</f>
        <v>https://ceds.ed.gov/cedselementdetails.aspx?termid=26720</v>
      </c>
      <c r="Q3344" s="16">
        <v>72167</v>
      </c>
    </row>
    <row r="3345" spans="1:17" ht="72" x14ac:dyDescent="0.3">
      <c r="A3345" s="16" t="s">
        <v>7724</v>
      </c>
      <c r="B3345" s="16" t="s">
        <v>7748</v>
      </c>
      <c r="C3345" s="16" t="s">
        <v>7658</v>
      </c>
      <c r="D3345" s="16" t="s">
        <v>7597</v>
      </c>
      <c r="E3345" s="16" t="s">
        <v>2451</v>
      </c>
      <c r="F3345" s="16" t="s">
        <v>2452</v>
      </c>
      <c r="G3345" s="16" t="s">
        <v>8215</v>
      </c>
      <c r="H3345" s="16" t="s">
        <v>69</v>
      </c>
      <c r="I3345" s="16"/>
      <c r="J3345" s="16"/>
      <c r="K3345" s="16"/>
      <c r="L3345" s="16" t="s">
        <v>2453</v>
      </c>
      <c r="M3345" s="19" t="s">
        <v>2454</v>
      </c>
      <c r="N3345" s="16"/>
      <c r="O3345" s="16" t="s">
        <v>2455</v>
      </c>
      <c r="P3345" s="16" t="str">
        <f>HYPERLINK("https://ceds.ed.gov/cedselementdetails.aspx?termid=26714")</f>
        <v>https://ceds.ed.gov/cedselementdetails.aspx?termid=26714</v>
      </c>
      <c r="Q3345" s="16">
        <v>72162</v>
      </c>
    </row>
    <row r="3346" spans="1:17" ht="100.8" x14ac:dyDescent="0.3">
      <c r="A3346" s="16" t="s">
        <v>7724</v>
      </c>
      <c r="B3346" s="16" t="s">
        <v>7748</v>
      </c>
      <c r="C3346" s="16" t="s">
        <v>7658</v>
      </c>
      <c r="D3346" s="16" t="s">
        <v>7597</v>
      </c>
      <c r="E3346" s="16" t="s">
        <v>65</v>
      </c>
      <c r="F3346" s="16" t="s">
        <v>7814</v>
      </c>
      <c r="G3346" s="16" t="s">
        <v>8284</v>
      </c>
      <c r="H3346" s="16" t="s">
        <v>69</v>
      </c>
      <c r="I3346" s="16"/>
      <c r="J3346" s="16"/>
      <c r="K3346" s="16"/>
      <c r="L3346" s="16" t="s">
        <v>7815</v>
      </c>
      <c r="M3346" s="19" t="s">
        <v>67</v>
      </c>
      <c r="N3346" s="16"/>
      <c r="O3346" s="16" t="s">
        <v>68</v>
      </c>
      <c r="P3346" s="16" t="str">
        <f>HYPERLINK("https://ceds.ed.gov/cedselementdetails.aspx?termid=26717")</f>
        <v>https://ceds.ed.gov/cedselementdetails.aspx?termid=26717</v>
      </c>
      <c r="Q3346" s="16">
        <v>72165</v>
      </c>
    </row>
    <row r="3347" spans="1:17" ht="115.2" x14ac:dyDescent="0.3">
      <c r="A3347" s="16" t="s">
        <v>7724</v>
      </c>
      <c r="B3347" s="16" t="s">
        <v>7748</v>
      </c>
      <c r="C3347" s="16" t="s">
        <v>7658</v>
      </c>
      <c r="D3347" s="16" t="s">
        <v>7597</v>
      </c>
      <c r="E3347" s="16" t="s">
        <v>6823</v>
      </c>
      <c r="F3347" s="16" t="s">
        <v>8155</v>
      </c>
      <c r="G3347" s="16" t="s">
        <v>32</v>
      </c>
      <c r="H3347" s="16" t="s">
        <v>69</v>
      </c>
      <c r="I3347" s="16"/>
      <c r="J3347" s="16" t="s">
        <v>6824</v>
      </c>
      <c r="K3347" s="16"/>
      <c r="L3347" s="16"/>
      <c r="M3347" s="19" t="s">
        <v>6825</v>
      </c>
      <c r="N3347" s="16"/>
      <c r="O3347" s="16" t="s">
        <v>6826</v>
      </c>
      <c r="P3347" s="16" t="str">
        <f>HYPERLINK("https://ceds.ed.gov/cedselementdetails.aspx?termid=26707")</f>
        <v>https://ceds.ed.gov/cedselementdetails.aspx?termid=26707</v>
      </c>
      <c r="Q3347" s="16">
        <v>72155</v>
      </c>
    </row>
    <row r="3348" spans="1:17" ht="273.60000000000002" x14ac:dyDescent="0.3">
      <c r="A3348" s="16" t="s">
        <v>7724</v>
      </c>
      <c r="B3348" s="16" t="s">
        <v>7748</v>
      </c>
      <c r="C3348" s="16" t="s">
        <v>7658</v>
      </c>
      <c r="D3348" s="16" t="s">
        <v>7597</v>
      </c>
      <c r="E3348" s="16" t="s">
        <v>4844</v>
      </c>
      <c r="F3348" s="16" t="s">
        <v>4845</v>
      </c>
      <c r="G3348" s="16" t="s">
        <v>8239</v>
      </c>
      <c r="H3348" s="16" t="s">
        <v>69</v>
      </c>
      <c r="I3348" s="16"/>
      <c r="J3348" s="16"/>
      <c r="K3348" s="16"/>
      <c r="L3348" s="16" t="s">
        <v>4846</v>
      </c>
      <c r="M3348" s="19" t="s">
        <v>4847</v>
      </c>
      <c r="N3348" s="16"/>
      <c r="O3348" s="16" t="s">
        <v>4848</v>
      </c>
      <c r="P3348" s="16" t="str">
        <f>HYPERLINK("https://ceds.ed.gov/cedselementdetails.aspx?termid=26708")</f>
        <v>https://ceds.ed.gov/cedselementdetails.aspx?termid=26708</v>
      </c>
      <c r="Q3348" s="16">
        <v>72156</v>
      </c>
    </row>
    <row r="3349" spans="1:17" ht="129.6" x14ac:dyDescent="0.3">
      <c r="A3349" s="16" t="s">
        <v>7724</v>
      </c>
      <c r="B3349" s="16" t="s">
        <v>7748</v>
      </c>
      <c r="C3349" s="16" t="s">
        <v>7658</v>
      </c>
      <c r="D3349" s="16" t="s">
        <v>7597</v>
      </c>
      <c r="E3349" s="16" t="s">
        <v>4181</v>
      </c>
      <c r="F3349" s="16" t="s">
        <v>4182</v>
      </c>
      <c r="G3349" s="16" t="s">
        <v>8615</v>
      </c>
      <c r="H3349" s="16" t="s">
        <v>69</v>
      </c>
      <c r="I3349" s="16"/>
      <c r="J3349" s="16"/>
      <c r="K3349" s="16"/>
      <c r="L3349" s="16" t="s">
        <v>2453</v>
      </c>
      <c r="M3349" s="19" t="s">
        <v>4183</v>
      </c>
      <c r="N3349" s="16"/>
      <c r="O3349" s="16" t="s">
        <v>4184</v>
      </c>
      <c r="P3349" s="16" t="str">
        <f>HYPERLINK("https://ceds.ed.gov/cedselementdetails.aspx?termid=26721")</f>
        <v>https://ceds.ed.gov/cedselementdetails.aspx?termid=26721</v>
      </c>
      <c r="Q3349" s="16">
        <v>72168</v>
      </c>
    </row>
    <row r="3350" spans="1:17" ht="100.8" x14ac:dyDescent="0.3">
      <c r="A3350" s="16" t="s">
        <v>7724</v>
      </c>
      <c r="B3350" s="16" t="s">
        <v>7748</v>
      </c>
      <c r="C3350" s="16" t="s">
        <v>7658</v>
      </c>
      <c r="D3350" s="16" t="s">
        <v>7597</v>
      </c>
      <c r="E3350" s="16" t="s">
        <v>4711</v>
      </c>
      <c r="F3350" s="16" t="s">
        <v>8063</v>
      </c>
      <c r="G3350" s="16" t="s">
        <v>8664</v>
      </c>
      <c r="H3350" s="16" t="s">
        <v>69</v>
      </c>
      <c r="I3350" s="16"/>
      <c r="J3350" s="16"/>
      <c r="K3350" s="16"/>
      <c r="L3350" s="16" t="s">
        <v>4712</v>
      </c>
      <c r="M3350" s="19" t="s">
        <v>4713</v>
      </c>
      <c r="N3350" s="16"/>
      <c r="O3350" s="16" t="s">
        <v>4714</v>
      </c>
      <c r="P3350" s="16" t="str">
        <f>HYPERLINK("https://ceds.ed.gov/cedselementdetails.aspx?termid=26719")</f>
        <v>https://ceds.ed.gov/cedselementdetails.aspx?termid=26719</v>
      </c>
      <c r="Q3350" s="16">
        <v>72166</v>
      </c>
    </row>
    <row r="3351" spans="1:17" ht="28.8" x14ac:dyDescent="0.3">
      <c r="A3351" s="16" t="s">
        <v>7724</v>
      </c>
      <c r="B3351" s="16" t="s">
        <v>7748</v>
      </c>
      <c r="C3351" s="16" t="s">
        <v>7658</v>
      </c>
      <c r="D3351" s="16" t="s">
        <v>7597</v>
      </c>
      <c r="E3351" s="16" t="s">
        <v>354</v>
      </c>
      <c r="F3351" s="16" t="s">
        <v>355</v>
      </c>
      <c r="G3351" s="16" t="s">
        <v>32</v>
      </c>
      <c r="H3351" s="16" t="s">
        <v>69</v>
      </c>
      <c r="I3351" s="16"/>
      <c r="J3351" s="16" t="s">
        <v>305</v>
      </c>
      <c r="K3351" s="16"/>
      <c r="L3351" s="16" t="s">
        <v>356</v>
      </c>
      <c r="M3351" s="19" t="s">
        <v>357</v>
      </c>
      <c r="N3351" s="16"/>
      <c r="O3351" s="16" t="s">
        <v>358</v>
      </c>
      <c r="P3351" s="16" t="str">
        <f>HYPERLINK("https://ceds.ed.gov/cedselementdetails.aspx?termid=26722")</f>
        <v>https://ceds.ed.gov/cedselementdetails.aspx?termid=26722</v>
      </c>
      <c r="Q3351" s="16">
        <v>72169</v>
      </c>
    </row>
    <row r="3352" spans="1:17" ht="409.6" x14ac:dyDescent="0.3">
      <c r="A3352" s="16" t="s">
        <v>7724</v>
      </c>
      <c r="B3352" s="16" t="s">
        <v>7748</v>
      </c>
      <c r="C3352" s="16" t="s">
        <v>7658</v>
      </c>
      <c r="D3352" s="16" t="s">
        <v>7597</v>
      </c>
      <c r="E3352" s="16" t="s">
        <v>3491</v>
      </c>
      <c r="F3352" s="16" t="s">
        <v>3267</v>
      </c>
      <c r="G3352" s="16" t="s">
        <v>8552</v>
      </c>
      <c r="H3352" s="16"/>
      <c r="I3352" s="16"/>
      <c r="J3352" s="16"/>
      <c r="K3352" s="16"/>
      <c r="L3352" s="16"/>
      <c r="M3352" s="19" t="s">
        <v>3492</v>
      </c>
      <c r="N3352" s="16"/>
      <c r="O3352" s="16" t="s">
        <v>3493</v>
      </c>
      <c r="P3352" s="16" t="str">
        <f>HYPERLINK("https://ceds.ed.gov/cedselementdetails.aspx?termid=26613")</f>
        <v>https://ceds.ed.gov/cedselementdetails.aspx?termid=26613</v>
      </c>
      <c r="Q3352" s="16">
        <v>75421</v>
      </c>
    </row>
    <row r="3353" spans="1:17" ht="43.2" x14ac:dyDescent="0.3">
      <c r="A3353" s="16" t="s">
        <v>7724</v>
      </c>
      <c r="B3353" s="16" t="s">
        <v>7748</v>
      </c>
      <c r="C3353" s="16" t="s">
        <v>7658</v>
      </c>
      <c r="D3353" s="16" t="s">
        <v>7597</v>
      </c>
      <c r="E3353" s="16" t="s">
        <v>7303</v>
      </c>
      <c r="F3353" s="16" t="s">
        <v>7304</v>
      </c>
      <c r="G3353" s="16" t="s">
        <v>32</v>
      </c>
      <c r="H3353" s="16"/>
      <c r="I3353" s="16"/>
      <c r="J3353" s="16" t="s">
        <v>1481</v>
      </c>
      <c r="K3353" s="16"/>
      <c r="L3353" s="16"/>
      <c r="M3353" s="19" t="s">
        <v>7305</v>
      </c>
      <c r="N3353" s="16"/>
      <c r="O3353" s="16" t="s">
        <v>7306</v>
      </c>
      <c r="P3353" s="16" t="str">
        <f>HYPERLINK("https://ceds.ed.gov/cedselementdetails.aspx?termid=26774")</f>
        <v>https://ceds.ed.gov/cedselementdetails.aspx?termid=26774</v>
      </c>
      <c r="Q3353" s="16">
        <v>75599</v>
      </c>
    </row>
    <row r="3354" spans="1:17" ht="72" x14ac:dyDescent="0.3">
      <c r="A3354" s="16" t="s">
        <v>7724</v>
      </c>
      <c r="B3354" s="16" t="s">
        <v>7748</v>
      </c>
      <c r="C3354" s="16" t="s">
        <v>7658</v>
      </c>
      <c r="D3354" s="16" t="s">
        <v>7597</v>
      </c>
      <c r="E3354" s="16" t="s">
        <v>5773</v>
      </c>
      <c r="F3354" s="16" t="s">
        <v>5774</v>
      </c>
      <c r="G3354" s="16" t="s">
        <v>32</v>
      </c>
      <c r="H3354" s="16" t="s">
        <v>64</v>
      </c>
      <c r="I3354" s="16"/>
      <c r="J3354" s="16" t="s">
        <v>1304</v>
      </c>
      <c r="K3354" s="16"/>
      <c r="L3354" s="16"/>
      <c r="M3354" s="19" t="s">
        <v>5775</v>
      </c>
      <c r="N3354" s="16"/>
      <c r="O3354" s="16" t="s">
        <v>5776</v>
      </c>
      <c r="P3354" s="16" t="str">
        <f>HYPERLINK("https://ceds.ed.gov/cedselementdetails.aspx?termid=26213")</f>
        <v>https://ceds.ed.gov/cedselementdetails.aspx?termid=26213</v>
      </c>
      <c r="Q3354" s="16">
        <v>75615</v>
      </c>
    </row>
    <row r="3355" spans="1:17" ht="230.4" x14ac:dyDescent="0.3">
      <c r="A3355" s="16" t="s">
        <v>7724</v>
      </c>
      <c r="B3355" s="16" t="s">
        <v>7748</v>
      </c>
      <c r="C3355" s="16" t="s">
        <v>7658</v>
      </c>
      <c r="D3355" s="16" t="s">
        <v>7597</v>
      </c>
      <c r="E3355" s="16" t="s">
        <v>7543</v>
      </c>
      <c r="F3355" s="16" t="s">
        <v>7544</v>
      </c>
      <c r="G3355" s="16" t="s">
        <v>13093</v>
      </c>
      <c r="H3355" s="16"/>
      <c r="I3355" s="16" t="s">
        <v>160</v>
      </c>
      <c r="J3355" s="16"/>
      <c r="K3355" s="16" t="s">
        <v>12951</v>
      </c>
      <c r="L3355" s="16"/>
      <c r="M3355" s="19" t="s">
        <v>7545</v>
      </c>
      <c r="N3355" s="16"/>
      <c r="O3355" s="16" t="s">
        <v>7543</v>
      </c>
      <c r="P3355" s="16" t="str">
        <f>HYPERLINK("https://ceds.ed.gov/cedselementdetails.aspx?termid=27959")</f>
        <v>https://ceds.ed.gov/cedselementdetails.aspx?termid=27959</v>
      </c>
      <c r="Q3355" s="16">
        <v>75616</v>
      </c>
    </row>
    <row r="3356" spans="1:17" ht="57.6" x14ac:dyDescent="0.3">
      <c r="A3356" s="16" t="s">
        <v>7724</v>
      </c>
      <c r="B3356" s="16" t="s">
        <v>7748</v>
      </c>
      <c r="C3356" s="16" t="s">
        <v>7658</v>
      </c>
      <c r="D3356" s="16" t="s">
        <v>7597</v>
      </c>
      <c r="E3356" s="16" t="s">
        <v>6799</v>
      </c>
      <c r="F3356" s="16" t="s">
        <v>6800</v>
      </c>
      <c r="G3356" s="16" t="s">
        <v>32</v>
      </c>
      <c r="H3356" s="16" t="s">
        <v>6804</v>
      </c>
      <c r="I3356" s="16"/>
      <c r="J3356" s="16" t="s">
        <v>4081</v>
      </c>
      <c r="K3356" s="16"/>
      <c r="L3356" s="16"/>
      <c r="M3356" s="19" t="s">
        <v>6801</v>
      </c>
      <c r="N3356" s="16" t="s">
        <v>6802</v>
      </c>
      <c r="O3356" s="16" t="s">
        <v>6803</v>
      </c>
      <c r="P3356" s="16" t="str">
        <f>HYPERLINK("https://ceds.ed.gov/cedselementdetails.aspx?termid=26118")</f>
        <v>https://ceds.ed.gov/cedselementdetails.aspx?termid=26118</v>
      </c>
      <c r="Q3356" s="16">
        <v>75617</v>
      </c>
    </row>
    <row r="3357" spans="1:17" ht="72" x14ac:dyDescent="0.3">
      <c r="A3357" s="16" t="s">
        <v>7724</v>
      </c>
      <c r="B3357" s="16" t="s">
        <v>7748</v>
      </c>
      <c r="C3357" s="16" t="s">
        <v>7658</v>
      </c>
      <c r="D3357" s="16" t="s">
        <v>7597</v>
      </c>
      <c r="E3357" s="16" t="s">
        <v>8974</v>
      </c>
      <c r="F3357" s="16" t="s">
        <v>8975</v>
      </c>
      <c r="G3357" s="16" t="s">
        <v>32</v>
      </c>
      <c r="H3357" s="16"/>
      <c r="I3357" s="16"/>
      <c r="J3357" s="16" t="s">
        <v>120</v>
      </c>
      <c r="K3357" s="16"/>
      <c r="L3357" s="16" t="s">
        <v>8976</v>
      </c>
      <c r="M3357" s="19" t="s">
        <v>8977</v>
      </c>
      <c r="N3357" s="16"/>
      <c r="O3357" s="16" t="s">
        <v>8978</v>
      </c>
      <c r="P3357" s="16" t="str">
        <f>HYPERLINK("https://ceds.ed.gov/cedselementdetails.aspx?termid=28020")</f>
        <v>https://ceds.ed.gov/cedselementdetails.aspx?termid=28020</v>
      </c>
      <c r="Q3357" s="16">
        <v>76403</v>
      </c>
    </row>
    <row r="3358" spans="1:17" ht="72" x14ac:dyDescent="0.3">
      <c r="A3358" s="16" t="s">
        <v>7724</v>
      </c>
      <c r="B3358" s="16" t="s">
        <v>7748</v>
      </c>
      <c r="C3358" s="16" t="s">
        <v>7658</v>
      </c>
      <c r="D3358" s="16" t="s">
        <v>7597</v>
      </c>
      <c r="E3358" s="16" t="s">
        <v>8979</v>
      </c>
      <c r="F3358" s="16" t="s">
        <v>8980</v>
      </c>
      <c r="G3358" s="16" t="s">
        <v>32</v>
      </c>
      <c r="H3358" s="16"/>
      <c r="I3358" s="16"/>
      <c r="J3358" s="16" t="s">
        <v>1481</v>
      </c>
      <c r="K3358" s="16"/>
      <c r="L3358" s="16" t="s">
        <v>8976</v>
      </c>
      <c r="M3358" s="19" t="s">
        <v>8981</v>
      </c>
      <c r="N3358" s="16"/>
      <c r="O3358" s="16" t="s">
        <v>8982</v>
      </c>
      <c r="P3358" s="16" t="str">
        <f>HYPERLINK("https://ceds.ed.gov/cedselementdetails.aspx?termid=28021")</f>
        <v>https://ceds.ed.gov/cedselementdetails.aspx?termid=28021</v>
      </c>
      <c r="Q3358" s="16">
        <v>76404</v>
      </c>
    </row>
    <row r="3359" spans="1:17" ht="57.6" x14ac:dyDescent="0.3">
      <c r="A3359" s="16" t="s">
        <v>7724</v>
      </c>
      <c r="B3359" s="16" t="s">
        <v>7748</v>
      </c>
      <c r="C3359" s="16" t="s">
        <v>7659</v>
      </c>
      <c r="D3359" s="16" t="s">
        <v>7597</v>
      </c>
      <c r="E3359" s="16" t="s">
        <v>1870</v>
      </c>
      <c r="F3359" s="16" t="s">
        <v>1871</v>
      </c>
      <c r="G3359" s="16" t="s">
        <v>22</v>
      </c>
      <c r="H3359" s="16"/>
      <c r="I3359" s="16"/>
      <c r="J3359" s="16"/>
      <c r="K3359" s="16"/>
      <c r="L3359" s="16"/>
      <c r="M3359" s="19" t="s">
        <v>1873</v>
      </c>
      <c r="N3359" s="16" t="s">
        <v>1874</v>
      </c>
      <c r="O3359" s="16" t="s">
        <v>1875</v>
      </c>
      <c r="P3359" s="16" t="str">
        <f>HYPERLINK("https://ceds.ed.gov/cedselementdetails.aspx?termid=27284")</f>
        <v>https://ceds.ed.gov/cedselementdetails.aspx?termid=27284</v>
      </c>
      <c r="Q3359" s="16">
        <v>73123</v>
      </c>
    </row>
    <row r="3360" spans="1:17" ht="43.2" x14ac:dyDescent="0.3">
      <c r="A3360" s="16" t="s">
        <v>7724</v>
      </c>
      <c r="B3360" s="16" t="s">
        <v>7748</v>
      </c>
      <c r="C3360" s="16" t="s">
        <v>7659</v>
      </c>
      <c r="D3360" s="16" t="s">
        <v>7597</v>
      </c>
      <c r="E3360" s="16" t="s">
        <v>2871</v>
      </c>
      <c r="F3360" s="16" t="s">
        <v>2872</v>
      </c>
      <c r="G3360" s="16" t="s">
        <v>32</v>
      </c>
      <c r="H3360" s="16" t="s">
        <v>195</v>
      </c>
      <c r="I3360" s="16"/>
      <c r="J3360" s="16" t="s">
        <v>106</v>
      </c>
      <c r="K3360" s="16"/>
      <c r="L3360" s="16"/>
      <c r="M3360" s="19" t="s">
        <v>2873</v>
      </c>
      <c r="N3360" s="16"/>
      <c r="O3360" s="16" t="s">
        <v>2874</v>
      </c>
      <c r="P3360" s="16" t="str">
        <f>HYPERLINK("https://ceds.ed.gov/cedselementdetails.aspx?termid=26069")</f>
        <v>https://ceds.ed.gov/cedselementdetails.aspx?termid=26069</v>
      </c>
      <c r="Q3360" s="16">
        <v>75603</v>
      </c>
    </row>
    <row r="3361" spans="1:17" ht="28.8" x14ac:dyDescent="0.3">
      <c r="A3361" s="16" t="s">
        <v>7724</v>
      </c>
      <c r="B3361" s="16" t="s">
        <v>7748</v>
      </c>
      <c r="C3361" s="16" t="s">
        <v>7659</v>
      </c>
      <c r="D3361" s="16" t="s">
        <v>7597</v>
      </c>
      <c r="E3361" s="16" t="s">
        <v>2894</v>
      </c>
      <c r="F3361" s="16" t="s">
        <v>2895</v>
      </c>
      <c r="G3361" s="16" t="s">
        <v>32</v>
      </c>
      <c r="H3361" s="16"/>
      <c r="I3361" s="16"/>
      <c r="J3361" s="16" t="s">
        <v>145</v>
      </c>
      <c r="K3361" s="16"/>
      <c r="L3361" s="16"/>
      <c r="M3361" s="19" t="s">
        <v>2896</v>
      </c>
      <c r="N3361" s="16"/>
      <c r="O3361" s="16" t="s">
        <v>2897</v>
      </c>
      <c r="P3361" s="16" t="str">
        <f>HYPERLINK("https://ceds.ed.gov/cedselementdetails.aspx?termid=27566")</f>
        <v>https://ceds.ed.gov/cedselementdetails.aspx?termid=27566</v>
      </c>
      <c r="Q3361" s="16">
        <v>75604</v>
      </c>
    </row>
    <row r="3362" spans="1:17" ht="43.2" x14ac:dyDescent="0.3">
      <c r="A3362" s="16" t="s">
        <v>7724</v>
      </c>
      <c r="B3362" s="16" t="s">
        <v>7748</v>
      </c>
      <c r="C3362" s="16" t="s">
        <v>7659</v>
      </c>
      <c r="D3362" s="16" t="s">
        <v>7597</v>
      </c>
      <c r="E3362" s="16" t="s">
        <v>3021</v>
      </c>
      <c r="F3362" s="16" t="s">
        <v>3022</v>
      </c>
      <c r="G3362" s="16" t="s">
        <v>32</v>
      </c>
      <c r="H3362" s="16" t="s">
        <v>3025</v>
      </c>
      <c r="I3362" s="16"/>
      <c r="J3362" s="16" t="s">
        <v>106</v>
      </c>
      <c r="K3362" s="16"/>
      <c r="L3362" s="16"/>
      <c r="M3362" s="19" t="s">
        <v>3023</v>
      </c>
      <c r="N3362" s="16"/>
      <c r="O3362" s="16" t="s">
        <v>3024</v>
      </c>
      <c r="P3362" s="16" t="str">
        <f>HYPERLINK("https://ceds.ed.gov/cedselementdetails.aspx?termid=26343")</f>
        <v>https://ceds.ed.gov/cedselementdetails.aspx?termid=26343</v>
      </c>
      <c r="Q3362" s="16">
        <v>75605</v>
      </c>
    </row>
    <row r="3363" spans="1:17" ht="43.2" x14ac:dyDescent="0.3">
      <c r="A3363" s="16" t="s">
        <v>7724</v>
      </c>
      <c r="B3363" s="16" t="s">
        <v>7748</v>
      </c>
      <c r="C3363" s="16" t="s">
        <v>7659</v>
      </c>
      <c r="D3363" s="16" t="s">
        <v>7597</v>
      </c>
      <c r="E3363" s="16" t="s">
        <v>3030</v>
      </c>
      <c r="F3363" s="16" t="s">
        <v>3031</v>
      </c>
      <c r="G3363" s="16" t="s">
        <v>32</v>
      </c>
      <c r="H3363" s="16" t="s">
        <v>3025</v>
      </c>
      <c r="I3363" s="16"/>
      <c r="J3363" s="16" t="s">
        <v>1304</v>
      </c>
      <c r="K3363" s="16"/>
      <c r="L3363" s="16"/>
      <c r="M3363" s="19" t="s">
        <v>3032</v>
      </c>
      <c r="N3363" s="16"/>
      <c r="O3363" s="16" t="s">
        <v>3033</v>
      </c>
      <c r="P3363" s="16" t="str">
        <f>HYPERLINK("https://ceds.ed.gov/cedselementdetails.aspx?termid=26341")</f>
        <v>https://ceds.ed.gov/cedselementdetails.aspx?termid=26341</v>
      </c>
      <c r="Q3363" s="16">
        <v>75606</v>
      </c>
    </row>
    <row r="3364" spans="1:17" ht="273.60000000000002" x14ac:dyDescent="0.3">
      <c r="A3364" s="16" t="s">
        <v>7724</v>
      </c>
      <c r="B3364" s="16" t="s">
        <v>7748</v>
      </c>
      <c r="C3364" s="16" t="s">
        <v>7659</v>
      </c>
      <c r="D3364" s="16" t="s">
        <v>7597</v>
      </c>
      <c r="E3364" s="16" t="s">
        <v>3034</v>
      </c>
      <c r="F3364" s="16" t="s">
        <v>3035</v>
      </c>
      <c r="G3364" s="16" t="s">
        <v>8493</v>
      </c>
      <c r="H3364" s="16" t="s">
        <v>3025</v>
      </c>
      <c r="I3364" s="16"/>
      <c r="J3364" s="16"/>
      <c r="K3364" s="16"/>
      <c r="L3364" s="16"/>
      <c r="M3364" s="19" t="s">
        <v>3036</v>
      </c>
      <c r="N3364" s="16"/>
      <c r="O3364" s="16" t="s">
        <v>3037</v>
      </c>
      <c r="P3364" s="16" t="str">
        <f>HYPERLINK("https://ceds.ed.gov/cedselementdetails.aspx?termid=26342")</f>
        <v>https://ceds.ed.gov/cedselementdetails.aspx?termid=26342</v>
      </c>
      <c r="Q3364" s="16">
        <v>75607</v>
      </c>
    </row>
    <row r="3365" spans="1:17" ht="216" x14ac:dyDescent="0.3">
      <c r="A3365" s="16" t="s">
        <v>7724</v>
      </c>
      <c r="B3365" s="16" t="s">
        <v>7748</v>
      </c>
      <c r="C3365" s="16" t="s">
        <v>7659</v>
      </c>
      <c r="D3365" s="16" t="s">
        <v>7597</v>
      </c>
      <c r="E3365" s="16" t="s">
        <v>7029</v>
      </c>
      <c r="F3365" s="16" t="s">
        <v>7030</v>
      </c>
      <c r="G3365" s="16" t="s">
        <v>8845</v>
      </c>
      <c r="H3365" s="16" t="s">
        <v>343</v>
      </c>
      <c r="I3365" s="16"/>
      <c r="J3365" s="16"/>
      <c r="K3365" s="16"/>
      <c r="L3365" s="16"/>
      <c r="M3365" s="19" t="s">
        <v>7031</v>
      </c>
      <c r="N3365" s="16"/>
      <c r="O3365" s="16" t="s">
        <v>7032</v>
      </c>
      <c r="P3365" s="16" t="str">
        <f>HYPERLINK("https://ceds.ed.gov/cedselementdetails.aspx?termid=26278")</f>
        <v>https://ceds.ed.gov/cedselementdetails.aspx?termid=26278</v>
      </c>
      <c r="Q3365" s="16">
        <v>75608</v>
      </c>
    </row>
    <row r="3366" spans="1:17" ht="100.8" x14ac:dyDescent="0.3">
      <c r="A3366" s="16" t="s">
        <v>7724</v>
      </c>
      <c r="B3366" s="16" t="s">
        <v>7748</v>
      </c>
      <c r="C3366" s="16" t="s">
        <v>7640</v>
      </c>
      <c r="D3366" s="16" t="s">
        <v>7597</v>
      </c>
      <c r="E3366" s="16" t="s">
        <v>4849</v>
      </c>
      <c r="F3366" s="16" t="s">
        <v>13082</v>
      </c>
      <c r="G3366" s="16" t="s">
        <v>7313</v>
      </c>
      <c r="H3366" s="16" t="s">
        <v>4851</v>
      </c>
      <c r="I3366" s="16" t="s">
        <v>160</v>
      </c>
      <c r="J3366" s="16"/>
      <c r="K3366" s="16" t="s">
        <v>12946</v>
      </c>
      <c r="L3366" s="16"/>
      <c r="M3366" s="19" t="s">
        <v>4850</v>
      </c>
      <c r="N3366" s="16"/>
      <c r="O3366" s="16"/>
      <c r="P3366" s="16" t="str">
        <f>HYPERLINK("https://ceds.ed.gov/cedselementdetails.aspx?termid=26317")</f>
        <v>https://ceds.ed.gov/cedselementdetails.aspx?termid=26317</v>
      </c>
      <c r="Q3366" s="16">
        <v>75422</v>
      </c>
    </row>
    <row r="3367" spans="1:17" ht="129.6" x14ac:dyDescent="0.3">
      <c r="A3367" s="16" t="s">
        <v>7724</v>
      </c>
      <c r="B3367" s="16" t="s">
        <v>7748</v>
      </c>
      <c r="C3367" s="16" t="s">
        <v>7640</v>
      </c>
      <c r="D3367" s="16" t="s">
        <v>7597</v>
      </c>
      <c r="E3367" s="16" t="s">
        <v>4852</v>
      </c>
      <c r="F3367" s="16" t="s">
        <v>13083</v>
      </c>
      <c r="G3367" s="16" t="s">
        <v>7313</v>
      </c>
      <c r="H3367" s="16"/>
      <c r="I3367" s="16" t="s">
        <v>160</v>
      </c>
      <c r="J3367" s="16"/>
      <c r="K3367" s="16" t="s">
        <v>12947</v>
      </c>
      <c r="L3367" s="16" t="s">
        <v>13084</v>
      </c>
      <c r="M3367" s="19" t="s">
        <v>4853</v>
      </c>
      <c r="N3367" s="16"/>
      <c r="O3367" s="16"/>
      <c r="P3367" s="16" t="str">
        <f>HYPERLINK("https://ceds.ed.gov/cedselementdetails.aspx?termid=27618")</f>
        <v>https://ceds.ed.gov/cedselementdetails.aspx?termid=27618</v>
      </c>
      <c r="Q3367" s="16">
        <v>75423</v>
      </c>
    </row>
    <row r="3368" spans="1:17" ht="409.6" x14ac:dyDescent="0.3">
      <c r="A3368" s="16" t="s">
        <v>7724</v>
      </c>
      <c r="B3368" s="16" t="s">
        <v>7748</v>
      </c>
      <c r="C3368" s="16" t="s">
        <v>7640</v>
      </c>
      <c r="D3368" s="16" t="s">
        <v>7597</v>
      </c>
      <c r="E3368" s="16" t="s">
        <v>4854</v>
      </c>
      <c r="F3368" s="16" t="s">
        <v>13085</v>
      </c>
      <c r="G3368" s="16" t="s">
        <v>8683</v>
      </c>
      <c r="H3368" s="16"/>
      <c r="I3368" s="16" t="s">
        <v>160</v>
      </c>
      <c r="J3368" s="16"/>
      <c r="K3368" s="16" t="s">
        <v>12948</v>
      </c>
      <c r="L3368" s="16" t="s">
        <v>13086</v>
      </c>
      <c r="M3368" s="19" t="s">
        <v>4855</v>
      </c>
      <c r="N3368" s="16"/>
      <c r="O3368" s="16"/>
      <c r="P3368" s="16" t="str">
        <f>HYPERLINK("https://ceds.ed.gov/cedselementdetails.aspx?termid=27619")</f>
        <v>https://ceds.ed.gov/cedselementdetails.aspx?termid=27619</v>
      </c>
      <c r="Q3368" s="16">
        <v>75424</v>
      </c>
    </row>
    <row r="3369" spans="1:17" ht="43.2" x14ac:dyDescent="0.3">
      <c r="A3369" s="16" t="s">
        <v>7724</v>
      </c>
      <c r="B3369" s="16" t="s">
        <v>7748</v>
      </c>
      <c r="C3369" s="16" t="s">
        <v>7640</v>
      </c>
      <c r="D3369" s="16" t="s">
        <v>7597</v>
      </c>
      <c r="E3369" s="16" t="s">
        <v>4886</v>
      </c>
      <c r="F3369" s="16" t="s">
        <v>4887</v>
      </c>
      <c r="G3369" s="16" t="s">
        <v>13005</v>
      </c>
      <c r="H3369" s="16"/>
      <c r="I3369" s="16"/>
      <c r="J3369" s="16"/>
      <c r="K3369" s="16"/>
      <c r="L3369" s="16"/>
      <c r="M3369" s="19"/>
      <c r="N3369" s="16"/>
      <c r="O3369" s="16"/>
      <c r="P3369" s="16"/>
      <c r="Q3369" s="16"/>
    </row>
    <row r="3370" spans="1:17" x14ac:dyDescent="0.3">
      <c r="A3370" s="16"/>
      <c r="B3370" s="16"/>
      <c r="C3370" s="16"/>
      <c r="D3370" s="16"/>
      <c r="E3370" s="16"/>
      <c r="F3370" s="16"/>
      <c r="G3370" s="16"/>
      <c r="H3370" s="16"/>
      <c r="I3370" s="16"/>
      <c r="J3370" s="16"/>
      <c r="K3370" s="16"/>
      <c r="L3370" s="16"/>
      <c r="M3370" s="19"/>
      <c r="N3370" s="16"/>
      <c r="O3370" s="16"/>
      <c r="P3370" s="16"/>
      <c r="Q3370" s="16"/>
    </row>
    <row r="3371" spans="1:17" ht="144" x14ac:dyDescent="0.3">
      <c r="A3371" s="16"/>
      <c r="B3371" s="16" t="s">
        <v>13051</v>
      </c>
      <c r="C3371" s="16" t="s">
        <v>4851</v>
      </c>
      <c r="D3371" s="16"/>
      <c r="E3371" s="16"/>
      <c r="F3371" s="16"/>
      <c r="G3371" s="16"/>
      <c r="H3371" s="16">
        <v>316</v>
      </c>
      <c r="I3371" s="16"/>
      <c r="J3371" s="16" t="s">
        <v>4888</v>
      </c>
      <c r="K3371" s="16" t="str">
        <f>HYPERLINK("https://ceds.ed.gov/cedselementdetails.aspx?termid=26316")</f>
        <v>https://ceds.ed.gov/cedselementdetails.aspx?termid=26316</v>
      </c>
      <c r="L3371" s="16">
        <v>75425</v>
      </c>
      <c r="M3371" s="19"/>
      <c r="N3371" s="16"/>
      <c r="O3371" s="16"/>
      <c r="P3371" s="16"/>
      <c r="Q3371" s="16"/>
    </row>
    <row r="3372" spans="1:17" ht="259.2" x14ac:dyDescent="0.3">
      <c r="A3372" s="16" t="s">
        <v>7724</v>
      </c>
      <c r="B3372" s="16" t="s">
        <v>7748</v>
      </c>
      <c r="C3372" s="16" t="s">
        <v>7682</v>
      </c>
      <c r="D3372" s="16" t="s">
        <v>7597</v>
      </c>
      <c r="E3372" s="16" t="s">
        <v>5208</v>
      </c>
      <c r="F3372" s="16" t="s">
        <v>5209</v>
      </c>
      <c r="G3372" s="16" t="s">
        <v>8241</v>
      </c>
      <c r="H3372" s="16"/>
      <c r="I3372" s="16"/>
      <c r="J3372" s="16"/>
      <c r="K3372" s="16"/>
      <c r="L3372" s="16"/>
      <c r="M3372" s="19" t="s">
        <v>5210</v>
      </c>
      <c r="N3372" s="16"/>
      <c r="O3372" s="16" t="s">
        <v>5211</v>
      </c>
      <c r="P3372" s="16" t="str">
        <f>HYPERLINK("https://ceds.ed.gov/cedselementdetails.aspx?termid=26617")</f>
        <v>https://ceds.ed.gov/cedselementdetails.aspx?termid=26617</v>
      </c>
      <c r="Q3372" s="16">
        <v>75600</v>
      </c>
    </row>
    <row r="3373" spans="1:17" ht="100.8" x14ac:dyDescent="0.3">
      <c r="A3373" s="16" t="s">
        <v>7724</v>
      </c>
      <c r="B3373" s="16" t="s">
        <v>7748</v>
      </c>
      <c r="C3373" s="16" t="s">
        <v>7682</v>
      </c>
      <c r="D3373" s="16" t="s">
        <v>7597</v>
      </c>
      <c r="E3373" s="16" t="s">
        <v>5507</v>
      </c>
      <c r="F3373" s="16" t="s">
        <v>5508</v>
      </c>
      <c r="G3373" s="16" t="s">
        <v>32</v>
      </c>
      <c r="H3373" s="16" t="s">
        <v>5511</v>
      </c>
      <c r="I3373" s="16"/>
      <c r="J3373" s="16" t="s">
        <v>1481</v>
      </c>
      <c r="K3373" s="16"/>
      <c r="L3373" s="16"/>
      <c r="M3373" s="19" t="s">
        <v>5509</v>
      </c>
      <c r="N3373" s="16"/>
      <c r="O3373" s="16" t="s">
        <v>5510</v>
      </c>
      <c r="P3373" s="16" t="str">
        <f>HYPERLINK("https://ceds.ed.gov/cedselementdetails.aspx?termid=26201")</f>
        <v>https://ceds.ed.gov/cedselementdetails.aspx?termid=26201</v>
      </c>
      <c r="Q3373" s="16">
        <v>75601</v>
      </c>
    </row>
    <row r="3374" spans="1:17" ht="100.8" x14ac:dyDescent="0.3">
      <c r="A3374" s="16" t="s">
        <v>7724</v>
      </c>
      <c r="B3374" s="16" t="s">
        <v>7748</v>
      </c>
      <c r="C3374" s="16" t="s">
        <v>7749</v>
      </c>
      <c r="D3374" s="16" t="s">
        <v>7597</v>
      </c>
      <c r="E3374" s="16" t="s">
        <v>241</v>
      </c>
      <c r="F3374" s="16" t="s">
        <v>7314</v>
      </c>
      <c r="G3374" s="16" t="s">
        <v>8302</v>
      </c>
      <c r="H3374" s="16"/>
      <c r="I3374" s="16"/>
      <c r="J3374" s="16"/>
      <c r="K3374" s="16"/>
      <c r="L3374" s="16"/>
      <c r="M3374" s="19" t="s">
        <v>242</v>
      </c>
      <c r="N3374" s="16"/>
      <c r="O3374" s="16" t="s">
        <v>243</v>
      </c>
      <c r="P3374" s="16" t="str">
        <f>HYPERLINK("https://ceds.ed.gov/cedselementdetails.aspx?termid=26775")</f>
        <v>https://ceds.ed.gov/cedselementdetails.aspx?termid=26775</v>
      </c>
      <c r="Q3374" s="16">
        <v>75602</v>
      </c>
    </row>
    <row r="3375" spans="1:17" ht="100.8" x14ac:dyDescent="0.3">
      <c r="A3375" s="16" t="s">
        <v>7724</v>
      </c>
      <c r="B3375" s="16" t="s">
        <v>7748</v>
      </c>
      <c r="C3375" s="16" t="s">
        <v>7655</v>
      </c>
      <c r="D3375" s="16" t="s">
        <v>7597</v>
      </c>
      <c r="E3375" s="16" t="s">
        <v>4264</v>
      </c>
      <c r="F3375" s="16" t="s">
        <v>4265</v>
      </c>
      <c r="G3375" s="16" t="s">
        <v>8621</v>
      </c>
      <c r="H3375" s="16" t="s">
        <v>195</v>
      </c>
      <c r="I3375" s="16"/>
      <c r="J3375" s="16"/>
      <c r="K3375" s="16"/>
      <c r="L3375" s="16"/>
      <c r="M3375" s="19" t="s">
        <v>4266</v>
      </c>
      <c r="N3375" s="16"/>
      <c r="O3375" s="16" t="s">
        <v>4267</v>
      </c>
      <c r="P3375" s="16" t="str">
        <f>HYPERLINK("https://ceds.ed.gov/cedselementdetails.aspx?termid=26817")</f>
        <v>https://ceds.ed.gov/cedselementdetails.aspx?termid=26817</v>
      </c>
      <c r="Q3375" s="16">
        <v>75612</v>
      </c>
    </row>
    <row r="3376" spans="1:17" ht="409.6" x14ac:dyDescent="0.3">
      <c r="A3376" s="16" t="s">
        <v>7724</v>
      </c>
      <c r="B3376" s="16" t="s">
        <v>7748</v>
      </c>
      <c r="C3376" s="16" t="s">
        <v>7655</v>
      </c>
      <c r="D3376" s="16" t="s">
        <v>7597</v>
      </c>
      <c r="E3376" s="16" t="s">
        <v>4268</v>
      </c>
      <c r="F3376" s="16" t="s">
        <v>4269</v>
      </c>
      <c r="G3376" s="16" t="s">
        <v>8445</v>
      </c>
      <c r="H3376" s="16" t="s">
        <v>4272</v>
      </c>
      <c r="I3376" s="16"/>
      <c r="J3376" s="16"/>
      <c r="K3376" s="16"/>
      <c r="L3376" s="16"/>
      <c r="M3376" s="19" t="s">
        <v>4270</v>
      </c>
      <c r="N3376" s="16"/>
      <c r="O3376" s="16" t="s">
        <v>4271</v>
      </c>
      <c r="P3376" s="16" t="str">
        <f>HYPERLINK("https://ceds.ed.gov/cedselementdetails.aspx?termid=26141")</f>
        <v>https://ceds.ed.gov/cedselementdetails.aspx?termid=26141</v>
      </c>
      <c r="Q3376" s="16">
        <v>75613</v>
      </c>
    </row>
    <row r="3377" spans="1:17" ht="187.2" x14ac:dyDescent="0.3">
      <c r="A3377" s="16" t="s">
        <v>7724</v>
      </c>
      <c r="B3377" s="16" t="s">
        <v>7748</v>
      </c>
      <c r="C3377" s="16" t="s">
        <v>7655</v>
      </c>
      <c r="D3377" s="16" t="s">
        <v>7597</v>
      </c>
      <c r="E3377" s="16" t="s">
        <v>5431</v>
      </c>
      <c r="F3377" s="16" t="s">
        <v>5432</v>
      </c>
      <c r="G3377" s="16" t="s">
        <v>32</v>
      </c>
      <c r="H3377" s="16" t="s">
        <v>5435</v>
      </c>
      <c r="I3377" s="16"/>
      <c r="J3377" s="16" t="s">
        <v>145</v>
      </c>
      <c r="K3377" s="16"/>
      <c r="L3377" s="16"/>
      <c r="M3377" s="19" t="s">
        <v>5433</v>
      </c>
      <c r="N3377" s="16"/>
      <c r="O3377" s="16" t="s">
        <v>5434</v>
      </c>
      <c r="P3377" s="16" t="str">
        <f>HYPERLINK("https://ceds.ed.gov/cedselementdetails.aspx?termid=26191")</f>
        <v>https://ceds.ed.gov/cedselementdetails.aspx?termid=26191</v>
      </c>
      <c r="Q3377" s="16">
        <v>75614</v>
      </c>
    </row>
    <row r="3378" spans="1:17" ht="43.2" x14ac:dyDescent="0.3">
      <c r="A3378" s="16" t="s">
        <v>7724</v>
      </c>
      <c r="B3378" s="16" t="s">
        <v>7748</v>
      </c>
      <c r="C3378" s="16" t="s">
        <v>7619</v>
      </c>
      <c r="D3378" s="16" t="s">
        <v>7597</v>
      </c>
      <c r="E3378" s="16" t="s">
        <v>1891</v>
      </c>
      <c r="F3378" s="16" t="s">
        <v>1892</v>
      </c>
      <c r="G3378" s="16" t="s">
        <v>32</v>
      </c>
      <c r="H3378" s="16"/>
      <c r="I3378" s="16"/>
      <c r="J3378" s="16" t="s">
        <v>106</v>
      </c>
      <c r="K3378" s="16"/>
      <c r="L3378" s="16"/>
      <c r="M3378" s="19" t="s">
        <v>1893</v>
      </c>
      <c r="N3378" s="16"/>
      <c r="O3378" s="16" t="s">
        <v>1894</v>
      </c>
      <c r="P3378" s="16" t="str">
        <f>HYPERLINK("https://ceds.ed.gov/cedselementdetails.aspx?termid=27255")</f>
        <v>https://ceds.ed.gov/cedselementdetails.aspx?termid=27255</v>
      </c>
      <c r="Q3378" s="16">
        <v>75619</v>
      </c>
    </row>
    <row r="3379" spans="1:17" ht="72" x14ac:dyDescent="0.3">
      <c r="A3379" s="16" t="s">
        <v>7724</v>
      </c>
      <c r="B3379" s="16" t="s">
        <v>7748</v>
      </c>
      <c r="C3379" s="16" t="s">
        <v>7619</v>
      </c>
      <c r="D3379" s="16" t="s">
        <v>7597</v>
      </c>
      <c r="E3379" s="16" t="s">
        <v>1895</v>
      </c>
      <c r="F3379" s="16" t="s">
        <v>1896</v>
      </c>
      <c r="G3379" s="16" t="s">
        <v>8426</v>
      </c>
      <c r="H3379" s="16"/>
      <c r="I3379" s="16"/>
      <c r="J3379" s="16"/>
      <c r="K3379" s="16"/>
      <c r="L3379" s="16"/>
      <c r="M3379" s="19" t="s">
        <v>1897</v>
      </c>
      <c r="N3379" s="16"/>
      <c r="O3379" s="16" t="s">
        <v>1898</v>
      </c>
      <c r="P3379" s="16" t="str">
        <f>HYPERLINK("https://ceds.ed.gov/cedselementdetails.aspx?termid=27256")</f>
        <v>https://ceds.ed.gov/cedselementdetails.aspx?termid=27256</v>
      </c>
      <c r="Q3379" s="16">
        <v>75620</v>
      </c>
    </row>
    <row r="3380" spans="1:17" ht="144" x14ac:dyDescent="0.3">
      <c r="A3380" s="16" t="s">
        <v>7724</v>
      </c>
      <c r="B3380" s="16" t="s">
        <v>7748</v>
      </c>
      <c r="C3380" s="16" t="s">
        <v>7619</v>
      </c>
      <c r="D3380" s="16" t="s">
        <v>7597</v>
      </c>
      <c r="E3380" s="16" t="s">
        <v>2548</v>
      </c>
      <c r="F3380" s="16" t="s">
        <v>7918</v>
      </c>
      <c r="G3380" s="16" t="s">
        <v>8461</v>
      </c>
      <c r="H3380" s="16" t="s">
        <v>58</v>
      </c>
      <c r="I3380" s="16"/>
      <c r="J3380" s="16"/>
      <c r="K3380" s="16"/>
      <c r="L3380" s="16"/>
      <c r="M3380" s="19" t="s">
        <v>2549</v>
      </c>
      <c r="N3380" s="16"/>
      <c r="O3380" s="16" t="s">
        <v>2550</v>
      </c>
      <c r="P3380" s="16" t="str">
        <f>HYPERLINK("https://ceds.ed.gov/cedselementdetails.aspx?termid=26057")</f>
        <v>https://ceds.ed.gov/cedselementdetails.aspx?termid=26057</v>
      </c>
      <c r="Q3380" s="16">
        <v>75621</v>
      </c>
    </row>
    <row r="3381" spans="1:17" ht="100.8" x14ac:dyDescent="0.3">
      <c r="A3381" s="16" t="s">
        <v>7724</v>
      </c>
      <c r="B3381" s="16" t="s">
        <v>7748</v>
      </c>
      <c r="C3381" s="16" t="s">
        <v>7619</v>
      </c>
      <c r="D3381" s="16" t="s">
        <v>7597</v>
      </c>
      <c r="E3381" s="16" t="s">
        <v>5503</v>
      </c>
      <c r="F3381" s="16" t="s">
        <v>5504</v>
      </c>
      <c r="G3381" s="16" t="s">
        <v>32</v>
      </c>
      <c r="H3381" s="16" t="s">
        <v>5256</v>
      </c>
      <c r="I3381" s="16"/>
      <c r="J3381" s="16" t="s">
        <v>1481</v>
      </c>
      <c r="K3381" s="16"/>
      <c r="L3381" s="16"/>
      <c r="M3381" s="19" t="s">
        <v>5505</v>
      </c>
      <c r="N3381" s="16"/>
      <c r="O3381" s="16" t="s">
        <v>5506</v>
      </c>
      <c r="P3381" s="16" t="str">
        <f>HYPERLINK("https://ceds.ed.gov/cedselementdetails.aspx?termid=26200")</f>
        <v>https://ceds.ed.gov/cedselementdetails.aspx?termid=26200</v>
      </c>
      <c r="Q3381" s="16">
        <v>75622</v>
      </c>
    </row>
    <row r="3382" spans="1:17" ht="172.8" x14ac:dyDescent="0.3">
      <c r="A3382" s="16" t="s">
        <v>7724</v>
      </c>
      <c r="B3382" s="16" t="s">
        <v>7748</v>
      </c>
      <c r="C3382" s="16" t="s">
        <v>7619</v>
      </c>
      <c r="D3382" s="16" t="s">
        <v>7597</v>
      </c>
      <c r="E3382" s="16" t="s">
        <v>5955</v>
      </c>
      <c r="F3382" s="16" t="s">
        <v>5956</v>
      </c>
      <c r="G3382" s="16" t="s">
        <v>8787</v>
      </c>
      <c r="H3382" s="16" t="s">
        <v>195</v>
      </c>
      <c r="I3382" s="16"/>
      <c r="J3382" s="16"/>
      <c r="K3382" s="16"/>
      <c r="L3382" s="16"/>
      <c r="M3382" s="19" t="s">
        <v>5957</v>
      </c>
      <c r="N3382" s="16"/>
      <c r="O3382" s="16" t="s">
        <v>5958</v>
      </c>
      <c r="P3382" s="16" t="str">
        <f>HYPERLINK("https://ceds.ed.gov/cedselementdetails.aspx?termid=26811")</f>
        <v>https://ceds.ed.gov/cedselementdetails.aspx?termid=26811</v>
      </c>
      <c r="Q3382" s="16">
        <v>75623</v>
      </c>
    </row>
    <row r="3383" spans="1:17" ht="158.4" x14ac:dyDescent="0.3">
      <c r="A3383" s="16" t="s">
        <v>7724</v>
      </c>
      <c r="B3383" s="16" t="s">
        <v>7748</v>
      </c>
      <c r="C3383" s="16" t="s">
        <v>7619</v>
      </c>
      <c r="D3383" s="16" t="s">
        <v>7597</v>
      </c>
      <c r="E3383" s="16" t="s">
        <v>5963</v>
      </c>
      <c r="F3383" s="16" t="s">
        <v>5964</v>
      </c>
      <c r="G3383" s="16" t="s">
        <v>8790</v>
      </c>
      <c r="H3383" s="16"/>
      <c r="I3383" s="16"/>
      <c r="J3383" s="16"/>
      <c r="K3383" s="16"/>
      <c r="L3383" s="16"/>
      <c r="M3383" s="19" t="s">
        <v>5965</v>
      </c>
      <c r="N3383" s="16"/>
      <c r="O3383" s="16" t="s">
        <v>5966</v>
      </c>
      <c r="P3383" s="16" t="str">
        <f>HYPERLINK("https://ceds.ed.gov/cedselementdetails.aspx?termid=27429")</f>
        <v>https://ceds.ed.gov/cedselementdetails.aspx?termid=27429</v>
      </c>
      <c r="Q3383" s="16">
        <v>75624</v>
      </c>
    </row>
    <row r="3384" spans="1:17" ht="57.6" x14ac:dyDescent="0.3">
      <c r="A3384" s="16" t="s">
        <v>7724</v>
      </c>
      <c r="B3384" s="16" t="s">
        <v>7748</v>
      </c>
      <c r="C3384" s="16" t="s">
        <v>7619</v>
      </c>
      <c r="D3384" s="16" t="s">
        <v>7597</v>
      </c>
      <c r="E3384" s="16" t="s">
        <v>7049</v>
      </c>
      <c r="F3384" s="16" t="s">
        <v>7050</v>
      </c>
      <c r="G3384" s="16" t="s">
        <v>22</v>
      </c>
      <c r="H3384" s="16" t="s">
        <v>214</v>
      </c>
      <c r="I3384" s="16"/>
      <c r="J3384" s="16"/>
      <c r="K3384" s="16"/>
      <c r="L3384" s="16"/>
      <c r="M3384" s="19" t="s">
        <v>7051</v>
      </c>
      <c r="N3384" s="16"/>
      <c r="O3384" s="16" t="s">
        <v>7052</v>
      </c>
      <c r="P3384" s="16" t="str">
        <f>HYPERLINK("https://ceds.ed.gov/cedselementdetails.aspx?termid=26537")</f>
        <v>https://ceds.ed.gov/cedselementdetails.aspx?termid=26537</v>
      </c>
      <c r="Q3384" s="16">
        <v>75625</v>
      </c>
    </row>
    <row r="3385" spans="1:17" ht="57.6" x14ac:dyDescent="0.3">
      <c r="A3385" s="16" t="s">
        <v>7724</v>
      </c>
      <c r="B3385" s="16" t="s">
        <v>7748</v>
      </c>
      <c r="C3385" s="16" t="s">
        <v>7619</v>
      </c>
      <c r="D3385" s="16" t="s">
        <v>7597</v>
      </c>
      <c r="E3385" s="16" t="s">
        <v>7197</v>
      </c>
      <c r="F3385" s="16" t="s">
        <v>7198</v>
      </c>
      <c r="G3385" s="16" t="s">
        <v>22</v>
      </c>
      <c r="H3385" s="16"/>
      <c r="I3385" s="16"/>
      <c r="J3385" s="16"/>
      <c r="K3385" s="16"/>
      <c r="L3385" s="16" t="s">
        <v>7199</v>
      </c>
      <c r="M3385" s="19" t="s">
        <v>7200</v>
      </c>
      <c r="N3385" s="16"/>
      <c r="O3385" s="16" t="s">
        <v>7201</v>
      </c>
      <c r="P3385" s="16" t="str">
        <f>HYPERLINK("https://ceds.ed.gov/cedselementdetails.aspx?termid=27554")</f>
        <v>https://ceds.ed.gov/cedselementdetails.aspx?termid=27554</v>
      </c>
      <c r="Q3385" s="16">
        <v>75626</v>
      </c>
    </row>
    <row r="3386" spans="1:17" ht="72" x14ac:dyDescent="0.3">
      <c r="A3386" s="16" t="s">
        <v>7724</v>
      </c>
      <c r="B3386" s="16" t="s">
        <v>7748</v>
      </c>
      <c r="C3386" s="16" t="s">
        <v>7661</v>
      </c>
      <c r="D3386" s="16" t="s">
        <v>7597</v>
      </c>
      <c r="E3386" s="16" t="s">
        <v>5885</v>
      </c>
      <c r="F3386" s="16" t="s">
        <v>5886</v>
      </c>
      <c r="G3386" s="16" t="s">
        <v>8776</v>
      </c>
      <c r="H3386" s="16"/>
      <c r="I3386" s="16"/>
      <c r="J3386" s="16"/>
      <c r="K3386" s="16"/>
      <c r="L3386" s="16"/>
      <c r="M3386" s="19" t="s">
        <v>5887</v>
      </c>
      <c r="N3386" s="16"/>
      <c r="O3386" s="16" t="s">
        <v>5888</v>
      </c>
      <c r="P3386" s="16" t="str">
        <f>HYPERLINK("https://ceds.ed.gov/cedselementdetails.aspx?termid=27403")</f>
        <v>https://ceds.ed.gov/cedselementdetails.aspx?termid=27403</v>
      </c>
      <c r="Q3386" s="16">
        <v>75627</v>
      </c>
    </row>
    <row r="3387" spans="1:17" ht="72" x14ac:dyDescent="0.3">
      <c r="A3387" s="16" t="s">
        <v>7724</v>
      </c>
      <c r="B3387" s="16" t="s">
        <v>7748</v>
      </c>
      <c r="C3387" s="16" t="s">
        <v>7662</v>
      </c>
      <c r="D3387" s="16" t="s">
        <v>7597</v>
      </c>
      <c r="E3387" s="16" t="s">
        <v>5951</v>
      </c>
      <c r="F3387" s="16" t="s">
        <v>5952</v>
      </c>
      <c r="G3387" s="16" t="s">
        <v>8274</v>
      </c>
      <c r="H3387" s="16"/>
      <c r="I3387" s="16"/>
      <c r="J3387" s="16"/>
      <c r="K3387" s="16"/>
      <c r="L3387" s="16"/>
      <c r="M3387" s="19" t="s">
        <v>5953</v>
      </c>
      <c r="N3387" s="16"/>
      <c r="O3387" s="16" t="s">
        <v>5954</v>
      </c>
      <c r="P3387" s="16" t="str">
        <f>HYPERLINK("https://ceds.ed.gov/cedselementdetails.aspx?termid=27401")</f>
        <v>https://ceds.ed.gov/cedselementdetails.aspx?termid=27401</v>
      </c>
      <c r="Q3387" s="16">
        <v>75638</v>
      </c>
    </row>
    <row r="3388" spans="1:17" ht="72" x14ac:dyDescent="0.3">
      <c r="A3388" s="16" t="s">
        <v>7724</v>
      </c>
      <c r="B3388" s="16" t="s">
        <v>7748</v>
      </c>
      <c r="C3388" s="16" t="s">
        <v>7661</v>
      </c>
      <c r="D3388" s="16" t="s">
        <v>7597</v>
      </c>
      <c r="E3388" s="16" t="s">
        <v>5897</v>
      </c>
      <c r="F3388" s="16" t="s">
        <v>5898</v>
      </c>
      <c r="G3388" s="16" t="s">
        <v>8778</v>
      </c>
      <c r="H3388" s="16"/>
      <c r="I3388" s="16"/>
      <c r="J3388" s="16"/>
      <c r="K3388" s="16"/>
      <c r="L3388" s="16"/>
      <c r="M3388" s="19" t="s">
        <v>5899</v>
      </c>
      <c r="N3388" s="16"/>
      <c r="O3388" s="16" t="s">
        <v>5900</v>
      </c>
      <c r="P3388" s="16" t="str">
        <f>HYPERLINK("https://ceds.ed.gov/cedselementdetails.aspx?termid=27406")</f>
        <v>https://ceds.ed.gov/cedselementdetails.aspx?termid=27406</v>
      </c>
      <c r="Q3388" s="16">
        <v>75628</v>
      </c>
    </row>
    <row r="3389" spans="1:17" ht="172.8" x14ac:dyDescent="0.3">
      <c r="A3389" s="16" t="s">
        <v>7724</v>
      </c>
      <c r="B3389" s="16" t="s">
        <v>7748</v>
      </c>
      <c r="C3389" s="16" t="s">
        <v>7662</v>
      </c>
      <c r="D3389" s="16" t="s">
        <v>7597</v>
      </c>
      <c r="E3389" s="16" t="s">
        <v>5955</v>
      </c>
      <c r="F3389" s="16" t="s">
        <v>5956</v>
      </c>
      <c r="G3389" s="16" t="s">
        <v>8787</v>
      </c>
      <c r="H3389" s="16" t="s">
        <v>195</v>
      </c>
      <c r="I3389" s="16"/>
      <c r="J3389" s="16"/>
      <c r="K3389" s="16"/>
      <c r="L3389" s="16"/>
      <c r="M3389" s="19" t="s">
        <v>5957</v>
      </c>
      <c r="N3389" s="16"/>
      <c r="O3389" s="16" t="s">
        <v>5958</v>
      </c>
      <c r="P3389" s="16" t="str">
        <f>HYPERLINK("https://ceds.ed.gov/cedselementdetails.aspx?termid=26811")</f>
        <v>https://ceds.ed.gov/cedselementdetails.aspx?termid=26811</v>
      </c>
      <c r="Q3389" s="16">
        <v>75639</v>
      </c>
    </row>
    <row r="3390" spans="1:17" ht="409.6" x14ac:dyDescent="0.3">
      <c r="A3390" s="16" t="s">
        <v>7724</v>
      </c>
      <c r="B3390" s="16" t="s">
        <v>7748</v>
      </c>
      <c r="C3390" s="16" t="s">
        <v>7661</v>
      </c>
      <c r="D3390" s="16" t="s">
        <v>7597</v>
      </c>
      <c r="E3390" s="16" t="s">
        <v>5909</v>
      </c>
      <c r="F3390" s="16" t="s">
        <v>5910</v>
      </c>
      <c r="G3390" s="16" t="s">
        <v>8780</v>
      </c>
      <c r="H3390" s="16"/>
      <c r="I3390" s="16"/>
      <c r="J3390" s="16"/>
      <c r="K3390" s="16"/>
      <c r="L3390" s="16" t="s">
        <v>5911</v>
      </c>
      <c r="M3390" s="19" t="s">
        <v>5912</v>
      </c>
      <c r="N3390" s="16"/>
      <c r="O3390" s="16" t="s">
        <v>5913</v>
      </c>
      <c r="P3390" s="16" t="str">
        <f>HYPERLINK("https://ceds.ed.gov/cedselementdetails.aspx?termid=27245")</f>
        <v>https://ceds.ed.gov/cedselementdetails.aspx?termid=27245</v>
      </c>
      <c r="Q3390" s="16">
        <v>75629</v>
      </c>
    </row>
    <row r="3391" spans="1:17" ht="158.4" x14ac:dyDescent="0.3">
      <c r="A3391" s="16" t="s">
        <v>7724</v>
      </c>
      <c r="B3391" s="16" t="s">
        <v>7748</v>
      </c>
      <c r="C3391" s="16" t="s">
        <v>7662</v>
      </c>
      <c r="D3391" s="16" t="s">
        <v>7597</v>
      </c>
      <c r="E3391" s="16" t="s">
        <v>5963</v>
      </c>
      <c r="F3391" s="16" t="s">
        <v>5964</v>
      </c>
      <c r="G3391" s="16" t="s">
        <v>8790</v>
      </c>
      <c r="H3391" s="16"/>
      <c r="I3391" s="16"/>
      <c r="J3391" s="16"/>
      <c r="K3391" s="16"/>
      <c r="L3391" s="16"/>
      <c r="M3391" s="19" t="s">
        <v>5965</v>
      </c>
      <c r="N3391" s="16"/>
      <c r="O3391" s="16" t="s">
        <v>5966</v>
      </c>
      <c r="P3391" s="16" t="str">
        <f>HYPERLINK("https://ceds.ed.gov/cedselementdetails.aspx?termid=27429")</f>
        <v>https://ceds.ed.gov/cedselementdetails.aspx?termid=27429</v>
      </c>
      <c r="Q3391" s="16">
        <v>75640</v>
      </c>
    </row>
    <row r="3392" spans="1:17" ht="57.6" x14ac:dyDescent="0.3">
      <c r="A3392" s="16" t="s">
        <v>7724</v>
      </c>
      <c r="B3392" s="16" t="s">
        <v>7748</v>
      </c>
      <c r="C3392" s="16" t="s">
        <v>7661</v>
      </c>
      <c r="D3392" s="16" t="s">
        <v>7597</v>
      </c>
      <c r="E3392" s="16" t="s">
        <v>5922</v>
      </c>
      <c r="F3392" s="16" t="s">
        <v>5923</v>
      </c>
      <c r="G3392" s="16" t="s">
        <v>8781</v>
      </c>
      <c r="H3392" s="16"/>
      <c r="I3392" s="16"/>
      <c r="J3392" s="16"/>
      <c r="K3392" s="16"/>
      <c r="L3392" s="16"/>
      <c r="M3392" s="19" t="s">
        <v>5924</v>
      </c>
      <c r="N3392" s="16"/>
      <c r="O3392" s="16" t="s">
        <v>5925</v>
      </c>
      <c r="P3392" s="16" t="str">
        <f>HYPERLINK("https://ceds.ed.gov/cedselementdetails.aspx?termid=27409")</f>
        <v>https://ceds.ed.gov/cedselementdetails.aspx?termid=27409</v>
      </c>
      <c r="Q3392" s="16">
        <v>75630</v>
      </c>
    </row>
    <row r="3393" spans="1:17" ht="43.2" x14ac:dyDescent="0.3">
      <c r="A3393" s="16" t="s">
        <v>7724</v>
      </c>
      <c r="B3393" s="16" t="s">
        <v>7748</v>
      </c>
      <c r="C3393" s="16" t="s">
        <v>7661</v>
      </c>
      <c r="D3393" s="16" t="s">
        <v>7597</v>
      </c>
      <c r="E3393" s="16" t="s">
        <v>5930</v>
      </c>
      <c r="F3393" s="16" t="s">
        <v>5931</v>
      </c>
      <c r="G3393" s="16" t="s">
        <v>22</v>
      </c>
      <c r="H3393" s="16"/>
      <c r="I3393" s="16"/>
      <c r="J3393" s="16"/>
      <c r="K3393" s="16"/>
      <c r="L3393" s="16"/>
      <c r="M3393" s="19" t="s">
        <v>5932</v>
      </c>
      <c r="N3393" s="16"/>
      <c r="O3393" s="16" t="s">
        <v>5933</v>
      </c>
      <c r="P3393" s="16" t="str">
        <f>HYPERLINK("https://ceds.ed.gov/cedselementdetails.aspx?termid=27598")</f>
        <v>https://ceds.ed.gov/cedselementdetails.aspx?termid=27598</v>
      </c>
      <c r="Q3393" s="16">
        <v>75631</v>
      </c>
    </row>
    <row r="3394" spans="1:17" ht="403.2" x14ac:dyDescent="0.3">
      <c r="A3394" s="16" t="s">
        <v>7724</v>
      </c>
      <c r="B3394" s="16" t="s">
        <v>7748</v>
      </c>
      <c r="C3394" s="16" t="s">
        <v>7661</v>
      </c>
      <c r="D3394" s="16" t="s">
        <v>7597</v>
      </c>
      <c r="E3394" s="16" t="s">
        <v>5934</v>
      </c>
      <c r="F3394" s="16" t="s">
        <v>5935</v>
      </c>
      <c r="G3394" s="16" t="s">
        <v>8783</v>
      </c>
      <c r="H3394" s="16"/>
      <c r="I3394" s="16"/>
      <c r="J3394" s="16"/>
      <c r="K3394" s="16"/>
      <c r="L3394" s="16"/>
      <c r="M3394" s="19" t="s">
        <v>5936</v>
      </c>
      <c r="N3394" s="16"/>
      <c r="O3394" s="16" t="s">
        <v>5937</v>
      </c>
      <c r="P3394" s="16" t="str">
        <f>HYPERLINK("https://ceds.ed.gov/cedselementdetails.aspx?termid=27464")</f>
        <v>https://ceds.ed.gov/cedselementdetails.aspx?termid=27464</v>
      </c>
      <c r="Q3394" s="16">
        <v>75632</v>
      </c>
    </row>
    <row r="3395" spans="1:17" ht="158.4" x14ac:dyDescent="0.3">
      <c r="A3395" s="16" t="s">
        <v>7724</v>
      </c>
      <c r="B3395" s="16" t="s">
        <v>7748</v>
      </c>
      <c r="C3395" s="16" t="s">
        <v>7661</v>
      </c>
      <c r="D3395" s="16" t="s">
        <v>7597</v>
      </c>
      <c r="E3395" s="16" t="s">
        <v>5942</v>
      </c>
      <c r="F3395" s="16" t="s">
        <v>5943</v>
      </c>
      <c r="G3395" s="16" t="s">
        <v>8784</v>
      </c>
      <c r="H3395" s="16"/>
      <c r="I3395" s="16"/>
      <c r="J3395" s="16"/>
      <c r="K3395" s="16"/>
      <c r="L3395" s="16" t="s">
        <v>5944</v>
      </c>
      <c r="M3395" s="19" t="s">
        <v>5945</v>
      </c>
      <c r="N3395" s="16"/>
      <c r="O3395" s="16" t="s">
        <v>5946</v>
      </c>
      <c r="P3395" s="16" t="str">
        <f>HYPERLINK("https://ceds.ed.gov/cedselementdetails.aspx?termid=27412")</f>
        <v>https://ceds.ed.gov/cedselementdetails.aspx?termid=27412</v>
      </c>
      <c r="Q3395" s="16">
        <v>75633</v>
      </c>
    </row>
    <row r="3396" spans="1:17" ht="43.2" x14ac:dyDescent="0.3">
      <c r="A3396" s="16" t="s">
        <v>7724</v>
      </c>
      <c r="B3396" s="16" t="s">
        <v>7748</v>
      </c>
      <c r="C3396" s="16" t="s">
        <v>7661</v>
      </c>
      <c r="D3396" s="16" t="s">
        <v>7597</v>
      </c>
      <c r="E3396" s="16" t="s">
        <v>5947</v>
      </c>
      <c r="F3396" s="16" t="s">
        <v>5948</v>
      </c>
      <c r="G3396" s="16" t="s">
        <v>8719</v>
      </c>
      <c r="H3396" s="16"/>
      <c r="I3396" s="16"/>
      <c r="J3396" s="16"/>
      <c r="K3396" s="16"/>
      <c r="L3396" s="16"/>
      <c r="M3396" s="19" t="s">
        <v>5949</v>
      </c>
      <c r="N3396" s="16"/>
      <c r="O3396" s="16" t="s">
        <v>5950</v>
      </c>
      <c r="P3396" s="16" t="str">
        <f>HYPERLINK("https://ceds.ed.gov/cedselementdetails.aspx?termid=27399")</f>
        <v>https://ceds.ed.gov/cedselementdetails.aspx?termid=27399</v>
      </c>
      <c r="Q3396" s="16">
        <v>75634</v>
      </c>
    </row>
    <row r="3397" spans="1:17" ht="72" x14ac:dyDescent="0.3">
      <c r="A3397" s="16" t="s">
        <v>7724</v>
      </c>
      <c r="B3397" s="16" t="s">
        <v>7748</v>
      </c>
      <c r="C3397" s="16" t="s">
        <v>7661</v>
      </c>
      <c r="D3397" s="16" t="s">
        <v>7597</v>
      </c>
      <c r="E3397" s="16" t="s">
        <v>5951</v>
      </c>
      <c r="F3397" s="16" t="s">
        <v>5952</v>
      </c>
      <c r="G3397" s="16" t="s">
        <v>8274</v>
      </c>
      <c r="H3397" s="16"/>
      <c r="I3397" s="16"/>
      <c r="J3397" s="16"/>
      <c r="K3397" s="16"/>
      <c r="L3397" s="16"/>
      <c r="M3397" s="19" t="s">
        <v>5953</v>
      </c>
      <c r="N3397" s="16"/>
      <c r="O3397" s="16" t="s">
        <v>5954</v>
      </c>
      <c r="P3397" s="16" t="str">
        <f>HYPERLINK("https://ceds.ed.gov/cedselementdetails.aspx?termid=27401")</f>
        <v>https://ceds.ed.gov/cedselementdetails.aspx?termid=27401</v>
      </c>
      <c r="Q3397" s="16">
        <v>75635</v>
      </c>
    </row>
    <row r="3398" spans="1:17" ht="172.8" x14ac:dyDescent="0.3">
      <c r="A3398" s="16" t="s">
        <v>7724</v>
      </c>
      <c r="B3398" s="16" t="s">
        <v>7748</v>
      </c>
      <c r="C3398" s="16" t="s">
        <v>7661</v>
      </c>
      <c r="D3398" s="16" t="s">
        <v>7597</v>
      </c>
      <c r="E3398" s="16" t="s">
        <v>5955</v>
      </c>
      <c r="F3398" s="16" t="s">
        <v>5956</v>
      </c>
      <c r="G3398" s="16" t="s">
        <v>8787</v>
      </c>
      <c r="H3398" s="16" t="s">
        <v>195</v>
      </c>
      <c r="I3398" s="16"/>
      <c r="J3398" s="16"/>
      <c r="K3398" s="16"/>
      <c r="L3398" s="16"/>
      <c r="M3398" s="19" t="s">
        <v>5957</v>
      </c>
      <c r="N3398" s="16"/>
      <c r="O3398" s="16" t="s">
        <v>5958</v>
      </c>
      <c r="P3398" s="16" t="str">
        <f>HYPERLINK("https://ceds.ed.gov/cedselementdetails.aspx?termid=26811")</f>
        <v>https://ceds.ed.gov/cedselementdetails.aspx?termid=26811</v>
      </c>
      <c r="Q3398" s="16">
        <v>75636</v>
      </c>
    </row>
    <row r="3399" spans="1:17" ht="158.4" x14ac:dyDescent="0.3">
      <c r="A3399" s="16" t="s">
        <v>7724</v>
      </c>
      <c r="B3399" s="16" t="s">
        <v>7748</v>
      </c>
      <c r="C3399" s="16" t="s">
        <v>7661</v>
      </c>
      <c r="D3399" s="16" t="s">
        <v>7597</v>
      </c>
      <c r="E3399" s="16" t="s">
        <v>5963</v>
      </c>
      <c r="F3399" s="16" t="s">
        <v>5964</v>
      </c>
      <c r="G3399" s="16" t="s">
        <v>8790</v>
      </c>
      <c r="H3399" s="16"/>
      <c r="I3399" s="16"/>
      <c r="J3399" s="16"/>
      <c r="K3399" s="16"/>
      <c r="L3399" s="16"/>
      <c r="M3399" s="19" t="s">
        <v>5965</v>
      </c>
      <c r="N3399" s="16"/>
      <c r="O3399" s="16" t="s">
        <v>5966</v>
      </c>
      <c r="P3399" s="16" t="str">
        <f>HYPERLINK("https://ceds.ed.gov/cedselementdetails.aspx?termid=27429")</f>
        <v>https://ceds.ed.gov/cedselementdetails.aspx?termid=27429</v>
      </c>
      <c r="Q3399" s="16">
        <v>75637</v>
      </c>
    </row>
    <row r="3400" spans="1:17" ht="43.2" x14ac:dyDescent="0.3">
      <c r="A3400" s="16" t="s">
        <v>7724</v>
      </c>
      <c r="B3400" s="16" t="s">
        <v>7748</v>
      </c>
      <c r="C3400" s="16" t="s">
        <v>4</v>
      </c>
      <c r="D3400" s="16" t="s">
        <v>7597</v>
      </c>
      <c r="E3400" s="16" t="s">
        <v>5869</v>
      </c>
      <c r="F3400" s="16" t="s">
        <v>5870</v>
      </c>
      <c r="G3400" s="16" t="s">
        <v>22</v>
      </c>
      <c r="H3400" s="16" t="s">
        <v>195</v>
      </c>
      <c r="I3400" s="16"/>
      <c r="J3400" s="16"/>
      <c r="K3400" s="16"/>
      <c r="L3400" s="16"/>
      <c r="M3400" s="19" t="s">
        <v>5871</v>
      </c>
      <c r="N3400" s="16"/>
      <c r="O3400" s="16" t="s">
        <v>5872</v>
      </c>
      <c r="P3400" s="16" t="str">
        <f>HYPERLINK("https://ceds.ed.gov/cedselementdetails.aspx?termid=26806")</f>
        <v>https://ceds.ed.gov/cedselementdetails.aspx?termid=26806</v>
      </c>
      <c r="Q3400" s="16">
        <v>75641</v>
      </c>
    </row>
    <row r="3401" spans="1:17" ht="72" x14ac:dyDescent="0.3">
      <c r="A3401" s="16" t="s">
        <v>7724</v>
      </c>
      <c r="B3401" s="16" t="s">
        <v>7748</v>
      </c>
      <c r="C3401" s="16" t="s">
        <v>4</v>
      </c>
      <c r="D3401" s="16" t="s">
        <v>7597</v>
      </c>
      <c r="E3401" s="16" t="s">
        <v>5885</v>
      </c>
      <c r="F3401" s="16" t="s">
        <v>5886</v>
      </c>
      <c r="G3401" s="16" t="s">
        <v>8776</v>
      </c>
      <c r="H3401" s="16"/>
      <c r="I3401" s="16"/>
      <c r="J3401" s="16"/>
      <c r="K3401" s="16"/>
      <c r="L3401" s="16"/>
      <c r="M3401" s="19" t="s">
        <v>5887</v>
      </c>
      <c r="N3401" s="16"/>
      <c r="O3401" s="16" t="s">
        <v>5888</v>
      </c>
      <c r="P3401" s="16" t="str">
        <f>HYPERLINK("https://ceds.ed.gov/cedselementdetails.aspx?termid=27403")</f>
        <v>https://ceds.ed.gov/cedselementdetails.aspx?termid=27403</v>
      </c>
      <c r="Q3401" s="16">
        <v>75642</v>
      </c>
    </row>
    <row r="3402" spans="1:17" ht="72" x14ac:dyDescent="0.3">
      <c r="A3402" s="16" t="s">
        <v>7724</v>
      </c>
      <c r="B3402" s="16" t="s">
        <v>7748</v>
      </c>
      <c r="C3402" s="16" t="s">
        <v>9412</v>
      </c>
      <c r="D3402" s="16" t="s">
        <v>7597</v>
      </c>
      <c r="E3402" s="16" t="s">
        <v>9312</v>
      </c>
      <c r="F3402" s="16" t="s">
        <v>9313</v>
      </c>
      <c r="G3402" s="16" t="s">
        <v>9325</v>
      </c>
      <c r="H3402" s="16"/>
      <c r="I3402" s="16"/>
      <c r="J3402" s="16"/>
      <c r="K3402" s="16"/>
      <c r="L3402" s="16"/>
      <c r="M3402" s="19" t="s">
        <v>5394</v>
      </c>
      <c r="N3402" s="16"/>
      <c r="O3402" s="16" t="s">
        <v>9314</v>
      </c>
      <c r="P3402" s="16" t="str">
        <f>HYPERLINK("https://ceds.ed.gov/cedselementdetails.aspx?termid=27556")</f>
        <v>https://ceds.ed.gov/cedselementdetails.aspx?termid=27556</v>
      </c>
      <c r="Q3402" s="16">
        <v>76405</v>
      </c>
    </row>
    <row r="3403" spans="1:17" ht="144" x14ac:dyDescent="0.3">
      <c r="A3403" s="16" t="s">
        <v>7724</v>
      </c>
      <c r="B3403" s="16" t="s">
        <v>7748</v>
      </c>
      <c r="C3403" s="16" t="s">
        <v>9412</v>
      </c>
      <c r="D3403" s="16" t="s">
        <v>7597</v>
      </c>
      <c r="E3403" s="16" t="s">
        <v>9087</v>
      </c>
      <c r="F3403" s="16" t="s">
        <v>9088</v>
      </c>
      <c r="G3403" s="16" t="s">
        <v>9298</v>
      </c>
      <c r="H3403" s="16"/>
      <c r="I3403" s="16"/>
      <c r="J3403" s="16" t="s">
        <v>2</v>
      </c>
      <c r="K3403" s="16"/>
      <c r="L3403" s="16" t="s">
        <v>9089</v>
      </c>
      <c r="M3403" s="19" t="s">
        <v>9090</v>
      </c>
      <c r="N3403" s="16"/>
      <c r="O3403" s="16" t="s">
        <v>9091</v>
      </c>
      <c r="P3403" s="16" t="str">
        <f>HYPERLINK("https://ceds.ed.gov/cedselementdetails.aspx?termid=28047")</f>
        <v>https://ceds.ed.gov/cedselementdetails.aspx?termid=28047</v>
      </c>
      <c r="Q3403" s="16">
        <v>76406</v>
      </c>
    </row>
    <row r="3404" spans="1:17" ht="409.6" x14ac:dyDescent="0.3">
      <c r="A3404" s="16" t="s">
        <v>7724</v>
      </c>
      <c r="B3404" s="16" t="s">
        <v>7748</v>
      </c>
      <c r="C3404" s="16" t="s">
        <v>9412</v>
      </c>
      <c r="D3404" s="16" t="s">
        <v>7597</v>
      </c>
      <c r="E3404" s="16" t="s">
        <v>9092</v>
      </c>
      <c r="F3404" s="16" t="s">
        <v>9093</v>
      </c>
      <c r="G3404" s="16" t="s">
        <v>9299</v>
      </c>
      <c r="H3404" s="16"/>
      <c r="I3404" s="16"/>
      <c r="J3404" s="16" t="s">
        <v>2</v>
      </c>
      <c r="K3404" s="16"/>
      <c r="L3404" s="16" t="s">
        <v>9094</v>
      </c>
      <c r="M3404" s="19" t="s">
        <v>9095</v>
      </c>
      <c r="N3404" s="16"/>
      <c r="O3404" s="16" t="s">
        <v>9096</v>
      </c>
      <c r="P3404" s="16" t="str">
        <f>HYPERLINK("https://ceds.ed.gov/cedselementdetails.aspx?termid=28048")</f>
        <v>https://ceds.ed.gov/cedselementdetails.aspx?termid=28048</v>
      </c>
      <c r="Q3404" s="16">
        <v>76407</v>
      </c>
    </row>
    <row r="3405" spans="1:17" ht="100.8" x14ac:dyDescent="0.3">
      <c r="A3405" s="16" t="s">
        <v>7724</v>
      </c>
      <c r="B3405" s="16" t="s">
        <v>7748</v>
      </c>
      <c r="C3405" s="16" t="s">
        <v>9412</v>
      </c>
      <c r="D3405" s="16" t="s">
        <v>7597</v>
      </c>
      <c r="E3405" s="16" t="s">
        <v>9097</v>
      </c>
      <c r="F3405" s="16" t="s">
        <v>9098</v>
      </c>
      <c r="G3405" s="16" t="s">
        <v>32</v>
      </c>
      <c r="H3405" s="16"/>
      <c r="I3405" s="16"/>
      <c r="J3405" s="16" t="s">
        <v>120</v>
      </c>
      <c r="K3405" s="16"/>
      <c r="L3405" s="16" t="s">
        <v>9089</v>
      </c>
      <c r="M3405" s="19" t="s">
        <v>9099</v>
      </c>
      <c r="N3405" s="16"/>
      <c r="O3405" s="16" t="s">
        <v>9100</v>
      </c>
      <c r="P3405" s="16" t="str">
        <f>HYPERLINK("https://ceds.ed.gov/cedselementdetails.aspx?termid=28049")</f>
        <v>https://ceds.ed.gov/cedselementdetails.aspx?termid=28049</v>
      </c>
      <c r="Q3405" s="16">
        <v>76408</v>
      </c>
    </row>
    <row r="3406" spans="1:17" ht="100.8" x14ac:dyDescent="0.3">
      <c r="A3406" s="16" t="s">
        <v>7724</v>
      </c>
      <c r="B3406" s="16" t="s">
        <v>7748</v>
      </c>
      <c r="C3406" s="16" t="s">
        <v>9412</v>
      </c>
      <c r="D3406" s="16" t="s">
        <v>7597</v>
      </c>
      <c r="E3406" s="16" t="s">
        <v>9101</v>
      </c>
      <c r="F3406" s="16" t="s">
        <v>9102</v>
      </c>
      <c r="G3406" s="16" t="s">
        <v>32</v>
      </c>
      <c r="H3406" s="16"/>
      <c r="I3406" s="16"/>
      <c r="J3406" s="16" t="s">
        <v>9103</v>
      </c>
      <c r="K3406" s="16"/>
      <c r="L3406" s="16" t="s">
        <v>9089</v>
      </c>
      <c r="M3406" s="19" t="s">
        <v>9104</v>
      </c>
      <c r="N3406" s="16"/>
      <c r="O3406" s="16" t="s">
        <v>9105</v>
      </c>
      <c r="P3406" s="16" t="str">
        <f>HYPERLINK("https://ceds.ed.gov/cedselementdetails.aspx?termid=28050")</f>
        <v>https://ceds.ed.gov/cedselementdetails.aspx?termid=28050</v>
      </c>
      <c r="Q3406" s="16">
        <v>76409</v>
      </c>
    </row>
    <row r="3407" spans="1:17" ht="100.8" x14ac:dyDescent="0.3">
      <c r="A3407" s="16" t="s">
        <v>7724</v>
      </c>
      <c r="B3407" s="16" t="s">
        <v>7748</v>
      </c>
      <c r="C3407" s="16" t="s">
        <v>9412</v>
      </c>
      <c r="D3407" s="16" t="s">
        <v>7597</v>
      </c>
      <c r="E3407" s="16" t="s">
        <v>9106</v>
      </c>
      <c r="F3407" s="16" t="s">
        <v>9107</v>
      </c>
      <c r="G3407" s="16" t="s">
        <v>32</v>
      </c>
      <c r="H3407" s="16"/>
      <c r="I3407" s="16"/>
      <c r="J3407" s="16" t="s">
        <v>9108</v>
      </c>
      <c r="K3407" s="16"/>
      <c r="L3407" s="16" t="s">
        <v>9089</v>
      </c>
      <c r="M3407" s="19" t="s">
        <v>9109</v>
      </c>
      <c r="N3407" s="16"/>
      <c r="O3407" s="16" t="s">
        <v>9110</v>
      </c>
      <c r="P3407" s="16" t="str">
        <f>HYPERLINK("https://ceds.ed.gov/cedselementdetails.aspx?termid=28051")</f>
        <v>https://ceds.ed.gov/cedselementdetails.aspx?termid=28051</v>
      </c>
      <c r="Q3407" s="16">
        <v>76410</v>
      </c>
    </row>
    <row r="3408" spans="1:17" ht="100.8" x14ac:dyDescent="0.3">
      <c r="A3408" s="16" t="s">
        <v>7724</v>
      </c>
      <c r="B3408" s="16" t="s">
        <v>7748</v>
      </c>
      <c r="C3408" s="16" t="s">
        <v>9412</v>
      </c>
      <c r="D3408" s="16" t="s">
        <v>7597</v>
      </c>
      <c r="E3408" s="16" t="s">
        <v>9111</v>
      </c>
      <c r="F3408" s="16" t="s">
        <v>9112</v>
      </c>
      <c r="G3408" s="16" t="s">
        <v>32</v>
      </c>
      <c r="H3408" s="16"/>
      <c r="I3408" s="16"/>
      <c r="J3408" s="16" t="s">
        <v>9103</v>
      </c>
      <c r="K3408" s="16"/>
      <c r="L3408" s="16" t="s">
        <v>9089</v>
      </c>
      <c r="M3408" s="19" t="s">
        <v>9113</v>
      </c>
      <c r="N3408" s="16"/>
      <c r="O3408" s="16" t="s">
        <v>9114</v>
      </c>
      <c r="P3408" s="16" t="str">
        <f>HYPERLINK("https://ceds.ed.gov/cedselementdetails.aspx?termid=28052")</f>
        <v>https://ceds.ed.gov/cedselementdetails.aspx?termid=28052</v>
      </c>
      <c r="Q3408" s="16">
        <v>76411</v>
      </c>
    </row>
    <row r="3409" spans="1:17" ht="100.8" x14ac:dyDescent="0.3">
      <c r="A3409" s="16" t="s">
        <v>7724</v>
      </c>
      <c r="B3409" s="16" t="s">
        <v>7748</v>
      </c>
      <c r="C3409" s="16" t="s">
        <v>9412</v>
      </c>
      <c r="D3409" s="16" t="s">
        <v>7597</v>
      </c>
      <c r="E3409" s="16" t="s">
        <v>9115</v>
      </c>
      <c r="F3409" s="16" t="s">
        <v>9116</v>
      </c>
      <c r="G3409" s="16" t="s">
        <v>32</v>
      </c>
      <c r="H3409" s="16"/>
      <c r="I3409" s="16"/>
      <c r="J3409" s="16" t="s">
        <v>34</v>
      </c>
      <c r="K3409" s="16"/>
      <c r="L3409" s="16" t="s">
        <v>9089</v>
      </c>
      <c r="M3409" s="19" t="s">
        <v>9117</v>
      </c>
      <c r="N3409" s="16"/>
      <c r="O3409" s="16" t="s">
        <v>9118</v>
      </c>
      <c r="P3409" s="16" t="str">
        <f>HYPERLINK("https://ceds.ed.gov/cedselementdetails.aspx?termid=28053")</f>
        <v>https://ceds.ed.gov/cedselementdetails.aspx?termid=28053</v>
      </c>
      <c r="Q3409" s="16">
        <v>76412</v>
      </c>
    </row>
    <row r="3410" spans="1:17" ht="100.8" x14ac:dyDescent="0.3">
      <c r="A3410" s="16" t="s">
        <v>7724</v>
      </c>
      <c r="B3410" s="16" t="s">
        <v>7748</v>
      </c>
      <c r="C3410" s="16" t="s">
        <v>9412</v>
      </c>
      <c r="D3410" s="16" t="s">
        <v>7597</v>
      </c>
      <c r="E3410" s="16" t="s">
        <v>9119</v>
      </c>
      <c r="F3410" s="16" t="s">
        <v>9120</v>
      </c>
      <c r="G3410" s="16" t="s">
        <v>32</v>
      </c>
      <c r="H3410" s="16"/>
      <c r="I3410" s="16"/>
      <c r="J3410" s="16" t="s">
        <v>9103</v>
      </c>
      <c r="K3410" s="16"/>
      <c r="L3410" s="16" t="s">
        <v>9089</v>
      </c>
      <c r="M3410" s="19" t="s">
        <v>9121</v>
      </c>
      <c r="N3410" s="16"/>
      <c r="O3410" s="16" t="s">
        <v>9122</v>
      </c>
      <c r="P3410" s="16" t="str">
        <f>HYPERLINK("https://ceds.ed.gov/cedselementdetails.aspx?termid=28054")</f>
        <v>https://ceds.ed.gov/cedselementdetails.aspx?termid=28054</v>
      </c>
      <c r="Q3410" s="16">
        <v>76413</v>
      </c>
    </row>
    <row r="3411" spans="1:17" ht="100.8" x14ac:dyDescent="0.3">
      <c r="A3411" s="16" t="s">
        <v>7724</v>
      </c>
      <c r="B3411" s="16" t="s">
        <v>7748</v>
      </c>
      <c r="C3411" s="16" t="s">
        <v>9412</v>
      </c>
      <c r="D3411" s="16" t="s">
        <v>7597</v>
      </c>
      <c r="E3411" s="16" t="s">
        <v>9123</v>
      </c>
      <c r="F3411" s="16" t="s">
        <v>9124</v>
      </c>
      <c r="G3411" s="16" t="s">
        <v>32</v>
      </c>
      <c r="H3411" s="16"/>
      <c r="I3411" s="16"/>
      <c r="J3411" s="16" t="s">
        <v>747</v>
      </c>
      <c r="K3411" s="16"/>
      <c r="L3411" s="16" t="s">
        <v>9089</v>
      </c>
      <c r="M3411" s="19" t="s">
        <v>9125</v>
      </c>
      <c r="N3411" s="16"/>
      <c r="O3411" s="16" t="s">
        <v>9126</v>
      </c>
      <c r="P3411" s="16" t="str">
        <f>HYPERLINK("https://ceds.ed.gov/cedselementdetails.aspx?termid=28055")</f>
        <v>https://ceds.ed.gov/cedselementdetails.aspx?termid=28055</v>
      </c>
      <c r="Q3411" s="16">
        <v>76414</v>
      </c>
    </row>
    <row r="3412" spans="1:17" ht="100.8" x14ac:dyDescent="0.3">
      <c r="A3412" s="16" t="s">
        <v>7724</v>
      </c>
      <c r="B3412" s="16" t="s">
        <v>7748</v>
      </c>
      <c r="C3412" s="16" t="s">
        <v>9412</v>
      </c>
      <c r="D3412" s="16" t="s">
        <v>7597</v>
      </c>
      <c r="E3412" s="16" t="s">
        <v>9127</v>
      </c>
      <c r="F3412" s="16" t="s">
        <v>9128</v>
      </c>
      <c r="G3412" s="16" t="s">
        <v>32</v>
      </c>
      <c r="H3412" s="16"/>
      <c r="I3412" s="16"/>
      <c r="J3412" s="16" t="s">
        <v>34</v>
      </c>
      <c r="K3412" s="16"/>
      <c r="L3412" s="16" t="s">
        <v>9089</v>
      </c>
      <c r="M3412" s="19" t="s">
        <v>9129</v>
      </c>
      <c r="N3412" s="16"/>
      <c r="O3412" s="16" t="s">
        <v>9130</v>
      </c>
      <c r="P3412" s="16" t="str">
        <f>HYPERLINK("https://ceds.ed.gov/cedselementdetails.aspx?termid=28056")</f>
        <v>https://ceds.ed.gov/cedselementdetails.aspx?termid=28056</v>
      </c>
      <c r="Q3412" s="16">
        <v>76415</v>
      </c>
    </row>
    <row r="3413" spans="1:17" ht="144" x14ac:dyDescent="0.3">
      <c r="A3413" s="16" t="s">
        <v>7724</v>
      </c>
      <c r="B3413" s="16" t="s">
        <v>7748</v>
      </c>
      <c r="C3413" s="16" t="s">
        <v>9412</v>
      </c>
      <c r="D3413" s="16" t="s">
        <v>7597</v>
      </c>
      <c r="E3413" s="16" t="s">
        <v>9131</v>
      </c>
      <c r="F3413" s="16" t="s">
        <v>9132</v>
      </c>
      <c r="G3413" s="16" t="s">
        <v>9300</v>
      </c>
      <c r="H3413" s="16"/>
      <c r="I3413" s="16"/>
      <c r="J3413" s="16" t="s">
        <v>2</v>
      </c>
      <c r="K3413" s="16"/>
      <c r="L3413" s="16" t="s">
        <v>9089</v>
      </c>
      <c r="M3413" s="19" t="s">
        <v>9133</v>
      </c>
      <c r="N3413" s="16"/>
      <c r="O3413" s="16" t="s">
        <v>9134</v>
      </c>
      <c r="P3413" s="16" t="str">
        <f>HYPERLINK("https://ceds.ed.gov/cedselementdetails.aspx?termid=28057")</f>
        <v>https://ceds.ed.gov/cedselementdetails.aspx?termid=28057</v>
      </c>
      <c r="Q3413" s="16">
        <v>76416</v>
      </c>
    </row>
    <row r="3414" spans="1:17" ht="158.4" x14ac:dyDescent="0.3">
      <c r="A3414" s="16" t="s">
        <v>7724</v>
      </c>
      <c r="B3414" s="16" t="s">
        <v>7748</v>
      </c>
      <c r="C3414" s="16" t="s">
        <v>9412</v>
      </c>
      <c r="D3414" s="16" t="s">
        <v>7597</v>
      </c>
      <c r="E3414" s="16" t="s">
        <v>9135</v>
      </c>
      <c r="F3414" s="16" t="s">
        <v>9136</v>
      </c>
      <c r="G3414" s="16" t="s">
        <v>9301</v>
      </c>
      <c r="H3414" s="16"/>
      <c r="I3414" s="16"/>
      <c r="J3414" s="16" t="s">
        <v>2</v>
      </c>
      <c r="K3414" s="16"/>
      <c r="L3414" s="16" t="s">
        <v>9089</v>
      </c>
      <c r="M3414" s="19" t="s">
        <v>9137</v>
      </c>
      <c r="N3414" s="16"/>
      <c r="O3414" s="16" t="s">
        <v>9138</v>
      </c>
      <c r="P3414" s="16" t="str">
        <f>HYPERLINK("https://ceds.ed.gov/cedselementdetails.aspx?termid=28058")</f>
        <v>https://ceds.ed.gov/cedselementdetails.aspx?termid=28058</v>
      </c>
      <c r="Q3414" s="16">
        <v>76417</v>
      </c>
    </row>
    <row r="3415" spans="1:17" ht="100.8" x14ac:dyDescent="0.3">
      <c r="A3415" s="16" t="s">
        <v>7724</v>
      </c>
      <c r="B3415" s="16" t="s">
        <v>7748</v>
      </c>
      <c r="C3415" s="16" t="s">
        <v>9412</v>
      </c>
      <c r="D3415" s="16" t="s">
        <v>7597</v>
      </c>
      <c r="E3415" s="16" t="s">
        <v>9139</v>
      </c>
      <c r="F3415" s="16" t="s">
        <v>9140</v>
      </c>
      <c r="G3415" s="16" t="s">
        <v>32</v>
      </c>
      <c r="H3415" s="16"/>
      <c r="I3415" s="16"/>
      <c r="J3415" s="16" t="s">
        <v>34</v>
      </c>
      <c r="K3415" s="16"/>
      <c r="L3415" s="16" t="s">
        <v>9089</v>
      </c>
      <c r="M3415" s="19" t="s">
        <v>9141</v>
      </c>
      <c r="N3415" s="16"/>
      <c r="O3415" s="16" t="s">
        <v>9142</v>
      </c>
      <c r="P3415" s="16" t="str">
        <f>HYPERLINK("https://ceds.ed.gov/cedselementdetails.aspx?termid=28059")</f>
        <v>https://ceds.ed.gov/cedselementdetails.aspx?termid=28059</v>
      </c>
      <c r="Q3415" s="16">
        <v>76418</v>
      </c>
    </row>
    <row r="3416" spans="1:17" ht="100.8" x14ac:dyDescent="0.3">
      <c r="A3416" s="16" t="s">
        <v>7724</v>
      </c>
      <c r="B3416" s="16" t="s">
        <v>7748</v>
      </c>
      <c r="C3416" s="16" t="s">
        <v>9412</v>
      </c>
      <c r="D3416" s="16" t="s">
        <v>7597</v>
      </c>
      <c r="E3416" s="16" t="s">
        <v>9143</v>
      </c>
      <c r="F3416" s="16" t="s">
        <v>9144</v>
      </c>
      <c r="G3416" s="16" t="s">
        <v>32</v>
      </c>
      <c r="H3416" s="16"/>
      <c r="I3416" s="16"/>
      <c r="J3416" s="16" t="s">
        <v>120</v>
      </c>
      <c r="K3416" s="16"/>
      <c r="L3416" s="16" t="s">
        <v>9089</v>
      </c>
      <c r="M3416" s="19" t="s">
        <v>9145</v>
      </c>
      <c r="N3416" s="16"/>
      <c r="O3416" s="16" t="s">
        <v>9146</v>
      </c>
      <c r="P3416" s="16" t="str">
        <f>HYPERLINK("https://ceds.ed.gov/cedselementdetails.aspx?termid=28060")</f>
        <v>https://ceds.ed.gov/cedselementdetails.aspx?termid=28060</v>
      </c>
      <c r="Q3416" s="16">
        <v>76419</v>
      </c>
    </row>
    <row r="3417" spans="1:17" ht="129.6" x14ac:dyDescent="0.3">
      <c r="A3417" s="16" t="s">
        <v>7724</v>
      </c>
      <c r="B3417" s="16" t="s">
        <v>7748</v>
      </c>
      <c r="C3417" s="16" t="s">
        <v>9412</v>
      </c>
      <c r="D3417" s="16" t="s">
        <v>7597</v>
      </c>
      <c r="E3417" s="16" t="s">
        <v>9147</v>
      </c>
      <c r="F3417" s="16" t="s">
        <v>9148</v>
      </c>
      <c r="G3417" s="16" t="s">
        <v>9302</v>
      </c>
      <c r="H3417" s="16"/>
      <c r="I3417" s="16"/>
      <c r="J3417" s="16" t="s">
        <v>2</v>
      </c>
      <c r="K3417" s="16"/>
      <c r="L3417" s="16" t="s">
        <v>9089</v>
      </c>
      <c r="M3417" s="19" t="s">
        <v>9149</v>
      </c>
      <c r="N3417" s="16"/>
      <c r="O3417" s="16" t="s">
        <v>9150</v>
      </c>
      <c r="P3417" s="16" t="str">
        <f>HYPERLINK("https://ceds.ed.gov/cedselementdetails.aspx?termid=28061")</f>
        <v>https://ceds.ed.gov/cedselementdetails.aspx?termid=28061</v>
      </c>
      <c r="Q3417" s="16">
        <v>76420</v>
      </c>
    </row>
    <row r="3418" spans="1:17" ht="115.2" x14ac:dyDescent="0.3">
      <c r="A3418" s="16" t="s">
        <v>7724</v>
      </c>
      <c r="B3418" s="16" t="s">
        <v>7748</v>
      </c>
      <c r="C3418" s="16" t="s">
        <v>9412</v>
      </c>
      <c r="D3418" s="16" t="s">
        <v>7597</v>
      </c>
      <c r="E3418" s="16" t="s">
        <v>9151</v>
      </c>
      <c r="F3418" s="16" t="s">
        <v>9152</v>
      </c>
      <c r="G3418" s="16" t="s">
        <v>9303</v>
      </c>
      <c r="H3418" s="16"/>
      <c r="I3418" s="16"/>
      <c r="J3418" s="16" t="s">
        <v>2</v>
      </c>
      <c r="K3418" s="16"/>
      <c r="L3418" s="16" t="s">
        <v>9089</v>
      </c>
      <c r="M3418" s="19" t="s">
        <v>9153</v>
      </c>
      <c r="N3418" s="16"/>
      <c r="O3418" s="16" t="s">
        <v>9154</v>
      </c>
      <c r="P3418" s="16" t="str">
        <f>HYPERLINK("https://ceds.ed.gov/cedselementdetails.aspx?termid=28062")</f>
        <v>https://ceds.ed.gov/cedselementdetails.aspx?termid=28062</v>
      </c>
      <c r="Q3418" s="16">
        <v>76421</v>
      </c>
    </row>
    <row r="3419" spans="1:17" ht="100.8" x14ac:dyDescent="0.3">
      <c r="A3419" s="16" t="s">
        <v>7724</v>
      </c>
      <c r="B3419" s="16" t="s">
        <v>7748</v>
      </c>
      <c r="C3419" s="16" t="s">
        <v>9412</v>
      </c>
      <c r="D3419" s="16" t="s">
        <v>7597</v>
      </c>
      <c r="E3419" s="16" t="s">
        <v>9155</v>
      </c>
      <c r="F3419" s="16" t="s">
        <v>9156</v>
      </c>
      <c r="G3419" s="16" t="s">
        <v>32</v>
      </c>
      <c r="H3419" s="16"/>
      <c r="I3419" s="16"/>
      <c r="J3419" s="16" t="s">
        <v>120</v>
      </c>
      <c r="K3419" s="16"/>
      <c r="L3419" s="16" t="s">
        <v>9089</v>
      </c>
      <c r="M3419" s="19" t="s">
        <v>9157</v>
      </c>
      <c r="N3419" s="16"/>
      <c r="O3419" s="16" t="s">
        <v>9158</v>
      </c>
      <c r="P3419" s="16" t="str">
        <f>HYPERLINK("https://ceds.ed.gov/cedselementdetails.aspx?termid=28063")</f>
        <v>https://ceds.ed.gov/cedselementdetails.aspx?termid=28063</v>
      </c>
      <c r="Q3419" s="16">
        <v>76422</v>
      </c>
    </row>
    <row r="3420" spans="1:17" ht="100.8" x14ac:dyDescent="0.3">
      <c r="A3420" s="16" t="s">
        <v>7724</v>
      </c>
      <c r="B3420" s="16" t="s">
        <v>7748</v>
      </c>
      <c r="C3420" s="16" t="s">
        <v>9412</v>
      </c>
      <c r="D3420" s="16" t="s">
        <v>7597</v>
      </c>
      <c r="E3420" s="16" t="s">
        <v>9159</v>
      </c>
      <c r="F3420" s="16" t="s">
        <v>9160</v>
      </c>
      <c r="G3420" s="16" t="s">
        <v>32</v>
      </c>
      <c r="H3420" s="16"/>
      <c r="I3420" s="16"/>
      <c r="J3420" s="16" t="s">
        <v>120</v>
      </c>
      <c r="K3420" s="16"/>
      <c r="L3420" s="16" t="s">
        <v>9089</v>
      </c>
      <c r="M3420" s="19" t="s">
        <v>9161</v>
      </c>
      <c r="N3420" s="16"/>
      <c r="O3420" s="16" t="s">
        <v>9162</v>
      </c>
      <c r="P3420" s="16" t="str">
        <f>HYPERLINK("https://ceds.ed.gov/cedselementdetails.aspx?termid=28064")</f>
        <v>https://ceds.ed.gov/cedselementdetails.aspx?termid=28064</v>
      </c>
      <c r="Q3420" s="16">
        <v>76423</v>
      </c>
    </row>
    <row r="3421" spans="1:17" ht="100.8" x14ac:dyDescent="0.3">
      <c r="A3421" s="16" t="s">
        <v>7724</v>
      </c>
      <c r="B3421" s="16" t="s">
        <v>7748</v>
      </c>
      <c r="C3421" s="16" t="s">
        <v>9412</v>
      </c>
      <c r="D3421" s="16" t="s">
        <v>7597</v>
      </c>
      <c r="E3421" s="16" t="s">
        <v>9163</v>
      </c>
      <c r="F3421" s="16" t="s">
        <v>9164</v>
      </c>
      <c r="G3421" s="16" t="s">
        <v>32</v>
      </c>
      <c r="H3421" s="16"/>
      <c r="I3421" s="16"/>
      <c r="J3421" s="16" t="s">
        <v>34</v>
      </c>
      <c r="K3421" s="16"/>
      <c r="L3421" s="16" t="s">
        <v>9089</v>
      </c>
      <c r="M3421" s="19" t="s">
        <v>9165</v>
      </c>
      <c r="N3421" s="16"/>
      <c r="O3421" s="16" t="s">
        <v>9166</v>
      </c>
      <c r="P3421" s="16" t="str">
        <f>HYPERLINK("https://ceds.ed.gov/cedselementdetails.aspx?termid=28065")</f>
        <v>https://ceds.ed.gov/cedselementdetails.aspx?termid=28065</v>
      </c>
      <c r="Q3421" s="16">
        <v>76424</v>
      </c>
    </row>
    <row r="3422" spans="1:17" ht="100.8" x14ac:dyDescent="0.3">
      <c r="A3422" s="16" t="s">
        <v>7724</v>
      </c>
      <c r="B3422" s="16" t="s">
        <v>7748</v>
      </c>
      <c r="C3422" s="16" t="s">
        <v>9412</v>
      </c>
      <c r="D3422" s="16" t="s">
        <v>7597</v>
      </c>
      <c r="E3422" s="16" t="s">
        <v>9167</v>
      </c>
      <c r="F3422" s="16" t="s">
        <v>9168</v>
      </c>
      <c r="G3422" s="16" t="s">
        <v>32</v>
      </c>
      <c r="H3422" s="16"/>
      <c r="I3422" s="16"/>
      <c r="J3422" s="16" t="s">
        <v>120</v>
      </c>
      <c r="K3422" s="16"/>
      <c r="L3422" s="16" t="s">
        <v>9089</v>
      </c>
      <c r="M3422" s="19" t="s">
        <v>9169</v>
      </c>
      <c r="N3422" s="16"/>
      <c r="O3422" s="16" t="s">
        <v>9170</v>
      </c>
      <c r="P3422" s="16" t="str">
        <f>HYPERLINK("https://ceds.ed.gov/cedselementdetails.aspx?termid=28066")</f>
        <v>https://ceds.ed.gov/cedselementdetails.aspx?termid=28066</v>
      </c>
      <c r="Q3422" s="16">
        <v>76425</v>
      </c>
    </row>
    <row r="3423" spans="1:17" ht="259.2" x14ac:dyDescent="0.3">
      <c r="A3423" s="16" t="s">
        <v>7724</v>
      </c>
      <c r="B3423" s="16" t="s">
        <v>7748</v>
      </c>
      <c r="C3423" s="16" t="s">
        <v>9412</v>
      </c>
      <c r="D3423" s="16" t="s">
        <v>7597</v>
      </c>
      <c r="E3423" s="16" t="s">
        <v>9171</v>
      </c>
      <c r="F3423" s="16" t="s">
        <v>9172</v>
      </c>
      <c r="G3423" s="16" t="s">
        <v>32</v>
      </c>
      <c r="H3423" s="16"/>
      <c r="I3423" s="16"/>
      <c r="J3423" s="16" t="s">
        <v>9103</v>
      </c>
      <c r="K3423" s="16"/>
      <c r="L3423" s="16" t="s">
        <v>9173</v>
      </c>
      <c r="M3423" s="19" t="s">
        <v>9174</v>
      </c>
      <c r="N3423" s="16"/>
      <c r="O3423" s="16" t="s">
        <v>9175</v>
      </c>
      <c r="P3423" s="16" t="str">
        <f>HYPERLINK("https://ceds.ed.gov/cedselementdetails.aspx?termid=28067")</f>
        <v>https://ceds.ed.gov/cedselementdetails.aspx?termid=28067</v>
      </c>
      <c r="Q3423" s="16">
        <v>76426</v>
      </c>
    </row>
    <row r="3424" spans="1:17" ht="100.8" x14ac:dyDescent="0.3">
      <c r="A3424" s="16" t="s">
        <v>7724</v>
      </c>
      <c r="B3424" s="16" t="s">
        <v>7748</v>
      </c>
      <c r="C3424" s="16" t="s">
        <v>9412</v>
      </c>
      <c r="D3424" s="16" t="s">
        <v>7597</v>
      </c>
      <c r="E3424" s="16" t="s">
        <v>9176</v>
      </c>
      <c r="F3424" s="16" t="s">
        <v>9177</v>
      </c>
      <c r="G3424" s="16" t="s">
        <v>32</v>
      </c>
      <c r="H3424" s="16"/>
      <c r="I3424" s="16"/>
      <c r="J3424" s="16" t="s">
        <v>34</v>
      </c>
      <c r="K3424" s="16"/>
      <c r="L3424" s="16" t="s">
        <v>9089</v>
      </c>
      <c r="M3424" s="19" t="s">
        <v>9178</v>
      </c>
      <c r="N3424" s="16"/>
      <c r="O3424" s="16" t="s">
        <v>9179</v>
      </c>
      <c r="P3424" s="16" t="str">
        <f>HYPERLINK("https://ceds.ed.gov/cedselementdetails.aspx?termid=28068")</f>
        <v>https://ceds.ed.gov/cedselementdetails.aspx?termid=28068</v>
      </c>
      <c r="Q3424" s="16">
        <v>76427</v>
      </c>
    </row>
    <row r="3425" spans="1:17" ht="100.8" x14ac:dyDescent="0.3">
      <c r="A3425" s="16" t="s">
        <v>7724</v>
      </c>
      <c r="B3425" s="16" t="s">
        <v>7748</v>
      </c>
      <c r="C3425" s="16" t="s">
        <v>9412</v>
      </c>
      <c r="D3425" s="16" t="s">
        <v>7597</v>
      </c>
      <c r="E3425" s="16" t="s">
        <v>9180</v>
      </c>
      <c r="F3425" s="16" t="s">
        <v>9181</v>
      </c>
      <c r="G3425" s="16" t="s">
        <v>32</v>
      </c>
      <c r="H3425" s="16"/>
      <c r="I3425" s="16"/>
      <c r="J3425" s="16" t="s">
        <v>316</v>
      </c>
      <c r="K3425" s="16"/>
      <c r="L3425" s="16" t="s">
        <v>9089</v>
      </c>
      <c r="M3425" s="19" t="s">
        <v>9182</v>
      </c>
      <c r="N3425" s="16"/>
      <c r="O3425" s="16" t="s">
        <v>9183</v>
      </c>
      <c r="P3425" s="16" t="str">
        <f>HYPERLINK("https://ceds.ed.gov/cedselementdetails.aspx?termid=28069")</f>
        <v>https://ceds.ed.gov/cedselementdetails.aspx?termid=28069</v>
      </c>
      <c r="Q3425" s="16">
        <v>76428</v>
      </c>
    </row>
    <row r="3426" spans="1:17" ht="100.8" x14ac:dyDescent="0.3">
      <c r="A3426" s="16" t="s">
        <v>7724</v>
      </c>
      <c r="B3426" s="16" t="s">
        <v>7748</v>
      </c>
      <c r="C3426" s="16" t="s">
        <v>9412</v>
      </c>
      <c r="D3426" s="16" t="s">
        <v>7597</v>
      </c>
      <c r="E3426" s="16" t="s">
        <v>9184</v>
      </c>
      <c r="F3426" s="16" t="s">
        <v>9185</v>
      </c>
      <c r="G3426" s="16" t="s">
        <v>32</v>
      </c>
      <c r="H3426" s="16"/>
      <c r="I3426" s="16"/>
      <c r="J3426" s="16" t="s">
        <v>120</v>
      </c>
      <c r="K3426" s="16"/>
      <c r="L3426" s="16" t="s">
        <v>9186</v>
      </c>
      <c r="M3426" s="19" t="s">
        <v>9187</v>
      </c>
      <c r="N3426" s="16"/>
      <c r="O3426" s="16" t="s">
        <v>9188</v>
      </c>
      <c r="P3426" s="16" t="str">
        <f>HYPERLINK("https://ceds.ed.gov/cedselementdetails.aspx?termid=28070")</f>
        <v>https://ceds.ed.gov/cedselementdetails.aspx?termid=28070</v>
      </c>
      <c r="Q3426" s="16">
        <v>76429</v>
      </c>
    </row>
    <row r="3427" spans="1:17" ht="57.6" x14ac:dyDescent="0.3">
      <c r="A3427" s="16" t="s">
        <v>7724</v>
      </c>
      <c r="B3427" s="16" t="s">
        <v>7748</v>
      </c>
      <c r="C3427" s="16" t="s">
        <v>9412</v>
      </c>
      <c r="D3427" s="16" t="s">
        <v>7597</v>
      </c>
      <c r="E3427" s="16" t="s">
        <v>9320</v>
      </c>
      <c r="F3427" s="16" t="s">
        <v>9321</v>
      </c>
      <c r="G3427" s="16" t="s">
        <v>8730</v>
      </c>
      <c r="H3427" s="16"/>
      <c r="I3427" s="16"/>
      <c r="J3427" s="16"/>
      <c r="K3427" s="16"/>
      <c r="L3427" s="16"/>
      <c r="M3427" s="19" t="s">
        <v>5406</v>
      </c>
      <c r="N3427" s="16"/>
      <c r="O3427" s="16" t="s">
        <v>9322</v>
      </c>
      <c r="P3427" s="16" t="str">
        <f>HYPERLINK("https://ceds.ed.gov/cedselementdetails.aspx?termid=27557")</f>
        <v>https://ceds.ed.gov/cedselementdetails.aspx?termid=27557</v>
      </c>
      <c r="Q3427" s="16">
        <v>76430</v>
      </c>
    </row>
    <row r="3428" spans="1:17" ht="100.8" x14ac:dyDescent="0.3">
      <c r="A3428" s="16" t="s">
        <v>7724</v>
      </c>
      <c r="B3428" s="16" t="s">
        <v>7748</v>
      </c>
      <c r="C3428" s="16" t="s">
        <v>9412</v>
      </c>
      <c r="D3428" s="16" t="s">
        <v>7597</v>
      </c>
      <c r="E3428" s="16" t="s">
        <v>9193</v>
      </c>
      <c r="F3428" s="16" t="s">
        <v>9194</v>
      </c>
      <c r="G3428" s="16" t="s">
        <v>2987</v>
      </c>
      <c r="H3428" s="16"/>
      <c r="I3428" s="16"/>
      <c r="J3428" s="16" t="s">
        <v>2</v>
      </c>
      <c r="K3428" s="16"/>
      <c r="L3428" s="16" t="s">
        <v>9089</v>
      </c>
      <c r="M3428" s="19" t="s">
        <v>9195</v>
      </c>
      <c r="N3428" s="16"/>
      <c r="O3428" s="16" t="s">
        <v>9196</v>
      </c>
      <c r="P3428" s="16" t="str">
        <f>HYPERLINK("https://ceds.ed.gov/cedselementdetails.aspx?termid=28072")</f>
        <v>https://ceds.ed.gov/cedselementdetails.aspx?termid=28072</v>
      </c>
      <c r="Q3428" s="16">
        <v>76431</v>
      </c>
    </row>
    <row r="3429" spans="1:17" ht="72" x14ac:dyDescent="0.3">
      <c r="A3429" s="16" t="s">
        <v>7724</v>
      </c>
      <c r="B3429" s="16" t="s">
        <v>7715</v>
      </c>
      <c r="C3429" s="16"/>
      <c r="D3429" s="16" t="s">
        <v>7597</v>
      </c>
      <c r="E3429" s="16" t="s">
        <v>2682</v>
      </c>
      <c r="F3429" s="16" t="s">
        <v>2683</v>
      </c>
      <c r="G3429" s="16" t="s">
        <v>32</v>
      </c>
      <c r="H3429" s="16"/>
      <c r="I3429" s="16"/>
      <c r="J3429" s="16" t="s">
        <v>81</v>
      </c>
      <c r="K3429" s="16"/>
      <c r="L3429" s="16"/>
      <c r="M3429" s="19" t="s">
        <v>2684</v>
      </c>
      <c r="N3429" s="16"/>
      <c r="O3429" s="16" t="s">
        <v>2685</v>
      </c>
      <c r="P3429" s="16" t="str">
        <f>HYPERLINK("https://ceds.ed.gov/cedselementdetails.aspx?termid=27281")</f>
        <v>https://ceds.ed.gov/cedselementdetails.aspx?termid=27281</v>
      </c>
      <c r="Q3429" s="16">
        <v>73118</v>
      </c>
    </row>
    <row r="3430" spans="1:17" ht="72" x14ac:dyDescent="0.3">
      <c r="A3430" s="16" t="s">
        <v>7724</v>
      </c>
      <c r="B3430" s="16" t="s">
        <v>7715</v>
      </c>
      <c r="C3430" s="16"/>
      <c r="D3430" s="16" t="s">
        <v>7597</v>
      </c>
      <c r="E3430" s="16" t="s">
        <v>2618</v>
      </c>
      <c r="F3430" s="16" t="s">
        <v>7923</v>
      </c>
      <c r="G3430" s="16" t="s">
        <v>32</v>
      </c>
      <c r="H3430" s="16"/>
      <c r="I3430" s="16"/>
      <c r="J3430" s="16" t="s">
        <v>81</v>
      </c>
      <c r="K3430" s="16"/>
      <c r="L3430" s="16"/>
      <c r="M3430" s="19" t="s">
        <v>2620</v>
      </c>
      <c r="N3430" s="16"/>
      <c r="O3430" s="16" t="s">
        <v>2621</v>
      </c>
      <c r="P3430" s="16" t="str">
        <f>HYPERLINK("https://ceds.ed.gov/cedselementdetails.aspx?termid=27280")</f>
        <v>https://ceds.ed.gov/cedselementdetails.aspx?termid=27280</v>
      </c>
      <c r="Q3430" s="16">
        <v>73116</v>
      </c>
    </row>
    <row r="3431" spans="1:17" ht="43.2" x14ac:dyDescent="0.3">
      <c r="A3431" s="16" t="s">
        <v>7724</v>
      </c>
      <c r="B3431" s="16" t="s">
        <v>7715</v>
      </c>
      <c r="C3431" s="16"/>
      <c r="D3431" s="16" t="s">
        <v>7597</v>
      </c>
      <c r="E3431" s="16" t="s">
        <v>5668</v>
      </c>
      <c r="F3431" s="16" t="s">
        <v>5669</v>
      </c>
      <c r="G3431" s="16" t="s">
        <v>32</v>
      </c>
      <c r="H3431" s="16"/>
      <c r="I3431" s="16"/>
      <c r="J3431" s="16" t="s">
        <v>81</v>
      </c>
      <c r="K3431" s="16"/>
      <c r="L3431" s="16"/>
      <c r="M3431" s="19" t="s">
        <v>5670</v>
      </c>
      <c r="N3431" s="16"/>
      <c r="O3431" s="16" t="s">
        <v>5671</v>
      </c>
      <c r="P3431" s="16" t="str">
        <f>HYPERLINK("https://ceds.ed.gov/cedselementdetails.aspx?termid=27391")</f>
        <v>https://ceds.ed.gov/cedselementdetails.aspx?termid=27391</v>
      </c>
      <c r="Q3431" s="16">
        <v>73306</v>
      </c>
    </row>
    <row r="3432" spans="1:17" ht="172.8" x14ac:dyDescent="0.3">
      <c r="A3432" s="16" t="s">
        <v>7724</v>
      </c>
      <c r="B3432" s="16" t="s">
        <v>7715</v>
      </c>
      <c r="C3432" s="16"/>
      <c r="D3432" s="16" t="s">
        <v>7597</v>
      </c>
      <c r="E3432" s="16" t="s">
        <v>5627</v>
      </c>
      <c r="F3432" s="16" t="s">
        <v>5628</v>
      </c>
      <c r="G3432" s="16" t="s">
        <v>32</v>
      </c>
      <c r="H3432" s="16"/>
      <c r="I3432" s="16"/>
      <c r="J3432" s="16" t="s">
        <v>120</v>
      </c>
      <c r="K3432" s="16"/>
      <c r="L3432" s="16" t="s">
        <v>7817</v>
      </c>
      <c r="M3432" s="19" t="s">
        <v>5629</v>
      </c>
      <c r="N3432" s="16"/>
      <c r="O3432" s="16" t="s">
        <v>5630</v>
      </c>
      <c r="P3432" s="16" t="str">
        <f>HYPERLINK("https://ceds.ed.gov/cedselementdetails.aspx?termid=27389")</f>
        <v>https://ceds.ed.gov/cedselementdetails.aspx?termid=27389</v>
      </c>
      <c r="Q3432" s="16">
        <v>73302</v>
      </c>
    </row>
    <row r="3433" spans="1:17" ht="409.6" x14ac:dyDescent="0.3">
      <c r="A3433" s="16" t="s">
        <v>7724</v>
      </c>
      <c r="B3433" s="16" t="s">
        <v>7715</v>
      </c>
      <c r="C3433" s="16"/>
      <c r="D3433" s="16" t="s">
        <v>7597</v>
      </c>
      <c r="E3433" s="16" t="s">
        <v>293</v>
      </c>
      <c r="F3433" s="16" t="s">
        <v>7826</v>
      </c>
      <c r="G3433" s="16" t="s">
        <v>8313</v>
      </c>
      <c r="H3433" s="16"/>
      <c r="I3433" s="16"/>
      <c r="J3433" s="16" t="s">
        <v>145</v>
      </c>
      <c r="K3433" s="16"/>
      <c r="L3433" s="16"/>
      <c r="M3433" s="19" t="s">
        <v>295</v>
      </c>
      <c r="N3433" s="16" t="s">
        <v>296</v>
      </c>
      <c r="O3433" s="16" t="s">
        <v>297</v>
      </c>
      <c r="P3433" s="16" t="str">
        <f>HYPERLINK("https://ceds.ed.gov/cedselementdetails.aspx?termid=27244")</f>
        <v>https://ceds.ed.gov/cedselementdetails.aspx?termid=27244</v>
      </c>
      <c r="Q3433" s="16">
        <v>73061</v>
      </c>
    </row>
    <row r="3434" spans="1:17" ht="28.8" x14ac:dyDescent="0.3">
      <c r="A3434" s="16" t="s">
        <v>7724</v>
      </c>
      <c r="B3434" s="16" t="s">
        <v>7715</v>
      </c>
      <c r="C3434" s="16"/>
      <c r="D3434" s="16" t="s">
        <v>7597</v>
      </c>
      <c r="E3434" s="16" t="s">
        <v>2593</v>
      </c>
      <c r="F3434" s="16" t="s">
        <v>2594</v>
      </c>
      <c r="G3434" s="16" t="s">
        <v>32</v>
      </c>
      <c r="H3434" s="16"/>
      <c r="I3434" s="16"/>
      <c r="J3434" s="16" t="s">
        <v>145</v>
      </c>
      <c r="K3434" s="16"/>
      <c r="L3434" s="16"/>
      <c r="M3434" s="19" t="s">
        <v>2595</v>
      </c>
      <c r="N3434" s="16"/>
      <c r="O3434" s="16" t="s">
        <v>2596</v>
      </c>
      <c r="P3434" s="16" t="str">
        <f>HYPERLINK("https://ceds.ed.gov/cedselementdetails.aspx?termid=27275")</f>
        <v>https://ceds.ed.gov/cedselementdetails.aspx?termid=27275</v>
      </c>
      <c r="Q3434" s="16">
        <v>73110</v>
      </c>
    </row>
    <row r="3435" spans="1:17" ht="144" x14ac:dyDescent="0.3">
      <c r="A3435" s="16" t="s">
        <v>7724</v>
      </c>
      <c r="B3435" s="16" t="s">
        <v>7715</v>
      </c>
      <c r="C3435" s="16"/>
      <c r="D3435" s="16" t="s">
        <v>7597</v>
      </c>
      <c r="E3435" s="16" t="s">
        <v>2597</v>
      </c>
      <c r="F3435" s="16" t="s">
        <v>2598</v>
      </c>
      <c r="G3435" s="16" t="s">
        <v>8466</v>
      </c>
      <c r="H3435" s="16"/>
      <c r="I3435" s="16"/>
      <c r="J3435" s="16"/>
      <c r="K3435" s="16"/>
      <c r="L3435" s="16"/>
      <c r="M3435" s="19" t="s">
        <v>2599</v>
      </c>
      <c r="N3435" s="16"/>
      <c r="O3435" s="16" t="s">
        <v>2600</v>
      </c>
      <c r="P3435" s="16" t="str">
        <f>HYPERLINK("https://ceds.ed.gov/cedselementdetails.aspx?termid=27276")</f>
        <v>https://ceds.ed.gov/cedselementdetails.aspx?termid=27276</v>
      </c>
      <c r="Q3435" s="16">
        <v>73111</v>
      </c>
    </row>
    <row r="3436" spans="1:17" ht="28.8" x14ac:dyDescent="0.3">
      <c r="A3436" s="16" t="s">
        <v>7724</v>
      </c>
      <c r="B3436" s="16" t="s">
        <v>7715</v>
      </c>
      <c r="C3436" s="16"/>
      <c r="D3436" s="16" t="s">
        <v>7597</v>
      </c>
      <c r="E3436" s="16" t="s">
        <v>2678</v>
      </c>
      <c r="F3436" s="16" t="s">
        <v>2679</v>
      </c>
      <c r="G3436" s="16" t="s">
        <v>32</v>
      </c>
      <c r="H3436" s="16"/>
      <c r="I3436" s="16"/>
      <c r="J3436" s="16" t="s">
        <v>305</v>
      </c>
      <c r="K3436" s="16"/>
      <c r="L3436" s="16"/>
      <c r="M3436" s="19" t="s">
        <v>2680</v>
      </c>
      <c r="N3436" s="16"/>
      <c r="O3436" s="16" t="s">
        <v>2681</v>
      </c>
      <c r="P3436" s="16" t="str">
        <f>HYPERLINK("https://ceds.ed.gov/cedselementdetails.aspx?termid=27636")</f>
        <v>https://ceds.ed.gov/cedselementdetails.aspx?termid=27636</v>
      </c>
      <c r="Q3436" s="16">
        <v>74351</v>
      </c>
    </row>
    <row r="3437" spans="1:17" ht="302.39999999999998" x14ac:dyDescent="0.3">
      <c r="A3437" s="16" t="s">
        <v>7724</v>
      </c>
      <c r="B3437" s="16" t="s">
        <v>7715</v>
      </c>
      <c r="C3437" s="16"/>
      <c r="D3437" s="16" t="s">
        <v>7597</v>
      </c>
      <c r="E3437" s="16" t="s">
        <v>2610</v>
      </c>
      <c r="F3437" s="16" t="s">
        <v>2611</v>
      </c>
      <c r="G3437" s="16" t="s">
        <v>8218</v>
      </c>
      <c r="H3437" s="16"/>
      <c r="I3437" s="16"/>
      <c r="J3437" s="16"/>
      <c r="K3437" s="16"/>
      <c r="L3437" s="16"/>
      <c r="M3437" s="19" t="s">
        <v>2612</v>
      </c>
      <c r="N3437" s="16"/>
      <c r="O3437" s="16" t="s">
        <v>2613</v>
      </c>
      <c r="P3437" s="16" t="str">
        <f>HYPERLINK("https://ceds.ed.gov/cedselementdetails.aspx?termid=27278")</f>
        <v>https://ceds.ed.gov/cedselementdetails.aspx?termid=27278</v>
      </c>
      <c r="Q3437" s="16">
        <v>73114</v>
      </c>
    </row>
    <row r="3438" spans="1:17" ht="43.2" x14ac:dyDescent="0.3">
      <c r="A3438" s="16" t="s">
        <v>7724</v>
      </c>
      <c r="B3438" s="16" t="s">
        <v>7715</v>
      </c>
      <c r="C3438" s="16"/>
      <c r="D3438" s="16" t="s">
        <v>7597</v>
      </c>
      <c r="E3438" s="16" t="s">
        <v>2580</v>
      </c>
      <c r="F3438" s="16" t="s">
        <v>2581</v>
      </c>
      <c r="G3438" s="16" t="s">
        <v>8464</v>
      </c>
      <c r="H3438" s="16"/>
      <c r="I3438" s="16"/>
      <c r="J3438" s="16"/>
      <c r="K3438" s="16"/>
      <c r="L3438" s="16"/>
      <c r="M3438" s="19" t="s">
        <v>2582</v>
      </c>
      <c r="N3438" s="16"/>
      <c r="O3438" s="16" t="s">
        <v>2583</v>
      </c>
      <c r="P3438" s="16" t="str">
        <f>HYPERLINK("https://ceds.ed.gov/cedselementdetails.aspx?termid=27273")</f>
        <v>https://ceds.ed.gov/cedselementdetails.aspx?termid=27273</v>
      </c>
      <c r="Q3438" s="16">
        <v>73107</v>
      </c>
    </row>
    <row r="3439" spans="1:17" ht="345.6" x14ac:dyDescent="0.3">
      <c r="A3439" s="16" t="s">
        <v>7724</v>
      </c>
      <c r="B3439" s="16" t="s">
        <v>7715</v>
      </c>
      <c r="C3439" s="16"/>
      <c r="D3439" s="16" t="s">
        <v>7597</v>
      </c>
      <c r="E3439" s="16" t="s">
        <v>2540</v>
      </c>
      <c r="F3439" s="16" t="s">
        <v>2541</v>
      </c>
      <c r="G3439" s="16" t="s">
        <v>8459</v>
      </c>
      <c r="H3439" s="16"/>
      <c r="I3439" s="16"/>
      <c r="J3439" s="16"/>
      <c r="K3439" s="16"/>
      <c r="L3439" s="16"/>
      <c r="M3439" s="19" t="s">
        <v>2542</v>
      </c>
      <c r="N3439" s="16"/>
      <c r="O3439" s="16" t="s">
        <v>2543</v>
      </c>
      <c r="P3439" s="16" t="str">
        <f>HYPERLINK("https://ceds.ed.gov/cedselementdetails.aspx?termid=27269")</f>
        <v>https://ceds.ed.gov/cedselementdetails.aspx?termid=27269</v>
      </c>
      <c r="Q3439" s="16">
        <v>73100</v>
      </c>
    </row>
    <row r="3440" spans="1:17" ht="187.2" x14ac:dyDescent="0.3">
      <c r="A3440" s="16" t="s">
        <v>7724</v>
      </c>
      <c r="B3440" s="16" t="s">
        <v>7715</v>
      </c>
      <c r="C3440" s="16"/>
      <c r="D3440" s="16" t="s">
        <v>7597</v>
      </c>
      <c r="E3440" s="16" t="s">
        <v>2544</v>
      </c>
      <c r="F3440" s="16" t="s">
        <v>2545</v>
      </c>
      <c r="G3440" s="16" t="s">
        <v>8460</v>
      </c>
      <c r="H3440" s="16"/>
      <c r="I3440" s="16"/>
      <c r="J3440" s="16"/>
      <c r="K3440" s="16"/>
      <c r="L3440" s="16"/>
      <c r="M3440" s="19" t="s">
        <v>2546</v>
      </c>
      <c r="N3440" s="16"/>
      <c r="O3440" s="16" t="s">
        <v>2547</v>
      </c>
      <c r="P3440" s="16" t="str">
        <f>HYPERLINK("https://ceds.ed.gov/cedselementdetails.aspx?termid=27270")</f>
        <v>https://ceds.ed.gov/cedselementdetails.aspx?termid=27270</v>
      </c>
      <c r="Q3440" s="16">
        <v>73101</v>
      </c>
    </row>
    <row r="3441" spans="1:17" ht="100.8" x14ac:dyDescent="0.3">
      <c r="A3441" s="16" t="s">
        <v>7724</v>
      </c>
      <c r="B3441" s="16" t="s">
        <v>7715</v>
      </c>
      <c r="C3441" s="16"/>
      <c r="D3441" s="16" t="s">
        <v>7597</v>
      </c>
      <c r="E3441" s="16" t="s">
        <v>2574</v>
      </c>
      <c r="F3441" s="16" t="s">
        <v>2575</v>
      </c>
      <c r="G3441" s="16" t="s">
        <v>8463</v>
      </c>
      <c r="H3441" s="16" t="s">
        <v>1484</v>
      </c>
      <c r="I3441" s="16"/>
      <c r="J3441" s="16"/>
      <c r="K3441" s="16"/>
      <c r="L3441" s="16"/>
      <c r="M3441" s="19" t="s">
        <v>2577</v>
      </c>
      <c r="N3441" s="16" t="s">
        <v>2578</v>
      </c>
      <c r="O3441" s="16" t="s">
        <v>2579</v>
      </c>
      <c r="P3441" s="16" t="str">
        <f>HYPERLINK("https://ceds.ed.gov/cedselementdetails.aspx?termid=26060")</f>
        <v>https://ceds.ed.gov/cedselementdetails.aspx?termid=26060</v>
      </c>
      <c r="Q3441" s="16">
        <v>73106</v>
      </c>
    </row>
    <row r="3442" spans="1:17" ht="374.4" x14ac:dyDescent="0.3">
      <c r="A3442" s="16" t="s">
        <v>7724</v>
      </c>
      <c r="B3442" s="16" t="s">
        <v>7715</v>
      </c>
      <c r="C3442" s="16"/>
      <c r="D3442" s="16" t="s">
        <v>7597</v>
      </c>
      <c r="E3442" s="16" t="s">
        <v>2589</v>
      </c>
      <c r="F3442" s="16" t="s">
        <v>2590</v>
      </c>
      <c r="G3442" s="16" t="s">
        <v>8465</v>
      </c>
      <c r="H3442" s="16"/>
      <c r="I3442" s="16"/>
      <c r="J3442" s="16"/>
      <c r="K3442" s="16"/>
      <c r="L3442" s="16"/>
      <c r="M3442" s="19" t="s">
        <v>2591</v>
      </c>
      <c r="N3442" s="16"/>
      <c r="O3442" s="16" t="s">
        <v>2592</v>
      </c>
      <c r="P3442" s="16" t="str">
        <f>HYPERLINK("https://ceds.ed.gov/cedselementdetails.aspx?termid=27274")</f>
        <v>https://ceds.ed.gov/cedselementdetails.aspx?termid=27274</v>
      </c>
      <c r="Q3442" s="16">
        <v>73109</v>
      </c>
    </row>
    <row r="3443" spans="1:17" ht="86.4" x14ac:dyDescent="0.3">
      <c r="A3443" s="16" t="s">
        <v>7724</v>
      </c>
      <c r="B3443" s="16" t="s">
        <v>7715</v>
      </c>
      <c r="C3443" s="16"/>
      <c r="D3443" s="16" t="s">
        <v>7597</v>
      </c>
      <c r="E3443" s="16" t="s">
        <v>2614</v>
      </c>
      <c r="F3443" s="16" t="s">
        <v>2615</v>
      </c>
      <c r="G3443" s="16" t="s">
        <v>32</v>
      </c>
      <c r="H3443" s="16"/>
      <c r="I3443" s="16"/>
      <c r="J3443" s="16" t="s">
        <v>316</v>
      </c>
      <c r="K3443" s="16"/>
      <c r="L3443" s="16"/>
      <c r="M3443" s="19" t="s">
        <v>2616</v>
      </c>
      <c r="N3443" s="16"/>
      <c r="O3443" s="16" t="s">
        <v>2617</v>
      </c>
      <c r="P3443" s="16" t="str">
        <f>HYPERLINK("https://ceds.ed.gov/cedselementdetails.aspx?termid=27279")</f>
        <v>https://ceds.ed.gov/cedselementdetails.aspx?termid=27279</v>
      </c>
      <c r="Q3443" s="16">
        <v>73115</v>
      </c>
    </row>
    <row r="3444" spans="1:17" ht="129.6" x14ac:dyDescent="0.3">
      <c r="A3444" s="16" t="s">
        <v>7724</v>
      </c>
      <c r="B3444" s="16" t="s">
        <v>7715</v>
      </c>
      <c r="C3444" s="16"/>
      <c r="D3444" s="16" t="s">
        <v>7597</v>
      </c>
      <c r="E3444" s="16" t="s">
        <v>2628</v>
      </c>
      <c r="F3444" s="16" t="s">
        <v>2629</v>
      </c>
      <c r="G3444" s="16" t="s">
        <v>8469</v>
      </c>
      <c r="H3444" s="16" t="s">
        <v>64</v>
      </c>
      <c r="I3444" s="16"/>
      <c r="J3444" s="16"/>
      <c r="K3444" s="16"/>
      <c r="L3444" s="16"/>
      <c r="M3444" s="19" t="s">
        <v>2630</v>
      </c>
      <c r="N3444" s="16"/>
      <c r="O3444" s="16" t="s">
        <v>2631</v>
      </c>
      <c r="P3444" s="16" t="str">
        <f>HYPERLINK("https://ceds.ed.gov/cedselementdetails.aspx?termid=26065")</f>
        <v>https://ceds.ed.gov/cedselementdetails.aspx?termid=26065</v>
      </c>
      <c r="Q3444" s="16">
        <v>73117</v>
      </c>
    </row>
    <row r="3445" spans="1:17" ht="129.6" x14ac:dyDescent="0.3">
      <c r="A3445" s="16" t="s">
        <v>7724</v>
      </c>
      <c r="B3445" s="16" t="s">
        <v>7715</v>
      </c>
      <c r="C3445" s="16"/>
      <c r="D3445" s="16" t="s">
        <v>7597</v>
      </c>
      <c r="E3445" s="16" t="s">
        <v>2503</v>
      </c>
      <c r="F3445" s="16" t="s">
        <v>2504</v>
      </c>
      <c r="G3445" s="16" t="s">
        <v>32</v>
      </c>
      <c r="H3445" s="16"/>
      <c r="I3445" s="16"/>
      <c r="J3445" s="16" t="s">
        <v>2506</v>
      </c>
      <c r="K3445" s="16"/>
      <c r="L3445" s="16" t="s">
        <v>2507</v>
      </c>
      <c r="M3445" s="19" t="s">
        <v>2508</v>
      </c>
      <c r="N3445" s="16"/>
      <c r="O3445" s="16" t="s">
        <v>2509</v>
      </c>
      <c r="P3445" s="16" t="str">
        <f>HYPERLINK("https://ceds.ed.gov/cedselementdetails.aspx?termid=27264")</f>
        <v>https://ceds.ed.gov/cedselementdetails.aspx?termid=27264</v>
      </c>
      <c r="Q3445" s="16">
        <v>73093</v>
      </c>
    </row>
    <row r="3446" spans="1:17" ht="86.4" x14ac:dyDescent="0.3">
      <c r="A3446" s="16" t="s">
        <v>7724</v>
      </c>
      <c r="B3446" s="16" t="s">
        <v>7715</v>
      </c>
      <c r="C3446" s="16"/>
      <c r="D3446" s="16" t="s">
        <v>7597</v>
      </c>
      <c r="E3446" s="16" t="s">
        <v>3073</v>
      </c>
      <c r="F3446" s="16" t="s">
        <v>3074</v>
      </c>
      <c r="G3446" s="16" t="s">
        <v>8500</v>
      </c>
      <c r="H3446" s="16" t="s">
        <v>3072</v>
      </c>
      <c r="I3446" s="16"/>
      <c r="J3446" s="16"/>
      <c r="K3446" s="16"/>
      <c r="L3446" s="16"/>
      <c r="M3446" s="19" t="s">
        <v>3076</v>
      </c>
      <c r="N3446" s="16"/>
      <c r="O3446" s="16" t="s">
        <v>3077</v>
      </c>
      <c r="P3446" s="16" t="str">
        <f>HYPERLINK("https://ceds.ed.gov/cedselementdetails.aspx?termid=27568")</f>
        <v>https://ceds.ed.gov/cedselementdetails.aspx?termid=27568</v>
      </c>
      <c r="Q3446" s="16">
        <v>74058</v>
      </c>
    </row>
    <row r="3447" spans="1:17" ht="230.4" x14ac:dyDescent="0.3">
      <c r="A3447" s="16" t="s">
        <v>7724</v>
      </c>
      <c r="B3447" s="16" t="s">
        <v>7715</v>
      </c>
      <c r="C3447" s="16"/>
      <c r="D3447" s="16" t="s">
        <v>7597</v>
      </c>
      <c r="E3447" s="16" t="s">
        <v>7286</v>
      </c>
      <c r="F3447" s="16" t="s">
        <v>7287</v>
      </c>
      <c r="G3447" s="16" t="s">
        <v>9348</v>
      </c>
      <c r="H3447" s="16"/>
      <c r="I3447" s="16"/>
      <c r="J3447" s="16"/>
      <c r="K3447" s="16"/>
      <c r="L3447" s="16"/>
      <c r="M3447" s="19" t="s">
        <v>7288</v>
      </c>
      <c r="N3447" s="16"/>
      <c r="O3447" s="16" t="s">
        <v>7289</v>
      </c>
      <c r="P3447" s="16" t="str">
        <f>HYPERLINK("https://ceds.ed.gov/cedselementdetails.aspx?termid=27471")</f>
        <v>https://ceds.ed.gov/cedselementdetails.aspx?termid=27471</v>
      </c>
      <c r="Q3447" s="16">
        <v>74033</v>
      </c>
    </row>
    <row r="3448" spans="1:17" ht="28.8" x14ac:dyDescent="0.3">
      <c r="A3448" s="16" t="s">
        <v>7724</v>
      </c>
      <c r="B3448" s="16" t="s">
        <v>7715</v>
      </c>
      <c r="C3448" s="16"/>
      <c r="D3448" s="16" t="s">
        <v>7597</v>
      </c>
      <c r="E3448" s="16" t="s">
        <v>7818</v>
      </c>
      <c r="F3448" s="16" t="s">
        <v>7819</v>
      </c>
      <c r="G3448" s="16" t="s">
        <v>32</v>
      </c>
      <c r="H3448" s="16"/>
      <c r="I3448" s="16"/>
      <c r="J3448" s="16" t="s">
        <v>136</v>
      </c>
      <c r="K3448" s="16"/>
      <c r="L3448" s="16"/>
      <c r="M3448" s="19" t="s">
        <v>8174</v>
      </c>
      <c r="N3448" s="16"/>
      <c r="O3448" s="16" t="s">
        <v>7820</v>
      </c>
      <c r="P3448" s="16" t="str">
        <f>HYPERLINK("https://ceds.ed.gov/cedselementdetails.aspx?termid=27972")</f>
        <v>https://ceds.ed.gov/cedselementdetails.aspx?termid=27972</v>
      </c>
      <c r="Q3448" s="16">
        <v>75946</v>
      </c>
    </row>
    <row r="3449" spans="1:17" ht="43.2" x14ac:dyDescent="0.3">
      <c r="A3449" s="16" t="s">
        <v>7724</v>
      </c>
      <c r="B3449" s="16" t="s">
        <v>7715</v>
      </c>
      <c r="C3449" s="16"/>
      <c r="D3449" s="16" t="s">
        <v>7597</v>
      </c>
      <c r="E3449" s="16" t="s">
        <v>7821</v>
      </c>
      <c r="F3449" s="16" t="s">
        <v>7822</v>
      </c>
      <c r="G3449" s="16" t="s">
        <v>8197</v>
      </c>
      <c r="H3449" s="16"/>
      <c r="I3449" s="16"/>
      <c r="J3449" s="16" t="s">
        <v>2</v>
      </c>
      <c r="K3449" s="16"/>
      <c r="L3449" s="16"/>
      <c r="M3449" s="19" t="s">
        <v>8175</v>
      </c>
      <c r="N3449" s="16"/>
      <c r="O3449" s="16" t="s">
        <v>7823</v>
      </c>
      <c r="P3449" s="16" t="str">
        <f>HYPERLINK("https://ceds.ed.gov/cedselementdetails.aspx?termid=27973")</f>
        <v>https://ceds.ed.gov/cedselementdetails.aspx?termid=27973</v>
      </c>
      <c r="Q3449" s="16">
        <v>75947</v>
      </c>
    </row>
    <row r="3450" spans="1:17" ht="172.8" x14ac:dyDescent="0.3">
      <c r="A3450" s="16" t="s">
        <v>7724</v>
      </c>
      <c r="B3450" s="16" t="s">
        <v>7715</v>
      </c>
      <c r="C3450" s="16" t="s">
        <v>7716</v>
      </c>
      <c r="D3450" s="16" t="s">
        <v>7597</v>
      </c>
      <c r="E3450" s="16" t="s">
        <v>309</v>
      </c>
      <c r="F3450" s="16" t="s">
        <v>310</v>
      </c>
      <c r="G3450" s="16" t="s">
        <v>32</v>
      </c>
      <c r="H3450" s="16"/>
      <c r="I3450" s="16"/>
      <c r="J3450" s="16" t="s">
        <v>120</v>
      </c>
      <c r="K3450" s="16"/>
      <c r="L3450" s="16" t="s">
        <v>7817</v>
      </c>
      <c r="M3450" s="19" t="s">
        <v>312</v>
      </c>
      <c r="N3450" s="16"/>
      <c r="O3450" s="16" t="s">
        <v>313</v>
      </c>
      <c r="P3450" s="16" t="str">
        <f>HYPERLINK("https://ceds.ed.gov/cedselementdetails.aspx?termid=27246")</f>
        <v>https://ceds.ed.gov/cedselementdetails.aspx?termid=27246</v>
      </c>
      <c r="Q3450" s="16">
        <v>73063</v>
      </c>
    </row>
    <row r="3451" spans="1:17" ht="72" x14ac:dyDescent="0.3">
      <c r="A3451" s="16" t="s">
        <v>7724</v>
      </c>
      <c r="B3451" s="16" t="s">
        <v>7715</v>
      </c>
      <c r="C3451" s="16" t="s">
        <v>7716</v>
      </c>
      <c r="D3451" s="16" t="s">
        <v>7597</v>
      </c>
      <c r="E3451" s="16" t="s">
        <v>2044</v>
      </c>
      <c r="F3451" s="16" t="s">
        <v>2045</v>
      </c>
      <c r="G3451" s="16" t="s">
        <v>7312</v>
      </c>
      <c r="H3451" s="16" t="s">
        <v>42</v>
      </c>
      <c r="I3451" s="16" t="s">
        <v>160</v>
      </c>
      <c r="J3451" s="16" t="s">
        <v>2</v>
      </c>
      <c r="K3451" s="16" t="s">
        <v>12935</v>
      </c>
      <c r="L3451" s="16"/>
      <c r="M3451" s="19" t="s">
        <v>2046</v>
      </c>
      <c r="N3451" s="16" t="s">
        <v>2047</v>
      </c>
      <c r="O3451" s="16" t="s">
        <v>2048</v>
      </c>
      <c r="P3451" s="16" t="str">
        <f>HYPERLINK("https://ceds.ed.gov/cedselementdetails.aspx?termid=26043")</f>
        <v>https://ceds.ed.gov/cedselementdetails.aspx?termid=26043</v>
      </c>
      <c r="Q3451" s="16">
        <v>73953</v>
      </c>
    </row>
    <row r="3452" spans="1:17" ht="100.8" x14ac:dyDescent="0.3">
      <c r="A3452" s="16" t="s">
        <v>7724</v>
      </c>
      <c r="B3452" s="16" t="s">
        <v>7715</v>
      </c>
      <c r="C3452" s="16" t="s">
        <v>7716</v>
      </c>
      <c r="D3452" s="16" t="s">
        <v>7597</v>
      </c>
      <c r="E3452" s="16" t="s">
        <v>2055</v>
      </c>
      <c r="F3452" s="16" t="s">
        <v>2056</v>
      </c>
      <c r="G3452" s="16" t="s">
        <v>9328</v>
      </c>
      <c r="H3452" s="16" t="s">
        <v>186</v>
      </c>
      <c r="I3452" s="16"/>
      <c r="J3452" s="16"/>
      <c r="K3452" s="16"/>
      <c r="L3452" s="16"/>
      <c r="M3452" s="19" t="s">
        <v>2057</v>
      </c>
      <c r="N3452" s="16" t="s">
        <v>2058</v>
      </c>
      <c r="O3452" s="16" t="s">
        <v>2059</v>
      </c>
      <c r="P3452" s="16" t="str">
        <f>HYPERLINK("https://ceds.ed.gov/cedselementdetails.aspx?termid=26045")</f>
        <v>https://ceds.ed.gov/cedselementdetails.aspx?termid=26045</v>
      </c>
      <c r="Q3452" s="16">
        <v>73961</v>
      </c>
    </row>
    <row r="3453" spans="1:17" ht="43.2" x14ac:dyDescent="0.3">
      <c r="A3453" s="16" t="s">
        <v>7724</v>
      </c>
      <c r="B3453" s="16" t="s">
        <v>7715</v>
      </c>
      <c r="C3453" s="16" t="s">
        <v>7716</v>
      </c>
      <c r="D3453" s="16" t="s">
        <v>7597</v>
      </c>
      <c r="E3453" s="16" t="s">
        <v>5459</v>
      </c>
      <c r="F3453" s="16" t="s">
        <v>5460</v>
      </c>
      <c r="G3453" s="16" t="s">
        <v>5461</v>
      </c>
      <c r="H3453" s="16"/>
      <c r="I3453" s="16"/>
      <c r="J3453" s="16"/>
      <c r="K3453" s="16"/>
      <c r="L3453" s="16"/>
      <c r="M3453" s="19" t="s">
        <v>5462</v>
      </c>
      <c r="N3453" s="16"/>
      <c r="O3453" s="16" t="s">
        <v>5463</v>
      </c>
      <c r="P3453" s="16" t="str">
        <f>HYPERLINK("https://ceds.ed.gov/cedselementdetails.aspx?termid=27383")</f>
        <v>https://ceds.ed.gov/cedselementdetails.aspx?termid=27383</v>
      </c>
      <c r="Q3453" s="16">
        <v>73295</v>
      </c>
    </row>
    <row r="3454" spans="1:17" ht="57.6" x14ac:dyDescent="0.3">
      <c r="A3454" s="16" t="s">
        <v>7724</v>
      </c>
      <c r="B3454" s="16" t="s">
        <v>7715</v>
      </c>
      <c r="C3454" s="16" t="s">
        <v>7716</v>
      </c>
      <c r="D3454" s="16" t="s">
        <v>7597</v>
      </c>
      <c r="E3454" s="16" t="s">
        <v>2696</v>
      </c>
      <c r="F3454" s="16" t="s">
        <v>7926</v>
      </c>
      <c r="G3454" s="16" t="s">
        <v>32</v>
      </c>
      <c r="H3454" s="16" t="s">
        <v>58</v>
      </c>
      <c r="I3454" s="16"/>
      <c r="J3454" s="16" t="s">
        <v>2697</v>
      </c>
      <c r="K3454" s="16"/>
      <c r="L3454" s="16"/>
      <c r="M3454" s="19" t="s">
        <v>2698</v>
      </c>
      <c r="N3454" s="16"/>
      <c r="O3454" s="16" t="s">
        <v>2699</v>
      </c>
      <c r="P3454" s="16" t="str">
        <f>HYPERLINK("https://ceds.ed.gov/cedselementdetails.aspx?termid=26066")</f>
        <v>https://ceds.ed.gov/cedselementdetails.aspx?termid=26066</v>
      </c>
      <c r="Q3454" s="16">
        <v>71167</v>
      </c>
    </row>
    <row r="3455" spans="1:17" ht="28.8" x14ac:dyDescent="0.3">
      <c r="A3455" s="16" t="s">
        <v>7724</v>
      </c>
      <c r="B3455" s="16" t="s">
        <v>7715</v>
      </c>
      <c r="C3455" s="16" t="s">
        <v>7716</v>
      </c>
      <c r="D3455" s="16" t="s">
        <v>7597</v>
      </c>
      <c r="E3455" s="16" t="s">
        <v>5782</v>
      </c>
      <c r="F3455" s="16" t="s">
        <v>5783</v>
      </c>
      <c r="G3455" s="16" t="s">
        <v>32</v>
      </c>
      <c r="H3455" s="16" t="s">
        <v>58</v>
      </c>
      <c r="I3455" s="16"/>
      <c r="J3455" s="16" t="s">
        <v>145</v>
      </c>
      <c r="K3455" s="16"/>
      <c r="L3455" s="16"/>
      <c r="M3455" s="19" t="s">
        <v>5784</v>
      </c>
      <c r="N3455" s="16"/>
      <c r="O3455" s="16" t="s">
        <v>5785</v>
      </c>
      <c r="P3455" s="16" t="str">
        <f>HYPERLINK("https://ceds.ed.gov/cedselementdetails.aspx?termid=26068")</f>
        <v>https://ceds.ed.gov/cedselementdetails.aspx?termid=26068</v>
      </c>
      <c r="Q3455" s="16">
        <v>71168</v>
      </c>
    </row>
    <row r="3456" spans="1:17" ht="144" x14ac:dyDescent="0.3">
      <c r="A3456" s="16" t="s">
        <v>7724</v>
      </c>
      <c r="B3456" s="16" t="s">
        <v>7715</v>
      </c>
      <c r="C3456" s="16" t="s">
        <v>7716</v>
      </c>
      <c r="D3456" s="16" t="s">
        <v>7597</v>
      </c>
      <c r="E3456" s="16" t="s">
        <v>2548</v>
      </c>
      <c r="F3456" s="16" t="s">
        <v>7918</v>
      </c>
      <c r="G3456" s="16" t="s">
        <v>8461</v>
      </c>
      <c r="H3456" s="16" t="s">
        <v>58</v>
      </c>
      <c r="I3456" s="16"/>
      <c r="J3456" s="16"/>
      <c r="K3456" s="16"/>
      <c r="L3456" s="16"/>
      <c r="M3456" s="19" t="s">
        <v>2549</v>
      </c>
      <c r="N3456" s="16"/>
      <c r="O3456" s="16" t="s">
        <v>2550</v>
      </c>
      <c r="P3456" s="16" t="str">
        <f>HYPERLINK("https://ceds.ed.gov/cedselementdetails.aspx?termid=26057")</f>
        <v>https://ceds.ed.gov/cedselementdetails.aspx?termid=26057</v>
      </c>
      <c r="Q3456" s="16">
        <v>71161</v>
      </c>
    </row>
    <row r="3457" spans="1:17" ht="100.8" x14ac:dyDescent="0.3">
      <c r="A3457" s="16" t="s">
        <v>7724</v>
      </c>
      <c r="B3457" s="16" t="s">
        <v>7715</v>
      </c>
      <c r="C3457" s="16" t="s">
        <v>7716</v>
      </c>
      <c r="D3457" s="16" t="s">
        <v>7597</v>
      </c>
      <c r="E3457" s="16" t="s">
        <v>2923</v>
      </c>
      <c r="F3457" s="16" t="s">
        <v>2924</v>
      </c>
      <c r="G3457" s="16" t="s">
        <v>32</v>
      </c>
      <c r="H3457" s="16" t="s">
        <v>58</v>
      </c>
      <c r="I3457" s="16"/>
      <c r="J3457" s="16" t="s">
        <v>1481</v>
      </c>
      <c r="K3457" s="16"/>
      <c r="L3457" s="16" t="s">
        <v>7931</v>
      </c>
      <c r="M3457" s="19" t="s">
        <v>2926</v>
      </c>
      <c r="N3457" s="16"/>
      <c r="O3457" s="16" t="s">
        <v>2927</v>
      </c>
      <c r="P3457" s="16" t="str">
        <f>HYPERLINK("https://ceds.ed.gov/cedselementdetails.aspx?termid=26058")</f>
        <v>https://ceds.ed.gov/cedselementdetails.aspx?termid=26058</v>
      </c>
      <c r="Q3457" s="16">
        <v>71162</v>
      </c>
    </row>
    <row r="3458" spans="1:17" ht="28.8" x14ac:dyDescent="0.3">
      <c r="A3458" s="16" t="s">
        <v>7724</v>
      </c>
      <c r="B3458" s="16" t="s">
        <v>7715</v>
      </c>
      <c r="C3458" s="16" t="s">
        <v>7716</v>
      </c>
      <c r="D3458" s="16" t="s">
        <v>7597</v>
      </c>
      <c r="E3458" s="16" t="s">
        <v>2528</v>
      </c>
      <c r="F3458" s="16" t="s">
        <v>2529</v>
      </c>
      <c r="G3458" s="16" t="s">
        <v>32</v>
      </c>
      <c r="H3458" s="16" t="s">
        <v>1927</v>
      </c>
      <c r="I3458" s="16"/>
      <c r="J3458" s="16" t="s">
        <v>106</v>
      </c>
      <c r="K3458" s="16"/>
      <c r="L3458" s="16"/>
      <c r="M3458" s="19" t="s">
        <v>2530</v>
      </c>
      <c r="N3458" s="16"/>
      <c r="O3458" s="16" t="s">
        <v>2531</v>
      </c>
      <c r="P3458" s="16" t="str">
        <f>HYPERLINK("https://ceds.ed.gov/cedselementdetails.aspx?termid=26054")</f>
        <v>https://ceds.ed.gov/cedselementdetails.aspx?termid=26054</v>
      </c>
      <c r="Q3458" s="16">
        <v>71159</v>
      </c>
    </row>
    <row r="3459" spans="1:17" ht="57.6" x14ac:dyDescent="0.3">
      <c r="A3459" s="16" t="s">
        <v>7724</v>
      </c>
      <c r="B3459" s="16" t="s">
        <v>7715</v>
      </c>
      <c r="C3459" s="16" t="s">
        <v>7716</v>
      </c>
      <c r="D3459" s="16" t="s">
        <v>7597</v>
      </c>
      <c r="E3459" s="16" t="s">
        <v>2565</v>
      </c>
      <c r="F3459" s="16" t="s">
        <v>2566</v>
      </c>
      <c r="G3459" s="16" t="s">
        <v>32</v>
      </c>
      <c r="H3459" s="16" t="s">
        <v>1927</v>
      </c>
      <c r="I3459" s="16"/>
      <c r="J3459" s="16" t="s">
        <v>106</v>
      </c>
      <c r="K3459" s="16"/>
      <c r="L3459" s="16" t="s">
        <v>131</v>
      </c>
      <c r="M3459" s="19" t="s">
        <v>2567</v>
      </c>
      <c r="N3459" s="16"/>
      <c r="O3459" s="16" t="s">
        <v>2568</v>
      </c>
      <c r="P3459" s="16" t="str">
        <f>HYPERLINK("https://ceds.ed.gov/cedselementdetails.aspx?termid=26059")</f>
        <v>https://ceds.ed.gov/cedselementdetails.aspx?termid=26059</v>
      </c>
      <c r="Q3459" s="16">
        <v>71163</v>
      </c>
    </row>
    <row r="3460" spans="1:17" ht="331.2" x14ac:dyDescent="0.3">
      <c r="A3460" s="16" t="s">
        <v>7724</v>
      </c>
      <c r="B3460" s="16" t="s">
        <v>7715</v>
      </c>
      <c r="C3460" s="16" t="s">
        <v>7716</v>
      </c>
      <c r="D3460" s="16" t="s">
        <v>7597</v>
      </c>
      <c r="E3460" s="16" t="s">
        <v>12826</v>
      </c>
      <c r="F3460" s="16" t="s">
        <v>12827</v>
      </c>
      <c r="G3460" s="16" t="s">
        <v>12917</v>
      </c>
      <c r="H3460" s="16"/>
      <c r="I3460" s="16" t="s">
        <v>155</v>
      </c>
      <c r="J3460" s="16" t="s">
        <v>2</v>
      </c>
      <c r="K3460" s="16" t="s">
        <v>12636</v>
      </c>
      <c r="L3460" s="16" t="s">
        <v>12828</v>
      </c>
      <c r="M3460" s="19" t="s">
        <v>12829</v>
      </c>
      <c r="N3460" s="16"/>
      <c r="O3460" s="16" t="s">
        <v>12830</v>
      </c>
      <c r="P3460" s="16" t="str">
        <f>HYPERLINK("https://ceds.ed.gov/cedselementdetails.aspx?termid=28096")</f>
        <v>https://ceds.ed.gov/cedselementdetails.aspx?termid=28096</v>
      </c>
      <c r="Q3460" s="16">
        <v>76569</v>
      </c>
    </row>
    <row r="3461" spans="1:17" ht="172.8" x14ac:dyDescent="0.3">
      <c r="A3461" s="16" t="s">
        <v>7724</v>
      </c>
      <c r="B3461" s="16" t="s">
        <v>7715</v>
      </c>
      <c r="C3461" s="16" t="s">
        <v>7641</v>
      </c>
      <c r="D3461" s="16" t="s">
        <v>7597</v>
      </c>
      <c r="E3461" s="16" t="s">
        <v>6937</v>
      </c>
      <c r="F3461" s="16" t="s">
        <v>6938</v>
      </c>
      <c r="G3461" s="16" t="s">
        <v>32</v>
      </c>
      <c r="H3461" s="16" t="s">
        <v>6936</v>
      </c>
      <c r="I3461" s="16"/>
      <c r="J3461" s="16" t="s">
        <v>120</v>
      </c>
      <c r="K3461" s="16"/>
      <c r="L3461" s="16" t="s">
        <v>7817</v>
      </c>
      <c r="M3461" s="19" t="s">
        <v>6939</v>
      </c>
      <c r="N3461" s="16"/>
      <c r="O3461" s="16" t="s">
        <v>6940</v>
      </c>
      <c r="P3461" s="16" t="str">
        <f>HYPERLINK("https://ceds.ed.gov/cedselementdetails.aspx?termid=26157")</f>
        <v>https://ceds.ed.gov/cedselementdetails.aspx?termid=26157</v>
      </c>
      <c r="Q3461" s="16">
        <v>71170</v>
      </c>
    </row>
    <row r="3462" spans="1:17" ht="158.4" x14ac:dyDescent="0.3">
      <c r="A3462" s="16" t="s">
        <v>7724</v>
      </c>
      <c r="B3462" s="16" t="s">
        <v>7715</v>
      </c>
      <c r="C3462" s="16" t="s">
        <v>7641</v>
      </c>
      <c r="D3462" s="16" t="s">
        <v>7597</v>
      </c>
      <c r="E3462" s="16" t="s">
        <v>6932</v>
      </c>
      <c r="F3462" s="16" t="s">
        <v>6933</v>
      </c>
      <c r="G3462" s="16" t="s">
        <v>9344</v>
      </c>
      <c r="H3462" s="16" t="s">
        <v>6936</v>
      </c>
      <c r="I3462" s="16"/>
      <c r="J3462" s="16"/>
      <c r="K3462" s="16"/>
      <c r="L3462" s="16"/>
      <c r="M3462" s="19" t="s">
        <v>6934</v>
      </c>
      <c r="N3462" s="16"/>
      <c r="O3462" s="16" t="s">
        <v>6935</v>
      </c>
      <c r="P3462" s="16" t="str">
        <f>HYPERLINK("https://ceds.ed.gov/cedselementdetails.aspx?termid=26163")</f>
        <v>https://ceds.ed.gov/cedselementdetails.aspx?termid=26163</v>
      </c>
      <c r="Q3462" s="16">
        <v>72025</v>
      </c>
    </row>
    <row r="3463" spans="1:17" ht="28.8" x14ac:dyDescent="0.3">
      <c r="A3463" s="16" t="s">
        <v>7724</v>
      </c>
      <c r="B3463" s="16" t="s">
        <v>7715</v>
      </c>
      <c r="C3463" s="16" t="s">
        <v>7641</v>
      </c>
      <c r="D3463" s="16" t="s">
        <v>7597</v>
      </c>
      <c r="E3463" s="16" t="s">
        <v>2515</v>
      </c>
      <c r="F3463" s="16" t="s">
        <v>2516</v>
      </c>
      <c r="G3463" s="16" t="s">
        <v>32</v>
      </c>
      <c r="H3463" s="16"/>
      <c r="I3463" s="16"/>
      <c r="J3463" s="16" t="s">
        <v>106</v>
      </c>
      <c r="K3463" s="16"/>
      <c r="L3463" s="16"/>
      <c r="M3463" s="19" t="s">
        <v>2517</v>
      </c>
      <c r="N3463" s="16"/>
      <c r="O3463" s="16" t="s">
        <v>2518</v>
      </c>
      <c r="P3463" s="16" t="str">
        <f>HYPERLINK("https://ceds.ed.gov/cedselementdetails.aspx?termid=27266")</f>
        <v>https://ceds.ed.gov/cedselementdetails.aspx?termid=27266</v>
      </c>
      <c r="Q3463" s="16">
        <v>73095</v>
      </c>
    </row>
    <row r="3464" spans="1:17" ht="28.8" x14ac:dyDescent="0.3">
      <c r="A3464" s="16" t="s">
        <v>7724</v>
      </c>
      <c r="B3464" s="16" t="s">
        <v>7715</v>
      </c>
      <c r="C3464" s="16" t="s">
        <v>7641</v>
      </c>
      <c r="D3464" s="16" t="s">
        <v>7597</v>
      </c>
      <c r="E3464" s="16" t="s">
        <v>2560</v>
      </c>
      <c r="F3464" s="16" t="s">
        <v>2561</v>
      </c>
      <c r="G3464" s="16" t="s">
        <v>32</v>
      </c>
      <c r="H3464" s="16" t="s">
        <v>2564</v>
      </c>
      <c r="I3464" s="16"/>
      <c r="J3464" s="16" t="s">
        <v>106</v>
      </c>
      <c r="K3464" s="16"/>
      <c r="L3464" s="16"/>
      <c r="M3464" s="19" t="s">
        <v>2562</v>
      </c>
      <c r="N3464" s="16"/>
      <c r="O3464" s="16" t="s">
        <v>2563</v>
      </c>
      <c r="P3464" s="16" t="str">
        <f>HYPERLINK("https://ceds.ed.gov/cedselementdetails.aspx?termid=27271")</f>
        <v>https://ceds.ed.gov/cedselementdetails.aspx?termid=27271</v>
      </c>
      <c r="Q3464" s="16">
        <v>73103</v>
      </c>
    </row>
    <row r="3465" spans="1:17" ht="28.8" x14ac:dyDescent="0.3">
      <c r="A3465" s="16" t="s">
        <v>7724</v>
      </c>
      <c r="B3465" s="16" t="s">
        <v>7715</v>
      </c>
      <c r="C3465" s="16" t="s">
        <v>7641</v>
      </c>
      <c r="D3465" s="16" t="s">
        <v>7597</v>
      </c>
      <c r="E3465" s="16" t="s">
        <v>2622</v>
      </c>
      <c r="F3465" s="16" t="s">
        <v>7924</v>
      </c>
      <c r="G3465" s="16" t="s">
        <v>32</v>
      </c>
      <c r="H3465" s="16" t="s">
        <v>58</v>
      </c>
      <c r="I3465" s="16"/>
      <c r="J3465" s="16" t="s">
        <v>55</v>
      </c>
      <c r="K3465" s="16"/>
      <c r="L3465" s="16"/>
      <c r="M3465" s="19" t="s">
        <v>2623</v>
      </c>
      <c r="N3465" s="16"/>
      <c r="O3465" s="16" t="s">
        <v>2624</v>
      </c>
      <c r="P3465" s="16" t="str">
        <f>HYPERLINK("https://ceds.ed.gov/cedselementdetails.aspx?termid=26063")</f>
        <v>https://ceds.ed.gov/cedselementdetails.aspx?termid=26063</v>
      </c>
      <c r="Q3465" s="16">
        <v>71165</v>
      </c>
    </row>
    <row r="3466" spans="1:17" ht="43.2" x14ac:dyDescent="0.3">
      <c r="A3466" s="16" t="s">
        <v>7724</v>
      </c>
      <c r="B3466" s="16" t="s">
        <v>7715</v>
      </c>
      <c r="C3466" s="16" t="s">
        <v>7641</v>
      </c>
      <c r="D3466" s="16" t="s">
        <v>7597</v>
      </c>
      <c r="E3466" s="16" t="s">
        <v>3018</v>
      </c>
      <c r="F3466" s="16" t="s">
        <v>7935</v>
      </c>
      <c r="G3466" s="16" t="s">
        <v>22</v>
      </c>
      <c r="H3466" s="16" t="s">
        <v>58</v>
      </c>
      <c r="I3466" s="16"/>
      <c r="J3466" s="16"/>
      <c r="K3466" s="16"/>
      <c r="L3466" s="16"/>
      <c r="M3466" s="19" t="s">
        <v>3019</v>
      </c>
      <c r="N3466" s="16"/>
      <c r="O3466" s="16" t="s">
        <v>3020</v>
      </c>
      <c r="P3466" s="16" t="str">
        <f>HYPERLINK("https://ceds.ed.gov/cedselementdetails.aspx?termid=26077")</f>
        <v>https://ceds.ed.gov/cedselementdetails.aspx?termid=26077</v>
      </c>
      <c r="Q3466" s="16">
        <v>71169</v>
      </c>
    </row>
    <row r="3467" spans="1:17" ht="28.8" x14ac:dyDescent="0.3">
      <c r="A3467" s="16" t="s">
        <v>7724</v>
      </c>
      <c r="B3467" s="16" t="s">
        <v>7715</v>
      </c>
      <c r="C3467" s="16" t="s">
        <v>7641</v>
      </c>
      <c r="D3467" s="16" t="s">
        <v>7597</v>
      </c>
      <c r="E3467" s="16" t="s">
        <v>2498</v>
      </c>
      <c r="F3467" s="16" t="s">
        <v>7916</v>
      </c>
      <c r="G3467" s="16" t="s">
        <v>32</v>
      </c>
      <c r="H3467" s="16" t="s">
        <v>1927</v>
      </c>
      <c r="I3467" s="16"/>
      <c r="J3467" s="16" t="s">
        <v>2500</v>
      </c>
      <c r="K3467" s="16"/>
      <c r="L3467" s="16"/>
      <c r="M3467" s="19" t="s">
        <v>2501</v>
      </c>
      <c r="N3467" s="16"/>
      <c r="O3467" s="16" t="s">
        <v>2502</v>
      </c>
      <c r="P3467" s="16" t="str">
        <f>HYPERLINK("https://ceds.ed.gov/cedselementdetails.aspx?termid=26053")</f>
        <v>https://ceds.ed.gov/cedselementdetails.aspx?termid=26053</v>
      </c>
      <c r="Q3467" s="16">
        <v>71158</v>
      </c>
    </row>
    <row r="3468" spans="1:17" ht="100.8" x14ac:dyDescent="0.3">
      <c r="A3468" s="16" t="s">
        <v>7724</v>
      </c>
      <c r="B3468" s="16" t="s">
        <v>7715</v>
      </c>
      <c r="C3468" s="16" t="s">
        <v>7641</v>
      </c>
      <c r="D3468" s="16" t="s">
        <v>7597</v>
      </c>
      <c r="E3468" s="16" t="s">
        <v>5503</v>
      </c>
      <c r="F3468" s="16" t="s">
        <v>5504</v>
      </c>
      <c r="G3468" s="16" t="s">
        <v>32</v>
      </c>
      <c r="H3468" s="16" t="s">
        <v>5256</v>
      </c>
      <c r="I3468" s="16"/>
      <c r="J3468" s="16" t="s">
        <v>1481</v>
      </c>
      <c r="K3468" s="16"/>
      <c r="L3468" s="16"/>
      <c r="M3468" s="19" t="s">
        <v>5505</v>
      </c>
      <c r="N3468" s="16"/>
      <c r="O3468" s="16" t="s">
        <v>5506</v>
      </c>
      <c r="P3468" s="16" t="str">
        <f>HYPERLINK("https://ceds.ed.gov/cedselementdetails.aspx?termid=26200")</f>
        <v>https://ceds.ed.gov/cedselementdetails.aspx?termid=26200</v>
      </c>
      <c r="Q3468" s="16">
        <v>71171</v>
      </c>
    </row>
    <row r="3469" spans="1:17" ht="43.2" x14ac:dyDescent="0.3">
      <c r="A3469" s="16" t="s">
        <v>7724</v>
      </c>
      <c r="B3469" s="16" t="s">
        <v>7715</v>
      </c>
      <c r="C3469" s="16" t="s">
        <v>7641</v>
      </c>
      <c r="D3469" s="16" t="s">
        <v>7597</v>
      </c>
      <c r="E3469" s="16" t="s">
        <v>2625</v>
      </c>
      <c r="F3469" s="16" t="s">
        <v>7925</v>
      </c>
      <c r="G3469" s="16" t="s">
        <v>32</v>
      </c>
      <c r="H3469" s="16" t="s">
        <v>58</v>
      </c>
      <c r="I3469" s="16"/>
      <c r="J3469" s="16" t="s">
        <v>1481</v>
      </c>
      <c r="K3469" s="16"/>
      <c r="L3469" s="16"/>
      <c r="M3469" s="19" t="s">
        <v>2626</v>
      </c>
      <c r="N3469" s="16"/>
      <c r="O3469" s="16" t="s">
        <v>2627</v>
      </c>
      <c r="P3469" s="16" t="str">
        <f>HYPERLINK("https://ceds.ed.gov/cedselementdetails.aspx?termid=26064")</f>
        <v>https://ceds.ed.gov/cedselementdetails.aspx?termid=26064</v>
      </c>
      <c r="Q3469" s="16">
        <v>71166</v>
      </c>
    </row>
    <row r="3470" spans="1:17" ht="72" x14ac:dyDescent="0.3">
      <c r="A3470" s="16" t="s">
        <v>7724</v>
      </c>
      <c r="B3470" s="16" t="s">
        <v>7715</v>
      </c>
      <c r="C3470" s="16" t="s">
        <v>7641</v>
      </c>
      <c r="D3470" s="16" t="s">
        <v>7597</v>
      </c>
      <c r="E3470" s="16" t="s">
        <v>6914</v>
      </c>
      <c r="F3470" s="16" t="s">
        <v>6915</v>
      </c>
      <c r="G3470" s="16" t="s">
        <v>32</v>
      </c>
      <c r="H3470" s="16" t="s">
        <v>64</v>
      </c>
      <c r="I3470" s="16"/>
      <c r="J3470" s="16" t="s">
        <v>2500</v>
      </c>
      <c r="K3470" s="16"/>
      <c r="L3470" s="16"/>
      <c r="M3470" s="19" t="s">
        <v>6917</v>
      </c>
      <c r="N3470" s="16"/>
      <c r="O3470" s="16" t="s">
        <v>6918</v>
      </c>
      <c r="P3470" s="16" t="str">
        <f>HYPERLINK("https://ceds.ed.gov/cedselementdetails.aspx?termid=26124")</f>
        <v>https://ceds.ed.gov/cedselementdetails.aspx?termid=26124</v>
      </c>
      <c r="Q3470" s="16">
        <v>73923</v>
      </c>
    </row>
    <row r="3471" spans="1:17" ht="43.2" x14ac:dyDescent="0.3">
      <c r="A3471" s="16" t="s">
        <v>7724</v>
      </c>
      <c r="B3471" s="16" t="s">
        <v>7715</v>
      </c>
      <c r="C3471" s="16" t="s">
        <v>7641</v>
      </c>
      <c r="D3471" s="16" t="s">
        <v>7597</v>
      </c>
      <c r="E3471" s="16" t="s">
        <v>6919</v>
      </c>
      <c r="F3471" s="16" t="s">
        <v>6920</v>
      </c>
      <c r="G3471" s="16" t="s">
        <v>32</v>
      </c>
      <c r="H3471" s="16"/>
      <c r="I3471" s="16"/>
      <c r="J3471" s="16" t="s">
        <v>101</v>
      </c>
      <c r="K3471" s="16"/>
      <c r="L3471" s="16"/>
      <c r="M3471" s="19" t="s">
        <v>6922</v>
      </c>
      <c r="N3471" s="16"/>
      <c r="O3471" s="16" t="s">
        <v>6923</v>
      </c>
      <c r="P3471" s="16" t="str">
        <f>HYPERLINK("https://ceds.ed.gov/cedselementdetails.aspx?termid=27552")</f>
        <v>https://ceds.ed.gov/cedselementdetails.aspx?termid=27552</v>
      </c>
      <c r="Q3471" s="16">
        <v>73926</v>
      </c>
    </row>
    <row r="3472" spans="1:17" ht="72" x14ac:dyDescent="0.3">
      <c r="A3472" s="16" t="s">
        <v>7724</v>
      </c>
      <c r="B3472" s="16" t="s">
        <v>7715</v>
      </c>
      <c r="C3472" s="16" t="s">
        <v>7641</v>
      </c>
      <c r="D3472" s="16" t="s">
        <v>7597</v>
      </c>
      <c r="E3472" s="16" t="s">
        <v>5499</v>
      </c>
      <c r="F3472" s="16" t="s">
        <v>5500</v>
      </c>
      <c r="G3472" s="16" t="s">
        <v>32</v>
      </c>
      <c r="H3472" s="16" t="s">
        <v>64</v>
      </c>
      <c r="I3472" s="16"/>
      <c r="J3472" s="16" t="s">
        <v>1481</v>
      </c>
      <c r="K3472" s="16"/>
      <c r="L3472" s="16"/>
      <c r="M3472" s="19" t="s">
        <v>5501</v>
      </c>
      <c r="N3472" s="16"/>
      <c r="O3472" s="16" t="s">
        <v>5502</v>
      </c>
      <c r="P3472" s="16" t="str">
        <f>HYPERLINK("https://ceds.ed.gov/cedselementdetails.aspx?termid=26199")</f>
        <v>https://ceds.ed.gov/cedselementdetails.aspx?termid=26199</v>
      </c>
      <c r="Q3472" s="16">
        <v>75579</v>
      </c>
    </row>
    <row r="3473" spans="1:17" ht="43.2" x14ac:dyDescent="0.3">
      <c r="A3473" s="16" t="s">
        <v>7724</v>
      </c>
      <c r="B3473" s="16" t="s">
        <v>7715</v>
      </c>
      <c r="C3473" s="16" t="s">
        <v>7641</v>
      </c>
      <c r="D3473" s="16" t="s">
        <v>7597</v>
      </c>
      <c r="E3473" s="16" t="s">
        <v>7966</v>
      </c>
      <c r="F3473" s="16" t="s">
        <v>7967</v>
      </c>
      <c r="G3473" s="16" t="s">
        <v>32</v>
      </c>
      <c r="H3473" s="16"/>
      <c r="I3473" s="16"/>
      <c r="J3473" s="16" t="s">
        <v>1662</v>
      </c>
      <c r="K3473" s="16"/>
      <c r="L3473" s="16" t="s">
        <v>7968</v>
      </c>
      <c r="M3473" s="19" t="s">
        <v>8181</v>
      </c>
      <c r="N3473" s="16"/>
      <c r="O3473" s="16" t="s">
        <v>7969</v>
      </c>
      <c r="P3473" s="16" t="str">
        <f>HYPERLINK("https://ceds.ed.gov/cedselementdetails.aspx?termid=27979")</f>
        <v>https://ceds.ed.gov/cedselementdetails.aspx?termid=27979</v>
      </c>
      <c r="Q3473" s="16">
        <v>75948</v>
      </c>
    </row>
    <row r="3474" spans="1:17" ht="72" x14ac:dyDescent="0.3">
      <c r="A3474" s="16" t="s">
        <v>7724</v>
      </c>
      <c r="B3474" s="16" t="s">
        <v>7715</v>
      </c>
      <c r="C3474" s="16" t="s">
        <v>7717</v>
      </c>
      <c r="D3474" s="16" t="s">
        <v>7597</v>
      </c>
      <c r="E3474" s="16" t="s">
        <v>5296</v>
      </c>
      <c r="F3474" s="16" t="s">
        <v>5297</v>
      </c>
      <c r="G3474" s="16" t="s">
        <v>32</v>
      </c>
      <c r="H3474" s="16" t="s">
        <v>64</v>
      </c>
      <c r="I3474" s="16"/>
      <c r="J3474" s="16" t="s">
        <v>81</v>
      </c>
      <c r="K3474" s="16"/>
      <c r="L3474" s="16"/>
      <c r="M3474" s="19" t="s">
        <v>5299</v>
      </c>
      <c r="N3474" s="16"/>
      <c r="O3474" s="16" t="s">
        <v>5300</v>
      </c>
      <c r="P3474" s="16" t="str">
        <f>HYPERLINK("https://ceds.ed.gov/cedselementdetails.aspx?termid=26182")</f>
        <v>https://ceds.ed.gov/cedselementdetails.aspx?termid=26182</v>
      </c>
      <c r="Q3474" s="16">
        <v>74462</v>
      </c>
    </row>
    <row r="3475" spans="1:17" ht="43.2" x14ac:dyDescent="0.3">
      <c r="A3475" s="16" t="s">
        <v>7724</v>
      </c>
      <c r="B3475" s="16" t="s">
        <v>7715</v>
      </c>
      <c r="C3475" s="16" t="s">
        <v>7717</v>
      </c>
      <c r="D3475" s="16" t="s">
        <v>7597</v>
      </c>
      <c r="E3475" s="16" t="s">
        <v>6924</v>
      </c>
      <c r="F3475" s="16" t="s">
        <v>6925</v>
      </c>
      <c r="G3475" s="16" t="s">
        <v>22</v>
      </c>
      <c r="H3475" s="16"/>
      <c r="I3475" s="16"/>
      <c r="J3475" s="16"/>
      <c r="K3475" s="16"/>
      <c r="L3475" s="16"/>
      <c r="M3475" s="19" t="s">
        <v>6926</v>
      </c>
      <c r="N3475" s="16"/>
      <c r="O3475" s="16" t="s">
        <v>6927</v>
      </c>
      <c r="P3475" s="16" t="str">
        <f>HYPERLINK("https://ceds.ed.gov/cedselementdetails.aspx?termid=27191")</f>
        <v>https://ceds.ed.gov/cedselementdetails.aspx?termid=27191</v>
      </c>
      <c r="Q3475" s="16">
        <v>74463</v>
      </c>
    </row>
    <row r="3476" spans="1:17" ht="72" x14ac:dyDescent="0.3">
      <c r="A3476" s="16" t="s">
        <v>7724</v>
      </c>
      <c r="B3476" s="16" t="s">
        <v>7715</v>
      </c>
      <c r="C3476" s="16" t="s">
        <v>7717</v>
      </c>
      <c r="D3476" s="16" t="s">
        <v>7597</v>
      </c>
      <c r="E3476" s="16" t="s">
        <v>5324</v>
      </c>
      <c r="F3476" s="16" t="s">
        <v>5325</v>
      </c>
      <c r="G3476" s="16" t="s">
        <v>32</v>
      </c>
      <c r="H3476" s="16" t="s">
        <v>64</v>
      </c>
      <c r="I3476" s="16"/>
      <c r="J3476" s="16" t="s">
        <v>2500</v>
      </c>
      <c r="K3476" s="16"/>
      <c r="L3476" s="16"/>
      <c r="M3476" s="19" t="s">
        <v>5326</v>
      </c>
      <c r="N3476" s="16"/>
      <c r="O3476" s="16" t="s">
        <v>5327</v>
      </c>
      <c r="P3476" s="16" t="str">
        <f>HYPERLINK("https://ceds.ed.gov/cedselementdetails.aspx?termid=26183")</f>
        <v>https://ceds.ed.gov/cedselementdetails.aspx?termid=26183</v>
      </c>
      <c r="Q3476" s="16">
        <v>74465</v>
      </c>
    </row>
    <row r="3477" spans="1:17" ht="72" x14ac:dyDescent="0.3">
      <c r="A3477" s="16" t="s">
        <v>7724</v>
      </c>
      <c r="B3477" s="16" t="s">
        <v>7715</v>
      </c>
      <c r="C3477" s="16" t="s">
        <v>7717</v>
      </c>
      <c r="D3477" s="16" t="s">
        <v>7597</v>
      </c>
      <c r="E3477" s="16" t="s">
        <v>6914</v>
      </c>
      <c r="F3477" s="16" t="s">
        <v>6915</v>
      </c>
      <c r="G3477" s="16" t="s">
        <v>32</v>
      </c>
      <c r="H3477" s="16" t="s">
        <v>64</v>
      </c>
      <c r="I3477" s="16"/>
      <c r="J3477" s="16" t="s">
        <v>2500</v>
      </c>
      <c r="K3477" s="16"/>
      <c r="L3477" s="16"/>
      <c r="M3477" s="19" t="s">
        <v>6917</v>
      </c>
      <c r="N3477" s="16"/>
      <c r="O3477" s="16" t="s">
        <v>6918</v>
      </c>
      <c r="P3477" s="16" t="str">
        <f>HYPERLINK("https://ceds.ed.gov/cedselementdetails.aspx?termid=26124")</f>
        <v>https://ceds.ed.gov/cedselementdetails.aspx?termid=26124</v>
      </c>
      <c r="Q3477" s="16">
        <v>74464</v>
      </c>
    </row>
    <row r="3478" spans="1:17" ht="28.8" x14ac:dyDescent="0.3">
      <c r="A3478" s="16" t="s">
        <v>7724</v>
      </c>
      <c r="B3478" s="16" t="s">
        <v>7715</v>
      </c>
      <c r="C3478" s="16" t="s">
        <v>7717</v>
      </c>
      <c r="D3478" s="16" t="s">
        <v>7597</v>
      </c>
      <c r="E3478" s="16" t="s">
        <v>4174</v>
      </c>
      <c r="F3478" s="16"/>
      <c r="G3478" s="16" t="s">
        <v>32</v>
      </c>
      <c r="H3478" s="16"/>
      <c r="I3478" s="16" t="s">
        <v>160</v>
      </c>
      <c r="J3478" s="16" t="s">
        <v>13079</v>
      </c>
      <c r="K3478" s="16" t="s">
        <v>12939</v>
      </c>
      <c r="L3478" s="16"/>
      <c r="M3478" s="19" t="s">
        <v>4176</v>
      </c>
      <c r="N3478" s="16"/>
      <c r="O3478" s="16"/>
      <c r="P3478" s="16" t="str">
        <f>HYPERLINK("https://ceds.ed.gov/cedselementdetails.aspx?termid=26609")</f>
        <v>https://ceds.ed.gov/cedselementdetails.aspx?termid=26609</v>
      </c>
      <c r="Q3478" s="16">
        <v>74466</v>
      </c>
    </row>
    <row r="3479" spans="1:17" ht="230.4" x14ac:dyDescent="0.3">
      <c r="A3479" s="16" t="s">
        <v>7724</v>
      </c>
      <c r="B3479" s="16" t="s">
        <v>7715</v>
      </c>
      <c r="C3479" s="16" t="s">
        <v>7717</v>
      </c>
      <c r="D3479" s="16" t="s">
        <v>7597</v>
      </c>
      <c r="E3479" s="16" t="s">
        <v>2510</v>
      </c>
      <c r="F3479" s="16" t="s">
        <v>2511</v>
      </c>
      <c r="G3479" s="16" t="s">
        <v>8457</v>
      </c>
      <c r="H3479" s="16"/>
      <c r="I3479" s="16"/>
      <c r="J3479" s="16"/>
      <c r="K3479" s="16"/>
      <c r="L3479" s="16"/>
      <c r="M3479" s="19" t="s">
        <v>2513</v>
      </c>
      <c r="N3479" s="16"/>
      <c r="O3479" s="16" t="s">
        <v>2514</v>
      </c>
      <c r="P3479" s="16" t="str">
        <f>HYPERLINK("https://ceds.ed.gov/cedselementdetails.aspx?termid=27265")</f>
        <v>https://ceds.ed.gov/cedselementdetails.aspx?termid=27265</v>
      </c>
      <c r="Q3479" s="16">
        <v>73094</v>
      </c>
    </row>
    <row r="3480" spans="1:17" ht="172.8" x14ac:dyDescent="0.3">
      <c r="A3480" s="16" t="s">
        <v>7724</v>
      </c>
      <c r="B3480" s="16" t="s">
        <v>7715</v>
      </c>
      <c r="C3480" s="16" t="s">
        <v>7718</v>
      </c>
      <c r="D3480" s="16" t="s">
        <v>7597</v>
      </c>
      <c r="E3480" s="16" t="s">
        <v>6810</v>
      </c>
      <c r="F3480" s="16" t="s">
        <v>6811</v>
      </c>
      <c r="G3480" s="16" t="s">
        <v>32</v>
      </c>
      <c r="H3480" s="16" t="s">
        <v>6814</v>
      </c>
      <c r="I3480" s="16"/>
      <c r="J3480" s="16" t="s">
        <v>120</v>
      </c>
      <c r="K3480" s="16"/>
      <c r="L3480" s="16" t="s">
        <v>7817</v>
      </c>
      <c r="M3480" s="19" t="s">
        <v>6812</v>
      </c>
      <c r="N3480" s="16"/>
      <c r="O3480" s="16" t="s">
        <v>6813</v>
      </c>
      <c r="P3480" s="16" t="str">
        <f>HYPERLINK("https://ceds.ed.gov/cedselementdetails.aspx?termid=26156")</f>
        <v>https://ceds.ed.gov/cedselementdetails.aspx?termid=26156</v>
      </c>
      <c r="Q3480" s="16">
        <v>73464</v>
      </c>
    </row>
    <row r="3481" spans="1:17" ht="259.2" x14ac:dyDescent="0.3">
      <c r="A3481" s="16" t="s">
        <v>7724</v>
      </c>
      <c r="B3481" s="16" t="s">
        <v>7715</v>
      </c>
      <c r="C3481" s="16" t="s">
        <v>7718</v>
      </c>
      <c r="D3481" s="16" t="s">
        <v>7597</v>
      </c>
      <c r="E3481" s="16" t="s">
        <v>6805</v>
      </c>
      <c r="F3481" s="16" t="s">
        <v>6806</v>
      </c>
      <c r="G3481" s="16" t="s">
        <v>9342</v>
      </c>
      <c r="H3481" s="16" t="s">
        <v>6809</v>
      </c>
      <c r="I3481" s="16"/>
      <c r="J3481" s="16"/>
      <c r="K3481" s="16"/>
      <c r="L3481" s="16"/>
      <c r="M3481" s="19" t="s">
        <v>6807</v>
      </c>
      <c r="N3481" s="16"/>
      <c r="O3481" s="16" t="s">
        <v>6808</v>
      </c>
      <c r="P3481" s="16" t="str">
        <f>HYPERLINK("https://ceds.ed.gov/cedselementdetails.aspx?termid=26162")</f>
        <v>https://ceds.ed.gov/cedselementdetails.aspx?termid=26162</v>
      </c>
      <c r="Q3481" s="16">
        <v>73463</v>
      </c>
    </row>
    <row r="3482" spans="1:17" ht="28.8" x14ac:dyDescent="0.3">
      <c r="A3482" s="16" t="s">
        <v>7724</v>
      </c>
      <c r="B3482" s="16" t="s">
        <v>7715</v>
      </c>
      <c r="C3482" s="16" t="s">
        <v>7718</v>
      </c>
      <c r="D3482" s="16" t="s">
        <v>7597</v>
      </c>
      <c r="E3482" s="16" t="s">
        <v>1406</v>
      </c>
      <c r="F3482" s="16" t="s">
        <v>1407</v>
      </c>
      <c r="G3482" s="16" t="s">
        <v>32</v>
      </c>
      <c r="H3482" s="16"/>
      <c r="I3482" s="16"/>
      <c r="J3482" s="16" t="s">
        <v>106</v>
      </c>
      <c r="K3482" s="16"/>
      <c r="L3482" s="16"/>
      <c r="M3482" s="19" t="s">
        <v>1408</v>
      </c>
      <c r="N3482" s="16"/>
      <c r="O3482" s="16" t="s">
        <v>1409</v>
      </c>
      <c r="P3482" s="16" t="str">
        <f>HYPERLINK("https://ceds.ed.gov/cedselementdetails.aspx?termid=26517")</f>
        <v>https://ceds.ed.gov/cedselementdetails.aspx?termid=26517</v>
      </c>
      <c r="Q3482" s="16">
        <v>74487</v>
      </c>
    </row>
    <row r="3483" spans="1:17" ht="57.6" x14ac:dyDescent="0.3">
      <c r="A3483" s="16" t="s">
        <v>7724</v>
      </c>
      <c r="B3483" s="16" t="s">
        <v>7715</v>
      </c>
      <c r="C3483" s="16" t="s">
        <v>7718</v>
      </c>
      <c r="D3483" s="16" t="s">
        <v>7597</v>
      </c>
      <c r="E3483" s="16" t="s">
        <v>1402</v>
      </c>
      <c r="F3483" s="16" t="s">
        <v>1403</v>
      </c>
      <c r="G3483" s="16" t="s">
        <v>32</v>
      </c>
      <c r="H3483" s="16"/>
      <c r="I3483" s="16"/>
      <c r="J3483" s="16" t="s">
        <v>106</v>
      </c>
      <c r="K3483" s="16"/>
      <c r="L3483" s="16" t="s">
        <v>131</v>
      </c>
      <c r="M3483" s="19" t="s">
        <v>1404</v>
      </c>
      <c r="N3483" s="16"/>
      <c r="O3483" s="16" t="s">
        <v>1405</v>
      </c>
      <c r="P3483" s="16" t="str">
        <f>HYPERLINK("https://ceds.ed.gov/cedselementdetails.aspx?termid=26518")</f>
        <v>https://ceds.ed.gov/cedselementdetails.aspx?termid=26518</v>
      </c>
      <c r="Q3483" s="16">
        <v>74488</v>
      </c>
    </row>
    <row r="3484" spans="1:17" ht="28.8" x14ac:dyDescent="0.3">
      <c r="A3484" s="16" t="s">
        <v>7724</v>
      </c>
      <c r="B3484" s="16" t="s">
        <v>7750</v>
      </c>
      <c r="C3484" s="16" t="s">
        <v>7614</v>
      </c>
      <c r="D3484" s="16" t="s">
        <v>7597</v>
      </c>
      <c r="E3484" s="16" t="s">
        <v>104</v>
      </c>
      <c r="F3484" s="16" t="s">
        <v>105</v>
      </c>
      <c r="G3484" s="16" t="s">
        <v>32</v>
      </c>
      <c r="H3484" s="16" t="s">
        <v>98</v>
      </c>
      <c r="I3484" s="16"/>
      <c r="J3484" s="16" t="s">
        <v>106</v>
      </c>
      <c r="K3484" s="16"/>
      <c r="L3484" s="16"/>
      <c r="M3484" s="19" t="s">
        <v>107</v>
      </c>
      <c r="N3484" s="16"/>
      <c r="O3484" s="16" t="s">
        <v>108</v>
      </c>
      <c r="P3484" s="16" t="str">
        <f>HYPERLINK("https://ceds.ed.gov/cedselementdetails.aspx?termid=26840")</f>
        <v>https://ceds.ed.gov/cedselementdetails.aspx?termid=26840</v>
      </c>
      <c r="Q3484" s="16">
        <v>75597</v>
      </c>
    </row>
    <row r="3485" spans="1:17" ht="28.8" x14ac:dyDescent="0.3">
      <c r="A3485" s="16" t="s">
        <v>7724</v>
      </c>
      <c r="B3485" s="16" t="s">
        <v>7750</v>
      </c>
      <c r="C3485" s="16" t="s">
        <v>7614</v>
      </c>
      <c r="D3485" s="16" t="s">
        <v>7597</v>
      </c>
      <c r="E3485" s="16" t="s">
        <v>109</v>
      </c>
      <c r="F3485" s="16" t="s">
        <v>110</v>
      </c>
      <c r="G3485" s="16" t="s">
        <v>32</v>
      </c>
      <c r="H3485" s="16" t="s">
        <v>98</v>
      </c>
      <c r="I3485" s="16"/>
      <c r="J3485" s="16" t="s">
        <v>106</v>
      </c>
      <c r="K3485" s="16"/>
      <c r="L3485" s="16"/>
      <c r="M3485" s="19" t="s">
        <v>111</v>
      </c>
      <c r="N3485" s="16"/>
      <c r="O3485" s="16" t="s">
        <v>112</v>
      </c>
      <c r="P3485" s="16" t="str">
        <f>HYPERLINK("https://ceds.ed.gov/cedselementdetails.aspx?termid=26841")</f>
        <v>https://ceds.ed.gov/cedselementdetails.aspx?termid=26841</v>
      </c>
      <c r="Q3485" s="16">
        <v>75598</v>
      </c>
    </row>
    <row r="3486" spans="1:17" ht="158.4" x14ac:dyDescent="0.3">
      <c r="A3486" s="16" t="s">
        <v>7751</v>
      </c>
      <c r="B3486" s="16" t="s">
        <v>7752</v>
      </c>
      <c r="C3486" s="16" t="s">
        <v>7625</v>
      </c>
      <c r="D3486" s="16" t="s">
        <v>7597</v>
      </c>
      <c r="E3486" s="16" t="s">
        <v>3990</v>
      </c>
      <c r="F3486" s="16" t="s">
        <v>3991</v>
      </c>
      <c r="G3486" s="16" t="s">
        <v>32</v>
      </c>
      <c r="H3486" s="16" t="s">
        <v>3994</v>
      </c>
      <c r="I3486" s="16"/>
      <c r="J3486" s="16" t="s">
        <v>7426</v>
      </c>
      <c r="K3486" s="16"/>
      <c r="L3486" s="16" t="s">
        <v>8047</v>
      </c>
      <c r="M3486" s="19" t="s">
        <v>3992</v>
      </c>
      <c r="N3486" s="16"/>
      <c r="O3486" s="16" t="s">
        <v>3993</v>
      </c>
      <c r="P3486" s="16" t="str">
        <f>HYPERLINK("https://ceds.ed.gov/cedselementdetails.aspx?termid=26115")</f>
        <v>https://ceds.ed.gov/cedselementdetails.aspx?termid=26115</v>
      </c>
      <c r="Q3486" s="16">
        <v>72857</v>
      </c>
    </row>
    <row r="3487" spans="1:17" ht="158.4" x14ac:dyDescent="0.3">
      <c r="A3487" s="16" t="s">
        <v>7751</v>
      </c>
      <c r="B3487" s="16" t="s">
        <v>7752</v>
      </c>
      <c r="C3487" s="16" t="s">
        <v>7625</v>
      </c>
      <c r="D3487" s="16" t="s">
        <v>7597</v>
      </c>
      <c r="E3487" s="16" t="s">
        <v>5328</v>
      </c>
      <c r="F3487" s="16" t="s">
        <v>5329</v>
      </c>
      <c r="G3487" s="16" t="s">
        <v>32</v>
      </c>
      <c r="H3487" s="16" t="s">
        <v>3994</v>
      </c>
      <c r="I3487" s="16"/>
      <c r="J3487" s="16" t="s">
        <v>7426</v>
      </c>
      <c r="K3487" s="16"/>
      <c r="L3487" s="16" t="s">
        <v>8053</v>
      </c>
      <c r="M3487" s="19" t="s">
        <v>5330</v>
      </c>
      <c r="N3487" s="16"/>
      <c r="O3487" s="16" t="s">
        <v>5331</v>
      </c>
      <c r="P3487" s="16" t="str">
        <f>HYPERLINK("https://ceds.ed.gov/cedselementdetails.aspx?termid=26184")</f>
        <v>https://ceds.ed.gov/cedselementdetails.aspx?termid=26184</v>
      </c>
      <c r="Q3487" s="16">
        <v>72858</v>
      </c>
    </row>
    <row r="3488" spans="1:17" ht="158.4" x14ac:dyDescent="0.3">
      <c r="A3488" s="16" t="s">
        <v>7751</v>
      </c>
      <c r="B3488" s="16" t="s">
        <v>7752</v>
      </c>
      <c r="C3488" s="16" t="s">
        <v>7625</v>
      </c>
      <c r="D3488" s="16" t="s">
        <v>7597</v>
      </c>
      <c r="E3488" s="16" t="s">
        <v>4893</v>
      </c>
      <c r="F3488" s="16" t="s">
        <v>4894</v>
      </c>
      <c r="G3488" s="16" t="s">
        <v>32</v>
      </c>
      <c r="H3488" s="16" t="s">
        <v>3994</v>
      </c>
      <c r="I3488" s="16"/>
      <c r="J3488" s="16" t="s">
        <v>7426</v>
      </c>
      <c r="K3488" s="16"/>
      <c r="L3488" s="16" t="s">
        <v>8053</v>
      </c>
      <c r="M3488" s="19" t="s">
        <v>4895</v>
      </c>
      <c r="N3488" s="16" t="s">
        <v>4896</v>
      </c>
      <c r="O3488" s="16" t="s">
        <v>4897</v>
      </c>
      <c r="P3488" s="16" t="str">
        <f>HYPERLINK("https://ceds.ed.gov/cedselementdetails.aspx?termid=26172")</f>
        <v>https://ceds.ed.gov/cedselementdetails.aspx?termid=26172</v>
      </c>
      <c r="Q3488" s="16">
        <v>72859</v>
      </c>
    </row>
    <row r="3489" spans="1:17" ht="129.6" x14ac:dyDescent="0.3">
      <c r="A3489" s="16" t="s">
        <v>7751</v>
      </c>
      <c r="B3489" s="16" t="s">
        <v>7752</v>
      </c>
      <c r="C3489" s="16" t="s">
        <v>7625</v>
      </c>
      <c r="D3489" s="16" t="s">
        <v>7597</v>
      </c>
      <c r="E3489" s="16" t="s">
        <v>4054</v>
      </c>
      <c r="F3489" s="16" t="s">
        <v>4055</v>
      </c>
      <c r="G3489" s="16" t="s">
        <v>32</v>
      </c>
      <c r="H3489" s="16" t="s">
        <v>4059</v>
      </c>
      <c r="I3489" s="16"/>
      <c r="J3489" s="16" t="s">
        <v>2697</v>
      </c>
      <c r="K3489" s="16"/>
      <c r="L3489" s="16" t="s">
        <v>8053</v>
      </c>
      <c r="M3489" s="19" t="s">
        <v>4057</v>
      </c>
      <c r="N3489" s="16"/>
      <c r="O3489" s="16" t="s">
        <v>4058</v>
      </c>
      <c r="P3489" s="16" t="str">
        <f>HYPERLINK("https://ceds.ed.gov/cedselementdetails.aspx?termid=26121")</f>
        <v>https://ceds.ed.gov/cedselementdetails.aspx?termid=26121</v>
      </c>
      <c r="Q3489" s="16">
        <v>72860</v>
      </c>
    </row>
    <row r="3490" spans="1:17" ht="86.4" x14ac:dyDescent="0.3">
      <c r="A3490" s="16" t="s">
        <v>7751</v>
      </c>
      <c r="B3490" s="16" t="s">
        <v>7752</v>
      </c>
      <c r="C3490" s="16" t="s">
        <v>7625</v>
      </c>
      <c r="D3490" s="16" t="s">
        <v>7597</v>
      </c>
      <c r="E3490" s="16" t="s">
        <v>5760</v>
      </c>
      <c r="F3490" s="16" t="s">
        <v>5761</v>
      </c>
      <c r="G3490" s="16" t="s">
        <v>32</v>
      </c>
      <c r="H3490" s="16" t="s">
        <v>5765</v>
      </c>
      <c r="I3490" s="16"/>
      <c r="J3490" s="16" t="s">
        <v>81</v>
      </c>
      <c r="K3490" s="16"/>
      <c r="L3490" s="16"/>
      <c r="M3490" s="19" t="s">
        <v>5762</v>
      </c>
      <c r="N3490" s="16" t="s">
        <v>5763</v>
      </c>
      <c r="O3490" s="16" t="s">
        <v>5764</v>
      </c>
      <c r="P3490" s="16" t="str">
        <f>HYPERLINK("https://ceds.ed.gov/cedselementdetails.aspx?termid=26212")</f>
        <v>https://ceds.ed.gov/cedselementdetails.aspx?termid=26212</v>
      </c>
      <c r="Q3490" s="16">
        <v>72861</v>
      </c>
    </row>
    <row r="3491" spans="1:17" ht="28.8" x14ac:dyDescent="0.3">
      <c r="A3491" s="16" t="s">
        <v>7751</v>
      </c>
      <c r="B3491" s="16" t="s">
        <v>7752</v>
      </c>
      <c r="C3491" s="16" t="s">
        <v>7626</v>
      </c>
      <c r="D3491" s="16" t="s">
        <v>7597</v>
      </c>
      <c r="E3491" s="16" t="s">
        <v>5631</v>
      </c>
      <c r="F3491" s="16" t="s">
        <v>5632</v>
      </c>
      <c r="G3491" s="16" t="s">
        <v>32</v>
      </c>
      <c r="H3491" s="16"/>
      <c r="I3491" s="16"/>
      <c r="J3491" s="16" t="s">
        <v>1266</v>
      </c>
      <c r="K3491" s="16"/>
      <c r="L3491" s="16" t="s">
        <v>5633</v>
      </c>
      <c r="M3491" s="19" t="s">
        <v>5634</v>
      </c>
      <c r="N3491" s="16"/>
      <c r="O3491" s="16" t="s">
        <v>5635</v>
      </c>
      <c r="P3491" s="16" t="str">
        <f>HYPERLINK("https://ceds.ed.gov/cedselementdetails.aspx?termid=27486")</f>
        <v>https://ceds.ed.gov/cedselementdetails.aspx?termid=27486</v>
      </c>
      <c r="Q3491" s="16">
        <v>73635</v>
      </c>
    </row>
    <row r="3492" spans="1:17" ht="28.8" x14ac:dyDescent="0.3">
      <c r="A3492" s="16" t="s">
        <v>7751</v>
      </c>
      <c r="B3492" s="16" t="s">
        <v>7752</v>
      </c>
      <c r="C3492" s="16" t="s">
        <v>7626</v>
      </c>
      <c r="D3492" s="16" t="s">
        <v>7597</v>
      </c>
      <c r="E3492" s="16" t="s">
        <v>5636</v>
      </c>
      <c r="F3492" s="16" t="s">
        <v>5637</v>
      </c>
      <c r="G3492" s="16" t="s">
        <v>32</v>
      </c>
      <c r="H3492" s="16"/>
      <c r="I3492" s="16"/>
      <c r="J3492" s="16" t="s">
        <v>1266</v>
      </c>
      <c r="K3492" s="16"/>
      <c r="L3492" s="16" t="s">
        <v>5638</v>
      </c>
      <c r="M3492" s="19" t="s">
        <v>5639</v>
      </c>
      <c r="N3492" s="16"/>
      <c r="O3492" s="16" t="s">
        <v>5640</v>
      </c>
      <c r="P3492" s="16" t="str">
        <f>HYPERLINK("https://ceds.ed.gov/cedselementdetails.aspx?termid=27485")</f>
        <v>https://ceds.ed.gov/cedselementdetails.aspx?termid=27485</v>
      </c>
      <c r="Q3492" s="16">
        <v>73619</v>
      </c>
    </row>
    <row r="3493" spans="1:17" ht="28.8" x14ac:dyDescent="0.3">
      <c r="A3493" s="16" t="s">
        <v>7751</v>
      </c>
      <c r="B3493" s="16" t="s">
        <v>7752</v>
      </c>
      <c r="C3493" s="16" t="s">
        <v>7626</v>
      </c>
      <c r="D3493" s="16" t="s">
        <v>7597</v>
      </c>
      <c r="E3493" s="16" t="s">
        <v>5641</v>
      </c>
      <c r="F3493" s="16" t="s">
        <v>5642</v>
      </c>
      <c r="G3493" s="16" t="s">
        <v>32</v>
      </c>
      <c r="H3493" s="16"/>
      <c r="I3493" s="16"/>
      <c r="J3493" s="16" t="s">
        <v>1266</v>
      </c>
      <c r="K3493" s="16"/>
      <c r="L3493" s="16" t="s">
        <v>5643</v>
      </c>
      <c r="M3493" s="19" t="s">
        <v>5644</v>
      </c>
      <c r="N3493" s="16"/>
      <c r="O3493" s="16" t="s">
        <v>5645</v>
      </c>
      <c r="P3493" s="16" t="str">
        <f>HYPERLINK("https://ceds.ed.gov/cedselementdetails.aspx?termid=27487")</f>
        <v>https://ceds.ed.gov/cedselementdetails.aspx?termid=27487</v>
      </c>
      <c r="Q3493" s="16">
        <v>73651</v>
      </c>
    </row>
    <row r="3494" spans="1:17" ht="129.6" x14ac:dyDescent="0.3">
      <c r="A3494" s="16" t="s">
        <v>7751</v>
      </c>
      <c r="B3494" s="16" t="s">
        <v>7752</v>
      </c>
      <c r="C3494" s="16" t="s">
        <v>7626</v>
      </c>
      <c r="D3494" s="16" t="s">
        <v>7597</v>
      </c>
      <c r="E3494" s="16" t="s">
        <v>5646</v>
      </c>
      <c r="F3494" s="16" t="s">
        <v>5647</v>
      </c>
      <c r="G3494" s="16" t="s">
        <v>32</v>
      </c>
      <c r="H3494" s="16" t="s">
        <v>4059</v>
      </c>
      <c r="I3494" s="16"/>
      <c r="J3494" s="16" t="s">
        <v>120</v>
      </c>
      <c r="K3494" s="16"/>
      <c r="L3494" s="16"/>
      <c r="M3494" s="19" t="s">
        <v>5648</v>
      </c>
      <c r="N3494" s="16"/>
      <c r="O3494" s="16" t="s">
        <v>5649</v>
      </c>
      <c r="P3494" s="16" t="str">
        <f>HYPERLINK("https://ceds.ed.gov/cedselementdetails.aspx?termid=26206")</f>
        <v>https://ceds.ed.gov/cedselementdetails.aspx?termid=26206</v>
      </c>
      <c r="Q3494" s="16">
        <v>72862</v>
      </c>
    </row>
    <row r="3495" spans="1:17" ht="115.2" x14ac:dyDescent="0.3">
      <c r="A3495" s="16" t="s">
        <v>7751</v>
      </c>
      <c r="B3495" s="16" t="s">
        <v>7752</v>
      </c>
      <c r="C3495" s="16" t="s">
        <v>7626</v>
      </c>
      <c r="D3495" s="16" t="s">
        <v>7597</v>
      </c>
      <c r="E3495" s="16" t="s">
        <v>5650</v>
      </c>
      <c r="F3495" s="16" t="s">
        <v>5651</v>
      </c>
      <c r="G3495" s="16" t="s">
        <v>8746</v>
      </c>
      <c r="H3495" s="16" t="s">
        <v>5654</v>
      </c>
      <c r="I3495" s="16"/>
      <c r="J3495" s="16" t="s">
        <v>81</v>
      </c>
      <c r="K3495" s="16"/>
      <c r="L3495" s="16"/>
      <c r="M3495" s="19" t="s">
        <v>5652</v>
      </c>
      <c r="N3495" s="16"/>
      <c r="O3495" s="16" t="s">
        <v>5653</v>
      </c>
      <c r="P3495" s="16" t="str">
        <f>HYPERLINK("https://ceds.ed.gov/cedselementdetails.aspx?termid=26627")</f>
        <v>https://ceds.ed.gov/cedselementdetails.aspx?termid=26627</v>
      </c>
      <c r="Q3495" s="16">
        <v>72863</v>
      </c>
    </row>
    <row r="3496" spans="1:17" ht="172.8" x14ac:dyDescent="0.3">
      <c r="A3496" s="16" t="s">
        <v>7751</v>
      </c>
      <c r="B3496" s="16" t="s">
        <v>7752</v>
      </c>
      <c r="C3496" s="16" t="s">
        <v>7627</v>
      </c>
      <c r="D3496" s="16" t="s">
        <v>7597</v>
      </c>
      <c r="E3496" s="16" t="s">
        <v>6937</v>
      </c>
      <c r="F3496" s="16" t="s">
        <v>6938</v>
      </c>
      <c r="G3496" s="16" t="s">
        <v>32</v>
      </c>
      <c r="H3496" s="16" t="s">
        <v>6936</v>
      </c>
      <c r="I3496" s="16"/>
      <c r="J3496" s="16" t="s">
        <v>120</v>
      </c>
      <c r="K3496" s="16"/>
      <c r="L3496" s="16" t="s">
        <v>7817</v>
      </c>
      <c r="M3496" s="19" t="s">
        <v>6939</v>
      </c>
      <c r="N3496" s="16"/>
      <c r="O3496" s="16" t="s">
        <v>6940</v>
      </c>
      <c r="P3496" s="16" t="str">
        <f>HYPERLINK("https://ceds.ed.gov/cedselementdetails.aspx?termid=26157")</f>
        <v>https://ceds.ed.gov/cedselementdetails.aspx?termid=26157</v>
      </c>
      <c r="Q3496" s="16">
        <v>72883</v>
      </c>
    </row>
    <row r="3497" spans="1:17" ht="158.4" x14ac:dyDescent="0.3">
      <c r="A3497" s="16" t="s">
        <v>7751</v>
      </c>
      <c r="B3497" s="16" t="s">
        <v>7752</v>
      </c>
      <c r="C3497" s="16" t="s">
        <v>7627</v>
      </c>
      <c r="D3497" s="16" t="s">
        <v>7597</v>
      </c>
      <c r="E3497" s="16" t="s">
        <v>6932</v>
      </c>
      <c r="F3497" s="16" t="s">
        <v>6933</v>
      </c>
      <c r="G3497" s="16" t="s">
        <v>9344</v>
      </c>
      <c r="H3497" s="16" t="s">
        <v>6936</v>
      </c>
      <c r="I3497" s="16"/>
      <c r="J3497" s="16"/>
      <c r="K3497" s="16"/>
      <c r="L3497" s="16"/>
      <c r="M3497" s="19" t="s">
        <v>6934</v>
      </c>
      <c r="N3497" s="16"/>
      <c r="O3497" s="16" t="s">
        <v>6935</v>
      </c>
      <c r="P3497" s="16" t="str">
        <f>HYPERLINK("https://ceds.ed.gov/cedselementdetails.aspx?termid=26163")</f>
        <v>https://ceds.ed.gov/cedselementdetails.aspx?termid=26163</v>
      </c>
      <c r="Q3497" s="16">
        <v>72884</v>
      </c>
    </row>
    <row r="3498" spans="1:17" ht="403.2" x14ac:dyDescent="0.3">
      <c r="A3498" s="16" t="s">
        <v>7751</v>
      </c>
      <c r="B3498" s="16" t="s">
        <v>7752</v>
      </c>
      <c r="C3498" s="16" t="s">
        <v>7627</v>
      </c>
      <c r="D3498" s="16" t="s">
        <v>7597</v>
      </c>
      <c r="E3498" s="16" t="s">
        <v>5756</v>
      </c>
      <c r="F3498" s="16" t="s">
        <v>5757</v>
      </c>
      <c r="G3498" s="16" t="s">
        <v>8252</v>
      </c>
      <c r="H3498" s="16"/>
      <c r="I3498" s="16"/>
      <c r="J3498" s="16"/>
      <c r="K3498" s="16"/>
      <c r="L3498" s="16"/>
      <c r="M3498" s="19" t="s">
        <v>5758</v>
      </c>
      <c r="N3498" s="16"/>
      <c r="O3498" s="16" t="s">
        <v>5759</v>
      </c>
      <c r="P3498" s="16" t="str">
        <f>HYPERLINK("https://ceds.ed.gov/cedselementdetails.aspx?termid=26611")</f>
        <v>https://ceds.ed.gov/cedselementdetails.aspx?termid=26611</v>
      </c>
      <c r="Q3498" s="16">
        <v>72219</v>
      </c>
    </row>
    <row r="3499" spans="1:17" ht="72" x14ac:dyDescent="0.3">
      <c r="A3499" s="16" t="s">
        <v>7751</v>
      </c>
      <c r="B3499" s="16" t="s">
        <v>7752</v>
      </c>
      <c r="C3499" s="16" t="s">
        <v>7627</v>
      </c>
      <c r="D3499" s="16" t="s">
        <v>7597</v>
      </c>
      <c r="E3499" s="16" t="s">
        <v>7508</v>
      </c>
      <c r="F3499" s="16" t="s">
        <v>7509</v>
      </c>
      <c r="G3499" s="16" t="s">
        <v>8251</v>
      </c>
      <c r="H3499" s="16"/>
      <c r="I3499" s="16"/>
      <c r="J3499" s="16"/>
      <c r="K3499" s="16"/>
      <c r="L3499" s="16"/>
      <c r="M3499" s="19" t="s">
        <v>7510</v>
      </c>
      <c r="N3499" s="16"/>
      <c r="O3499" s="16" t="s">
        <v>7511</v>
      </c>
      <c r="P3499" s="16" t="str">
        <f>HYPERLINK("https://ceds.ed.gov/cedselementdetails.aspx?termid=27951")</f>
        <v>https://ceds.ed.gov/cedselementdetails.aspx?termid=27951</v>
      </c>
      <c r="Q3499" s="16">
        <v>75492</v>
      </c>
    </row>
    <row r="3500" spans="1:17" ht="172.8" x14ac:dyDescent="0.3">
      <c r="A3500" s="16" t="s">
        <v>7751</v>
      </c>
      <c r="B3500" s="16" t="s">
        <v>7752</v>
      </c>
      <c r="C3500" s="16" t="s">
        <v>7603</v>
      </c>
      <c r="D3500" s="16" t="s">
        <v>7597</v>
      </c>
      <c r="E3500" s="16" t="s">
        <v>182</v>
      </c>
      <c r="F3500" s="16" t="s">
        <v>183</v>
      </c>
      <c r="G3500" s="16" t="s">
        <v>8293</v>
      </c>
      <c r="H3500" s="16" t="s">
        <v>186</v>
      </c>
      <c r="I3500" s="16"/>
      <c r="J3500" s="16" t="s">
        <v>81</v>
      </c>
      <c r="K3500" s="16"/>
      <c r="L3500" s="16"/>
      <c r="M3500" s="19" t="s">
        <v>184</v>
      </c>
      <c r="N3500" s="16"/>
      <c r="O3500" s="16" t="s">
        <v>185</v>
      </c>
      <c r="P3500" s="16" t="str">
        <f>HYPERLINK("https://ceds.ed.gov/cedselementdetails.aspx?termid=26358")</f>
        <v>https://ceds.ed.gov/cedselementdetails.aspx?termid=26358</v>
      </c>
      <c r="Q3500" s="16">
        <v>72872</v>
      </c>
    </row>
    <row r="3501" spans="1:17" ht="187.2" x14ac:dyDescent="0.3">
      <c r="A3501" s="16" t="s">
        <v>7751</v>
      </c>
      <c r="B3501" s="16" t="s">
        <v>7752</v>
      </c>
      <c r="C3501" s="16" t="s">
        <v>7603</v>
      </c>
      <c r="D3501" s="16" t="s">
        <v>7597</v>
      </c>
      <c r="E3501" s="16" t="s">
        <v>177</v>
      </c>
      <c r="F3501" s="16" t="s">
        <v>178</v>
      </c>
      <c r="G3501" s="16" t="s">
        <v>32</v>
      </c>
      <c r="H3501" s="16" t="s">
        <v>163</v>
      </c>
      <c r="I3501" s="16"/>
      <c r="J3501" s="16" t="s">
        <v>179</v>
      </c>
      <c r="K3501" s="16"/>
      <c r="L3501" s="16"/>
      <c r="M3501" s="19" t="s">
        <v>180</v>
      </c>
      <c r="N3501" s="16"/>
      <c r="O3501" s="16" t="s">
        <v>181</v>
      </c>
      <c r="P3501" s="16" t="str">
        <f>HYPERLINK("https://ceds.ed.gov/cedselementdetails.aspx?termid=26269")</f>
        <v>https://ceds.ed.gov/cedselementdetails.aspx?termid=26269</v>
      </c>
      <c r="Q3501" s="16">
        <v>72873</v>
      </c>
    </row>
    <row r="3502" spans="1:17" ht="187.2" x14ac:dyDescent="0.3">
      <c r="A3502" s="16" t="s">
        <v>7751</v>
      </c>
      <c r="B3502" s="16" t="s">
        <v>7752</v>
      </c>
      <c r="C3502" s="16" t="s">
        <v>7603</v>
      </c>
      <c r="D3502" s="16" t="s">
        <v>7597</v>
      </c>
      <c r="E3502" s="16" t="s">
        <v>158</v>
      </c>
      <c r="F3502" s="16" t="s">
        <v>159</v>
      </c>
      <c r="G3502" s="16" t="s">
        <v>32</v>
      </c>
      <c r="H3502" s="16" t="s">
        <v>163</v>
      </c>
      <c r="I3502" s="16"/>
      <c r="J3502" s="16" t="s">
        <v>145</v>
      </c>
      <c r="K3502" s="16"/>
      <c r="L3502" s="16"/>
      <c r="M3502" s="19" t="s">
        <v>161</v>
      </c>
      <c r="N3502" s="16"/>
      <c r="O3502" s="16" t="s">
        <v>162</v>
      </c>
      <c r="P3502" s="16" t="str">
        <f>HYPERLINK("https://ceds.ed.gov/cedselementdetails.aspx?termid=26019")</f>
        <v>https://ceds.ed.gov/cedselementdetails.aspx?termid=26019</v>
      </c>
      <c r="Q3502" s="16">
        <v>72874</v>
      </c>
    </row>
    <row r="3503" spans="1:17" ht="187.2" x14ac:dyDescent="0.3">
      <c r="A3503" s="16" t="s">
        <v>7751</v>
      </c>
      <c r="B3503" s="16" t="s">
        <v>7752</v>
      </c>
      <c r="C3503" s="16" t="s">
        <v>7603</v>
      </c>
      <c r="D3503" s="16" t="s">
        <v>7597</v>
      </c>
      <c r="E3503" s="16" t="s">
        <v>164</v>
      </c>
      <c r="F3503" s="16" t="s">
        <v>165</v>
      </c>
      <c r="G3503" s="16" t="s">
        <v>32</v>
      </c>
      <c r="H3503" s="16" t="s">
        <v>163</v>
      </c>
      <c r="I3503" s="16"/>
      <c r="J3503" s="16" t="s">
        <v>81</v>
      </c>
      <c r="K3503" s="16"/>
      <c r="L3503" s="16"/>
      <c r="M3503" s="19" t="s">
        <v>166</v>
      </c>
      <c r="N3503" s="16"/>
      <c r="O3503" s="16" t="s">
        <v>167</v>
      </c>
      <c r="P3503" s="16" t="str">
        <f>HYPERLINK("https://ceds.ed.gov/cedselementdetails.aspx?termid=26040")</f>
        <v>https://ceds.ed.gov/cedselementdetails.aspx?termid=26040</v>
      </c>
      <c r="Q3503" s="16">
        <v>72875</v>
      </c>
    </row>
    <row r="3504" spans="1:17" ht="409.6" x14ac:dyDescent="0.3">
      <c r="A3504" s="16" t="s">
        <v>7751</v>
      </c>
      <c r="B3504" s="16" t="s">
        <v>7752</v>
      </c>
      <c r="C3504" s="16" t="s">
        <v>7603</v>
      </c>
      <c r="D3504" s="16" t="s">
        <v>7597</v>
      </c>
      <c r="E3504" s="16" t="s">
        <v>6840</v>
      </c>
      <c r="F3504" s="16" t="s">
        <v>6841</v>
      </c>
      <c r="G3504" s="16" t="s">
        <v>8266</v>
      </c>
      <c r="H3504" s="16" t="s">
        <v>6844</v>
      </c>
      <c r="I3504" s="16"/>
      <c r="J3504" s="16"/>
      <c r="K3504" s="16"/>
      <c r="L3504" s="16"/>
      <c r="M3504" s="19" t="s">
        <v>6842</v>
      </c>
      <c r="N3504" s="16"/>
      <c r="O3504" s="16" t="s">
        <v>6843</v>
      </c>
      <c r="P3504" s="16" t="str">
        <f>HYPERLINK("https://ceds.ed.gov/cedselementdetails.aspx?termid=26267")</f>
        <v>https://ceds.ed.gov/cedselementdetails.aspx?termid=26267</v>
      </c>
      <c r="Q3504" s="16">
        <v>72876</v>
      </c>
    </row>
    <row r="3505" spans="1:17" ht="187.2" x14ac:dyDescent="0.3">
      <c r="A3505" s="16" t="s">
        <v>7751</v>
      </c>
      <c r="B3505" s="16" t="s">
        <v>7752</v>
      </c>
      <c r="C3505" s="16" t="s">
        <v>7603</v>
      </c>
      <c r="D3505" s="16" t="s">
        <v>7597</v>
      </c>
      <c r="E3505" s="16" t="s">
        <v>172</v>
      </c>
      <c r="F3505" s="16" t="s">
        <v>173</v>
      </c>
      <c r="G3505" s="16" t="s">
        <v>32</v>
      </c>
      <c r="H3505" s="16" t="s">
        <v>163</v>
      </c>
      <c r="I3505" s="16"/>
      <c r="J3505" s="16" t="s">
        <v>174</v>
      </c>
      <c r="K3505" s="16"/>
      <c r="L3505" s="16"/>
      <c r="M3505" s="19" t="s">
        <v>175</v>
      </c>
      <c r="N3505" s="16"/>
      <c r="O3505" s="16" t="s">
        <v>176</v>
      </c>
      <c r="P3505" s="16" t="str">
        <f>HYPERLINK("https://ceds.ed.gov/cedselementdetails.aspx?termid=26214")</f>
        <v>https://ceds.ed.gov/cedselementdetails.aspx?termid=26214</v>
      </c>
      <c r="Q3505" s="16">
        <v>72877</v>
      </c>
    </row>
    <row r="3506" spans="1:17" ht="187.2" x14ac:dyDescent="0.3">
      <c r="A3506" s="16" t="s">
        <v>7751</v>
      </c>
      <c r="B3506" s="16" t="s">
        <v>7752</v>
      </c>
      <c r="C3506" s="16" t="s">
        <v>7603</v>
      </c>
      <c r="D3506" s="16" t="s">
        <v>7597</v>
      </c>
      <c r="E3506" s="16" t="s">
        <v>168</v>
      </c>
      <c r="F3506" s="16" t="s">
        <v>169</v>
      </c>
      <c r="G3506" s="16" t="s">
        <v>32</v>
      </c>
      <c r="H3506" s="16" t="s">
        <v>163</v>
      </c>
      <c r="I3506" s="16"/>
      <c r="J3506" s="16" t="s">
        <v>81</v>
      </c>
      <c r="K3506" s="16"/>
      <c r="L3506" s="16"/>
      <c r="M3506" s="19" t="s">
        <v>170</v>
      </c>
      <c r="N3506" s="16"/>
      <c r="O3506" s="16" t="s">
        <v>171</v>
      </c>
      <c r="P3506" s="16" t="str">
        <f>HYPERLINK("https://ceds.ed.gov/cedselementdetails.aspx?termid=26190")</f>
        <v>https://ceds.ed.gov/cedselementdetails.aspx?termid=26190</v>
      </c>
      <c r="Q3506" s="16">
        <v>72137</v>
      </c>
    </row>
    <row r="3507" spans="1:17" ht="409.6" x14ac:dyDescent="0.3">
      <c r="A3507" s="16" t="s">
        <v>7751</v>
      </c>
      <c r="B3507" s="16" t="s">
        <v>7752</v>
      </c>
      <c r="C3507" s="16" t="s">
        <v>7603</v>
      </c>
      <c r="D3507" s="16" t="s">
        <v>7597</v>
      </c>
      <c r="E3507" s="16" t="s">
        <v>2483</v>
      </c>
      <c r="F3507" s="16" t="s">
        <v>2484</v>
      </c>
      <c r="G3507" s="16" t="s">
        <v>8454</v>
      </c>
      <c r="H3507" s="16" t="s">
        <v>2487</v>
      </c>
      <c r="I3507" s="16"/>
      <c r="J3507" s="16"/>
      <c r="K3507" s="16"/>
      <c r="L3507" s="16" t="s">
        <v>7915</v>
      </c>
      <c r="M3507" s="19" t="s">
        <v>2485</v>
      </c>
      <c r="N3507" s="16"/>
      <c r="O3507" s="16" t="s">
        <v>2486</v>
      </c>
      <c r="P3507" s="16" t="str">
        <f>HYPERLINK("https://ceds.ed.gov/cedselementdetails.aspx?termid=26050")</f>
        <v>https://ceds.ed.gov/cedselementdetails.aspx?termid=26050</v>
      </c>
      <c r="Q3507" s="16">
        <v>72136</v>
      </c>
    </row>
    <row r="3508" spans="1:17" ht="57.6" x14ac:dyDescent="0.3">
      <c r="A3508" s="16" t="s">
        <v>7751</v>
      </c>
      <c r="B3508" s="16" t="s">
        <v>7752</v>
      </c>
      <c r="C3508" s="16" t="s">
        <v>7603</v>
      </c>
      <c r="D3508" s="16" t="s">
        <v>7597</v>
      </c>
      <c r="E3508" s="16" t="s">
        <v>4902</v>
      </c>
      <c r="F3508" s="16" t="s">
        <v>4903</v>
      </c>
      <c r="G3508" s="16" t="s">
        <v>32</v>
      </c>
      <c r="H3508" s="16"/>
      <c r="I3508" s="16"/>
      <c r="J3508" s="16" t="s">
        <v>1130</v>
      </c>
      <c r="K3508" s="16"/>
      <c r="L3508" s="16"/>
      <c r="M3508" s="19" t="s">
        <v>4904</v>
      </c>
      <c r="N3508" s="16"/>
      <c r="O3508" s="16" t="s">
        <v>4902</v>
      </c>
      <c r="P3508" s="16" t="str">
        <f>HYPERLINK("https://ceds.ed.gov/cedselementdetails.aspx?termid=26599")</f>
        <v>https://ceds.ed.gov/cedselementdetails.aspx?termid=26599</v>
      </c>
      <c r="Q3508" s="16">
        <v>74265</v>
      </c>
    </row>
    <row r="3509" spans="1:17" ht="57.6" x14ac:dyDescent="0.3">
      <c r="A3509" s="16" t="s">
        <v>7751</v>
      </c>
      <c r="B3509" s="16" t="s">
        <v>7752</v>
      </c>
      <c r="C3509" s="16" t="s">
        <v>7603</v>
      </c>
      <c r="D3509" s="16" t="s">
        <v>7597</v>
      </c>
      <c r="E3509" s="16" t="s">
        <v>5285</v>
      </c>
      <c r="F3509" s="16" t="s">
        <v>5286</v>
      </c>
      <c r="G3509" s="16" t="s">
        <v>32</v>
      </c>
      <c r="H3509" s="16"/>
      <c r="I3509" s="16"/>
      <c r="J3509" s="16" t="s">
        <v>1130</v>
      </c>
      <c r="K3509" s="16"/>
      <c r="L3509" s="16"/>
      <c r="M3509" s="19" t="s">
        <v>5287</v>
      </c>
      <c r="N3509" s="16"/>
      <c r="O3509" s="16" t="s">
        <v>5285</v>
      </c>
      <c r="P3509" s="16" t="str">
        <f>HYPERLINK("https://ceds.ed.gov/cedselementdetails.aspx?termid=26600")</f>
        <v>https://ceds.ed.gov/cedselementdetails.aspx?termid=26600</v>
      </c>
      <c r="Q3509" s="16">
        <v>74288</v>
      </c>
    </row>
    <row r="3510" spans="1:17" ht="158.4" x14ac:dyDescent="0.3">
      <c r="A3510" s="16" t="s">
        <v>7751</v>
      </c>
      <c r="B3510" s="16" t="s">
        <v>7752</v>
      </c>
      <c r="C3510" s="16" t="s">
        <v>7603</v>
      </c>
      <c r="D3510" s="16" t="s">
        <v>7597</v>
      </c>
      <c r="E3510" s="16" t="s">
        <v>2493</v>
      </c>
      <c r="F3510" s="16" t="s">
        <v>2494</v>
      </c>
      <c r="G3510" s="16" t="s">
        <v>32</v>
      </c>
      <c r="H3510" s="16"/>
      <c r="I3510" s="16"/>
      <c r="J3510" s="16" t="s">
        <v>2495</v>
      </c>
      <c r="K3510" s="16"/>
      <c r="L3510" s="16"/>
      <c r="M3510" s="19" t="s">
        <v>2496</v>
      </c>
      <c r="N3510" s="16"/>
      <c r="O3510" s="16" t="s">
        <v>2497</v>
      </c>
      <c r="P3510" s="16" t="str">
        <f>HYPERLINK("https://ceds.ed.gov/cedselementdetails.aspx?termid=27176")</f>
        <v>https://ceds.ed.gov/cedselementdetails.aspx?termid=27176</v>
      </c>
      <c r="Q3510" s="16">
        <v>75245</v>
      </c>
    </row>
    <row r="3511" spans="1:17" ht="57.6" x14ac:dyDescent="0.3">
      <c r="A3511" s="16" t="s">
        <v>7751</v>
      </c>
      <c r="B3511" s="16" t="s">
        <v>7752</v>
      </c>
      <c r="C3511" s="16" t="s">
        <v>7603</v>
      </c>
      <c r="D3511" s="16" t="s">
        <v>7597</v>
      </c>
      <c r="E3511" s="16" t="s">
        <v>3175</v>
      </c>
      <c r="F3511" s="16" t="s">
        <v>3176</v>
      </c>
      <c r="G3511" s="16" t="s">
        <v>2987</v>
      </c>
      <c r="H3511" s="16"/>
      <c r="I3511" s="16"/>
      <c r="J3511" s="16"/>
      <c r="K3511" s="16"/>
      <c r="L3511" s="16"/>
      <c r="M3511" s="19" t="s">
        <v>3177</v>
      </c>
      <c r="N3511" s="16"/>
      <c r="O3511" s="16" t="s">
        <v>3178</v>
      </c>
      <c r="P3511" s="16" t="str">
        <f>HYPERLINK("https://ceds.ed.gov/cedselementdetails.aspx?termid=27905")</f>
        <v>https://ceds.ed.gov/cedselementdetails.aspx?termid=27905</v>
      </c>
      <c r="Q3511" s="16">
        <v>75246</v>
      </c>
    </row>
    <row r="3512" spans="1:17" ht="72" x14ac:dyDescent="0.3">
      <c r="A3512" s="16" t="s">
        <v>7751</v>
      </c>
      <c r="B3512" s="16" t="s">
        <v>7752</v>
      </c>
      <c r="C3512" s="16" t="s">
        <v>7604</v>
      </c>
      <c r="D3512" s="16" t="s">
        <v>7597</v>
      </c>
      <c r="E3512" s="16" t="s">
        <v>7053</v>
      </c>
      <c r="F3512" s="16" t="s">
        <v>7054</v>
      </c>
      <c r="G3512" s="16" t="s">
        <v>32</v>
      </c>
      <c r="H3512" s="16" t="s">
        <v>64</v>
      </c>
      <c r="I3512" s="16"/>
      <c r="J3512" s="16" t="s">
        <v>7055</v>
      </c>
      <c r="K3512" s="16"/>
      <c r="L3512" s="16"/>
      <c r="M3512" s="19" t="s">
        <v>7056</v>
      </c>
      <c r="N3512" s="16"/>
      <c r="O3512" s="16" t="s">
        <v>7057</v>
      </c>
      <c r="P3512" s="16" t="str">
        <f>HYPERLINK("https://ceds.ed.gov/cedselementdetails.aspx?termid=26279")</f>
        <v>https://ceds.ed.gov/cedselementdetails.aspx?termid=26279</v>
      </c>
      <c r="Q3512" s="16">
        <v>72880</v>
      </c>
    </row>
    <row r="3513" spans="1:17" ht="86.4" x14ac:dyDescent="0.3">
      <c r="A3513" s="16" t="s">
        <v>7751</v>
      </c>
      <c r="B3513" s="16" t="s">
        <v>7752</v>
      </c>
      <c r="C3513" s="16" t="s">
        <v>7604</v>
      </c>
      <c r="D3513" s="16" t="s">
        <v>7597</v>
      </c>
      <c r="E3513" s="16" t="s">
        <v>7062</v>
      </c>
      <c r="F3513" s="16" t="s">
        <v>7063</v>
      </c>
      <c r="G3513" s="16" t="s">
        <v>8849</v>
      </c>
      <c r="H3513" s="16" t="s">
        <v>64</v>
      </c>
      <c r="I3513" s="16"/>
      <c r="J3513" s="16" t="s">
        <v>2500</v>
      </c>
      <c r="K3513" s="16"/>
      <c r="L3513" s="16"/>
      <c r="M3513" s="19" t="s">
        <v>7064</v>
      </c>
      <c r="N3513" s="16"/>
      <c r="O3513" s="16" t="s">
        <v>7065</v>
      </c>
      <c r="P3513" s="16" t="str">
        <f>HYPERLINK("https://ceds.ed.gov/cedselementdetails.aspx?termid=26280")</f>
        <v>https://ceds.ed.gov/cedselementdetails.aspx?termid=26280</v>
      </c>
      <c r="Q3513" s="16">
        <v>72878</v>
      </c>
    </row>
    <row r="3514" spans="1:17" ht="72" x14ac:dyDescent="0.3">
      <c r="A3514" s="16" t="s">
        <v>7751</v>
      </c>
      <c r="B3514" s="16" t="s">
        <v>7752</v>
      </c>
      <c r="C3514" s="16" t="s">
        <v>7604</v>
      </c>
      <c r="D3514" s="16" t="s">
        <v>7597</v>
      </c>
      <c r="E3514" s="16" t="s">
        <v>5865</v>
      </c>
      <c r="F3514" s="16" t="s">
        <v>5866</v>
      </c>
      <c r="G3514" s="16" t="s">
        <v>22</v>
      </c>
      <c r="H3514" s="16" t="s">
        <v>64</v>
      </c>
      <c r="I3514" s="16"/>
      <c r="J3514" s="16"/>
      <c r="K3514" s="16"/>
      <c r="L3514" s="16"/>
      <c r="M3514" s="19" t="s">
        <v>5867</v>
      </c>
      <c r="N3514" s="16"/>
      <c r="O3514" s="16" t="s">
        <v>5868</v>
      </c>
      <c r="P3514" s="16" t="str">
        <f>HYPERLINK("https://ceds.ed.gov/cedselementdetails.aspx?termid=26219")</f>
        <v>https://ceds.ed.gov/cedselementdetails.aspx?termid=26219</v>
      </c>
      <c r="Q3514" s="16">
        <v>72879</v>
      </c>
    </row>
    <row r="3515" spans="1:17" ht="57.6" x14ac:dyDescent="0.3">
      <c r="A3515" s="16" t="s">
        <v>7751</v>
      </c>
      <c r="B3515" s="16" t="s">
        <v>7752</v>
      </c>
      <c r="C3515" s="16" t="s">
        <v>7604</v>
      </c>
      <c r="D3515" s="16" t="s">
        <v>7597</v>
      </c>
      <c r="E3515" s="16" t="s">
        <v>3175</v>
      </c>
      <c r="F3515" s="16" t="s">
        <v>3176</v>
      </c>
      <c r="G3515" s="16" t="s">
        <v>2987</v>
      </c>
      <c r="H3515" s="16"/>
      <c r="I3515" s="16"/>
      <c r="J3515" s="16"/>
      <c r="K3515" s="16"/>
      <c r="L3515" s="16"/>
      <c r="M3515" s="19" t="s">
        <v>3177</v>
      </c>
      <c r="N3515" s="16"/>
      <c r="O3515" s="16" t="s">
        <v>3178</v>
      </c>
      <c r="P3515" s="16" t="str">
        <f>HYPERLINK("https://ceds.ed.gov/cedselementdetails.aspx?termid=27905")</f>
        <v>https://ceds.ed.gov/cedselementdetails.aspx?termid=27905</v>
      </c>
      <c r="Q3515" s="16">
        <v>75248</v>
      </c>
    </row>
    <row r="3516" spans="1:17" ht="57.6" x14ac:dyDescent="0.3">
      <c r="A3516" s="16" t="s">
        <v>7751</v>
      </c>
      <c r="B3516" s="16" t="s">
        <v>7752</v>
      </c>
      <c r="C3516" s="16" t="s">
        <v>7604</v>
      </c>
      <c r="D3516" s="16" t="s">
        <v>7597</v>
      </c>
      <c r="E3516" s="16" t="s">
        <v>7058</v>
      </c>
      <c r="F3516" s="16" t="s">
        <v>7059</v>
      </c>
      <c r="G3516" s="16" t="s">
        <v>8848</v>
      </c>
      <c r="H3516" s="16"/>
      <c r="I3516" s="16"/>
      <c r="J3516" s="16"/>
      <c r="K3516" s="16"/>
      <c r="L3516" s="16"/>
      <c r="M3516" s="19" t="s">
        <v>7060</v>
      </c>
      <c r="N3516" s="16"/>
      <c r="O3516" s="16" t="s">
        <v>7061</v>
      </c>
      <c r="P3516" s="16" t="str">
        <f>HYPERLINK("https://ceds.ed.gov/cedselementdetails.aspx?termid=27911")</f>
        <v>https://ceds.ed.gov/cedselementdetails.aspx?termid=27911</v>
      </c>
      <c r="Q3516" s="16">
        <v>75249</v>
      </c>
    </row>
    <row r="3517" spans="1:17" ht="72" x14ac:dyDescent="0.3">
      <c r="A3517" s="16" t="s">
        <v>7751</v>
      </c>
      <c r="B3517" s="16" t="s">
        <v>7752</v>
      </c>
      <c r="C3517" s="16" t="s">
        <v>7605</v>
      </c>
      <c r="D3517" s="16" t="s">
        <v>7597</v>
      </c>
      <c r="E3517" s="16" t="s">
        <v>3406</v>
      </c>
      <c r="F3517" s="16" t="s">
        <v>3407</v>
      </c>
      <c r="G3517" s="16" t="s">
        <v>32</v>
      </c>
      <c r="H3517" s="16" t="s">
        <v>64</v>
      </c>
      <c r="I3517" s="16"/>
      <c r="J3517" s="16" t="s">
        <v>3408</v>
      </c>
      <c r="K3517" s="16"/>
      <c r="L3517" s="16"/>
      <c r="M3517" s="19" t="s">
        <v>3409</v>
      </c>
      <c r="N3517" s="16" t="s">
        <v>3410</v>
      </c>
      <c r="O3517" s="16" t="s">
        <v>3411</v>
      </c>
      <c r="P3517" s="16" t="str">
        <f>HYPERLINK("https://ceds.ed.gov/cedselementdetails.aspx?termid=26088")</f>
        <v>https://ceds.ed.gov/cedselementdetails.aspx?termid=26088</v>
      </c>
      <c r="Q3517" s="16">
        <v>72882</v>
      </c>
    </row>
    <row r="3518" spans="1:17" ht="72" x14ac:dyDescent="0.3">
      <c r="A3518" s="16" t="s">
        <v>7751</v>
      </c>
      <c r="B3518" s="16" t="s">
        <v>7752</v>
      </c>
      <c r="C3518" s="16" t="s">
        <v>7605</v>
      </c>
      <c r="D3518" s="16" t="s">
        <v>7597</v>
      </c>
      <c r="E3518" s="16" t="s">
        <v>3412</v>
      </c>
      <c r="F3518" s="16" t="s">
        <v>3413</v>
      </c>
      <c r="G3518" s="16" t="s">
        <v>9330</v>
      </c>
      <c r="H3518" s="16" t="s">
        <v>64</v>
      </c>
      <c r="I3518" s="16"/>
      <c r="J3518" s="16"/>
      <c r="K3518" s="16"/>
      <c r="L3518" s="16"/>
      <c r="M3518" s="19" t="s">
        <v>3414</v>
      </c>
      <c r="N3518" s="16" t="s">
        <v>3415</v>
      </c>
      <c r="O3518" s="16" t="s">
        <v>3416</v>
      </c>
      <c r="P3518" s="16" t="str">
        <f>HYPERLINK("https://ceds.ed.gov/cedselementdetails.aspx?termid=26089")</f>
        <v>https://ceds.ed.gov/cedselementdetails.aspx?termid=26089</v>
      </c>
      <c r="Q3518" s="16">
        <v>72881</v>
      </c>
    </row>
    <row r="3519" spans="1:17" ht="57.6" x14ac:dyDescent="0.3">
      <c r="A3519" s="16" t="s">
        <v>7751</v>
      </c>
      <c r="B3519" s="16" t="s">
        <v>7752</v>
      </c>
      <c r="C3519" s="16" t="s">
        <v>7605</v>
      </c>
      <c r="D3519" s="16" t="s">
        <v>7597</v>
      </c>
      <c r="E3519" s="16" t="s">
        <v>3175</v>
      </c>
      <c r="F3519" s="16" t="s">
        <v>3176</v>
      </c>
      <c r="G3519" s="16" t="s">
        <v>2987</v>
      </c>
      <c r="H3519" s="16"/>
      <c r="I3519" s="16"/>
      <c r="J3519" s="16"/>
      <c r="K3519" s="16"/>
      <c r="L3519" s="16"/>
      <c r="M3519" s="19" t="s">
        <v>3177</v>
      </c>
      <c r="N3519" s="16"/>
      <c r="O3519" s="16" t="s">
        <v>3178</v>
      </c>
      <c r="P3519" s="16" t="str">
        <f>HYPERLINK("https://ceds.ed.gov/cedselementdetails.aspx?termid=27905")</f>
        <v>https://ceds.ed.gov/cedselementdetails.aspx?termid=27905</v>
      </c>
      <c r="Q3519" s="16">
        <v>75247</v>
      </c>
    </row>
    <row r="3520" spans="1:17" ht="201.6" x14ac:dyDescent="0.3">
      <c r="A3520" s="16" t="s">
        <v>7751</v>
      </c>
      <c r="B3520" s="16" t="s">
        <v>7752</v>
      </c>
      <c r="C3520" s="16" t="s">
        <v>7628</v>
      </c>
      <c r="D3520" s="16" t="s">
        <v>7597</v>
      </c>
      <c r="E3520" s="16" t="s">
        <v>1507</v>
      </c>
      <c r="F3520" s="16" t="s">
        <v>1508</v>
      </c>
      <c r="G3520" s="16" t="s">
        <v>32</v>
      </c>
      <c r="H3520" s="16" t="s">
        <v>1510</v>
      </c>
      <c r="I3520" s="16"/>
      <c r="J3520" s="16" t="s">
        <v>106</v>
      </c>
      <c r="K3520" s="16"/>
      <c r="L3520" s="16"/>
      <c r="M3520" s="19" t="s">
        <v>1509</v>
      </c>
      <c r="N3520" s="16"/>
      <c r="O3520" s="16" t="s">
        <v>1507</v>
      </c>
      <c r="P3520" s="16" t="str">
        <f>HYPERLINK("https://ceds.ed.gov/cedselementdetails.aspx?termid=26033")</f>
        <v>https://ceds.ed.gov/cedselementdetails.aspx?termid=26033</v>
      </c>
      <c r="Q3520" s="16">
        <v>72864</v>
      </c>
    </row>
    <row r="3521" spans="1:17" ht="216" x14ac:dyDescent="0.3">
      <c r="A3521" s="16" t="s">
        <v>7751</v>
      </c>
      <c r="B3521" s="16" t="s">
        <v>7752</v>
      </c>
      <c r="C3521" s="16" t="s">
        <v>7628</v>
      </c>
      <c r="D3521" s="16" t="s">
        <v>7597</v>
      </c>
      <c r="E3521" s="16" t="s">
        <v>6662</v>
      </c>
      <c r="F3521" s="16" t="s">
        <v>6663</v>
      </c>
      <c r="G3521" s="16" t="s">
        <v>8831</v>
      </c>
      <c r="H3521" s="16" t="s">
        <v>6666</v>
      </c>
      <c r="I3521" s="16"/>
      <c r="J3521" s="16"/>
      <c r="K3521" s="16"/>
      <c r="L3521" s="16" t="s">
        <v>6664</v>
      </c>
      <c r="M3521" s="19" t="s">
        <v>6665</v>
      </c>
      <c r="N3521" s="16"/>
      <c r="O3521" s="16" t="s">
        <v>6662</v>
      </c>
      <c r="P3521" s="16" t="str">
        <f>HYPERLINK("https://ceds.ed.gov/cedselementdetails.aspx?termid=26255")</f>
        <v>https://ceds.ed.gov/cedselementdetails.aspx?termid=26255</v>
      </c>
      <c r="Q3521" s="16">
        <v>72865</v>
      </c>
    </row>
    <row r="3522" spans="1:17" ht="201.6" x14ac:dyDescent="0.3">
      <c r="A3522" s="16" t="s">
        <v>7751</v>
      </c>
      <c r="B3522" s="16" t="s">
        <v>7752</v>
      </c>
      <c r="C3522" s="16" t="s">
        <v>7628</v>
      </c>
      <c r="D3522" s="16" t="s">
        <v>7597</v>
      </c>
      <c r="E3522" s="16" t="s">
        <v>348</v>
      </c>
      <c r="F3522" s="16" t="s">
        <v>349</v>
      </c>
      <c r="G3522" s="16" t="s">
        <v>8319</v>
      </c>
      <c r="H3522" s="16" t="s">
        <v>353</v>
      </c>
      <c r="I3522" s="16"/>
      <c r="J3522" s="16"/>
      <c r="K3522" s="16"/>
      <c r="L3522" s="16" t="s">
        <v>7828</v>
      </c>
      <c r="M3522" s="19" t="s">
        <v>350</v>
      </c>
      <c r="N3522" s="16" t="s">
        <v>351</v>
      </c>
      <c r="O3522" s="16" t="s">
        <v>352</v>
      </c>
      <c r="P3522" s="16" t="str">
        <f>HYPERLINK("https://ceds.ed.gov/cedselementdetails.aspx?termid=26655")</f>
        <v>https://ceds.ed.gov/cedselementdetails.aspx?termid=26655</v>
      </c>
      <c r="Q3522" s="16">
        <v>72866</v>
      </c>
    </row>
    <row r="3523" spans="1:17" ht="201.6" x14ac:dyDescent="0.3">
      <c r="A3523" s="16" t="s">
        <v>7751</v>
      </c>
      <c r="B3523" s="16" t="s">
        <v>7752</v>
      </c>
      <c r="C3523" s="16" t="s">
        <v>7628</v>
      </c>
      <c r="D3523" s="16" t="s">
        <v>7597</v>
      </c>
      <c r="E3523" s="16" t="s">
        <v>373</v>
      </c>
      <c r="F3523" s="16" t="s">
        <v>374</v>
      </c>
      <c r="G3523" s="16" t="s">
        <v>8319</v>
      </c>
      <c r="H3523" s="16" t="s">
        <v>353</v>
      </c>
      <c r="I3523" s="16"/>
      <c r="J3523" s="16"/>
      <c r="K3523" s="16"/>
      <c r="L3523" s="16" t="s">
        <v>7828</v>
      </c>
      <c r="M3523" s="19" t="s">
        <v>375</v>
      </c>
      <c r="N3523" s="16" t="s">
        <v>376</v>
      </c>
      <c r="O3523" s="16" t="s">
        <v>373</v>
      </c>
      <c r="P3523" s="16" t="str">
        <f>HYPERLINK("https://ceds.ed.gov/cedselementdetails.aspx?termid=26656")</f>
        <v>https://ceds.ed.gov/cedselementdetails.aspx?termid=26656</v>
      </c>
      <c r="Q3523" s="16">
        <v>72867</v>
      </c>
    </row>
    <row r="3524" spans="1:17" ht="201.6" x14ac:dyDescent="0.3">
      <c r="A3524" s="16" t="s">
        <v>7751</v>
      </c>
      <c r="B3524" s="16" t="s">
        <v>7752</v>
      </c>
      <c r="C3524" s="16" t="s">
        <v>7628</v>
      </c>
      <c r="D3524" s="16" t="s">
        <v>7597</v>
      </c>
      <c r="E3524" s="16" t="s">
        <v>1517</v>
      </c>
      <c r="F3524" s="16" t="s">
        <v>1518</v>
      </c>
      <c r="G3524" s="16" t="s">
        <v>8319</v>
      </c>
      <c r="H3524" s="16" t="s">
        <v>353</v>
      </c>
      <c r="I3524" s="16"/>
      <c r="J3524" s="16"/>
      <c r="K3524" s="16"/>
      <c r="L3524" s="16" t="s">
        <v>7828</v>
      </c>
      <c r="M3524" s="19" t="s">
        <v>1519</v>
      </c>
      <c r="N3524" s="16" t="s">
        <v>1520</v>
      </c>
      <c r="O3524" s="16" t="s">
        <v>1521</v>
      </c>
      <c r="P3524" s="16" t="str">
        <f>HYPERLINK("https://ceds.ed.gov/cedselementdetails.aspx?termid=26657")</f>
        <v>https://ceds.ed.gov/cedselementdetails.aspx?termid=26657</v>
      </c>
      <c r="Q3524" s="16">
        <v>72868</v>
      </c>
    </row>
    <row r="3525" spans="1:17" ht="201.6" x14ac:dyDescent="0.3">
      <c r="A3525" s="16" t="s">
        <v>7751</v>
      </c>
      <c r="B3525" s="16" t="s">
        <v>7752</v>
      </c>
      <c r="C3525" s="16" t="s">
        <v>7628</v>
      </c>
      <c r="D3525" s="16" t="s">
        <v>7597</v>
      </c>
      <c r="E3525" s="16" t="s">
        <v>5454</v>
      </c>
      <c r="F3525" s="16" t="s">
        <v>5455</v>
      </c>
      <c r="G3525" s="16" t="s">
        <v>8319</v>
      </c>
      <c r="H3525" s="16" t="s">
        <v>353</v>
      </c>
      <c r="I3525" s="16"/>
      <c r="J3525" s="16"/>
      <c r="K3525" s="16"/>
      <c r="L3525" s="16" t="s">
        <v>7828</v>
      </c>
      <c r="M3525" s="19" t="s">
        <v>5456</v>
      </c>
      <c r="N3525" s="16" t="s">
        <v>5457</v>
      </c>
      <c r="O3525" s="16" t="s">
        <v>5458</v>
      </c>
      <c r="P3525" s="16" t="str">
        <f>HYPERLINK("https://ceds.ed.gov/cedselementdetails.aspx?termid=26658")</f>
        <v>https://ceds.ed.gov/cedselementdetails.aspx?termid=26658</v>
      </c>
      <c r="Q3525" s="16">
        <v>72869</v>
      </c>
    </row>
    <row r="3526" spans="1:17" ht="201.6" x14ac:dyDescent="0.3">
      <c r="A3526" s="16" t="s">
        <v>7751</v>
      </c>
      <c r="B3526" s="16" t="s">
        <v>7752</v>
      </c>
      <c r="C3526" s="16" t="s">
        <v>7628</v>
      </c>
      <c r="D3526" s="16" t="s">
        <v>7597</v>
      </c>
      <c r="E3526" s="16" t="s">
        <v>7282</v>
      </c>
      <c r="F3526" s="16" t="s">
        <v>7283</v>
      </c>
      <c r="G3526" s="16" t="s">
        <v>8319</v>
      </c>
      <c r="H3526" s="16" t="s">
        <v>353</v>
      </c>
      <c r="I3526" s="16"/>
      <c r="J3526" s="16"/>
      <c r="K3526" s="16"/>
      <c r="L3526" s="16" t="s">
        <v>7828</v>
      </c>
      <c r="M3526" s="19" t="s">
        <v>7284</v>
      </c>
      <c r="N3526" s="16" t="s">
        <v>7285</v>
      </c>
      <c r="O3526" s="16" t="s">
        <v>7282</v>
      </c>
      <c r="P3526" s="16" t="str">
        <f>HYPERLINK("https://ceds.ed.gov/cedselementdetails.aspx?termid=26659")</f>
        <v>https://ceds.ed.gov/cedselementdetails.aspx?termid=26659</v>
      </c>
      <c r="Q3526" s="16">
        <v>72870</v>
      </c>
    </row>
    <row r="3527" spans="1:17" ht="201.6" x14ac:dyDescent="0.3">
      <c r="A3527" s="16" t="s">
        <v>7751</v>
      </c>
      <c r="B3527" s="16" t="s">
        <v>7752</v>
      </c>
      <c r="C3527" s="16" t="s">
        <v>7628</v>
      </c>
      <c r="D3527" s="16" t="s">
        <v>7597</v>
      </c>
      <c r="E3527" s="16" t="s">
        <v>4283</v>
      </c>
      <c r="F3527" s="16" t="s">
        <v>4284</v>
      </c>
      <c r="G3527" s="16" t="s">
        <v>8319</v>
      </c>
      <c r="H3527" s="16" t="s">
        <v>353</v>
      </c>
      <c r="I3527" s="16"/>
      <c r="J3527" s="16"/>
      <c r="K3527" s="16"/>
      <c r="L3527" s="16" t="s">
        <v>7828</v>
      </c>
      <c r="M3527" s="19" t="s">
        <v>4285</v>
      </c>
      <c r="N3527" s="16"/>
      <c r="O3527" s="16" t="s">
        <v>4286</v>
      </c>
      <c r="P3527" s="16" t="str">
        <f>HYPERLINK("https://ceds.ed.gov/cedselementdetails.aspx?termid=26144")</f>
        <v>https://ceds.ed.gov/cedselementdetails.aspx?termid=26144</v>
      </c>
      <c r="Q3527" s="16">
        <v>72871</v>
      </c>
    </row>
    <row r="3528" spans="1:17" ht="72" x14ac:dyDescent="0.3">
      <c r="A3528" s="16" t="s">
        <v>7751</v>
      </c>
      <c r="B3528" s="16" t="s">
        <v>7752</v>
      </c>
      <c r="C3528" s="16" t="s">
        <v>7628</v>
      </c>
      <c r="D3528" s="16" t="s">
        <v>7597</v>
      </c>
      <c r="E3528" s="16" t="s">
        <v>3038</v>
      </c>
      <c r="F3528" s="16" t="s">
        <v>3039</v>
      </c>
      <c r="G3528" s="16" t="s">
        <v>22</v>
      </c>
      <c r="H3528" s="16"/>
      <c r="I3528" s="16"/>
      <c r="J3528" s="16"/>
      <c r="K3528" s="16"/>
      <c r="L3528" s="16" t="s">
        <v>3040</v>
      </c>
      <c r="M3528" s="19" t="s">
        <v>3041</v>
      </c>
      <c r="N3528" s="16"/>
      <c r="O3528" s="16" t="s">
        <v>3042</v>
      </c>
      <c r="P3528" s="16" t="str">
        <f>HYPERLINK("https://ceds.ed.gov/cedselementdetails.aspx?termid=26974")</f>
        <v>https://ceds.ed.gov/cedselementdetails.aspx?termid=26974</v>
      </c>
      <c r="Q3528" s="16">
        <v>75158</v>
      </c>
    </row>
    <row r="3529" spans="1:17" ht="409.6" x14ac:dyDescent="0.3">
      <c r="A3529" s="16" t="s">
        <v>7751</v>
      </c>
      <c r="B3529" s="16" t="s">
        <v>7752</v>
      </c>
      <c r="C3529" s="16" t="s">
        <v>7628</v>
      </c>
      <c r="D3529" s="16" t="s">
        <v>7597</v>
      </c>
      <c r="E3529" s="16" t="s">
        <v>2488</v>
      </c>
      <c r="F3529" s="16" t="s">
        <v>2489</v>
      </c>
      <c r="G3529" s="16" t="s">
        <v>8454</v>
      </c>
      <c r="H3529" s="16" t="s">
        <v>2492</v>
      </c>
      <c r="I3529" s="16"/>
      <c r="J3529" s="16"/>
      <c r="K3529" s="16"/>
      <c r="L3529" s="16" t="s">
        <v>7915</v>
      </c>
      <c r="M3529" s="19" t="s">
        <v>2490</v>
      </c>
      <c r="N3529" s="16"/>
      <c r="O3529" s="16" t="s">
        <v>2491</v>
      </c>
      <c r="P3529" s="16" t="str">
        <f>HYPERLINK("https://ceds.ed.gov/cedselementdetails.aspx?termid=26051")</f>
        <v>https://ceds.ed.gov/cedselementdetails.aspx?termid=26051</v>
      </c>
      <c r="Q3529" s="16">
        <v>75250</v>
      </c>
    </row>
    <row r="3530" spans="1:17" ht="115.2" x14ac:dyDescent="0.3">
      <c r="A3530" s="16" t="s">
        <v>7751</v>
      </c>
      <c r="B3530" s="16" t="s">
        <v>7752</v>
      </c>
      <c r="C3530" s="16" t="s">
        <v>7628</v>
      </c>
      <c r="D3530" s="16" t="s">
        <v>7597</v>
      </c>
      <c r="E3530" s="16" t="s">
        <v>6823</v>
      </c>
      <c r="F3530" s="16" t="s">
        <v>8155</v>
      </c>
      <c r="G3530" s="16" t="s">
        <v>32</v>
      </c>
      <c r="H3530" s="16" t="s">
        <v>69</v>
      </c>
      <c r="I3530" s="16"/>
      <c r="J3530" s="16" t="s">
        <v>6824</v>
      </c>
      <c r="K3530" s="16"/>
      <c r="L3530" s="16"/>
      <c r="M3530" s="19" t="s">
        <v>6825</v>
      </c>
      <c r="N3530" s="16"/>
      <c r="O3530" s="16" t="s">
        <v>6826</v>
      </c>
      <c r="P3530" s="16" t="str">
        <f>HYPERLINK("https://ceds.ed.gov/cedselementdetails.aspx?termid=26707")</f>
        <v>https://ceds.ed.gov/cedselementdetails.aspx?termid=26707</v>
      </c>
      <c r="Q3530" s="16">
        <v>75251</v>
      </c>
    </row>
    <row r="3531" spans="1:17" ht="57.6" x14ac:dyDescent="0.3">
      <c r="A3531" s="16" t="s">
        <v>7751</v>
      </c>
      <c r="B3531" s="16" t="s">
        <v>7752</v>
      </c>
      <c r="C3531" s="16" t="s">
        <v>7628</v>
      </c>
      <c r="D3531" s="16" t="s">
        <v>7597</v>
      </c>
      <c r="E3531" s="16" t="s">
        <v>7181</v>
      </c>
      <c r="F3531" s="16" t="s">
        <v>7182</v>
      </c>
      <c r="G3531" s="16" t="s">
        <v>7313</v>
      </c>
      <c r="H3531" s="16"/>
      <c r="I3531" s="16"/>
      <c r="J3531" s="16"/>
      <c r="K3531" s="16"/>
      <c r="L3531" s="16"/>
      <c r="M3531" s="19" t="s">
        <v>7183</v>
      </c>
      <c r="N3531" s="16"/>
      <c r="O3531" s="16" t="s">
        <v>7184</v>
      </c>
      <c r="P3531" s="16" t="str">
        <f>HYPERLINK("https://ceds.ed.gov/cedselementdetails.aspx?termid=27638")</f>
        <v>https://ceds.ed.gov/cedselementdetails.aspx?termid=27638</v>
      </c>
      <c r="Q3531" s="16">
        <v>75252</v>
      </c>
    </row>
    <row r="3532" spans="1:17" ht="57.6" x14ac:dyDescent="0.3">
      <c r="A3532" s="16" t="s">
        <v>7751</v>
      </c>
      <c r="B3532" s="16" t="s">
        <v>7752</v>
      </c>
      <c r="C3532" s="16" t="s">
        <v>7628</v>
      </c>
      <c r="D3532" s="16" t="s">
        <v>7597</v>
      </c>
      <c r="E3532" s="16" t="s">
        <v>7418</v>
      </c>
      <c r="F3532" s="16" t="s">
        <v>7419</v>
      </c>
      <c r="G3532" s="16" t="s">
        <v>22</v>
      </c>
      <c r="H3532" s="16"/>
      <c r="I3532" s="16"/>
      <c r="J3532" s="16"/>
      <c r="K3532" s="16"/>
      <c r="L3532" s="16"/>
      <c r="M3532" s="19" t="s">
        <v>7420</v>
      </c>
      <c r="N3532" s="16"/>
      <c r="O3532" s="16" t="s">
        <v>7421</v>
      </c>
      <c r="P3532" s="16" t="str">
        <f>HYPERLINK("https://ceds.ed.gov/cedselementdetails.aspx?termid=27932")</f>
        <v>https://ceds.ed.gov/cedselementdetails.aspx?termid=27932</v>
      </c>
      <c r="Q3532" s="16">
        <v>75486</v>
      </c>
    </row>
    <row r="3533" spans="1:17" ht="115.2" x14ac:dyDescent="0.3">
      <c r="A3533" s="16" t="s">
        <v>7751</v>
      </c>
      <c r="B3533" s="16" t="s">
        <v>7752</v>
      </c>
      <c r="C3533" s="16" t="s">
        <v>7628</v>
      </c>
      <c r="D3533" s="16" t="s">
        <v>7597</v>
      </c>
      <c r="E3533" s="16" t="s">
        <v>7422</v>
      </c>
      <c r="F3533" s="16" t="s">
        <v>7423</v>
      </c>
      <c r="G3533" s="16" t="s">
        <v>2987</v>
      </c>
      <c r="H3533" s="16"/>
      <c r="I3533" s="16"/>
      <c r="J3533" s="16"/>
      <c r="K3533" s="16"/>
      <c r="L3533" s="16"/>
      <c r="M3533" s="19" t="s">
        <v>7424</v>
      </c>
      <c r="N3533" s="16"/>
      <c r="O3533" s="16" t="s">
        <v>7425</v>
      </c>
      <c r="P3533" s="16" t="str">
        <f>HYPERLINK("https://ceds.ed.gov/cedselementdetails.aspx?termid=27933")</f>
        <v>https://ceds.ed.gov/cedselementdetails.aspx?termid=27933</v>
      </c>
      <c r="Q3533" s="16">
        <v>75487</v>
      </c>
    </row>
    <row r="3534" spans="1:17" ht="144" x14ac:dyDescent="0.3">
      <c r="A3534" s="16" t="s">
        <v>7751</v>
      </c>
      <c r="B3534" s="16" t="s">
        <v>7752</v>
      </c>
      <c r="C3534" s="16" t="s">
        <v>7628</v>
      </c>
      <c r="D3534" s="16" t="s">
        <v>7597</v>
      </c>
      <c r="E3534" s="16" t="s">
        <v>7527</v>
      </c>
      <c r="F3534" s="16" t="s">
        <v>7528</v>
      </c>
      <c r="G3534" s="16" t="s">
        <v>8811</v>
      </c>
      <c r="H3534" s="16"/>
      <c r="I3534" s="16"/>
      <c r="J3534" s="16"/>
      <c r="K3534" s="16"/>
      <c r="L3534" s="16" t="s">
        <v>7529</v>
      </c>
      <c r="M3534" s="19" t="s">
        <v>7530</v>
      </c>
      <c r="N3534" s="16"/>
      <c r="O3534" s="16" t="s">
        <v>7527</v>
      </c>
      <c r="P3534" s="16" t="str">
        <f>HYPERLINK("https://ceds.ed.gov/cedselementdetails.aspx?termid=27955")</f>
        <v>https://ceds.ed.gov/cedselementdetails.aspx?termid=27955</v>
      </c>
      <c r="Q3534" s="16">
        <v>75488</v>
      </c>
    </row>
    <row r="3535" spans="1:17" ht="273.60000000000002" x14ac:dyDescent="0.3">
      <c r="A3535" s="16" t="s">
        <v>7751</v>
      </c>
      <c r="B3535" s="16" t="s">
        <v>7752</v>
      </c>
      <c r="C3535" s="16" t="s">
        <v>7683</v>
      </c>
      <c r="D3535" s="16" t="s">
        <v>7597</v>
      </c>
      <c r="E3535" s="16" t="s">
        <v>3034</v>
      </c>
      <c r="F3535" s="16" t="s">
        <v>3035</v>
      </c>
      <c r="G3535" s="16" t="s">
        <v>8493</v>
      </c>
      <c r="H3535" s="16" t="s">
        <v>3025</v>
      </c>
      <c r="I3535" s="16"/>
      <c r="J3535" s="16"/>
      <c r="K3535" s="16"/>
      <c r="L3535" s="16"/>
      <c r="M3535" s="19" t="s">
        <v>3036</v>
      </c>
      <c r="N3535" s="16"/>
      <c r="O3535" s="16" t="s">
        <v>3037</v>
      </c>
      <c r="P3535" s="16" t="str">
        <f>HYPERLINK("https://ceds.ed.gov/cedselementdetails.aspx?termid=26342")</f>
        <v>https://ceds.ed.gov/cedselementdetails.aspx?termid=26342</v>
      </c>
      <c r="Q3535" s="16">
        <v>72897</v>
      </c>
    </row>
    <row r="3536" spans="1:17" ht="43.2" x14ac:dyDescent="0.3">
      <c r="A3536" s="16" t="s">
        <v>7751</v>
      </c>
      <c r="B3536" s="16" t="s">
        <v>7752</v>
      </c>
      <c r="C3536" s="16" t="s">
        <v>7683</v>
      </c>
      <c r="D3536" s="16" t="s">
        <v>7597</v>
      </c>
      <c r="E3536" s="16" t="s">
        <v>3030</v>
      </c>
      <c r="F3536" s="16" t="s">
        <v>3031</v>
      </c>
      <c r="G3536" s="16" t="s">
        <v>32</v>
      </c>
      <c r="H3536" s="16" t="s">
        <v>3025</v>
      </c>
      <c r="I3536" s="16"/>
      <c r="J3536" s="16" t="s">
        <v>1304</v>
      </c>
      <c r="K3536" s="16"/>
      <c r="L3536" s="16"/>
      <c r="M3536" s="19" t="s">
        <v>3032</v>
      </c>
      <c r="N3536" s="16"/>
      <c r="O3536" s="16" t="s">
        <v>3033</v>
      </c>
      <c r="P3536" s="16" t="str">
        <f>HYPERLINK("https://ceds.ed.gov/cedselementdetails.aspx?termid=26341")</f>
        <v>https://ceds.ed.gov/cedselementdetails.aspx?termid=26341</v>
      </c>
      <c r="Q3536" s="16">
        <v>72898</v>
      </c>
    </row>
    <row r="3537" spans="1:17" ht="43.2" x14ac:dyDescent="0.3">
      <c r="A3537" s="16" t="s">
        <v>7751</v>
      </c>
      <c r="B3537" s="16" t="s">
        <v>7752</v>
      </c>
      <c r="C3537" s="16" t="s">
        <v>7683</v>
      </c>
      <c r="D3537" s="16" t="s">
        <v>7597</v>
      </c>
      <c r="E3537" s="16" t="s">
        <v>3021</v>
      </c>
      <c r="F3537" s="16" t="s">
        <v>3022</v>
      </c>
      <c r="G3537" s="16" t="s">
        <v>32</v>
      </c>
      <c r="H3537" s="16" t="s">
        <v>3025</v>
      </c>
      <c r="I3537" s="16"/>
      <c r="J3537" s="16" t="s">
        <v>106</v>
      </c>
      <c r="K3537" s="16"/>
      <c r="L3537" s="16"/>
      <c r="M3537" s="19" t="s">
        <v>3023</v>
      </c>
      <c r="N3537" s="16"/>
      <c r="O3537" s="16" t="s">
        <v>3024</v>
      </c>
      <c r="P3537" s="16" t="str">
        <f>HYPERLINK("https://ceds.ed.gov/cedselementdetails.aspx?termid=26343")</f>
        <v>https://ceds.ed.gov/cedselementdetails.aspx?termid=26343</v>
      </c>
      <c r="Q3537" s="16">
        <v>72899</v>
      </c>
    </row>
    <row r="3538" spans="1:17" ht="100.8" x14ac:dyDescent="0.3">
      <c r="A3538" s="16" t="s">
        <v>7751</v>
      </c>
      <c r="B3538" s="16" t="s">
        <v>7752</v>
      </c>
      <c r="C3538" s="16" t="s">
        <v>7683</v>
      </c>
      <c r="D3538" s="16" t="s">
        <v>7597</v>
      </c>
      <c r="E3538" s="16" t="s">
        <v>5503</v>
      </c>
      <c r="F3538" s="16" t="s">
        <v>5504</v>
      </c>
      <c r="G3538" s="16" t="s">
        <v>32</v>
      </c>
      <c r="H3538" s="16" t="s">
        <v>5256</v>
      </c>
      <c r="I3538" s="16"/>
      <c r="J3538" s="16" t="s">
        <v>1481</v>
      </c>
      <c r="K3538" s="16"/>
      <c r="L3538" s="16"/>
      <c r="M3538" s="19" t="s">
        <v>5505</v>
      </c>
      <c r="N3538" s="16"/>
      <c r="O3538" s="16" t="s">
        <v>5506</v>
      </c>
      <c r="P3538" s="16" t="str">
        <f>HYPERLINK("https://ceds.ed.gov/cedselementdetails.aspx?termid=26200")</f>
        <v>https://ceds.ed.gov/cedselementdetails.aspx?termid=26200</v>
      </c>
      <c r="Q3538" s="16">
        <v>73982</v>
      </c>
    </row>
    <row r="3539" spans="1:17" ht="72" x14ac:dyDescent="0.3">
      <c r="A3539" s="16" t="s">
        <v>7751</v>
      </c>
      <c r="B3539" s="16" t="s">
        <v>7752</v>
      </c>
      <c r="C3539" s="16" t="s">
        <v>7683</v>
      </c>
      <c r="D3539" s="16" t="s">
        <v>7597</v>
      </c>
      <c r="E3539" s="16" t="s">
        <v>1852</v>
      </c>
      <c r="F3539" s="16" t="s">
        <v>1853</v>
      </c>
      <c r="G3539" s="16" t="s">
        <v>22</v>
      </c>
      <c r="H3539" s="16" t="s">
        <v>64</v>
      </c>
      <c r="I3539" s="16"/>
      <c r="J3539" s="16"/>
      <c r="K3539" s="16"/>
      <c r="L3539" s="16"/>
      <c r="M3539" s="19" t="s">
        <v>1854</v>
      </c>
      <c r="N3539" s="16" t="s">
        <v>1855</v>
      </c>
      <c r="O3539" s="16" t="s">
        <v>1856</v>
      </c>
      <c r="P3539" s="16" t="str">
        <f>HYPERLINK("https://ceds.ed.gov/cedselementdetails.aspx?termid=26036")</f>
        <v>https://ceds.ed.gov/cedselementdetails.aspx?termid=26036</v>
      </c>
      <c r="Q3539" s="16">
        <v>72894</v>
      </c>
    </row>
    <row r="3540" spans="1:17" ht="86.4" x14ac:dyDescent="0.3">
      <c r="A3540" s="16" t="s">
        <v>7751</v>
      </c>
      <c r="B3540" s="16" t="s">
        <v>7752</v>
      </c>
      <c r="C3540" s="16" t="s">
        <v>7683</v>
      </c>
      <c r="D3540" s="16" t="s">
        <v>7597</v>
      </c>
      <c r="E3540" s="16" t="s">
        <v>1876</v>
      </c>
      <c r="F3540" s="16" t="s">
        <v>1877</v>
      </c>
      <c r="G3540" s="16" t="s">
        <v>22</v>
      </c>
      <c r="H3540" s="16" t="s">
        <v>214</v>
      </c>
      <c r="I3540" s="16"/>
      <c r="J3540" s="16"/>
      <c r="K3540" s="16"/>
      <c r="L3540" s="16"/>
      <c r="M3540" s="19" t="s">
        <v>1879</v>
      </c>
      <c r="N3540" s="16" t="s">
        <v>1880</v>
      </c>
      <c r="O3540" s="16" t="s">
        <v>1881</v>
      </c>
      <c r="P3540" s="16" t="str">
        <f>HYPERLINK("https://ceds.ed.gov/cedselementdetails.aspx?termid=26586")</f>
        <v>https://ceds.ed.gov/cedselementdetails.aspx?termid=26586</v>
      </c>
      <c r="Q3540" s="16">
        <v>72895</v>
      </c>
    </row>
    <row r="3541" spans="1:17" ht="172.8" x14ac:dyDescent="0.3">
      <c r="A3541" s="16" t="s">
        <v>7751</v>
      </c>
      <c r="B3541" s="16" t="s">
        <v>7752</v>
      </c>
      <c r="C3541" s="16" t="s">
        <v>7685</v>
      </c>
      <c r="D3541" s="16" t="s">
        <v>7597</v>
      </c>
      <c r="E3541" s="16" t="s">
        <v>6074</v>
      </c>
      <c r="F3541" s="16" t="s">
        <v>6075</v>
      </c>
      <c r="G3541" s="16" t="s">
        <v>32</v>
      </c>
      <c r="H3541" s="16" t="s">
        <v>2564</v>
      </c>
      <c r="I3541" s="16"/>
      <c r="J3541" s="16" t="s">
        <v>120</v>
      </c>
      <c r="K3541" s="16"/>
      <c r="L3541" s="16" t="s">
        <v>7817</v>
      </c>
      <c r="M3541" s="19" t="s">
        <v>6076</v>
      </c>
      <c r="N3541" s="16"/>
      <c r="O3541" s="16" t="s">
        <v>6077</v>
      </c>
      <c r="P3541" s="16" t="str">
        <f>HYPERLINK("https://ceds.ed.gov/cedselementdetails.aspx?termid=26618")</f>
        <v>https://ceds.ed.gov/cedselementdetails.aspx?termid=26618</v>
      </c>
      <c r="Q3541" s="16">
        <v>74682</v>
      </c>
    </row>
    <row r="3542" spans="1:17" ht="72" x14ac:dyDescent="0.3">
      <c r="A3542" s="16" t="s">
        <v>7751</v>
      </c>
      <c r="B3542" s="16" t="s">
        <v>7752</v>
      </c>
      <c r="C3542" s="16" t="s">
        <v>7685</v>
      </c>
      <c r="D3542" s="16" t="s">
        <v>7597</v>
      </c>
      <c r="E3542" s="16" t="s">
        <v>2044</v>
      </c>
      <c r="F3542" s="16" t="s">
        <v>2045</v>
      </c>
      <c r="G3542" s="16" t="s">
        <v>7312</v>
      </c>
      <c r="H3542" s="16" t="s">
        <v>42</v>
      </c>
      <c r="I3542" s="16" t="s">
        <v>160</v>
      </c>
      <c r="J3542" s="16" t="s">
        <v>2</v>
      </c>
      <c r="K3542" s="16" t="s">
        <v>12935</v>
      </c>
      <c r="L3542" s="16"/>
      <c r="M3542" s="19" t="s">
        <v>2046</v>
      </c>
      <c r="N3542" s="16" t="s">
        <v>2047</v>
      </c>
      <c r="O3542" s="16" t="s">
        <v>2048</v>
      </c>
      <c r="P3542" s="16" t="str">
        <f>HYPERLINK("https://ceds.ed.gov/cedselementdetails.aspx?termid=26043")</f>
        <v>https://ceds.ed.gov/cedselementdetails.aspx?termid=26043</v>
      </c>
      <c r="Q3542" s="16">
        <v>74679</v>
      </c>
    </row>
    <row r="3543" spans="1:17" ht="28.8" x14ac:dyDescent="0.3">
      <c r="A3543" s="16" t="s">
        <v>7751</v>
      </c>
      <c r="B3543" s="16" t="s">
        <v>7752</v>
      </c>
      <c r="C3543" s="16" t="s">
        <v>7685</v>
      </c>
      <c r="D3543" s="16" t="s">
        <v>7597</v>
      </c>
      <c r="E3543" s="16" t="s">
        <v>53</v>
      </c>
      <c r="F3543" s="16" t="s">
        <v>54</v>
      </c>
      <c r="G3543" s="16" t="s">
        <v>32</v>
      </c>
      <c r="H3543" s="16" t="s">
        <v>58</v>
      </c>
      <c r="I3543" s="16"/>
      <c r="J3543" s="16" t="s">
        <v>55</v>
      </c>
      <c r="K3543" s="16"/>
      <c r="L3543" s="16"/>
      <c r="M3543" s="19" t="s">
        <v>56</v>
      </c>
      <c r="N3543" s="16"/>
      <c r="O3543" s="16" t="s">
        <v>57</v>
      </c>
      <c r="P3543" s="16" t="str">
        <f>HYPERLINK("https://ceds.ed.gov/cedselementdetails.aspx?termid=26003")</f>
        <v>https://ceds.ed.gov/cedselementdetails.aspx?termid=26003</v>
      </c>
      <c r="Q3543" s="16">
        <v>74678</v>
      </c>
    </row>
    <row r="3544" spans="1:17" ht="57.6" x14ac:dyDescent="0.3">
      <c r="A3544" s="16" t="s">
        <v>7751</v>
      </c>
      <c r="B3544" s="16" t="s">
        <v>7752</v>
      </c>
      <c r="C3544" s="16" t="s">
        <v>7685</v>
      </c>
      <c r="D3544" s="16" t="s">
        <v>7597</v>
      </c>
      <c r="E3544" s="16" t="s">
        <v>30</v>
      </c>
      <c r="F3544" s="16" t="s">
        <v>31</v>
      </c>
      <c r="G3544" s="16" t="s">
        <v>32</v>
      </c>
      <c r="H3544" s="16" t="s">
        <v>37</v>
      </c>
      <c r="I3544" s="16"/>
      <c r="J3544" s="16" t="s">
        <v>34</v>
      </c>
      <c r="K3544" s="16"/>
      <c r="L3544" s="16"/>
      <c r="M3544" s="19" t="s">
        <v>35</v>
      </c>
      <c r="N3544" s="16"/>
      <c r="O3544" s="16" t="s">
        <v>36</v>
      </c>
      <c r="P3544" s="16" t="str">
        <f>HYPERLINK("https://ceds.ed.gov/cedselementdetails.aspx?termid=26001")</f>
        <v>https://ceds.ed.gov/cedselementdetails.aspx?termid=26001</v>
      </c>
      <c r="Q3544" s="16">
        <v>74685</v>
      </c>
    </row>
    <row r="3545" spans="1:17" ht="115.2" x14ac:dyDescent="0.3">
      <c r="A3545" s="16" t="s">
        <v>7751</v>
      </c>
      <c r="B3545" s="16" t="s">
        <v>7752</v>
      </c>
      <c r="C3545" s="16" t="s">
        <v>7685</v>
      </c>
      <c r="D3545" s="16" t="s">
        <v>7597</v>
      </c>
      <c r="E3545" s="16" t="s">
        <v>3090</v>
      </c>
      <c r="F3545" s="16" t="s">
        <v>3091</v>
      </c>
      <c r="G3545" s="16" t="s">
        <v>32</v>
      </c>
      <c r="H3545" s="16" t="s">
        <v>3096</v>
      </c>
      <c r="I3545" s="16"/>
      <c r="J3545" s="16" t="s">
        <v>3093</v>
      </c>
      <c r="K3545" s="16"/>
      <c r="L3545" s="16"/>
      <c r="M3545" s="19" t="s">
        <v>3094</v>
      </c>
      <c r="N3545" s="16"/>
      <c r="O3545" s="16" t="s">
        <v>3095</v>
      </c>
      <c r="P3545" s="16" t="str">
        <f>HYPERLINK("https://ceds.ed.gov/cedselementdetails.aspx?termid=26081")</f>
        <v>https://ceds.ed.gov/cedselementdetails.aspx?termid=26081</v>
      </c>
      <c r="Q3545" s="16">
        <v>73965</v>
      </c>
    </row>
    <row r="3546" spans="1:17" ht="216" x14ac:dyDescent="0.3">
      <c r="A3546" s="16" t="s">
        <v>7751</v>
      </c>
      <c r="B3546" s="16" t="s">
        <v>7752</v>
      </c>
      <c r="C3546" s="16" t="s">
        <v>7685</v>
      </c>
      <c r="D3546" s="16" t="s">
        <v>7597</v>
      </c>
      <c r="E3546" s="16" t="s">
        <v>4243</v>
      </c>
      <c r="F3546" s="16" t="s">
        <v>4244</v>
      </c>
      <c r="G3546" s="16" t="s">
        <v>9333</v>
      </c>
      <c r="H3546" s="16" t="s">
        <v>4249</v>
      </c>
      <c r="I3546" s="16"/>
      <c r="J3546" s="16"/>
      <c r="K3546" s="16"/>
      <c r="L3546" s="16" t="s">
        <v>4246</v>
      </c>
      <c r="M3546" s="19" t="s">
        <v>4247</v>
      </c>
      <c r="N3546" s="16"/>
      <c r="O3546" s="16" t="s">
        <v>4248</v>
      </c>
      <c r="P3546" s="16" t="str">
        <f>HYPERLINK("https://ceds.ed.gov/cedselementdetails.aspx?termid=26138")</f>
        <v>https://ceds.ed.gov/cedselementdetails.aspx?termid=26138</v>
      </c>
      <c r="Q3546" s="16">
        <v>74719</v>
      </c>
    </row>
    <row r="3547" spans="1:17" ht="144" x14ac:dyDescent="0.3">
      <c r="A3547" s="16" t="s">
        <v>7751</v>
      </c>
      <c r="B3547" s="16" t="s">
        <v>7752</v>
      </c>
      <c r="C3547" s="16" t="s">
        <v>7685</v>
      </c>
      <c r="D3547" s="16" t="s">
        <v>7597</v>
      </c>
      <c r="E3547" s="16" t="s">
        <v>4238</v>
      </c>
      <c r="F3547" s="16" t="s">
        <v>4239</v>
      </c>
      <c r="G3547" s="16" t="s">
        <v>9332</v>
      </c>
      <c r="H3547" s="16"/>
      <c r="I3547" s="16"/>
      <c r="J3547" s="16"/>
      <c r="K3547" s="16"/>
      <c r="L3547" s="16"/>
      <c r="M3547" s="19" t="s">
        <v>4241</v>
      </c>
      <c r="N3547" s="16"/>
      <c r="O3547" s="16" t="s">
        <v>4242</v>
      </c>
      <c r="P3547" s="16" t="str">
        <f>HYPERLINK("https://ceds.ed.gov/cedselementdetails.aspx?termid=26689")</f>
        <v>https://ceds.ed.gov/cedselementdetails.aspx?termid=26689</v>
      </c>
      <c r="Q3547" s="16">
        <v>74722</v>
      </c>
    </row>
    <row r="3548" spans="1:17" ht="72" x14ac:dyDescent="0.3">
      <c r="A3548" s="16" t="s">
        <v>7751</v>
      </c>
      <c r="B3548" s="16" t="s">
        <v>7752</v>
      </c>
      <c r="C3548" s="16" t="s">
        <v>7685</v>
      </c>
      <c r="D3548" s="16" t="s">
        <v>7597</v>
      </c>
      <c r="E3548" s="16" t="s">
        <v>5809</v>
      </c>
      <c r="F3548" s="16" t="s">
        <v>5810</v>
      </c>
      <c r="G3548" s="16" t="s">
        <v>8761</v>
      </c>
      <c r="H3548" s="16" t="s">
        <v>5813</v>
      </c>
      <c r="I3548" s="16"/>
      <c r="J3548" s="16"/>
      <c r="K3548" s="16"/>
      <c r="L3548" s="16"/>
      <c r="M3548" s="19" t="s">
        <v>5811</v>
      </c>
      <c r="N3548" s="16"/>
      <c r="O3548" s="16" t="s">
        <v>5812</v>
      </c>
      <c r="P3548" s="16" t="str">
        <f>HYPERLINK("https://ceds.ed.gov/cedselementdetails.aspx?termid=27595")</f>
        <v>https://ceds.ed.gov/cedselementdetails.aspx?termid=27595</v>
      </c>
      <c r="Q3548" s="16">
        <v>74683</v>
      </c>
    </row>
    <row r="3549" spans="1:17" ht="216" x14ac:dyDescent="0.3">
      <c r="A3549" s="16" t="s">
        <v>7751</v>
      </c>
      <c r="B3549" s="16" t="s">
        <v>7752</v>
      </c>
      <c r="C3549" s="16" t="s">
        <v>7685</v>
      </c>
      <c r="D3549" s="16" t="s">
        <v>7597</v>
      </c>
      <c r="E3549" s="16" t="s">
        <v>38</v>
      </c>
      <c r="F3549" s="16" t="s">
        <v>7813</v>
      </c>
      <c r="G3549" s="16" t="s">
        <v>8281</v>
      </c>
      <c r="H3549" s="16" t="s">
        <v>42</v>
      </c>
      <c r="I3549" s="16"/>
      <c r="J3549" s="16"/>
      <c r="K3549" s="16"/>
      <c r="L3549" s="16"/>
      <c r="M3549" s="19" t="s">
        <v>40</v>
      </c>
      <c r="N3549" s="16"/>
      <c r="O3549" s="16" t="s">
        <v>41</v>
      </c>
      <c r="P3549" s="16" t="str">
        <f>HYPERLINK("https://ceds.ed.gov/cedselementdetails.aspx?termid=26002")</f>
        <v>https://ceds.ed.gov/cedselementdetails.aspx?termid=26002</v>
      </c>
      <c r="Q3549" s="16">
        <v>74677</v>
      </c>
    </row>
    <row r="3550" spans="1:17" ht="72" x14ac:dyDescent="0.3">
      <c r="A3550" s="16" t="s">
        <v>7751</v>
      </c>
      <c r="B3550" s="16" t="s">
        <v>7752</v>
      </c>
      <c r="C3550" s="16" t="s">
        <v>7685</v>
      </c>
      <c r="D3550" s="16" t="s">
        <v>7597</v>
      </c>
      <c r="E3550" s="16" t="s">
        <v>2049</v>
      </c>
      <c r="F3550" s="16" t="s">
        <v>2050</v>
      </c>
      <c r="G3550" s="16" t="s">
        <v>8439</v>
      </c>
      <c r="H3550" s="16" t="s">
        <v>186</v>
      </c>
      <c r="I3550" s="16"/>
      <c r="J3550" s="16"/>
      <c r="K3550" s="16"/>
      <c r="L3550" s="16"/>
      <c r="M3550" s="19" t="s">
        <v>2052</v>
      </c>
      <c r="N3550" s="16" t="s">
        <v>2053</v>
      </c>
      <c r="O3550" s="16" t="s">
        <v>2054</v>
      </c>
      <c r="P3550" s="16" t="str">
        <f>HYPERLINK("https://ceds.ed.gov/cedselementdetails.aspx?termid=26044")</f>
        <v>https://ceds.ed.gov/cedselementdetails.aspx?termid=26044</v>
      </c>
      <c r="Q3550" s="16">
        <v>74680</v>
      </c>
    </row>
    <row r="3551" spans="1:17" ht="100.8" x14ac:dyDescent="0.3">
      <c r="A3551" s="16" t="s">
        <v>7751</v>
      </c>
      <c r="B3551" s="16" t="s">
        <v>7752</v>
      </c>
      <c r="C3551" s="16" t="s">
        <v>7685</v>
      </c>
      <c r="D3551" s="16" t="s">
        <v>7597</v>
      </c>
      <c r="E3551" s="16" t="s">
        <v>2055</v>
      </c>
      <c r="F3551" s="16" t="s">
        <v>2056</v>
      </c>
      <c r="G3551" s="16" t="s">
        <v>9328</v>
      </c>
      <c r="H3551" s="16" t="s">
        <v>186</v>
      </c>
      <c r="I3551" s="16"/>
      <c r="J3551" s="16"/>
      <c r="K3551" s="16"/>
      <c r="L3551" s="16"/>
      <c r="M3551" s="19" t="s">
        <v>2057</v>
      </c>
      <c r="N3551" s="16" t="s">
        <v>2058</v>
      </c>
      <c r="O3551" s="16" t="s">
        <v>2059</v>
      </c>
      <c r="P3551" s="16" t="str">
        <f>HYPERLINK("https://ceds.ed.gov/cedselementdetails.aspx?termid=26045")</f>
        <v>https://ceds.ed.gov/cedselementdetails.aspx?termid=26045</v>
      </c>
      <c r="Q3551" s="16">
        <v>74681</v>
      </c>
    </row>
    <row r="3552" spans="1:17" ht="115.2" x14ac:dyDescent="0.3">
      <c r="A3552" s="16" t="s">
        <v>7751</v>
      </c>
      <c r="B3552" s="16" t="s">
        <v>7752</v>
      </c>
      <c r="C3552" s="16" t="s">
        <v>7685</v>
      </c>
      <c r="D3552" s="16" t="s">
        <v>7597</v>
      </c>
      <c r="E3552" s="16" t="s">
        <v>6034</v>
      </c>
      <c r="F3552" s="16" t="s">
        <v>6035</v>
      </c>
      <c r="G3552" s="16" t="s">
        <v>8794</v>
      </c>
      <c r="H3552" s="16"/>
      <c r="I3552" s="16"/>
      <c r="J3552" s="16"/>
      <c r="K3552" s="16"/>
      <c r="L3552" s="16"/>
      <c r="M3552" s="19" t="s">
        <v>6037</v>
      </c>
      <c r="N3552" s="16"/>
      <c r="O3552" s="16" t="s">
        <v>6038</v>
      </c>
      <c r="P3552" s="16" t="str">
        <f>HYPERLINK("https://ceds.ed.gov/cedselementdetails.aspx?termid=26780")</f>
        <v>https://ceds.ed.gov/cedselementdetails.aspx?termid=26780</v>
      </c>
      <c r="Q3552" s="16">
        <v>72896</v>
      </c>
    </row>
    <row r="3553" spans="1:17" ht="172.8" x14ac:dyDescent="0.3">
      <c r="A3553" s="16" t="s">
        <v>7751</v>
      </c>
      <c r="B3553" s="16" t="s">
        <v>7752</v>
      </c>
      <c r="C3553" s="16" t="s">
        <v>7685</v>
      </c>
      <c r="D3553" s="16" t="s">
        <v>7597</v>
      </c>
      <c r="E3553" s="16" t="s">
        <v>2914</v>
      </c>
      <c r="F3553" s="16" t="s">
        <v>2915</v>
      </c>
      <c r="G3553" s="16" t="s">
        <v>8485</v>
      </c>
      <c r="H3553" s="16"/>
      <c r="I3553" s="16"/>
      <c r="J3553" s="16"/>
      <c r="K3553" s="16"/>
      <c r="L3553" s="16"/>
      <c r="M3553" s="19" t="s">
        <v>2917</v>
      </c>
      <c r="N3553" s="16"/>
      <c r="O3553" s="16" t="s">
        <v>2918</v>
      </c>
      <c r="P3553" s="16" t="str">
        <f>HYPERLINK("https://ceds.ed.gov/cedselementdetails.aspx?termid=27283")</f>
        <v>https://ceds.ed.gov/cedselementdetails.aspx?termid=27283</v>
      </c>
      <c r="Q3553" s="16">
        <v>74676</v>
      </c>
    </row>
    <row r="3554" spans="1:17" ht="129.6" x14ac:dyDescent="0.3">
      <c r="A3554" s="16" t="s">
        <v>7751</v>
      </c>
      <c r="B3554" s="16" t="s">
        <v>7752</v>
      </c>
      <c r="C3554" s="16" t="s">
        <v>7685</v>
      </c>
      <c r="D3554" s="16" t="s">
        <v>7597</v>
      </c>
      <c r="E3554" s="16" t="s">
        <v>3196</v>
      </c>
      <c r="F3554" s="16" t="s">
        <v>12979</v>
      </c>
      <c r="G3554" s="16" t="s">
        <v>8516</v>
      </c>
      <c r="H3554" s="16"/>
      <c r="I3554" s="16"/>
      <c r="J3554" s="16"/>
      <c r="K3554" s="16"/>
      <c r="L3554" s="16" t="s">
        <v>7940</v>
      </c>
      <c r="M3554" s="19" t="s">
        <v>3198</v>
      </c>
      <c r="N3554" s="16"/>
      <c r="O3554" s="16" t="s">
        <v>3199</v>
      </c>
      <c r="P3554" s="16" t="str">
        <f>HYPERLINK("https://ceds.ed.gov/cedselementdetails.aspx?termid=27622")</f>
        <v>https://ceds.ed.gov/cedselementdetails.aspx?termid=27622</v>
      </c>
      <c r="Q3554" s="16">
        <v>74684</v>
      </c>
    </row>
    <row r="3555" spans="1:17" ht="216" x14ac:dyDescent="0.3">
      <c r="A3555" s="16" t="s">
        <v>7751</v>
      </c>
      <c r="B3555" s="16" t="s">
        <v>7752</v>
      </c>
      <c r="C3555" s="16" t="s">
        <v>7685</v>
      </c>
      <c r="D3555" s="16" t="s">
        <v>7597</v>
      </c>
      <c r="E3555" s="16" t="s">
        <v>9213</v>
      </c>
      <c r="F3555" s="16" t="s">
        <v>9214</v>
      </c>
      <c r="G3555" s="16" t="s">
        <v>9306</v>
      </c>
      <c r="H3555" s="16"/>
      <c r="I3555" s="16"/>
      <c r="J3555" s="16" t="s">
        <v>2</v>
      </c>
      <c r="K3555" s="16"/>
      <c r="L3555" s="16"/>
      <c r="M3555" s="19" t="s">
        <v>9215</v>
      </c>
      <c r="N3555" s="16"/>
      <c r="O3555" s="16" t="s">
        <v>9216</v>
      </c>
      <c r="P3555" s="16" t="str">
        <f>HYPERLINK("https://ceds.ed.gov/cedselementdetails.aspx?termid=28077")</f>
        <v>https://ceds.ed.gov/cedselementdetails.aspx?termid=28077</v>
      </c>
      <c r="Q3555" s="16">
        <v>76022</v>
      </c>
    </row>
    <row r="3556" spans="1:17" ht="57.6" x14ac:dyDescent="0.3">
      <c r="A3556" s="16" t="s">
        <v>7751</v>
      </c>
      <c r="B3556" s="16" t="s">
        <v>7752</v>
      </c>
      <c r="C3556" s="16" t="s">
        <v>7642</v>
      </c>
      <c r="D3556" s="16" t="s">
        <v>7597</v>
      </c>
      <c r="E3556" s="16" t="s">
        <v>1494</v>
      </c>
      <c r="F3556" s="16" t="s">
        <v>7893</v>
      </c>
      <c r="G3556" s="16" t="s">
        <v>22</v>
      </c>
      <c r="H3556" s="16" t="s">
        <v>25</v>
      </c>
      <c r="I3556" s="16"/>
      <c r="J3556" s="16"/>
      <c r="K3556" s="16"/>
      <c r="L3556" s="16"/>
      <c r="M3556" s="19" t="s">
        <v>1495</v>
      </c>
      <c r="N3556" s="16"/>
      <c r="O3556" s="16" t="s">
        <v>1496</v>
      </c>
      <c r="P3556" s="16" t="str">
        <f>HYPERLINK("https://ceds.ed.gov/cedselementdetails.aspx?termid=26031")</f>
        <v>https://ceds.ed.gov/cedselementdetails.aspx?termid=26031</v>
      </c>
      <c r="Q3556" s="16">
        <v>74765</v>
      </c>
    </row>
    <row r="3557" spans="1:17" ht="230.4" x14ac:dyDescent="0.3">
      <c r="A3557" s="16" t="s">
        <v>7751</v>
      </c>
      <c r="B3557" s="16" t="s">
        <v>7752</v>
      </c>
      <c r="C3557" s="16" t="s">
        <v>7642</v>
      </c>
      <c r="D3557" s="16" t="s">
        <v>7597</v>
      </c>
      <c r="E3557" s="16" t="s">
        <v>4346</v>
      </c>
      <c r="F3557" s="16" t="s">
        <v>4347</v>
      </c>
      <c r="G3557" s="16" t="s">
        <v>22</v>
      </c>
      <c r="H3557" s="16" t="s">
        <v>4350</v>
      </c>
      <c r="I3557" s="16"/>
      <c r="J3557" s="16"/>
      <c r="K3557" s="16"/>
      <c r="L3557" s="16"/>
      <c r="M3557" s="19" t="s">
        <v>4348</v>
      </c>
      <c r="N3557" s="16"/>
      <c r="O3557" s="16" t="s">
        <v>4349</v>
      </c>
      <c r="P3557" s="16" t="str">
        <f>HYPERLINK("https://ceds.ed.gov/cedselementdetails.aspx?termid=26151")</f>
        <v>https://ceds.ed.gov/cedselementdetails.aspx?termid=26151</v>
      </c>
      <c r="Q3557" s="16">
        <v>74761</v>
      </c>
    </row>
    <row r="3558" spans="1:17" ht="43.2" x14ac:dyDescent="0.3">
      <c r="A3558" s="16" t="s">
        <v>7751</v>
      </c>
      <c r="B3558" s="16" t="s">
        <v>7752</v>
      </c>
      <c r="C3558" s="16" t="s">
        <v>7642</v>
      </c>
      <c r="D3558" s="16" t="s">
        <v>7597</v>
      </c>
      <c r="E3558" s="16" t="s">
        <v>3117</v>
      </c>
      <c r="F3558" s="16" t="s">
        <v>3118</v>
      </c>
      <c r="G3558" s="16" t="s">
        <v>22</v>
      </c>
      <c r="H3558" s="16" t="s">
        <v>214</v>
      </c>
      <c r="I3558" s="16"/>
      <c r="J3558" s="16"/>
      <c r="K3558" s="16"/>
      <c r="L3558" s="16"/>
      <c r="M3558" s="19" t="s">
        <v>3119</v>
      </c>
      <c r="N3558" s="16"/>
      <c r="O3558" s="16" t="s">
        <v>3120</v>
      </c>
      <c r="P3558" s="16" t="str">
        <f>HYPERLINK("https://ceds.ed.gov/cedselementdetails.aspx?termid=26569")</f>
        <v>https://ceds.ed.gov/cedselementdetails.aspx?termid=26569</v>
      </c>
      <c r="Q3558" s="16">
        <v>74762</v>
      </c>
    </row>
    <row r="3559" spans="1:17" ht="86.4" x14ac:dyDescent="0.3">
      <c r="A3559" s="16" t="s">
        <v>7751</v>
      </c>
      <c r="B3559" s="16" t="s">
        <v>7752</v>
      </c>
      <c r="C3559" s="16" t="s">
        <v>7642</v>
      </c>
      <c r="D3559" s="16" t="s">
        <v>7597</v>
      </c>
      <c r="E3559" s="16" t="s">
        <v>6575</v>
      </c>
      <c r="F3559" s="16" t="s">
        <v>6576</v>
      </c>
      <c r="G3559" s="16" t="s">
        <v>22</v>
      </c>
      <c r="H3559" s="16" t="s">
        <v>4350</v>
      </c>
      <c r="I3559" s="16"/>
      <c r="J3559" s="16"/>
      <c r="K3559" s="16"/>
      <c r="L3559" s="16"/>
      <c r="M3559" s="19" t="s">
        <v>6577</v>
      </c>
      <c r="N3559" s="16"/>
      <c r="O3559" s="16" t="s">
        <v>6578</v>
      </c>
      <c r="P3559" s="16" t="str">
        <f>HYPERLINK("https://ceds.ed.gov/cedselementdetails.aspx?termid=26249")</f>
        <v>https://ceds.ed.gov/cedselementdetails.aspx?termid=26249</v>
      </c>
      <c r="Q3559" s="16">
        <v>74763</v>
      </c>
    </row>
    <row r="3560" spans="1:17" ht="201.6" x14ac:dyDescent="0.3">
      <c r="A3560" s="16" t="s">
        <v>7751</v>
      </c>
      <c r="B3560" s="16" t="s">
        <v>7752</v>
      </c>
      <c r="C3560" s="16" t="s">
        <v>7642</v>
      </c>
      <c r="D3560" s="16" t="s">
        <v>7597</v>
      </c>
      <c r="E3560" s="16" t="s">
        <v>5859</v>
      </c>
      <c r="F3560" s="16" t="s">
        <v>5860</v>
      </c>
      <c r="G3560" s="16" t="s">
        <v>8767</v>
      </c>
      <c r="H3560" s="16" t="s">
        <v>5864</v>
      </c>
      <c r="I3560" s="16"/>
      <c r="J3560" s="16"/>
      <c r="K3560" s="16"/>
      <c r="L3560" s="16" t="s">
        <v>5861</v>
      </c>
      <c r="M3560" s="19" t="s">
        <v>5862</v>
      </c>
      <c r="N3560" s="16"/>
      <c r="O3560" s="16" t="s">
        <v>5863</v>
      </c>
      <c r="P3560" s="16" t="str">
        <f>HYPERLINK("https://ceds.ed.gov/cedselementdetails.aspx?termid=26218")</f>
        <v>https://ceds.ed.gov/cedselementdetails.aspx?termid=26218</v>
      </c>
      <c r="Q3560" s="16">
        <v>74764</v>
      </c>
    </row>
    <row r="3561" spans="1:17" ht="216" x14ac:dyDescent="0.3">
      <c r="A3561" s="16" t="s">
        <v>7751</v>
      </c>
      <c r="B3561" s="16" t="s">
        <v>7752</v>
      </c>
      <c r="C3561" s="16" t="s">
        <v>7642</v>
      </c>
      <c r="D3561" s="16" t="s">
        <v>7597</v>
      </c>
      <c r="E3561" s="16" t="s">
        <v>3108</v>
      </c>
      <c r="F3561" s="16" t="s">
        <v>3109</v>
      </c>
      <c r="G3561" s="16" t="s">
        <v>8504</v>
      </c>
      <c r="H3561" s="16"/>
      <c r="I3561" s="16"/>
      <c r="J3561" s="16"/>
      <c r="K3561" s="16"/>
      <c r="L3561" s="16" t="s">
        <v>3110</v>
      </c>
      <c r="M3561" s="19" t="s">
        <v>3111</v>
      </c>
      <c r="N3561" s="16"/>
      <c r="O3561" s="16" t="s">
        <v>3112</v>
      </c>
      <c r="P3561" s="16" t="str">
        <f>HYPERLINK("https://ceds.ed.gov/cedselementdetails.aspx?termid=27286")</f>
        <v>https://ceds.ed.gov/cedselementdetails.aspx?termid=27286</v>
      </c>
      <c r="Q3561" s="16">
        <v>74767</v>
      </c>
    </row>
    <row r="3562" spans="1:17" ht="144" x14ac:dyDescent="0.3">
      <c r="A3562" s="16" t="s">
        <v>7751</v>
      </c>
      <c r="B3562" s="16" t="s">
        <v>7752</v>
      </c>
      <c r="C3562" s="16" t="s">
        <v>7642</v>
      </c>
      <c r="D3562" s="16" t="s">
        <v>7597</v>
      </c>
      <c r="E3562" s="16" t="s">
        <v>3113</v>
      </c>
      <c r="F3562" s="16" t="s">
        <v>3114</v>
      </c>
      <c r="G3562" s="16" t="s">
        <v>8506</v>
      </c>
      <c r="H3562" s="16"/>
      <c r="I3562" s="16"/>
      <c r="J3562" s="16"/>
      <c r="K3562" s="16"/>
      <c r="L3562" s="16" t="s">
        <v>3110</v>
      </c>
      <c r="M3562" s="19" t="s">
        <v>3115</v>
      </c>
      <c r="N3562" s="16"/>
      <c r="O3562" s="16" t="s">
        <v>3116</v>
      </c>
      <c r="P3562" s="16" t="str">
        <f>HYPERLINK("https://ceds.ed.gov/cedselementdetails.aspx?termid=27287")</f>
        <v>https://ceds.ed.gov/cedselementdetails.aspx?termid=27287</v>
      </c>
      <c r="Q3562" s="16">
        <v>74768</v>
      </c>
    </row>
    <row r="3563" spans="1:17" ht="129.6" x14ac:dyDescent="0.3">
      <c r="A3563" s="16" t="s">
        <v>7751</v>
      </c>
      <c r="B3563" s="16" t="s">
        <v>7752</v>
      </c>
      <c r="C3563" s="16" t="s">
        <v>7642</v>
      </c>
      <c r="D3563" s="16" t="s">
        <v>7597</v>
      </c>
      <c r="E3563" s="16" t="s">
        <v>4333</v>
      </c>
      <c r="F3563" s="16" t="s">
        <v>4334</v>
      </c>
      <c r="G3563" s="16" t="s">
        <v>8631</v>
      </c>
      <c r="H3563" s="16" t="s">
        <v>214</v>
      </c>
      <c r="I3563" s="16"/>
      <c r="J3563" s="16"/>
      <c r="K3563" s="16"/>
      <c r="L3563" s="16"/>
      <c r="M3563" s="19" t="s">
        <v>4336</v>
      </c>
      <c r="N3563" s="16"/>
      <c r="O3563" s="16" t="s">
        <v>4337</v>
      </c>
      <c r="P3563" s="16" t="str">
        <f>HYPERLINK("https://ceds.ed.gov/cedselementdetails.aspx?termid=26526")</f>
        <v>https://ceds.ed.gov/cedselementdetails.aspx?termid=26526</v>
      </c>
      <c r="Q3563" s="16">
        <v>74766</v>
      </c>
    </row>
    <row r="3564" spans="1:17" ht="57.6" x14ac:dyDescent="0.3">
      <c r="A3564" s="16" t="s">
        <v>7751</v>
      </c>
      <c r="B3564" s="16" t="s">
        <v>7752</v>
      </c>
      <c r="C3564" s="16" t="s">
        <v>7642</v>
      </c>
      <c r="D3564" s="16" t="s">
        <v>7597</v>
      </c>
      <c r="E3564" s="16" t="s">
        <v>12736</v>
      </c>
      <c r="F3564" s="16" t="s">
        <v>12737</v>
      </c>
      <c r="G3564" s="16" t="s">
        <v>12904</v>
      </c>
      <c r="H3564" s="16"/>
      <c r="I3564" s="16" t="s">
        <v>155</v>
      </c>
      <c r="J3564" s="16" t="s">
        <v>2</v>
      </c>
      <c r="K3564" s="16" t="s">
        <v>12636</v>
      </c>
      <c r="L3564" s="16"/>
      <c r="M3564" s="19" t="s">
        <v>12738</v>
      </c>
      <c r="N3564" s="16"/>
      <c r="O3564" s="16" t="s">
        <v>12739</v>
      </c>
      <c r="P3564" s="16" t="str">
        <f>HYPERLINK("https://ceds.ed.gov/cedselementdetails.aspx?termid=28112")</f>
        <v>https://ceds.ed.gov/cedselementdetails.aspx?termid=28112</v>
      </c>
      <c r="Q3564" s="16">
        <v>76593</v>
      </c>
    </row>
    <row r="3565" spans="1:17" ht="86.4" x14ac:dyDescent="0.3">
      <c r="A3565" s="16" t="s">
        <v>7751</v>
      </c>
      <c r="B3565" s="16" t="s">
        <v>7752</v>
      </c>
      <c r="C3565" s="16" t="s">
        <v>7642</v>
      </c>
      <c r="D3565" s="16" t="s">
        <v>7597</v>
      </c>
      <c r="E3565" s="16" t="s">
        <v>12877</v>
      </c>
      <c r="F3565" s="16" t="s">
        <v>12878</v>
      </c>
      <c r="G3565" s="16" t="s">
        <v>12927</v>
      </c>
      <c r="H3565" s="16"/>
      <c r="I3565" s="16" t="s">
        <v>155</v>
      </c>
      <c r="J3565" s="16" t="s">
        <v>2</v>
      </c>
      <c r="K3565" s="16" t="s">
        <v>12636</v>
      </c>
      <c r="L3565" s="16"/>
      <c r="M3565" s="19" t="s">
        <v>12879</v>
      </c>
      <c r="N3565" s="16"/>
      <c r="O3565" s="16" t="s">
        <v>12880</v>
      </c>
      <c r="P3565" s="16" t="str">
        <f>HYPERLINK("https://ceds.ed.gov/cedselementdetails.aspx?termid=28113")</f>
        <v>https://ceds.ed.gov/cedselementdetails.aspx?termid=28113</v>
      </c>
      <c r="Q3565" s="16">
        <v>76597</v>
      </c>
    </row>
    <row r="3566" spans="1:17" ht="72" x14ac:dyDescent="0.3">
      <c r="A3566" s="16" t="s">
        <v>7751</v>
      </c>
      <c r="B3566" s="16" t="s">
        <v>7752</v>
      </c>
      <c r="C3566" s="16" t="s">
        <v>7747</v>
      </c>
      <c r="D3566" s="16" t="s">
        <v>7597</v>
      </c>
      <c r="E3566" s="16" t="s">
        <v>2044</v>
      </c>
      <c r="F3566" s="16" t="s">
        <v>2045</v>
      </c>
      <c r="G3566" s="16" t="s">
        <v>7312</v>
      </c>
      <c r="H3566" s="16" t="s">
        <v>42</v>
      </c>
      <c r="I3566" s="16" t="s">
        <v>160</v>
      </c>
      <c r="J3566" s="16" t="s">
        <v>2</v>
      </c>
      <c r="K3566" s="16" t="s">
        <v>12935</v>
      </c>
      <c r="L3566" s="16"/>
      <c r="M3566" s="19" t="s">
        <v>2046</v>
      </c>
      <c r="N3566" s="16" t="s">
        <v>2047</v>
      </c>
      <c r="O3566" s="16" t="s">
        <v>2048</v>
      </c>
      <c r="P3566" s="16" t="str">
        <f>HYPERLINK("https://ceds.ed.gov/cedselementdetails.aspx?termid=26043")</f>
        <v>https://ceds.ed.gov/cedselementdetails.aspx?termid=26043</v>
      </c>
      <c r="Q3566" s="16">
        <v>73089</v>
      </c>
    </row>
    <row r="3567" spans="1:17" ht="244.8" x14ac:dyDescent="0.3">
      <c r="A3567" s="16" t="s">
        <v>7751</v>
      </c>
      <c r="B3567" s="16" t="s">
        <v>7752</v>
      </c>
      <c r="C3567" s="16" t="s">
        <v>7747</v>
      </c>
      <c r="D3567" s="16" t="s">
        <v>7597</v>
      </c>
      <c r="E3567" s="16" t="s">
        <v>1887</v>
      </c>
      <c r="F3567" s="16" t="s">
        <v>1888</v>
      </c>
      <c r="G3567" s="16" t="s">
        <v>8425</v>
      </c>
      <c r="H3567" s="16"/>
      <c r="I3567" s="16" t="s">
        <v>160</v>
      </c>
      <c r="J3567" s="16"/>
      <c r="K3567" s="16" t="s">
        <v>12935</v>
      </c>
      <c r="L3567" s="16" t="s">
        <v>7896</v>
      </c>
      <c r="M3567" s="19" t="s">
        <v>1889</v>
      </c>
      <c r="N3567" s="16"/>
      <c r="O3567" s="16" t="s">
        <v>1890</v>
      </c>
      <c r="P3567" s="16" t="str">
        <f>HYPERLINK("https://ceds.ed.gov/cedselementdetails.aspx?termid=27254")</f>
        <v>https://ceds.ed.gov/cedselementdetails.aspx?termid=27254</v>
      </c>
      <c r="Q3567" s="16">
        <v>73563</v>
      </c>
    </row>
    <row r="3568" spans="1:17" ht="57.6" x14ac:dyDescent="0.3">
      <c r="A3568" s="16" t="s">
        <v>7751</v>
      </c>
      <c r="B3568" s="16" t="s">
        <v>7752</v>
      </c>
      <c r="C3568" s="16" t="s">
        <v>7747</v>
      </c>
      <c r="D3568" s="16" t="s">
        <v>7597</v>
      </c>
      <c r="E3568" s="16" t="s">
        <v>6097</v>
      </c>
      <c r="F3568" s="16" t="s">
        <v>6098</v>
      </c>
      <c r="G3568" s="16" t="s">
        <v>32</v>
      </c>
      <c r="H3568" s="16" t="s">
        <v>6101</v>
      </c>
      <c r="I3568" s="16"/>
      <c r="J3568" s="16" t="s">
        <v>106</v>
      </c>
      <c r="K3568" s="16"/>
      <c r="L3568" s="16"/>
      <c r="M3568" s="19" t="s">
        <v>6099</v>
      </c>
      <c r="N3568" s="16"/>
      <c r="O3568" s="16" t="s">
        <v>6100</v>
      </c>
      <c r="P3568" s="16" t="str">
        <f>HYPERLINK("https://ceds.ed.gov/cedselementdetails.aspx?termid=26583")</f>
        <v>https://ceds.ed.gov/cedselementdetails.aspx?termid=26583</v>
      </c>
      <c r="Q3568" s="16">
        <v>72905</v>
      </c>
    </row>
    <row r="3569" spans="1:17" ht="57.6" x14ac:dyDescent="0.3">
      <c r="A3569" s="16" t="s">
        <v>7751</v>
      </c>
      <c r="B3569" s="16" t="s">
        <v>7752</v>
      </c>
      <c r="C3569" s="16" t="s">
        <v>7747</v>
      </c>
      <c r="D3569" s="16" t="s">
        <v>7597</v>
      </c>
      <c r="E3569" s="16" t="s">
        <v>6093</v>
      </c>
      <c r="F3569" s="16" t="s">
        <v>1900</v>
      </c>
      <c r="G3569" s="16" t="s">
        <v>32</v>
      </c>
      <c r="H3569" s="16" t="s">
        <v>6096</v>
      </c>
      <c r="I3569" s="16"/>
      <c r="J3569" s="16" t="s">
        <v>106</v>
      </c>
      <c r="K3569" s="16"/>
      <c r="L3569" s="16" t="s">
        <v>131</v>
      </c>
      <c r="M3569" s="19" t="s">
        <v>6094</v>
      </c>
      <c r="N3569" s="16"/>
      <c r="O3569" s="16" t="s">
        <v>6095</v>
      </c>
      <c r="P3569" s="16" t="str">
        <f>HYPERLINK("https://ceds.ed.gov/cedselementdetails.aspx?termid=26584")</f>
        <v>https://ceds.ed.gov/cedselementdetails.aspx?termid=26584</v>
      </c>
      <c r="Q3569" s="16">
        <v>72906</v>
      </c>
    </row>
    <row r="3570" spans="1:17" ht="43.2" x14ac:dyDescent="0.3">
      <c r="A3570" s="16" t="s">
        <v>7751</v>
      </c>
      <c r="B3570" s="16" t="s">
        <v>7752</v>
      </c>
      <c r="C3570" s="16" t="s">
        <v>7747</v>
      </c>
      <c r="D3570" s="16" t="s">
        <v>7597</v>
      </c>
      <c r="E3570" s="16" t="s">
        <v>1908</v>
      </c>
      <c r="F3570" s="16" t="s">
        <v>1909</v>
      </c>
      <c r="G3570" s="16" t="s">
        <v>32</v>
      </c>
      <c r="H3570" s="16"/>
      <c r="I3570" s="16"/>
      <c r="J3570" s="16" t="s">
        <v>106</v>
      </c>
      <c r="K3570" s="16"/>
      <c r="L3570" s="16"/>
      <c r="M3570" s="19" t="s">
        <v>1910</v>
      </c>
      <c r="N3570" s="16"/>
      <c r="O3570" s="16" t="s">
        <v>1911</v>
      </c>
      <c r="P3570" s="16" t="str">
        <f>HYPERLINK("https://ceds.ed.gov/cedselementdetails.aspx?termid=27563")</f>
        <v>https://ceds.ed.gov/cedselementdetails.aspx?termid=27563</v>
      </c>
      <c r="Q3570" s="16">
        <v>74047</v>
      </c>
    </row>
    <row r="3571" spans="1:17" ht="57.6" x14ac:dyDescent="0.3">
      <c r="A3571" s="16" t="s">
        <v>7751</v>
      </c>
      <c r="B3571" s="16" t="s">
        <v>7752</v>
      </c>
      <c r="C3571" s="16" t="s">
        <v>7747</v>
      </c>
      <c r="D3571" s="16" t="s">
        <v>7597</v>
      </c>
      <c r="E3571" s="16" t="s">
        <v>1899</v>
      </c>
      <c r="F3571" s="16" t="s">
        <v>1900</v>
      </c>
      <c r="G3571" s="16" t="s">
        <v>32</v>
      </c>
      <c r="H3571" s="16"/>
      <c r="I3571" s="16"/>
      <c r="J3571" s="16" t="s">
        <v>106</v>
      </c>
      <c r="K3571" s="16"/>
      <c r="L3571" s="16" t="s">
        <v>131</v>
      </c>
      <c r="M3571" s="19" t="s">
        <v>1902</v>
      </c>
      <c r="N3571" s="16"/>
      <c r="O3571" s="16" t="s">
        <v>1903</v>
      </c>
      <c r="P3571" s="16" t="str">
        <f>HYPERLINK("https://ceds.ed.gov/cedselementdetails.aspx?termid=27562")</f>
        <v>https://ceds.ed.gov/cedselementdetails.aspx?termid=27562</v>
      </c>
      <c r="Q3571" s="16">
        <v>74040</v>
      </c>
    </row>
    <row r="3572" spans="1:17" ht="57.6" x14ac:dyDescent="0.3">
      <c r="A3572" s="16" t="s">
        <v>7751</v>
      </c>
      <c r="B3572" s="16" t="s">
        <v>7752</v>
      </c>
      <c r="C3572" s="16" t="s">
        <v>7747</v>
      </c>
      <c r="D3572" s="16" t="s">
        <v>7597</v>
      </c>
      <c r="E3572" s="16" t="s">
        <v>1882</v>
      </c>
      <c r="F3572" s="16" t="s">
        <v>1883</v>
      </c>
      <c r="G3572" s="16" t="s">
        <v>22</v>
      </c>
      <c r="H3572" s="16" t="s">
        <v>214</v>
      </c>
      <c r="I3572" s="16"/>
      <c r="J3572" s="16"/>
      <c r="K3572" s="16"/>
      <c r="L3572" s="16"/>
      <c r="M3572" s="19" t="s">
        <v>1884</v>
      </c>
      <c r="N3572" s="16" t="s">
        <v>1885</v>
      </c>
      <c r="O3572" s="16" t="s">
        <v>1886</v>
      </c>
      <c r="P3572" s="16" t="str">
        <f>HYPERLINK("https://ceds.ed.gov/cedselementdetails.aspx?termid=26585")</f>
        <v>https://ceds.ed.gov/cedselementdetails.aspx?termid=26585</v>
      </c>
      <c r="Q3572" s="16">
        <v>72908</v>
      </c>
    </row>
    <row r="3573" spans="1:17" ht="86.4" x14ac:dyDescent="0.3">
      <c r="A3573" s="16" t="s">
        <v>7751</v>
      </c>
      <c r="B3573" s="16" t="s">
        <v>7752</v>
      </c>
      <c r="C3573" s="16" t="s">
        <v>7747</v>
      </c>
      <c r="D3573" s="16" t="s">
        <v>7597</v>
      </c>
      <c r="E3573" s="16" t="s">
        <v>1857</v>
      </c>
      <c r="F3573" s="16" t="s">
        <v>1858</v>
      </c>
      <c r="G3573" s="16" t="s">
        <v>22</v>
      </c>
      <c r="H3573" s="16" t="s">
        <v>1863</v>
      </c>
      <c r="I3573" s="16"/>
      <c r="J3573" s="16"/>
      <c r="K3573" s="16"/>
      <c r="L3573" s="16"/>
      <c r="M3573" s="19" t="s">
        <v>1860</v>
      </c>
      <c r="N3573" s="16" t="s">
        <v>1861</v>
      </c>
      <c r="O3573" s="16" t="s">
        <v>1862</v>
      </c>
      <c r="P3573" s="16" t="str">
        <f>HYPERLINK("https://ceds.ed.gov/cedselementdetails.aspx?termid=26037")</f>
        <v>https://ceds.ed.gov/cedselementdetails.aspx?termid=26037</v>
      </c>
      <c r="Q3573" s="16">
        <v>72907</v>
      </c>
    </row>
    <row r="3574" spans="1:17" ht="230.4" x14ac:dyDescent="0.3">
      <c r="A3574" s="16" t="s">
        <v>7751</v>
      </c>
      <c r="B3574" s="16" t="s">
        <v>7752</v>
      </c>
      <c r="C3574" s="16" t="s">
        <v>7747</v>
      </c>
      <c r="D3574" s="16" t="s">
        <v>7597</v>
      </c>
      <c r="E3574" s="16" t="s">
        <v>1917</v>
      </c>
      <c r="F3574" s="16" t="s">
        <v>7897</v>
      </c>
      <c r="G3574" s="16" t="s">
        <v>22</v>
      </c>
      <c r="H3574" s="16" t="s">
        <v>214</v>
      </c>
      <c r="I3574" s="16"/>
      <c r="J3574" s="16"/>
      <c r="K3574" s="16"/>
      <c r="L3574" s="16"/>
      <c r="M3574" s="19" t="s">
        <v>1919</v>
      </c>
      <c r="N3574" s="16" t="s">
        <v>1920</v>
      </c>
      <c r="O3574" s="16" t="s">
        <v>1921</v>
      </c>
      <c r="P3574" s="16" t="str">
        <f>HYPERLINK("https://ceds.ed.gov/cedselementdetails.aspx?termid=26084")</f>
        <v>https://ceds.ed.gov/cedselementdetails.aspx?termid=26084</v>
      </c>
      <c r="Q3574" s="16">
        <v>72909</v>
      </c>
    </row>
    <row r="3575" spans="1:17" ht="72" x14ac:dyDescent="0.3">
      <c r="A3575" s="16" t="s">
        <v>7751</v>
      </c>
      <c r="B3575" s="16" t="s">
        <v>7752</v>
      </c>
      <c r="C3575" s="16" t="s">
        <v>7747</v>
      </c>
      <c r="D3575" s="16" t="s">
        <v>7597</v>
      </c>
      <c r="E3575" s="16" t="s">
        <v>1904</v>
      </c>
      <c r="F3575" s="16" t="s">
        <v>1905</v>
      </c>
      <c r="G3575" s="16" t="s">
        <v>22</v>
      </c>
      <c r="H3575" s="16"/>
      <c r="I3575" s="16"/>
      <c r="J3575" s="16"/>
      <c r="K3575" s="16"/>
      <c r="L3575" s="16"/>
      <c r="M3575" s="19" t="s">
        <v>1906</v>
      </c>
      <c r="N3575" s="16"/>
      <c r="O3575" s="16" t="s">
        <v>1907</v>
      </c>
      <c r="P3575" s="16" t="str">
        <f>HYPERLINK("https://ceds.ed.gov/cedselementdetails.aspx?termid=27257")</f>
        <v>https://ceds.ed.gov/cedselementdetails.aspx?termid=27257</v>
      </c>
      <c r="Q3575" s="16">
        <v>74029</v>
      </c>
    </row>
    <row r="3576" spans="1:17" ht="86.4" x14ac:dyDescent="0.3">
      <c r="A3576" s="16" t="s">
        <v>7751</v>
      </c>
      <c r="B3576" s="16" t="s">
        <v>7752</v>
      </c>
      <c r="C3576" s="16" t="s">
        <v>7747</v>
      </c>
      <c r="D3576" s="16" t="s">
        <v>7597</v>
      </c>
      <c r="E3576" s="16" t="s">
        <v>6681</v>
      </c>
      <c r="F3576" s="16" t="s">
        <v>6682</v>
      </c>
      <c r="G3576" s="16" t="s">
        <v>22</v>
      </c>
      <c r="H3576" s="16" t="s">
        <v>2080</v>
      </c>
      <c r="I3576" s="16"/>
      <c r="J3576" s="16"/>
      <c r="K3576" s="16"/>
      <c r="L3576" s="16"/>
      <c r="M3576" s="19" t="s">
        <v>6684</v>
      </c>
      <c r="N3576" s="16"/>
      <c r="O3576" s="16" t="s">
        <v>6685</v>
      </c>
      <c r="P3576" s="16" t="str">
        <f>HYPERLINK("https://ceds.ed.gov/cedselementdetails.aspx?termid=26573")</f>
        <v>https://ceds.ed.gov/cedselementdetails.aspx?termid=26573</v>
      </c>
      <c r="Q3576" s="16">
        <v>72910</v>
      </c>
    </row>
    <row r="3577" spans="1:17" ht="230.4" x14ac:dyDescent="0.3">
      <c r="A3577" s="16" t="s">
        <v>7751</v>
      </c>
      <c r="B3577" s="16" t="s">
        <v>7752</v>
      </c>
      <c r="C3577" s="16" t="s">
        <v>7747</v>
      </c>
      <c r="D3577" s="16" t="s">
        <v>7597</v>
      </c>
      <c r="E3577" s="16" t="s">
        <v>7286</v>
      </c>
      <c r="F3577" s="16" t="s">
        <v>7287</v>
      </c>
      <c r="G3577" s="16" t="s">
        <v>9348</v>
      </c>
      <c r="H3577" s="16"/>
      <c r="I3577" s="16"/>
      <c r="J3577" s="16"/>
      <c r="K3577" s="16"/>
      <c r="L3577" s="16"/>
      <c r="M3577" s="19" t="s">
        <v>7288</v>
      </c>
      <c r="N3577" s="16"/>
      <c r="O3577" s="16" t="s">
        <v>7289</v>
      </c>
      <c r="P3577" s="16" t="str">
        <f>HYPERLINK("https://ceds.ed.gov/cedselementdetails.aspx?termid=27471")</f>
        <v>https://ceds.ed.gov/cedselementdetails.aspx?termid=27471</v>
      </c>
      <c r="Q3577" s="16">
        <v>73454</v>
      </c>
    </row>
    <row r="3578" spans="1:17" ht="244.8" x14ac:dyDescent="0.3">
      <c r="A3578" s="16" t="s">
        <v>7751</v>
      </c>
      <c r="B3578" s="16" t="s">
        <v>7752</v>
      </c>
      <c r="C3578" s="16" t="s">
        <v>7747</v>
      </c>
      <c r="D3578" s="16" t="s">
        <v>7597</v>
      </c>
      <c r="E3578" s="16" t="s">
        <v>5664</v>
      </c>
      <c r="F3578" s="16" t="s">
        <v>5665</v>
      </c>
      <c r="G3578" s="16" t="s">
        <v>2987</v>
      </c>
      <c r="H3578" s="16"/>
      <c r="I3578" s="16" t="s">
        <v>160</v>
      </c>
      <c r="J3578" s="16"/>
      <c r="K3578" s="16" t="s">
        <v>12935</v>
      </c>
      <c r="L3578" s="16"/>
      <c r="M3578" s="19" t="s">
        <v>5666</v>
      </c>
      <c r="N3578" s="16"/>
      <c r="O3578" s="16" t="s">
        <v>5667</v>
      </c>
      <c r="P3578" s="16" t="str">
        <f>HYPERLINK("https://ceds.ed.gov/cedselementdetails.aspx?termid=27908")</f>
        <v>https://ceds.ed.gov/cedselementdetails.aspx?termid=27908</v>
      </c>
      <c r="Q3578" s="16">
        <v>75257</v>
      </c>
    </row>
    <row r="3579" spans="1:17" ht="28.8" x14ac:dyDescent="0.3">
      <c r="A3579" s="16" t="s">
        <v>7751</v>
      </c>
      <c r="B3579" s="16" t="s">
        <v>7752</v>
      </c>
      <c r="C3579" s="16" t="s">
        <v>7747</v>
      </c>
      <c r="D3579" s="16" t="s">
        <v>7597</v>
      </c>
      <c r="E3579" s="16" t="s">
        <v>6057</v>
      </c>
      <c r="F3579" s="16" t="s">
        <v>6058</v>
      </c>
      <c r="G3579" s="16" t="s">
        <v>32</v>
      </c>
      <c r="H3579" s="16"/>
      <c r="I3579" s="16" t="s">
        <v>160</v>
      </c>
      <c r="J3579" s="16" t="s">
        <v>101</v>
      </c>
      <c r="K3579" s="16" t="s">
        <v>12935</v>
      </c>
      <c r="L3579" s="16"/>
      <c r="M3579" s="19" t="s">
        <v>6059</v>
      </c>
      <c r="N3579" s="16"/>
      <c r="O3579" s="16" t="s">
        <v>6060</v>
      </c>
      <c r="P3579" s="16" t="str">
        <f>HYPERLINK("https://ceds.ed.gov/cedselementdetails.aspx?termid=27909")</f>
        <v>https://ceds.ed.gov/cedselementdetails.aspx?termid=27909</v>
      </c>
      <c r="Q3579" s="16">
        <v>75258</v>
      </c>
    </row>
    <row r="3580" spans="1:17" ht="43.2" x14ac:dyDescent="0.3">
      <c r="A3580" s="16" t="s">
        <v>7751</v>
      </c>
      <c r="B3580" s="16" t="s">
        <v>7752</v>
      </c>
      <c r="C3580" s="16" t="s">
        <v>7747</v>
      </c>
      <c r="D3580" s="16" t="s">
        <v>7597</v>
      </c>
      <c r="E3580" s="16" t="s">
        <v>369</v>
      </c>
      <c r="F3580" s="16" t="s">
        <v>7829</v>
      </c>
      <c r="G3580" s="16" t="s">
        <v>32</v>
      </c>
      <c r="H3580" s="16" t="s">
        <v>372</v>
      </c>
      <c r="I3580" s="16"/>
      <c r="J3580" s="16" t="s">
        <v>106</v>
      </c>
      <c r="K3580" s="16"/>
      <c r="L3580" s="16"/>
      <c r="M3580" s="19" t="s">
        <v>370</v>
      </c>
      <c r="N3580" s="16"/>
      <c r="O3580" s="16" t="s">
        <v>371</v>
      </c>
      <c r="P3580" s="16" t="str">
        <f>HYPERLINK("https://ceds.ed.gov/cedselementdetails.aspx?termid=26323")</f>
        <v>https://ceds.ed.gov/cedselementdetails.aspx?termid=26323</v>
      </c>
      <c r="Q3580" s="16">
        <v>75493</v>
      </c>
    </row>
    <row r="3581" spans="1:17" ht="230.4" x14ac:dyDescent="0.3">
      <c r="A3581" s="16" t="s">
        <v>7751</v>
      </c>
      <c r="B3581" s="16" t="s">
        <v>7752</v>
      </c>
      <c r="C3581" s="16" t="s">
        <v>7747</v>
      </c>
      <c r="D3581" s="16" t="s">
        <v>7597</v>
      </c>
      <c r="E3581" s="16" t="s">
        <v>7543</v>
      </c>
      <c r="F3581" s="16" t="s">
        <v>7544</v>
      </c>
      <c r="G3581" s="16" t="s">
        <v>13093</v>
      </c>
      <c r="H3581" s="16"/>
      <c r="I3581" s="16" t="s">
        <v>160</v>
      </c>
      <c r="J3581" s="16"/>
      <c r="K3581" s="16" t="s">
        <v>12951</v>
      </c>
      <c r="L3581" s="16"/>
      <c r="M3581" s="19" t="s">
        <v>7545</v>
      </c>
      <c r="N3581" s="16"/>
      <c r="O3581" s="16" t="s">
        <v>7543</v>
      </c>
      <c r="P3581" s="16" t="str">
        <f>HYPERLINK("https://ceds.ed.gov/cedselementdetails.aspx?termid=27959")</f>
        <v>https://ceds.ed.gov/cedselementdetails.aspx?termid=27959</v>
      </c>
      <c r="Q3581" s="16">
        <v>75494</v>
      </c>
    </row>
    <row r="3582" spans="1:17" ht="100.8" x14ac:dyDescent="0.3">
      <c r="A3582" s="16" t="s">
        <v>7751</v>
      </c>
      <c r="B3582" s="16" t="s">
        <v>7752</v>
      </c>
      <c r="C3582" s="16" t="s">
        <v>7747</v>
      </c>
      <c r="D3582" s="16" t="s">
        <v>7597</v>
      </c>
      <c r="E3582" s="16" t="s">
        <v>2055</v>
      </c>
      <c r="F3582" s="16" t="s">
        <v>2056</v>
      </c>
      <c r="G3582" s="16" t="s">
        <v>9328</v>
      </c>
      <c r="H3582" s="16" t="s">
        <v>186</v>
      </c>
      <c r="I3582" s="16"/>
      <c r="J3582" s="16"/>
      <c r="K3582" s="16"/>
      <c r="L3582" s="16"/>
      <c r="M3582" s="19" t="s">
        <v>2057</v>
      </c>
      <c r="N3582" s="16" t="s">
        <v>2058</v>
      </c>
      <c r="O3582" s="16" t="s">
        <v>2059</v>
      </c>
      <c r="P3582" s="16" t="str">
        <f>HYPERLINK("https://ceds.ed.gov/cedselementdetails.aspx?termid=26045")</f>
        <v>https://ceds.ed.gov/cedselementdetails.aspx?termid=26045</v>
      </c>
      <c r="Q3582" s="16">
        <v>76023</v>
      </c>
    </row>
    <row r="3583" spans="1:17" ht="201.6" x14ac:dyDescent="0.3">
      <c r="A3583" s="16" t="s">
        <v>7751</v>
      </c>
      <c r="B3583" s="16" t="s">
        <v>7752</v>
      </c>
      <c r="C3583" s="16" t="s">
        <v>7747</v>
      </c>
      <c r="D3583" s="16" t="s">
        <v>7597</v>
      </c>
      <c r="E3583" s="16" t="s">
        <v>9209</v>
      </c>
      <c r="F3583" s="16" t="s">
        <v>9210</v>
      </c>
      <c r="G3583" s="16" t="s">
        <v>9431</v>
      </c>
      <c r="H3583" s="16"/>
      <c r="I3583" s="16"/>
      <c r="J3583" s="16" t="s">
        <v>2</v>
      </c>
      <c r="K3583" s="16"/>
      <c r="L3583" s="16"/>
      <c r="M3583" s="19" t="s">
        <v>9211</v>
      </c>
      <c r="N3583" s="16"/>
      <c r="O3583" s="16" t="s">
        <v>9212</v>
      </c>
      <c r="P3583" s="16" t="str">
        <f>HYPERLINK("https://ceds.ed.gov/cedselementdetails.aspx?termid=28076")</f>
        <v>https://ceds.ed.gov/cedselementdetails.aspx?termid=28076</v>
      </c>
      <c r="Q3583" s="16">
        <v>76024</v>
      </c>
    </row>
    <row r="3584" spans="1:17" ht="331.2" x14ac:dyDescent="0.3">
      <c r="A3584" s="16" t="s">
        <v>7751</v>
      </c>
      <c r="B3584" s="16" t="s">
        <v>7752</v>
      </c>
      <c r="C3584" s="16" t="s">
        <v>7747</v>
      </c>
      <c r="D3584" s="16" t="s">
        <v>7597</v>
      </c>
      <c r="E3584" s="16" t="s">
        <v>12826</v>
      </c>
      <c r="F3584" s="16" t="s">
        <v>12827</v>
      </c>
      <c r="G3584" s="16" t="s">
        <v>12917</v>
      </c>
      <c r="H3584" s="16"/>
      <c r="I3584" s="16" t="s">
        <v>155</v>
      </c>
      <c r="J3584" s="16" t="s">
        <v>2</v>
      </c>
      <c r="K3584" s="16" t="s">
        <v>12636</v>
      </c>
      <c r="L3584" s="16" t="s">
        <v>12828</v>
      </c>
      <c r="M3584" s="19" t="s">
        <v>12829</v>
      </c>
      <c r="N3584" s="16"/>
      <c r="O3584" s="16" t="s">
        <v>12830</v>
      </c>
      <c r="P3584" s="16" t="str">
        <f>HYPERLINK("https://ceds.ed.gov/cedselementdetails.aspx?termid=28096")</f>
        <v>https://ceds.ed.gov/cedselementdetails.aspx?termid=28096</v>
      </c>
      <c r="Q3584" s="16">
        <v>76564</v>
      </c>
    </row>
    <row r="3585" spans="1:17" ht="43.2" x14ac:dyDescent="0.3">
      <c r="A3585" s="16" t="s">
        <v>7751</v>
      </c>
      <c r="B3585" s="16" t="s">
        <v>7752</v>
      </c>
      <c r="C3585" s="16" t="s">
        <v>7753</v>
      </c>
      <c r="D3585" s="16" t="s">
        <v>7597</v>
      </c>
      <c r="E3585" s="16" t="s">
        <v>1891</v>
      </c>
      <c r="F3585" s="16" t="s">
        <v>1892</v>
      </c>
      <c r="G3585" s="16" t="s">
        <v>32</v>
      </c>
      <c r="H3585" s="16"/>
      <c r="I3585" s="16"/>
      <c r="J3585" s="16" t="s">
        <v>106</v>
      </c>
      <c r="K3585" s="16"/>
      <c r="L3585" s="16"/>
      <c r="M3585" s="19" t="s">
        <v>1893</v>
      </c>
      <c r="N3585" s="16"/>
      <c r="O3585" s="16" t="s">
        <v>1894</v>
      </c>
      <c r="P3585" s="16" t="str">
        <f>HYPERLINK("https://ceds.ed.gov/cedselementdetails.aspx?termid=27255")</f>
        <v>https://ceds.ed.gov/cedselementdetails.aspx?termid=27255</v>
      </c>
      <c r="Q3585" s="16">
        <v>73531</v>
      </c>
    </row>
    <row r="3586" spans="1:17" ht="72" x14ac:dyDescent="0.3">
      <c r="A3586" s="16" t="s">
        <v>7751</v>
      </c>
      <c r="B3586" s="16" t="s">
        <v>7752</v>
      </c>
      <c r="C3586" s="16" t="s">
        <v>7753</v>
      </c>
      <c r="D3586" s="16" t="s">
        <v>7597</v>
      </c>
      <c r="E3586" s="16" t="s">
        <v>1895</v>
      </c>
      <c r="F3586" s="16" t="s">
        <v>1896</v>
      </c>
      <c r="G3586" s="16" t="s">
        <v>8426</v>
      </c>
      <c r="H3586" s="16"/>
      <c r="I3586" s="16"/>
      <c r="J3586" s="16"/>
      <c r="K3586" s="16"/>
      <c r="L3586" s="16"/>
      <c r="M3586" s="19" t="s">
        <v>1897</v>
      </c>
      <c r="N3586" s="16"/>
      <c r="O3586" s="16" t="s">
        <v>1898</v>
      </c>
      <c r="P3586" s="16" t="str">
        <f>HYPERLINK("https://ceds.ed.gov/cedselementdetails.aspx?termid=27256")</f>
        <v>https://ceds.ed.gov/cedselementdetails.aspx?termid=27256</v>
      </c>
      <c r="Q3586" s="16">
        <v>73532</v>
      </c>
    </row>
    <row r="3587" spans="1:17" ht="100.8" x14ac:dyDescent="0.3">
      <c r="A3587" s="16" t="s">
        <v>7751</v>
      </c>
      <c r="B3587" s="16" t="s">
        <v>7752</v>
      </c>
      <c r="C3587" s="16" t="s">
        <v>7640</v>
      </c>
      <c r="D3587" s="16" t="s">
        <v>7597</v>
      </c>
      <c r="E3587" s="16" t="s">
        <v>4849</v>
      </c>
      <c r="F3587" s="16" t="s">
        <v>13082</v>
      </c>
      <c r="G3587" s="16" t="s">
        <v>7313</v>
      </c>
      <c r="H3587" s="16" t="s">
        <v>4851</v>
      </c>
      <c r="I3587" s="16" t="s">
        <v>160</v>
      </c>
      <c r="J3587" s="16"/>
      <c r="K3587" s="16" t="s">
        <v>12946</v>
      </c>
      <c r="L3587" s="16"/>
      <c r="M3587" s="19" t="s">
        <v>4850</v>
      </c>
      <c r="N3587" s="16"/>
      <c r="O3587" s="16"/>
      <c r="P3587" s="16" t="str">
        <f>HYPERLINK("https://ceds.ed.gov/cedselementdetails.aspx?termid=26317")</f>
        <v>https://ceds.ed.gov/cedselementdetails.aspx?termid=26317</v>
      </c>
      <c r="Q3587" s="16">
        <v>75253</v>
      </c>
    </row>
    <row r="3588" spans="1:17" ht="129.6" x14ac:dyDescent="0.3">
      <c r="A3588" s="16" t="s">
        <v>7751</v>
      </c>
      <c r="B3588" s="16" t="s">
        <v>7752</v>
      </c>
      <c r="C3588" s="16" t="s">
        <v>7640</v>
      </c>
      <c r="D3588" s="16" t="s">
        <v>7597</v>
      </c>
      <c r="E3588" s="16" t="s">
        <v>4852</v>
      </c>
      <c r="F3588" s="16" t="s">
        <v>13083</v>
      </c>
      <c r="G3588" s="16" t="s">
        <v>7313</v>
      </c>
      <c r="H3588" s="16"/>
      <c r="I3588" s="16" t="s">
        <v>160</v>
      </c>
      <c r="J3588" s="16"/>
      <c r="K3588" s="16" t="s">
        <v>12947</v>
      </c>
      <c r="L3588" s="16" t="s">
        <v>13084</v>
      </c>
      <c r="M3588" s="19" t="s">
        <v>4853</v>
      </c>
      <c r="N3588" s="16"/>
      <c r="O3588" s="16"/>
      <c r="P3588" s="16" t="str">
        <f>HYPERLINK("https://ceds.ed.gov/cedselementdetails.aspx?termid=27618")</f>
        <v>https://ceds.ed.gov/cedselementdetails.aspx?termid=27618</v>
      </c>
      <c r="Q3588" s="16">
        <v>75254</v>
      </c>
    </row>
    <row r="3589" spans="1:17" ht="409.6" x14ac:dyDescent="0.3">
      <c r="A3589" s="16" t="s">
        <v>7751</v>
      </c>
      <c r="B3589" s="16" t="s">
        <v>7752</v>
      </c>
      <c r="C3589" s="16" t="s">
        <v>7640</v>
      </c>
      <c r="D3589" s="16" t="s">
        <v>7597</v>
      </c>
      <c r="E3589" s="16" t="s">
        <v>4854</v>
      </c>
      <c r="F3589" s="16" t="s">
        <v>13085</v>
      </c>
      <c r="G3589" s="16" t="s">
        <v>8683</v>
      </c>
      <c r="H3589" s="16"/>
      <c r="I3589" s="16" t="s">
        <v>160</v>
      </c>
      <c r="J3589" s="16"/>
      <c r="K3589" s="16" t="s">
        <v>12948</v>
      </c>
      <c r="L3589" s="16" t="s">
        <v>13086</v>
      </c>
      <c r="M3589" s="19" t="s">
        <v>4855</v>
      </c>
      <c r="N3589" s="16"/>
      <c r="O3589" s="16"/>
      <c r="P3589" s="16" t="str">
        <f>HYPERLINK("https://ceds.ed.gov/cedselementdetails.aspx?termid=27619")</f>
        <v>https://ceds.ed.gov/cedselementdetails.aspx?termid=27619</v>
      </c>
      <c r="Q3589" s="16">
        <v>75255</v>
      </c>
    </row>
    <row r="3590" spans="1:17" ht="43.2" x14ac:dyDescent="0.3">
      <c r="A3590" s="16" t="s">
        <v>7751</v>
      </c>
      <c r="B3590" s="16" t="s">
        <v>7752</v>
      </c>
      <c r="C3590" s="16" t="s">
        <v>7640</v>
      </c>
      <c r="D3590" s="16" t="s">
        <v>7597</v>
      </c>
      <c r="E3590" s="16" t="s">
        <v>4886</v>
      </c>
      <c r="F3590" s="16" t="s">
        <v>4887</v>
      </c>
      <c r="G3590" s="16" t="s">
        <v>13005</v>
      </c>
      <c r="H3590" s="16"/>
      <c r="I3590" s="16"/>
      <c r="J3590" s="16"/>
      <c r="K3590" s="16"/>
      <c r="L3590" s="16"/>
      <c r="M3590" s="19"/>
      <c r="N3590" s="16"/>
      <c r="O3590" s="16"/>
      <c r="P3590" s="16"/>
      <c r="Q3590" s="16"/>
    </row>
    <row r="3591" spans="1:17" x14ac:dyDescent="0.3">
      <c r="A3591" s="16"/>
      <c r="B3591" s="16"/>
      <c r="C3591" s="16"/>
      <c r="D3591" s="16"/>
      <c r="E3591" s="16"/>
      <c r="F3591" s="16"/>
      <c r="G3591" s="16"/>
      <c r="H3591" s="16"/>
      <c r="I3591" s="16"/>
      <c r="J3591" s="16"/>
      <c r="K3591" s="16"/>
      <c r="L3591" s="16"/>
      <c r="M3591" s="19"/>
      <c r="N3591" s="16"/>
      <c r="O3591" s="16"/>
      <c r="P3591" s="16"/>
      <c r="Q3591" s="16"/>
    </row>
    <row r="3592" spans="1:17" ht="144" x14ac:dyDescent="0.3">
      <c r="A3592" s="16"/>
      <c r="B3592" s="16" t="s">
        <v>13051</v>
      </c>
      <c r="C3592" s="16" t="s">
        <v>4851</v>
      </c>
      <c r="D3592" s="16"/>
      <c r="E3592" s="16"/>
      <c r="F3592" s="16"/>
      <c r="G3592" s="16"/>
      <c r="H3592" s="16">
        <v>316</v>
      </c>
      <c r="I3592" s="16"/>
      <c r="J3592" s="16" t="s">
        <v>4888</v>
      </c>
      <c r="K3592" s="16" t="str">
        <f>HYPERLINK("https://ceds.ed.gov/cedselementdetails.aspx?termid=26316")</f>
        <v>https://ceds.ed.gov/cedselementdetails.aspx?termid=26316</v>
      </c>
      <c r="L3592" s="16">
        <v>75256</v>
      </c>
      <c r="M3592" s="19"/>
      <c r="N3592" s="16"/>
      <c r="O3592" s="16"/>
      <c r="P3592" s="16"/>
      <c r="Q3592" s="16"/>
    </row>
    <row r="3593" spans="1:17" ht="409.6" x14ac:dyDescent="0.3">
      <c r="A3593" s="16" t="s">
        <v>7751</v>
      </c>
      <c r="B3593" s="16" t="s">
        <v>7752</v>
      </c>
      <c r="C3593" s="16" t="s">
        <v>7652</v>
      </c>
      <c r="D3593" s="16" t="s">
        <v>7597</v>
      </c>
      <c r="E3593" s="16" t="s">
        <v>5751</v>
      </c>
      <c r="F3593" s="16" t="s">
        <v>5752</v>
      </c>
      <c r="G3593" s="16" t="s">
        <v>8753</v>
      </c>
      <c r="H3593" s="16" t="s">
        <v>1516</v>
      </c>
      <c r="I3593" s="16"/>
      <c r="J3593" s="16"/>
      <c r="K3593" s="16"/>
      <c r="L3593" s="16" t="s">
        <v>5753</v>
      </c>
      <c r="M3593" s="19" t="s">
        <v>5754</v>
      </c>
      <c r="N3593" s="16"/>
      <c r="O3593" s="16" t="s">
        <v>5755</v>
      </c>
      <c r="P3593" s="16" t="str">
        <f>HYPERLINK("https://ceds.ed.gov/cedselementdetails.aspx?termid=26415")</f>
        <v>https://ceds.ed.gov/cedselementdetails.aspx?termid=26415</v>
      </c>
      <c r="Q3593" s="16">
        <v>75259</v>
      </c>
    </row>
    <row r="3594" spans="1:17" ht="43.2" x14ac:dyDescent="0.3">
      <c r="A3594" s="16" t="s">
        <v>7751</v>
      </c>
      <c r="B3594" s="16" t="s">
        <v>7752</v>
      </c>
      <c r="C3594" s="16" t="s">
        <v>4</v>
      </c>
      <c r="D3594" s="16" t="s">
        <v>7597</v>
      </c>
      <c r="E3594" s="16" t="s">
        <v>1490</v>
      </c>
      <c r="F3594" s="16" t="s">
        <v>1491</v>
      </c>
      <c r="G3594" s="16" t="s">
        <v>22</v>
      </c>
      <c r="H3594" s="16"/>
      <c r="I3594" s="16"/>
      <c r="J3594" s="16"/>
      <c r="K3594" s="16"/>
      <c r="L3594" s="16"/>
      <c r="M3594" s="19" t="s">
        <v>1492</v>
      </c>
      <c r="N3594" s="16"/>
      <c r="O3594" s="16" t="s">
        <v>1493</v>
      </c>
      <c r="P3594" s="16" t="str">
        <f>HYPERLINK("https://ceds.ed.gov/cedselementdetails.aspx?termid=27903")</f>
        <v>https://ceds.ed.gov/cedselementdetails.aspx?termid=27903</v>
      </c>
      <c r="Q3594" s="16">
        <v>75260</v>
      </c>
    </row>
    <row r="3595" spans="1:17" ht="57.6" x14ac:dyDescent="0.3">
      <c r="A3595" s="16" t="s">
        <v>7751</v>
      </c>
      <c r="B3595" s="16" t="s">
        <v>7752</v>
      </c>
      <c r="C3595" s="16" t="s">
        <v>4</v>
      </c>
      <c r="D3595" s="16" t="s">
        <v>7597</v>
      </c>
      <c r="E3595" s="16" t="s">
        <v>6162</v>
      </c>
      <c r="F3595" s="16" t="s">
        <v>6163</v>
      </c>
      <c r="G3595" s="16" t="s">
        <v>22</v>
      </c>
      <c r="H3595" s="16"/>
      <c r="I3595" s="16"/>
      <c r="J3595" s="16"/>
      <c r="K3595" s="16"/>
      <c r="L3595" s="16"/>
      <c r="M3595" s="19" t="s">
        <v>6164</v>
      </c>
      <c r="N3595" s="16"/>
      <c r="O3595" s="16" t="s">
        <v>6165</v>
      </c>
      <c r="P3595" s="16" t="str">
        <f>HYPERLINK("https://ceds.ed.gov/cedselementdetails.aspx?termid=26760")</f>
        <v>https://ceds.ed.gov/cedselementdetails.aspx?termid=26760</v>
      </c>
      <c r="Q3595" s="16">
        <v>75261</v>
      </c>
    </row>
    <row r="3596" spans="1:17" ht="86.4" x14ac:dyDescent="0.3">
      <c r="A3596" s="16" t="s">
        <v>7751</v>
      </c>
      <c r="B3596" s="16" t="s">
        <v>7752</v>
      </c>
      <c r="C3596" s="16" t="s">
        <v>4</v>
      </c>
      <c r="D3596" s="16" t="s">
        <v>7597</v>
      </c>
      <c r="E3596" s="16" t="s">
        <v>1912</v>
      </c>
      <c r="F3596" s="16" t="s">
        <v>1913</v>
      </c>
      <c r="G3596" s="16" t="s">
        <v>8427</v>
      </c>
      <c r="H3596" s="16" t="s">
        <v>214</v>
      </c>
      <c r="I3596" s="16"/>
      <c r="J3596" s="16"/>
      <c r="K3596" s="16"/>
      <c r="L3596" s="16"/>
      <c r="M3596" s="19" t="s">
        <v>1914</v>
      </c>
      <c r="N3596" s="16" t="s">
        <v>1915</v>
      </c>
      <c r="O3596" s="16" t="s">
        <v>1916</v>
      </c>
      <c r="P3596" s="16" t="str">
        <f>HYPERLINK("https://ceds.ed.gov/cedselementdetails.aspx?termid=26581")</f>
        <v>https://ceds.ed.gov/cedselementdetails.aspx?termid=26581</v>
      </c>
      <c r="Q3596" s="16">
        <v>75495</v>
      </c>
    </row>
    <row r="3597" spans="1:17" ht="57.6" x14ac:dyDescent="0.3">
      <c r="A3597" s="16" t="s">
        <v>7751</v>
      </c>
      <c r="B3597" s="16" t="s">
        <v>7752</v>
      </c>
      <c r="C3597" s="16" t="s">
        <v>7653</v>
      </c>
      <c r="D3597" s="16" t="s">
        <v>7597</v>
      </c>
      <c r="E3597" s="16" t="s">
        <v>7446</v>
      </c>
      <c r="F3597" s="16" t="s">
        <v>7447</v>
      </c>
      <c r="G3597" s="16" t="s">
        <v>32</v>
      </c>
      <c r="H3597" s="16"/>
      <c r="I3597" s="16"/>
      <c r="J3597" s="16" t="s">
        <v>136</v>
      </c>
      <c r="K3597" s="16"/>
      <c r="L3597" s="16" t="s">
        <v>7448</v>
      </c>
      <c r="M3597" s="19" t="s">
        <v>7449</v>
      </c>
      <c r="N3597" s="16"/>
      <c r="O3597" s="16" t="s">
        <v>7450</v>
      </c>
      <c r="P3597" s="16" t="str">
        <f>HYPERLINK("https://ceds.ed.gov/cedselementdetails.aspx?termid=27938")</f>
        <v>https://ceds.ed.gov/cedselementdetails.aspx?termid=27938</v>
      </c>
      <c r="Q3597" s="16">
        <v>75489</v>
      </c>
    </row>
    <row r="3598" spans="1:17" ht="43.2" x14ac:dyDescent="0.3">
      <c r="A3598" s="16" t="s">
        <v>7751</v>
      </c>
      <c r="B3598" s="16" t="s">
        <v>7752</v>
      </c>
      <c r="C3598" s="16" t="s">
        <v>7653</v>
      </c>
      <c r="D3598" s="16" t="s">
        <v>7597</v>
      </c>
      <c r="E3598" s="16" t="s">
        <v>7456</v>
      </c>
      <c r="F3598" s="16" t="s">
        <v>7457</v>
      </c>
      <c r="G3598" s="16" t="s">
        <v>32</v>
      </c>
      <c r="H3598" s="16"/>
      <c r="I3598" s="16"/>
      <c r="J3598" s="16" t="s">
        <v>812</v>
      </c>
      <c r="K3598" s="16"/>
      <c r="L3598" s="16" t="s">
        <v>7458</v>
      </c>
      <c r="M3598" s="19" t="s">
        <v>7459</v>
      </c>
      <c r="N3598" s="16"/>
      <c r="O3598" s="16" t="s">
        <v>7460</v>
      </c>
      <c r="P3598" s="16" t="str">
        <f>HYPERLINK("https://ceds.ed.gov/cedselementdetails.aspx?termid=27940")</f>
        <v>https://ceds.ed.gov/cedselementdetails.aspx?termid=27940</v>
      </c>
      <c r="Q3598" s="16">
        <v>75490</v>
      </c>
    </row>
    <row r="3599" spans="1:17" ht="57.6" x14ac:dyDescent="0.3">
      <c r="A3599" s="16" t="s">
        <v>7751</v>
      </c>
      <c r="B3599" s="16" t="s">
        <v>7752</v>
      </c>
      <c r="C3599" s="16" t="s">
        <v>7653</v>
      </c>
      <c r="D3599" s="16" t="s">
        <v>7597</v>
      </c>
      <c r="E3599" s="16" t="s">
        <v>7461</v>
      </c>
      <c r="F3599" s="16" t="s">
        <v>7462</v>
      </c>
      <c r="G3599" s="16" t="s">
        <v>32</v>
      </c>
      <c r="H3599" s="16"/>
      <c r="I3599" s="16"/>
      <c r="J3599" s="16" t="s">
        <v>136</v>
      </c>
      <c r="K3599" s="16"/>
      <c r="L3599" s="16" t="s">
        <v>7463</v>
      </c>
      <c r="M3599" s="19" t="s">
        <v>7464</v>
      </c>
      <c r="N3599" s="16"/>
      <c r="O3599" s="16" t="s">
        <v>7465</v>
      </c>
      <c r="P3599" s="16" t="str">
        <f>HYPERLINK("https://ceds.ed.gov/cedselementdetails.aspx?termid=27941")</f>
        <v>https://ceds.ed.gov/cedselementdetails.aspx?termid=27941</v>
      </c>
      <c r="Q3599" s="16">
        <v>75491</v>
      </c>
    </row>
    <row r="3600" spans="1:17" ht="158.4" x14ac:dyDescent="0.3">
      <c r="A3600" s="16" t="s">
        <v>7751</v>
      </c>
      <c r="B3600" s="16" t="s">
        <v>7754</v>
      </c>
      <c r="C3600" s="16" t="s">
        <v>7625</v>
      </c>
      <c r="D3600" s="16" t="s">
        <v>7597</v>
      </c>
      <c r="E3600" s="16" t="s">
        <v>3990</v>
      </c>
      <c r="F3600" s="16" t="s">
        <v>3991</v>
      </c>
      <c r="G3600" s="16" t="s">
        <v>32</v>
      </c>
      <c r="H3600" s="16" t="s">
        <v>3994</v>
      </c>
      <c r="I3600" s="16"/>
      <c r="J3600" s="16" t="s">
        <v>7426</v>
      </c>
      <c r="K3600" s="16"/>
      <c r="L3600" s="16" t="s">
        <v>8047</v>
      </c>
      <c r="M3600" s="19" t="s">
        <v>3992</v>
      </c>
      <c r="N3600" s="16"/>
      <c r="O3600" s="16" t="s">
        <v>3993</v>
      </c>
      <c r="P3600" s="16" t="str">
        <f>HYPERLINK("https://ceds.ed.gov/cedselementdetails.aspx?termid=26115")</f>
        <v>https://ceds.ed.gov/cedselementdetails.aspx?termid=26115</v>
      </c>
      <c r="Q3600" s="16">
        <v>73550</v>
      </c>
    </row>
    <row r="3601" spans="1:17" ht="158.4" x14ac:dyDescent="0.3">
      <c r="A3601" s="16" t="s">
        <v>7751</v>
      </c>
      <c r="B3601" s="16" t="s">
        <v>7754</v>
      </c>
      <c r="C3601" s="16" t="s">
        <v>7625</v>
      </c>
      <c r="D3601" s="16" t="s">
        <v>7597</v>
      </c>
      <c r="E3601" s="16" t="s">
        <v>5328</v>
      </c>
      <c r="F3601" s="16" t="s">
        <v>5329</v>
      </c>
      <c r="G3601" s="16" t="s">
        <v>32</v>
      </c>
      <c r="H3601" s="16" t="s">
        <v>3994</v>
      </c>
      <c r="I3601" s="16"/>
      <c r="J3601" s="16" t="s">
        <v>7426</v>
      </c>
      <c r="K3601" s="16"/>
      <c r="L3601" s="16" t="s">
        <v>8053</v>
      </c>
      <c r="M3601" s="19" t="s">
        <v>5330</v>
      </c>
      <c r="N3601" s="16"/>
      <c r="O3601" s="16" t="s">
        <v>5331</v>
      </c>
      <c r="P3601" s="16" t="str">
        <f>HYPERLINK("https://ceds.ed.gov/cedselementdetails.aspx?termid=26184")</f>
        <v>https://ceds.ed.gov/cedselementdetails.aspx?termid=26184</v>
      </c>
      <c r="Q3601" s="16">
        <v>73551</v>
      </c>
    </row>
    <row r="3602" spans="1:17" ht="158.4" x14ac:dyDescent="0.3">
      <c r="A3602" s="16" t="s">
        <v>7751</v>
      </c>
      <c r="B3602" s="16" t="s">
        <v>7754</v>
      </c>
      <c r="C3602" s="16" t="s">
        <v>7625</v>
      </c>
      <c r="D3602" s="16" t="s">
        <v>7597</v>
      </c>
      <c r="E3602" s="16" t="s">
        <v>4893</v>
      </c>
      <c r="F3602" s="16" t="s">
        <v>4894</v>
      </c>
      <c r="G3602" s="16" t="s">
        <v>32</v>
      </c>
      <c r="H3602" s="16" t="s">
        <v>3994</v>
      </c>
      <c r="I3602" s="16"/>
      <c r="J3602" s="16" t="s">
        <v>7426</v>
      </c>
      <c r="K3602" s="16"/>
      <c r="L3602" s="16" t="s">
        <v>8053</v>
      </c>
      <c r="M3602" s="19" t="s">
        <v>4895</v>
      </c>
      <c r="N3602" s="16" t="s">
        <v>4896</v>
      </c>
      <c r="O3602" s="16" t="s">
        <v>4897</v>
      </c>
      <c r="P3602" s="16" t="str">
        <f>HYPERLINK("https://ceds.ed.gov/cedselementdetails.aspx?termid=26172")</f>
        <v>https://ceds.ed.gov/cedselementdetails.aspx?termid=26172</v>
      </c>
      <c r="Q3602" s="16">
        <v>73552</v>
      </c>
    </row>
    <row r="3603" spans="1:17" ht="129.6" x14ac:dyDescent="0.3">
      <c r="A3603" s="16" t="s">
        <v>7751</v>
      </c>
      <c r="B3603" s="16" t="s">
        <v>7754</v>
      </c>
      <c r="C3603" s="16" t="s">
        <v>7625</v>
      </c>
      <c r="D3603" s="16" t="s">
        <v>7597</v>
      </c>
      <c r="E3603" s="16" t="s">
        <v>4054</v>
      </c>
      <c r="F3603" s="16" t="s">
        <v>4055</v>
      </c>
      <c r="G3603" s="16" t="s">
        <v>32</v>
      </c>
      <c r="H3603" s="16" t="s">
        <v>4059</v>
      </c>
      <c r="I3603" s="16"/>
      <c r="J3603" s="16" t="s">
        <v>2697</v>
      </c>
      <c r="K3603" s="16"/>
      <c r="L3603" s="16" t="s">
        <v>8053</v>
      </c>
      <c r="M3603" s="19" t="s">
        <v>4057</v>
      </c>
      <c r="N3603" s="16"/>
      <c r="O3603" s="16" t="s">
        <v>4058</v>
      </c>
      <c r="P3603" s="16" t="str">
        <f>HYPERLINK("https://ceds.ed.gov/cedselementdetails.aspx?termid=26121")</f>
        <v>https://ceds.ed.gov/cedselementdetails.aspx?termid=26121</v>
      </c>
      <c r="Q3603" s="16">
        <v>73553</v>
      </c>
    </row>
    <row r="3604" spans="1:17" ht="86.4" x14ac:dyDescent="0.3">
      <c r="A3604" s="16" t="s">
        <v>7751</v>
      </c>
      <c r="B3604" s="16" t="s">
        <v>7754</v>
      </c>
      <c r="C3604" s="16" t="s">
        <v>7625</v>
      </c>
      <c r="D3604" s="16" t="s">
        <v>7597</v>
      </c>
      <c r="E3604" s="16" t="s">
        <v>5760</v>
      </c>
      <c r="F3604" s="16" t="s">
        <v>5761</v>
      </c>
      <c r="G3604" s="16" t="s">
        <v>32</v>
      </c>
      <c r="H3604" s="16" t="s">
        <v>5765</v>
      </c>
      <c r="I3604" s="16"/>
      <c r="J3604" s="16" t="s">
        <v>81</v>
      </c>
      <c r="K3604" s="16"/>
      <c r="L3604" s="16"/>
      <c r="M3604" s="19" t="s">
        <v>5762</v>
      </c>
      <c r="N3604" s="16" t="s">
        <v>5763</v>
      </c>
      <c r="O3604" s="16" t="s">
        <v>5764</v>
      </c>
      <c r="P3604" s="16" t="str">
        <f>HYPERLINK("https://ceds.ed.gov/cedselementdetails.aspx?termid=26212")</f>
        <v>https://ceds.ed.gov/cedselementdetails.aspx?termid=26212</v>
      </c>
      <c r="Q3604" s="16">
        <v>73554</v>
      </c>
    </row>
    <row r="3605" spans="1:17" ht="28.8" x14ac:dyDescent="0.3">
      <c r="A3605" s="16" t="s">
        <v>7751</v>
      </c>
      <c r="B3605" s="16" t="s">
        <v>7754</v>
      </c>
      <c r="C3605" s="16" t="s">
        <v>7626</v>
      </c>
      <c r="D3605" s="16" t="s">
        <v>7597</v>
      </c>
      <c r="E3605" s="16" t="s">
        <v>5631</v>
      </c>
      <c r="F3605" s="16" t="s">
        <v>5632</v>
      </c>
      <c r="G3605" s="16" t="s">
        <v>32</v>
      </c>
      <c r="H3605" s="16"/>
      <c r="I3605" s="16"/>
      <c r="J3605" s="16" t="s">
        <v>1266</v>
      </c>
      <c r="K3605" s="16"/>
      <c r="L3605" s="16" t="s">
        <v>5633</v>
      </c>
      <c r="M3605" s="19" t="s">
        <v>5634</v>
      </c>
      <c r="N3605" s="16"/>
      <c r="O3605" s="16" t="s">
        <v>5635</v>
      </c>
      <c r="P3605" s="16" t="str">
        <f>HYPERLINK("https://ceds.ed.gov/cedselementdetails.aspx?termid=27486")</f>
        <v>https://ceds.ed.gov/cedselementdetails.aspx?termid=27486</v>
      </c>
      <c r="Q3605" s="16">
        <v>73642</v>
      </c>
    </row>
    <row r="3606" spans="1:17" ht="28.8" x14ac:dyDescent="0.3">
      <c r="A3606" s="16" t="s">
        <v>7751</v>
      </c>
      <c r="B3606" s="16" t="s">
        <v>7754</v>
      </c>
      <c r="C3606" s="16" t="s">
        <v>7626</v>
      </c>
      <c r="D3606" s="16" t="s">
        <v>7597</v>
      </c>
      <c r="E3606" s="16" t="s">
        <v>5636</v>
      </c>
      <c r="F3606" s="16" t="s">
        <v>5637</v>
      </c>
      <c r="G3606" s="16" t="s">
        <v>32</v>
      </c>
      <c r="H3606" s="16"/>
      <c r="I3606" s="16"/>
      <c r="J3606" s="16" t="s">
        <v>1266</v>
      </c>
      <c r="K3606" s="16"/>
      <c r="L3606" s="16" t="s">
        <v>5638</v>
      </c>
      <c r="M3606" s="19" t="s">
        <v>5639</v>
      </c>
      <c r="N3606" s="16"/>
      <c r="O3606" s="16" t="s">
        <v>5640</v>
      </c>
      <c r="P3606" s="16" t="str">
        <f>HYPERLINK("https://ceds.ed.gov/cedselementdetails.aspx?termid=27485")</f>
        <v>https://ceds.ed.gov/cedselementdetails.aspx?termid=27485</v>
      </c>
      <c r="Q3606" s="16">
        <v>73626</v>
      </c>
    </row>
    <row r="3607" spans="1:17" ht="28.8" x14ac:dyDescent="0.3">
      <c r="A3607" s="16" t="s">
        <v>7751</v>
      </c>
      <c r="B3607" s="16" t="s">
        <v>7754</v>
      </c>
      <c r="C3607" s="16" t="s">
        <v>7626</v>
      </c>
      <c r="D3607" s="16" t="s">
        <v>7597</v>
      </c>
      <c r="E3607" s="16" t="s">
        <v>5641</v>
      </c>
      <c r="F3607" s="16" t="s">
        <v>5642</v>
      </c>
      <c r="G3607" s="16" t="s">
        <v>32</v>
      </c>
      <c r="H3607" s="16"/>
      <c r="I3607" s="16"/>
      <c r="J3607" s="16" t="s">
        <v>1266</v>
      </c>
      <c r="K3607" s="16"/>
      <c r="L3607" s="16" t="s">
        <v>5643</v>
      </c>
      <c r="M3607" s="19" t="s">
        <v>5644</v>
      </c>
      <c r="N3607" s="16"/>
      <c r="O3607" s="16" t="s">
        <v>5645</v>
      </c>
      <c r="P3607" s="16" t="str">
        <f>HYPERLINK("https://ceds.ed.gov/cedselementdetails.aspx?termid=27487")</f>
        <v>https://ceds.ed.gov/cedselementdetails.aspx?termid=27487</v>
      </c>
      <c r="Q3607" s="16">
        <v>73658</v>
      </c>
    </row>
    <row r="3608" spans="1:17" ht="129.6" x14ac:dyDescent="0.3">
      <c r="A3608" s="16" t="s">
        <v>7751</v>
      </c>
      <c r="B3608" s="16" t="s">
        <v>7754</v>
      </c>
      <c r="C3608" s="16" t="s">
        <v>7626</v>
      </c>
      <c r="D3608" s="16" t="s">
        <v>7597</v>
      </c>
      <c r="E3608" s="16" t="s">
        <v>5646</v>
      </c>
      <c r="F3608" s="16" t="s">
        <v>5647</v>
      </c>
      <c r="G3608" s="16" t="s">
        <v>32</v>
      </c>
      <c r="H3608" s="16" t="s">
        <v>4059</v>
      </c>
      <c r="I3608" s="16"/>
      <c r="J3608" s="16" t="s">
        <v>120</v>
      </c>
      <c r="K3608" s="16"/>
      <c r="L3608" s="16"/>
      <c r="M3608" s="19" t="s">
        <v>5648</v>
      </c>
      <c r="N3608" s="16"/>
      <c r="O3608" s="16" t="s">
        <v>5649</v>
      </c>
      <c r="P3608" s="16" t="str">
        <f>HYPERLINK("https://ceds.ed.gov/cedselementdetails.aspx?termid=26206")</f>
        <v>https://ceds.ed.gov/cedselementdetails.aspx?termid=26206</v>
      </c>
      <c r="Q3608" s="16">
        <v>73555</v>
      </c>
    </row>
    <row r="3609" spans="1:17" ht="115.2" x14ac:dyDescent="0.3">
      <c r="A3609" s="16" t="s">
        <v>7751</v>
      </c>
      <c r="B3609" s="16" t="s">
        <v>7754</v>
      </c>
      <c r="C3609" s="16" t="s">
        <v>7626</v>
      </c>
      <c r="D3609" s="16" t="s">
        <v>7597</v>
      </c>
      <c r="E3609" s="16" t="s">
        <v>5650</v>
      </c>
      <c r="F3609" s="16" t="s">
        <v>5651</v>
      </c>
      <c r="G3609" s="16" t="s">
        <v>8746</v>
      </c>
      <c r="H3609" s="16" t="s">
        <v>5654</v>
      </c>
      <c r="I3609" s="16"/>
      <c r="J3609" s="16" t="s">
        <v>81</v>
      </c>
      <c r="K3609" s="16"/>
      <c r="L3609" s="16"/>
      <c r="M3609" s="19" t="s">
        <v>5652</v>
      </c>
      <c r="N3609" s="16"/>
      <c r="O3609" s="16" t="s">
        <v>5653</v>
      </c>
      <c r="P3609" s="16" t="str">
        <f>HYPERLINK("https://ceds.ed.gov/cedselementdetails.aspx?termid=26627")</f>
        <v>https://ceds.ed.gov/cedselementdetails.aspx?termid=26627</v>
      </c>
      <c r="Q3609" s="16">
        <v>73556</v>
      </c>
    </row>
    <row r="3610" spans="1:17" ht="172.8" x14ac:dyDescent="0.3">
      <c r="A3610" s="16" t="s">
        <v>7751</v>
      </c>
      <c r="B3610" s="16" t="s">
        <v>7754</v>
      </c>
      <c r="C3610" s="16" t="s">
        <v>7627</v>
      </c>
      <c r="D3610" s="16" t="s">
        <v>7597</v>
      </c>
      <c r="E3610" s="16" t="s">
        <v>6810</v>
      </c>
      <c r="F3610" s="16" t="s">
        <v>6811</v>
      </c>
      <c r="G3610" s="16" t="s">
        <v>32</v>
      </c>
      <c r="H3610" s="16" t="s">
        <v>6814</v>
      </c>
      <c r="I3610" s="16"/>
      <c r="J3610" s="16" t="s">
        <v>120</v>
      </c>
      <c r="K3610" s="16"/>
      <c r="L3610" s="16" t="s">
        <v>7817</v>
      </c>
      <c r="M3610" s="19" t="s">
        <v>6812</v>
      </c>
      <c r="N3610" s="16"/>
      <c r="O3610" s="16" t="s">
        <v>6813</v>
      </c>
      <c r="P3610" s="16" t="str">
        <f>HYPERLINK("https://ceds.ed.gov/cedselementdetails.aspx?termid=26156")</f>
        <v>https://ceds.ed.gov/cedselementdetails.aspx?termid=26156</v>
      </c>
      <c r="Q3610" s="16">
        <v>73546</v>
      </c>
    </row>
    <row r="3611" spans="1:17" ht="259.2" x14ac:dyDescent="0.3">
      <c r="A3611" s="16" t="s">
        <v>7751</v>
      </c>
      <c r="B3611" s="16" t="s">
        <v>7754</v>
      </c>
      <c r="C3611" s="16" t="s">
        <v>7627</v>
      </c>
      <c r="D3611" s="16" t="s">
        <v>7597</v>
      </c>
      <c r="E3611" s="16" t="s">
        <v>6805</v>
      </c>
      <c r="F3611" s="16" t="s">
        <v>6806</v>
      </c>
      <c r="G3611" s="16" t="s">
        <v>9342</v>
      </c>
      <c r="H3611" s="16" t="s">
        <v>6809</v>
      </c>
      <c r="I3611" s="16"/>
      <c r="J3611" s="16"/>
      <c r="K3611" s="16"/>
      <c r="L3611" s="16"/>
      <c r="M3611" s="19" t="s">
        <v>6807</v>
      </c>
      <c r="N3611" s="16"/>
      <c r="O3611" s="16" t="s">
        <v>6808</v>
      </c>
      <c r="P3611" s="16" t="str">
        <f>HYPERLINK("https://ceds.ed.gov/cedselementdetails.aspx?termid=26162")</f>
        <v>https://ceds.ed.gov/cedselementdetails.aspx?termid=26162</v>
      </c>
      <c r="Q3611" s="16">
        <v>73547</v>
      </c>
    </row>
    <row r="3612" spans="1:17" ht="403.2" x14ac:dyDescent="0.3">
      <c r="A3612" s="16" t="s">
        <v>7751</v>
      </c>
      <c r="B3612" s="16" t="s">
        <v>7754</v>
      </c>
      <c r="C3612" s="16" t="s">
        <v>7627</v>
      </c>
      <c r="D3612" s="16" t="s">
        <v>7597</v>
      </c>
      <c r="E3612" s="16" t="s">
        <v>5756</v>
      </c>
      <c r="F3612" s="16" t="s">
        <v>5757</v>
      </c>
      <c r="G3612" s="16" t="s">
        <v>8252</v>
      </c>
      <c r="H3612" s="16"/>
      <c r="I3612" s="16"/>
      <c r="J3612" s="16"/>
      <c r="K3612" s="16"/>
      <c r="L3612" s="16"/>
      <c r="M3612" s="19" t="s">
        <v>5758</v>
      </c>
      <c r="N3612" s="16"/>
      <c r="O3612" s="16" t="s">
        <v>5759</v>
      </c>
      <c r="P3612" s="16" t="str">
        <f>HYPERLINK("https://ceds.ed.gov/cedselementdetails.aspx?termid=26611")</f>
        <v>https://ceds.ed.gov/cedselementdetails.aspx?termid=26611</v>
      </c>
      <c r="Q3612" s="16">
        <v>73549</v>
      </c>
    </row>
    <row r="3613" spans="1:17" ht="72" x14ac:dyDescent="0.3">
      <c r="A3613" s="16" t="s">
        <v>7751</v>
      </c>
      <c r="B3613" s="16" t="s">
        <v>7754</v>
      </c>
      <c r="C3613" s="16" t="s">
        <v>7627</v>
      </c>
      <c r="D3613" s="16" t="s">
        <v>7597</v>
      </c>
      <c r="E3613" s="16" t="s">
        <v>7508</v>
      </c>
      <c r="F3613" s="16" t="s">
        <v>7509</v>
      </c>
      <c r="G3613" s="16" t="s">
        <v>8251</v>
      </c>
      <c r="H3613" s="16"/>
      <c r="I3613" s="16"/>
      <c r="J3613" s="16"/>
      <c r="K3613" s="16"/>
      <c r="L3613" s="16"/>
      <c r="M3613" s="19" t="s">
        <v>7510</v>
      </c>
      <c r="N3613" s="16"/>
      <c r="O3613" s="16" t="s">
        <v>7511</v>
      </c>
      <c r="P3613" s="16" t="str">
        <f>HYPERLINK("https://ceds.ed.gov/cedselementdetails.aspx?termid=27951")</f>
        <v>https://ceds.ed.gov/cedselementdetails.aspx?termid=27951</v>
      </c>
      <c r="Q3613" s="16">
        <v>75485</v>
      </c>
    </row>
    <row r="3614" spans="1:17" ht="100.8" x14ac:dyDescent="0.3">
      <c r="A3614" s="16" t="s">
        <v>7751</v>
      </c>
      <c r="B3614" s="16" t="s">
        <v>7754</v>
      </c>
      <c r="C3614" s="16" t="s">
        <v>7603</v>
      </c>
      <c r="D3614" s="16" t="s">
        <v>7597</v>
      </c>
      <c r="E3614" s="16" t="s">
        <v>191</v>
      </c>
      <c r="F3614" s="16" t="s">
        <v>192</v>
      </c>
      <c r="G3614" s="16" t="s">
        <v>8295</v>
      </c>
      <c r="H3614" s="16" t="s">
        <v>195</v>
      </c>
      <c r="I3614" s="16"/>
      <c r="J3614" s="16" t="s">
        <v>81</v>
      </c>
      <c r="K3614" s="16"/>
      <c r="L3614" s="16"/>
      <c r="M3614" s="19" t="s">
        <v>193</v>
      </c>
      <c r="N3614" s="16"/>
      <c r="O3614" s="16" t="s">
        <v>194</v>
      </c>
      <c r="P3614" s="16" t="str">
        <f>HYPERLINK("https://ceds.ed.gov/cedselementdetails.aspx?termid=26698")</f>
        <v>https://ceds.ed.gov/cedselementdetails.aspx?termid=26698</v>
      </c>
      <c r="Q3614" s="16">
        <v>73539</v>
      </c>
    </row>
    <row r="3615" spans="1:17" ht="187.2" x14ac:dyDescent="0.3">
      <c r="A3615" s="16" t="s">
        <v>7751</v>
      </c>
      <c r="B3615" s="16" t="s">
        <v>7754</v>
      </c>
      <c r="C3615" s="16" t="s">
        <v>7603</v>
      </c>
      <c r="D3615" s="16" t="s">
        <v>7597</v>
      </c>
      <c r="E3615" s="16" t="s">
        <v>177</v>
      </c>
      <c r="F3615" s="16" t="s">
        <v>178</v>
      </c>
      <c r="G3615" s="16" t="s">
        <v>32</v>
      </c>
      <c r="H3615" s="16" t="s">
        <v>163</v>
      </c>
      <c r="I3615" s="16"/>
      <c r="J3615" s="16" t="s">
        <v>179</v>
      </c>
      <c r="K3615" s="16"/>
      <c r="L3615" s="16"/>
      <c r="M3615" s="19" t="s">
        <v>180</v>
      </c>
      <c r="N3615" s="16"/>
      <c r="O3615" s="16" t="s">
        <v>181</v>
      </c>
      <c r="P3615" s="16" t="str">
        <f>HYPERLINK("https://ceds.ed.gov/cedselementdetails.aspx?termid=26269")</f>
        <v>https://ceds.ed.gov/cedselementdetails.aspx?termid=26269</v>
      </c>
      <c r="Q3615" s="16">
        <v>73533</v>
      </c>
    </row>
    <row r="3616" spans="1:17" ht="187.2" x14ac:dyDescent="0.3">
      <c r="A3616" s="16" t="s">
        <v>7751</v>
      </c>
      <c r="B3616" s="16" t="s">
        <v>7754</v>
      </c>
      <c r="C3616" s="16" t="s">
        <v>7603</v>
      </c>
      <c r="D3616" s="16" t="s">
        <v>7597</v>
      </c>
      <c r="E3616" s="16" t="s">
        <v>158</v>
      </c>
      <c r="F3616" s="16" t="s">
        <v>159</v>
      </c>
      <c r="G3616" s="16" t="s">
        <v>32</v>
      </c>
      <c r="H3616" s="16" t="s">
        <v>163</v>
      </c>
      <c r="I3616" s="16"/>
      <c r="J3616" s="16" t="s">
        <v>145</v>
      </c>
      <c r="K3616" s="16"/>
      <c r="L3616" s="16"/>
      <c r="M3616" s="19" t="s">
        <v>161</v>
      </c>
      <c r="N3616" s="16"/>
      <c r="O3616" s="16" t="s">
        <v>162</v>
      </c>
      <c r="P3616" s="16" t="str">
        <f>HYPERLINK("https://ceds.ed.gov/cedselementdetails.aspx?termid=26019")</f>
        <v>https://ceds.ed.gov/cedselementdetails.aspx?termid=26019</v>
      </c>
      <c r="Q3616" s="16">
        <v>73534</v>
      </c>
    </row>
    <row r="3617" spans="1:17" ht="187.2" x14ac:dyDescent="0.3">
      <c r="A3617" s="16" t="s">
        <v>7751</v>
      </c>
      <c r="B3617" s="16" t="s">
        <v>7754</v>
      </c>
      <c r="C3617" s="16" t="s">
        <v>7603</v>
      </c>
      <c r="D3617" s="16" t="s">
        <v>7597</v>
      </c>
      <c r="E3617" s="16" t="s">
        <v>164</v>
      </c>
      <c r="F3617" s="16" t="s">
        <v>165</v>
      </c>
      <c r="G3617" s="16" t="s">
        <v>32</v>
      </c>
      <c r="H3617" s="16" t="s">
        <v>163</v>
      </c>
      <c r="I3617" s="16"/>
      <c r="J3617" s="16" t="s">
        <v>81</v>
      </c>
      <c r="K3617" s="16"/>
      <c r="L3617" s="16"/>
      <c r="M3617" s="19" t="s">
        <v>166</v>
      </c>
      <c r="N3617" s="16"/>
      <c r="O3617" s="16" t="s">
        <v>167</v>
      </c>
      <c r="P3617" s="16" t="str">
        <f>HYPERLINK("https://ceds.ed.gov/cedselementdetails.aspx?termid=26040")</f>
        <v>https://ceds.ed.gov/cedselementdetails.aspx?termid=26040</v>
      </c>
      <c r="Q3617" s="16">
        <v>73535</v>
      </c>
    </row>
    <row r="3618" spans="1:17" ht="409.6" x14ac:dyDescent="0.3">
      <c r="A3618" s="16" t="s">
        <v>7751</v>
      </c>
      <c r="B3618" s="16" t="s">
        <v>7754</v>
      </c>
      <c r="C3618" s="16" t="s">
        <v>7603</v>
      </c>
      <c r="D3618" s="16" t="s">
        <v>7597</v>
      </c>
      <c r="E3618" s="16" t="s">
        <v>6840</v>
      </c>
      <c r="F3618" s="16" t="s">
        <v>6841</v>
      </c>
      <c r="G3618" s="16" t="s">
        <v>8266</v>
      </c>
      <c r="H3618" s="16" t="s">
        <v>6844</v>
      </c>
      <c r="I3618" s="16"/>
      <c r="J3618" s="16"/>
      <c r="K3618" s="16"/>
      <c r="L3618" s="16"/>
      <c r="M3618" s="19" t="s">
        <v>6842</v>
      </c>
      <c r="N3618" s="16"/>
      <c r="O3618" s="16" t="s">
        <v>6843</v>
      </c>
      <c r="P3618" s="16" t="str">
        <f>HYPERLINK("https://ceds.ed.gov/cedselementdetails.aspx?termid=26267")</f>
        <v>https://ceds.ed.gov/cedselementdetails.aspx?termid=26267</v>
      </c>
      <c r="Q3618" s="16">
        <v>73537</v>
      </c>
    </row>
    <row r="3619" spans="1:17" ht="187.2" x14ac:dyDescent="0.3">
      <c r="A3619" s="16" t="s">
        <v>7751</v>
      </c>
      <c r="B3619" s="16" t="s">
        <v>7754</v>
      </c>
      <c r="C3619" s="16" t="s">
        <v>7603</v>
      </c>
      <c r="D3619" s="16" t="s">
        <v>7597</v>
      </c>
      <c r="E3619" s="16" t="s">
        <v>172</v>
      </c>
      <c r="F3619" s="16" t="s">
        <v>173</v>
      </c>
      <c r="G3619" s="16" t="s">
        <v>32</v>
      </c>
      <c r="H3619" s="16" t="s">
        <v>163</v>
      </c>
      <c r="I3619" s="16"/>
      <c r="J3619" s="16" t="s">
        <v>174</v>
      </c>
      <c r="K3619" s="16"/>
      <c r="L3619" s="16"/>
      <c r="M3619" s="19" t="s">
        <v>175</v>
      </c>
      <c r="N3619" s="16"/>
      <c r="O3619" s="16" t="s">
        <v>176</v>
      </c>
      <c r="P3619" s="16" t="str">
        <f>HYPERLINK("https://ceds.ed.gov/cedselementdetails.aspx?termid=26214")</f>
        <v>https://ceds.ed.gov/cedselementdetails.aspx?termid=26214</v>
      </c>
      <c r="Q3619" s="16">
        <v>73538</v>
      </c>
    </row>
    <row r="3620" spans="1:17" ht="187.2" x14ac:dyDescent="0.3">
      <c r="A3620" s="16" t="s">
        <v>7751</v>
      </c>
      <c r="B3620" s="16" t="s">
        <v>7754</v>
      </c>
      <c r="C3620" s="16" t="s">
        <v>7603</v>
      </c>
      <c r="D3620" s="16" t="s">
        <v>7597</v>
      </c>
      <c r="E3620" s="16" t="s">
        <v>168</v>
      </c>
      <c r="F3620" s="16" t="s">
        <v>169</v>
      </c>
      <c r="G3620" s="16" t="s">
        <v>32</v>
      </c>
      <c r="H3620" s="16" t="s">
        <v>163</v>
      </c>
      <c r="I3620" s="16"/>
      <c r="J3620" s="16" t="s">
        <v>81</v>
      </c>
      <c r="K3620" s="16"/>
      <c r="L3620" s="16"/>
      <c r="M3620" s="19" t="s">
        <v>170</v>
      </c>
      <c r="N3620" s="16"/>
      <c r="O3620" s="16" t="s">
        <v>171</v>
      </c>
      <c r="P3620" s="16" t="str">
        <f>HYPERLINK("https://ceds.ed.gov/cedselementdetails.aspx?termid=26190")</f>
        <v>https://ceds.ed.gov/cedselementdetails.aspx?termid=26190</v>
      </c>
      <c r="Q3620" s="16">
        <v>73536</v>
      </c>
    </row>
    <row r="3621" spans="1:17" ht="409.6" x14ac:dyDescent="0.3">
      <c r="A3621" s="16" t="s">
        <v>7751</v>
      </c>
      <c r="B3621" s="16" t="s">
        <v>7754</v>
      </c>
      <c r="C3621" s="16" t="s">
        <v>7603</v>
      </c>
      <c r="D3621" s="16" t="s">
        <v>7597</v>
      </c>
      <c r="E3621" s="16" t="s">
        <v>2483</v>
      </c>
      <c r="F3621" s="16" t="s">
        <v>2484</v>
      </c>
      <c r="G3621" s="16" t="s">
        <v>8454</v>
      </c>
      <c r="H3621" s="16" t="s">
        <v>2487</v>
      </c>
      <c r="I3621" s="16"/>
      <c r="J3621" s="16"/>
      <c r="K3621" s="16"/>
      <c r="L3621" s="16" t="s">
        <v>7915</v>
      </c>
      <c r="M3621" s="19" t="s">
        <v>2485</v>
      </c>
      <c r="N3621" s="16"/>
      <c r="O3621" s="16" t="s">
        <v>2486</v>
      </c>
      <c r="P3621" s="16" t="str">
        <f>HYPERLINK("https://ceds.ed.gov/cedselementdetails.aspx?termid=26050")</f>
        <v>https://ceds.ed.gov/cedselementdetails.aspx?termid=26050</v>
      </c>
      <c r="Q3621" s="16">
        <v>73540</v>
      </c>
    </row>
    <row r="3622" spans="1:17" ht="57.6" x14ac:dyDescent="0.3">
      <c r="A3622" s="16" t="s">
        <v>7751</v>
      </c>
      <c r="B3622" s="16" t="s">
        <v>7754</v>
      </c>
      <c r="C3622" s="16" t="s">
        <v>7603</v>
      </c>
      <c r="D3622" s="16" t="s">
        <v>7597</v>
      </c>
      <c r="E3622" s="16" t="s">
        <v>4902</v>
      </c>
      <c r="F3622" s="16" t="s">
        <v>4903</v>
      </c>
      <c r="G3622" s="16" t="s">
        <v>32</v>
      </c>
      <c r="H3622" s="16"/>
      <c r="I3622" s="16"/>
      <c r="J3622" s="16" t="s">
        <v>1130</v>
      </c>
      <c r="K3622" s="16"/>
      <c r="L3622" s="16"/>
      <c r="M3622" s="19" t="s">
        <v>4904</v>
      </c>
      <c r="N3622" s="16"/>
      <c r="O3622" s="16" t="s">
        <v>4902</v>
      </c>
      <c r="P3622" s="16" t="str">
        <f>HYPERLINK("https://ceds.ed.gov/cedselementdetails.aspx?termid=26599")</f>
        <v>https://ceds.ed.gov/cedselementdetails.aspx?termid=26599</v>
      </c>
      <c r="Q3622" s="16">
        <v>74270</v>
      </c>
    </row>
    <row r="3623" spans="1:17" ht="57.6" x14ac:dyDescent="0.3">
      <c r="A3623" s="16" t="s">
        <v>7751</v>
      </c>
      <c r="B3623" s="16" t="s">
        <v>7754</v>
      </c>
      <c r="C3623" s="16" t="s">
        <v>7603</v>
      </c>
      <c r="D3623" s="16" t="s">
        <v>7597</v>
      </c>
      <c r="E3623" s="16" t="s">
        <v>5285</v>
      </c>
      <c r="F3623" s="16" t="s">
        <v>5286</v>
      </c>
      <c r="G3623" s="16" t="s">
        <v>32</v>
      </c>
      <c r="H3623" s="16"/>
      <c r="I3623" s="16"/>
      <c r="J3623" s="16" t="s">
        <v>1130</v>
      </c>
      <c r="K3623" s="16"/>
      <c r="L3623" s="16"/>
      <c r="M3623" s="19" t="s">
        <v>5287</v>
      </c>
      <c r="N3623" s="16"/>
      <c r="O3623" s="16" t="s">
        <v>5285</v>
      </c>
      <c r="P3623" s="16" t="str">
        <f>HYPERLINK("https://ceds.ed.gov/cedselementdetails.aspx?termid=26600")</f>
        <v>https://ceds.ed.gov/cedselementdetails.aspx?termid=26600</v>
      </c>
      <c r="Q3623" s="16">
        <v>74293</v>
      </c>
    </row>
    <row r="3624" spans="1:17" ht="158.4" x14ac:dyDescent="0.3">
      <c r="A3624" s="16" t="s">
        <v>7751</v>
      </c>
      <c r="B3624" s="16" t="s">
        <v>7754</v>
      </c>
      <c r="C3624" s="16" t="s">
        <v>7603</v>
      </c>
      <c r="D3624" s="16" t="s">
        <v>7597</v>
      </c>
      <c r="E3624" s="16" t="s">
        <v>2493</v>
      </c>
      <c r="F3624" s="16" t="s">
        <v>2494</v>
      </c>
      <c r="G3624" s="16" t="s">
        <v>32</v>
      </c>
      <c r="H3624" s="16"/>
      <c r="I3624" s="16"/>
      <c r="J3624" s="16" t="s">
        <v>2495</v>
      </c>
      <c r="K3624" s="16"/>
      <c r="L3624" s="16"/>
      <c r="M3624" s="19" t="s">
        <v>2496</v>
      </c>
      <c r="N3624" s="16"/>
      <c r="O3624" s="16" t="s">
        <v>2497</v>
      </c>
      <c r="P3624" s="16" t="str">
        <f>HYPERLINK("https://ceds.ed.gov/cedselementdetails.aspx?termid=27176")</f>
        <v>https://ceds.ed.gov/cedselementdetails.aspx?termid=27176</v>
      </c>
      <c r="Q3624" s="16">
        <v>75230</v>
      </c>
    </row>
    <row r="3625" spans="1:17" ht="57.6" x14ac:dyDescent="0.3">
      <c r="A3625" s="16" t="s">
        <v>7751</v>
      </c>
      <c r="B3625" s="16" t="s">
        <v>7754</v>
      </c>
      <c r="C3625" s="16" t="s">
        <v>7603</v>
      </c>
      <c r="D3625" s="16" t="s">
        <v>7597</v>
      </c>
      <c r="E3625" s="16" t="s">
        <v>3175</v>
      </c>
      <c r="F3625" s="16" t="s">
        <v>3176</v>
      </c>
      <c r="G3625" s="16" t="s">
        <v>2987</v>
      </c>
      <c r="H3625" s="16"/>
      <c r="I3625" s="16"/>
      <c r="J3625" s="16"/>
      <c r="K3625" s="16"/>
      <c r="L3625" s="16"/>
      <c r="M3625" s="19" t="s">
        <v>3177</v>
      </c>
      <c r="N3625" s="16"/>
      <c r="O3625" s="16" t="s">
        <v>3178</v>
      </c>
      <c r="P3625" s="16" t="str">
        <f>HYPERLINK("https://ceds.ed.gov/cedselementdetails.aspx?termid=27905")</f>
        <v>https://ceds.ed.gov/cedselementdetails.aspx?termid=27905</v>
      </c>
      <c r="Q3625" s="16">
        <v>75231</v>
      </c>
    </row>
    <row r="3626" spans="1:17" ht="72" x14ac:dyDescent="0.3">
      <c r="A3626" s="16" t="s">
        <v>7751</v>
      </c>
      <c r="B3626" s="16" t="s">
        <v>7754</v>
      </c>
      <c r="C3626" s="16" t="s">
        <v>7605</v>
      </c>
      <c r="D3626" s="16" t="s">
        <v>7597</v>
      </c>
      <c r="E3626" s="16" t="s">
        <v>3406</v>
      </c>
      <c r="F3626" s="16" t="s">
        <v>3407</v>
      </c>
      <c r="G3626" s="16" t="s">
        <v>32</v>
      </c>
      <c r="H3626" s="16" t="s">
        <v>64</v>
      </c>
      <c r="I3626" s="16"/>
      <c r="J3626" s="16" t="s">
        <v>3408</v>
      </c>
      <c r="K3626" s="16"/>
      <c r="L3626" s="16"/>
      <c r="M3626" s="19" t="s">
        <v>3409</v>
      </c>
      <c r="N3626" s="16" t="s">
        <v>3410</v>
      </c>
      <c r="O3626" s="16" t="s">
        <v>3411</v>
      </c>
      <c r="P3626" s="16" t="str">
        <f>HYPERLINK("https://ceds.ed.gov/cedselementdetails.aspx?termid=26088")</f>
        <v>https://ceds.ed.gov/cedselementdetails.aspx?termid=26088</v>
      </c>
      <c r="Q3626" s="16">
        <v>73541</v>
      </c>
    </row>
    <row r="3627" spans="1:17" ht="72" x14ac:dyDescent="0.3">
      <c r="A3627" s="16" t="s">
        <v>7751</v>
      </c>
      <c r="B3627" s="16" t="s">
        <v>7754</v>
      </c>
      <c r="C3627" s="16" t="s">
        <v>7605</v>
      </c>
      <c r="D3627" s="16" t="s">
        <v>7597</v>
      </c>
      <c r="E3627" s="16" t="s">
        <v>3412</v>
      </c>
      <c r="F3627" s="16" t="s">
        <v>3413</v>
      </c>
      <c r="G3627" s="16" t="s">
        <v>9330</v>
      </c>
      <c r="H3627" s="16" t="s">
        <v>64</v>
      </c>
      <c r="I3627" s="16"/>
      <c r="J3627" s="16"/>
      <c r="K3627" s="16"/>
      <c r="L3627" s="16"/>
      <c r="M3627" s="19" t="s">
        <v>3414</v>
      </c>
      <c r="N3627" s="16" t="s">
        <v>3415</v>
      </c>
      <c r="O3627" s="16" t="s">
        <v>3416</v>
      </c>
      <c r="P3627" s="16" t="str">
        <f>HYPERLINK("https://ceds.ed.gov/cedselementdetails.aspx?termid=26089")</f>
        <v>https://ceds.ed.gov/cedselementdetails.aspx?termid=26089</v>
      </c>
      <c r="Q3627" s="16">
        <v>73542</v>
      </c>
    </row>
    <row r="3628" spans="1:17" ht="57.6" x14ac:dyDescent="0.3">
      <c r="A3628" s="16" t="s">
        <v>7751</v>
      </c>
      <c r="B3628" s="16" t="s">
        <v>7754</v>
      </c>
      <c r="C3628" s="16" t="s">
        <v>7605</v>
      </c>
      <c r="D3628" s="16" t="s">
        <v>7597</v>
      </c>
      <c r="E3628" s="16" t="s">
        <v>3175</v>
      </c>
      <c r="F3628" s="16" t="s">
        <v>3176</v>
      </c>
      <c r="G3628" s="16" t="s">
        <v>2987</v>
      </c>
      <c r="H3628" s="16"/>
      <c r="I3628" s="16"/>
      <c r="J3628" s="16"/>
      <c r="K3628" s="16"/>
      <c r="L3628" s="16"/>
      <c r="M3628" s="19" t="s">
        <v>3177</v>
      </c>
      <c r="N3628" s="16"/>
      <c r="O3628" s="16" t="s">
        <v>3178</v>
      </c>
      <c r="P3628" s="16" t="str">
        <f>HYPERLINK("https://ceds.ed.gov/cedselementdetails.aspx?termid=27905")</f>
        <v>https://ceds.ed.gov/cedselementdetails.aspx?termid=27905</v>
      </c>
      <c r="Q3628" s="16">
        <v>75232</v>
      </c>
    </row>
    <row r="3629" spans="1:17" ht="72" x14ac:dyDescent="0.3">
      <c r="A3629" s="16" t="s">
        <v>7751</v>
      </c>
      <c r="B3629" s="16" t="s">
        <v>7754</v>
      </c>
      <c r="C3629" s="16" t="s">
        <v>7604</v>
      </c>
      <c r="D3629" s="16" t="s">
        <v>7597</v>
      </c>
      <c r="E3629" s="16" t="s">
        <v>7053</v>
      </c>
      <c r="F3629" s="16" t="s">
        <v>7054</v>
      </c>
      <c r="G3629" s="16" t="s">
        <v>32</v>
      </c>
      <c r="H3629" s="16" t="s">
        <v>64</v>
      </c>
      <c r="I3629" s="16"/>
      <c r="J3629" s="16" t="s">
        <v>7055</v>
      </c>
      <c r="K3629" s="16"/>
      <c r="L3629" s="16"/>
      <c r="M3629" s="19" t="s">
        <v>7056</v>
      </c>
      <c r="N3629" s="16"/>
      <c r="O3629" s="16" t="s">
        <v>7057</v>
      </c>
      <c r="P3629" s="16" t="str">
        <f>HYPERLINK("https://ceds.ed.gov/cedselementdetails.aspx?termid=26279")</f>
        <v>https://ceds.ed.gov/cedselementdetails.aspx?termid=26279</v>
      </c>
      <c r="Q3629" s="16">
        <v>73545</v>
      </c>
    </row>
    <row r="3630" spans="1:17" ht="86.4" x14ac:dyDescent="0.3">
      <c r="A3630" s="16" t="s">
        <v>7751</v>
      </c>
      <c r="B3630" s="16" t="s">
        <v>7754</v>
      </c>
      <c r="C3630" s="16" t="s">
        <v>7604</v>
      </c>
      <c r="D3630" s="16" t="s">
        <v>7597</v>
      </c>
      <c r="E3630" s="16" t="s">
        <v>7062</v>
      </c>
      <c r="F3630" s="16" t="s">
        <v>7063</v>
      </c>
      <c r="G3630" s="16" t="s">
        <v>8849</v>
      </c>
      <c r="H3630" s="16" t="s">
        <v>64</v>
      </c>
      <c r="I3630" s="16"/>
      <c r="J3630" s="16" t="s">
        <v>2500</v>
      </c>
      <c r="K3630" s="16"/>
      <c r="L3630" s="16"/>
      <c r="M3630" s="19" t="s">
        <v>7064</v>
      </c>
      <c r="N3630" s="16"/>
      <c r="O3630" s="16" t="s">
        <v>7065</v>
      </c>
      <c r="P3630" s="16" t="str">
        <f>HYPERLINK("https://ceds.ed.gov/cedselementdetails.aspx?termid=26280")</f>
        <v>https://ceds.ed.gov/cedselementdetails.aspx?termid=26280</v>
      </c>
      <c r="Q3630" s="16">
        <v>73543</v>
      </c>
    </row>
    <row r="3631" spans="1:17" ht="72" x14ac:dyDescent="0.3">
      <c r="A3631" s="16" t="s">
        <v>7751</v>
      </c>
      <c r="B3631" s="16" t="s">
        <v>7754</v>
      </c>
      <c r="C3631" s="16" t="s">
        <v>7604</v>
      </c>
      <c r="D3631" s="16" t="s">
        <v>7597</v>
      </c>
      <c r="E3631" s="16" t="s">
        <v>5865</v>
      </c>
      <c r="F3631" s="16" t="s">
        <v>5866</v>
      </c>
      <c r="G3631" s="16" t="s">
        <v>22</v>
      </c>
      <c r="H3631" s="16" t="s">
        <v>64</v>
      </c>
      <c r="I3631" s="16"/>
      <c r="J3631" s="16"/>
      <c r="K3631" s="16"/>
      <c r="L3631" s="16"/>
      <c r="M3631" s="19" t="s">
        <v>5867</v>
      </c>
      <c r="N3631" s="16"/>
      <c r="O3631" s="16" t="s">
        <v>5868</v>
      </c>
      <c r="P3631" s="16" t="str">
        <f>HYPERLINK("https://ceds.ed.gov/cedselementdetails.aspx?termid=26219")</f>
        <v>https://ceds.ed.gov/cedselementdetails.aspx?termid=26219</v>
      </c>
      <c r="Q3631" s="16">
        <v>73544</v>
      </c>
    </row>
    <row r="3632" spans="1:17" ht="57.6" x14ac:dyDescent="0.3">
      <c r="A3632" s="16" t="s">
        <v>7751</v>
      </c>
      <c r="B3632" s="16" t="s">
        <v>7754</v>
      </c>
      <c r="C3632" s="16" t="s">
        <v>7604</v>
      </c>
      <c r="D3632" s="16" t="s">
        <v>7597</v>
      </c>
      <c r="E3632" s="16" t="s">
        <v>3175</v>
      </c>
      <c r="F3632" s="16" t="s">
        <v>3176</v>
      </c>
      <c r="G3632" s="16" t="s">
        <v>2987</v>
      </c>
      <c r="H3632" s="16"/>
      <c r="I3632" s="16"/>
      <c r="J3632" s="16"/>
      <c r="K3632" s="16"/>
      <c r="L3632" s="16"/>
      <c r="M3632" s="19" t="s">
        <v>3177</v>
      </c>
      <c r="N3632" s="16"/>
      <c r="O3632" s="16" t="s">
        <v>3178</v>
      </c>
      <c r="P3632" s="16" t="str">
        <f>HYPERLINK("https://ceds.ed.gov/cedselementdetails.aspx?termid=27905")</f>
        <v>https://ceds.ed.gov/cedselementdetails.aspx?termid=27905</v>
      </c>
      <c r="Q3632" s="16">
        <v>75233</v>
      </c>
    </row>
    <row r="3633" spans="1:17" ht="57.6" x14ac:dyDescent="0.3">
      <c r="A3633" s="16" t="s">
        <v>7751</v>
      </c>
      <c r="B3633" s="16" t="s">
        <v>7754</v>
      </c>
      <c r="C3633" s="16" t="s">
        <v>7604</v>
      </c>
      <c r="D3633" s="16" t="s">
        <v>7597</v>
      </c>
      <c r="E3633" s="16" t="s">
        <v>7058</v>
      </c>
      <c r="F3633" s="16" t="s">
        <v>7059</v>
      </c>
      <c r="G3633" s="16" t="s">
        <v>8848</v>
      </c>
      <c r="H3633" s="16"/>
      <c r="I3633" s="16"/>
      <c r="J3633" s="16"/>
      <c r="K3633" s="16"/>
      <c r="L3633" s="16"/>
      <c r="M3633" s="19" t="s">
        <v>7060</v>
      </c>
      <c r="N3633" s="16"/>
      <c r="O3633" s="16" t="s">
        <v>7061</v>
      </c>
      <c r="P3633" s="16" t="str">
        <f>HYPERLINK("https://ceds.ed.gov/cedselementdetails.aspx?termid=27911")</f>
        <v>https://ceds.ed.gov/cedselementdetails.aspx?termid=27911</v>
      </c>
      <c r="Q3633" s="16">
        <v>75234</v>
      </c>
    </row>
    <row r="3634" spans="1:17" ht="129.6" x14ac:dyDescent="0.3">
      <c r="A3634" s="16" t="s">
        <v>7751</v>
      </c>
      <c r="B3634" s="16" t="s">
        <v>7754</v>
      </c>
      <c r="C3634" s="16" t="s">
        <v>7659</v>
      </c>
      <c r="D3634" s="16" t="s">
        <v>7597</v>
      </c>
      <c r="E3634" s="16" t="s">
        <v>2910</v>
      </c>
      <c r="F3634" s="16" t="s">
        <v>2911</v>
      </c>
      <c r="G3634" s="16" t="s">
        <v>13481</v>
      </c>
      <c r="H3634" s="16"/>
      <c r="I3634" s="16" t="s">
        <v>160</v>
      </c>
      <c r="J3634" s="16"/>
      <c r="K3634" s="16" t="s">
        <v>12934</v>
      </c>
      <c r="L3634" s="16"/>
      <c r="M3634" s="19" t="s">
        <v>2912</v>
      </c>
      <c r="N3634" s="16"/>
      <c r="O3634" s="16" t="s">
        <v>2913</v>
      </c>
      <c r="P3634" s="16" t="str">
        <f>HYPERLINK("https://ceds.ed.gov/cedselementdetails.aspx?termid=26071")</f>
        <v>https://ceds.ed.gov/cedselementdetails.aspx?termid=26071</v>
      </c>
      <c r="Q3634" s="16">
        <v>73557</v>
      </c>
    </row>
    <row r="3635" spans="1:17" ht="187.2" x14ac:dyDescent="0.3">
      <c r="A3635" s="16" t="s">
        <v>7751</v>
      </c>
      <c r="B3635" s="16" t="s">
        <v>7754</v>
      </c>
      <c r="C3635" s="16" t="s">
        <v>7659</v>
      </c>
      <c r="D3635" s="16" t="s">
        <v>7597</v>
      </c>
      <c r="E3635" s="16" t="s">
        <v>7025</v>
      </c>
      <c r="F3635" s="16" t="s">
        <v>7026</v>
      </c>
      <c r="G3635" s="16" t="s">
        <v>8844</v>
      </c>
      <c r="H3635" s="16" t="s">
        <v>343</v>
      </c>
      <c r="I3635" s="16"/>
      <c r="J3635" s="16"/>
      <c r="K3635" s="16"/>
      <c r="L3635" s="16"/>
      <c r="M3635" s="19" t="s">
        <v>7027</v>
      </c>
      <c r="N3635" s="16"/>
      <c r="O3635" s="16" t="s">
        <v>7028</v>
      </c>
      <c r="P3635" s="16" t="str">
        <f>HYPERLINK("https://ceds.ed.gov/cedselementdetails.aspx?termid=26277")</f>
        <v>https://ceds.ed.gov/cedselementdetails.aspx?termid=26277</v>
      </c>
      <c r="Q3635" s="16">
        <v>73559</v>
      </c>
    </row>
    <row r="3636" spans="1:17" ht="57.6" x14ac:dyDescent="0.3">
      <c r="A3636" s="16" t="s">
        <v>7751</v>
      </c>
      <c r="B3636" s="16" t="s">
        <v>7754</v>
      </c>
      <c r="C3636" s="16" t="s">
        <v>7659</v>
      </c>
      <c r="D3636" s="16" t="s">
        <v>7597</v>
      </c>
      <c r="E3636" s="16" t="s">
        <v>1870</v>
      </c>
      <c r="F3636" s="16" t="s">
        <v>1871</v>
      </c>
      <c r="G3636" s="16" t="s">
        <v>22</v>
      </c>
      <c r="H3636" s="16"/>
      <c r="I3636" s="16"/>
      <c r="J3636" s="16"/>
      <c r="K3636" s="16"/>
      <c r="L3636" s="16"/>
      <c r="M3636" s="19" t="s">
        <v>1873</v>
      </c>
      <c r="N3636" s="16" t="s">
        <v>1874</v>
      </c>
      <c r="O3636" s="16" t="s">
        <v>1875</v>
      </c>
      <c r="P3636" s="16" t="str">
        <f>HYPERLINK("https://ceds.ed.gov/cedselementdetails.aspx?termid=27284")</f>
        <v>https://ceds.ed.gov/cedselementdetails.aspx?termid=27284</v>
      </c>
      <c r="Q3636" s="16">
        <v>73558</v>
      </c>
    </row>
    <row r="3637" spans="1:17" ht="43.2" x14ac:dyDescent="0.3">
      <c r="A3637" s="16" t="s">
        <v>7751</v>
      </c>
      <c r="B3637" s="16" t="s">
        <v>7754</v>
      </c>
      <c r="C3637" s="16" t="s">
        <v>7659</v>
      </c>
      <c r="D3637" s="16" t="s">
        <v>7597</v>
      </c>
      <c r="E3637" s="16" t="s">
        <v>2871</v>
      </c>
      <c r="F3637" s="16" t="s">
        <v>2872</v>
      </c>
      <c r="G3637" s="16" t="s">
        <v>32</v>
      </c>
      <c r="H3637" s="16" t="s">
        <v>195</v>
      </c>
      <c r="I3637" s="16"/>
      <c r="J3637" s="16" t="s">
        <v>106</v>
      </c>
      <c r="K3637" s="16"/>
      <c r="L3637" s="16"/>
      <c r="M3637" s="19" t="s">
        <v>2873</v>
      </c>
      <c r="N3637" s="16"/>
      <c r="O3637" s="16" t="s">
        <v>2874</v>
      </c>
      <c r="P3637" s="16" t="str">
        <f>HYPERLINK("https://ceds.ed.gov/cedselementdetails.aspx?termid=26069")</f>
        <v>https://ceds.ed.gov/cedselementdetails.aspx?termid=26069</v>
      </c>
      <c r="Q3637" s="16">
        <v>75480</v>
      </c>
    </row>
    <row r="3638" spans="1:17" ht="409.6" x14ac:dyDescent="0.3">
      <c r="A3638" s="16" t="s">
        <v>7751</v>
      </c>
      <c r="B3638" s="16" t="s">
        <v>7754</v>
      </c>
      <c r="C3638" s="16" t="s">
        <v>7628</v>
      </c>
      <c r="D3638" s="16" t="s">
        <v>7597</v>
      </c>
      <c r="E3638" s="16" t="s">
        <v>2488</v>
      </c>
      <c r="F3638" s="16" t="s">
        <v>2489</v>
      </c>
      <c r="G3638" s="16" t="s">
        <v>8454</v>
      </c>
      <c r="H3638" s="16" t="s">
        <v>2492</v>
      </c>
      <c r="I3638" s="16"/>
      <c r="J3638" s="16"/>
      <c r="K3638" s="16"/>
      <c r="L3638" s="16" t="s">
        <v>7915</v>
      </c>
      <c r="M3638" s="19" t="s">
        <v>2490</v>
      </c>
      <c r="N3638" s="16"/>
      <c r="O3638" s="16" t="s">
        <v>2491</v>
      </c>
      <c r="P3638" s="16" t="str">
        <f>HYPERLINK("https://ceds.ed.gov/cedselementdetails.aspx?termid=26051")</f>
        <v>https://ceds.ed.gov/cedselementdetails.aspx?termid=26051</v>
      </c>
      <c r="Q3638" s="16">
        <v>75235</v>
      </c>
    </row>
    <row r="3639" spans="1:17" ht="57.6" x14ac:dyDescent="0.3">
      <c r="A3639" s="16" t="s">
        <v>7751</v>
      </c>
      <c r="B3639" s="16" t="s">
        <v>7754</v>
      </c>
      <c r="C3639" s="16" t="s">
        <v>7628</v>
      </c>
      <c r="D3639" s="16" t="s">
        <v>7597</v>
      </c>
      <c r="E3639" s="16" t="s">
        <v>7181</v>
      </c>
      <c r="F3639" s="16" t="s">
        <v>7182</v>
      </c>
      <c r="G3639" s="16" t="s">
        <v>7313</v>
      </c>
      <c r="H3639" s="16"/>
      <c r="I3639" s="16"/>
      <c r="J3639" s="16"/>
      <c r="K3639" s="16"/>
      <c r="L3639" s="16"/>
      <c r="M3639" s="19" t="s">
        <v>7183</v>
      </c>
      <c r="N3639" s="16"/>
      <c r="O3639" s="16" t="s">
        <v>7184</v>
      </c>
      <c r="P3639" s="16" t="str">
        <f>HYPERLINK("https://ceds.ed.gov/cedselementdetails.aspx?termid=27638")</f>
        <v>https://ceds.ed.gov/cedselementdetails.aspx?termid=27638</v>
      </c>
      <c r="Q3639" s="16">
        <v>75236</v>
      </c>
    </row>
    <row r="3640" spans="1:17" ht="201.6" x14ac:dyDescent="0.3">
      <c r="A3640" s="16" t="s">
        <v>7751</v>
      </c>
      <c r="B3640" s="16" t="s">
        <v>7754</v>
      </c>
      <c r="C3640" s="16" t="s">
        <v>7628</v>
      </c>
      <c r="D3640" s="16" t="s">
        <v>7597</v>
      </c>
      <c r="E3640" s="16" t="s">
        <v>1507</v>
      </c>
      <c r="F3640" s="16" t="s">
        <v>1508</v>
      </c>
      <c r="G3640" s="16" t="s">
        <v>32</v>
      </c>
      <c r="H3640" s="16" t="s">
        <v>1510</v>
      </c>
      <c r="I3640" s="16"/>
      <c r="J3640" s="16" t="s">
        <v>106</v>
      </c>
      <c r="K3640" s="16"/>
      <c r="L3640" s="16"/>
      <c r="M3640" s="19" t="s">
        <v>1509</v>
      </c>
      <c r="N3640" s="16"/>
      <c r="O3640" s="16" t="s">
        <v>1507</v>
      </c>
      <c r="P3640" s="16" t="str">
        <f>HYPERLINK("https://ceds.ed.gov/cedselementdetails.aspx?termid=26033")</f>
        <v>https://ceds.ed.gov/cedselementdetails.aspx?termid=26033</v>
      </c>
      <c r="Q3640" s="16">
        <v>75481</v>
      </c>
    </row>
    <row r="3641" spans="1:17" ht="115.2" x14ac:dyDescent="0.3">
      <c r="A3641" s="16" t="s">
        <v>7751</v>
      </c>
      <c r="B3641" s="16" t="s">
        <v>7754</v>
      </c>
      <c r="C3641" s="16" t="s">
        <v>7628</v>
      </c>
      <c r="D3641" s="16" t="s">
        <v>7597</v>
      </c>
      <c r="E3641" s="16" t="s">
        <v>7422</v>
      </c>
      <c r="F3641" s="16" t="s">
        <v>7423</v>
      </c>
      <c r="G3641" s="16" t="s">
        <v>2987</v>
      </c>
      <c r="H3641" s="16"/>
      <c r="I3641" s="16"/>
      <c r="J3641" s="16"/>
      <c r="K3641" s="16"/>
      <c r="L3641" s="16"/>
      <c r="M3641" s="19" t="s">
        <v>7424</v>
      </c>
      <c r="N3641" s="16"/>
      <c r="O3641" s="16" t="s">
        <v>7425</v>
      </c>
      <c r="P3641" s="16" t="str">
        <f>HYPERLINK("https://ceds.ed.gov/cedselementdetails.aspx?termid=27933")</f>
        <v>https://ceds.ed.gov/cedselementdetails.aspx?termid=27933</v>
      </c>
      <c r="Q3641" s="16">
        <v>75482</v>
      </c>
    </row>
    <row r="3642" spans="1:17" ht="144" x14ac:dyDescent="0.3">
      <c r="A3642" s="16" t="s">
        <v>7751</v>
      </c>
      <c r="B3642" s="16" t="s">
        <v>7754</v>
      </c>
      <c r="C3642" s="16" t="s">
        <v>7628</v>
      </c>
      <c r="D3642" s="16" t="s">
        <v>7597</v>
      </c>
      <c r="E3642" s="16" t="s">
        <v>7527</v>
      </c>
      <c r="F3642" s="16" t="s">
        <v>7528</v>
      </c>
      <c r="G3642" s="16" t="s">
        <v>8811</v>
      </c>
      <c r="H3642" s="16"/>
      <c r="I3642" s="16"/>
      <c r="J3642" s="16"/>
      <c r="K3642" s="16"/>
      <c r="L3642" s="16" t="s">
        <v>7529</v>
      </c>
      <c r="M3642" s="19" t="s">
        <v>7530</v>
      </c>
      <c r="N3642" s="16"/>
      <c r="O3642" s="16" t="s">
        <v>7527</v>
      </c>
      <c r="P3642" s="16" t="str">
        <f>HYPERLINK("https://ceds.ed.gov/cedselementdetails.aspx?termid=27955")</f>
        <v>https://ceds.ed.gov/cedselementdetails.aspx?termid=27955</v>
      </c>
      <c r="Q3642" s="16">
        <v>75483</v>
      </c>
    </row>
    <row r="3643" spans="1:17" ht="409.6" x14ac:dyDescent="0.3">
      <c r="A3643" s="16" t="s">
        <v>7751</v>
      </c>
      <c r="B3643" s="16" t="s">
        <v>7754</v>
      </c>
      <c r="C3643" s="16" t="s">
        <v>7658</v>
      </c>
      <c r="D3643" s="16" t="s">
        <v>7597</v>
      </c>
      <c r="E3643" s="16" t="s">
        <v>3491</v>
      </c>
      <c r="F3643" s="16" t="s">
        <v>3267</v>
      </c>
      <c r="G3643" s="16" t="s">
        <v>8552</v>
      </c>
      <c r="H3643" s="16"/>
      <c r="I3643" s="16"/>
      <c r="J3643" s="16"/>
      <c r="K3643" s="16"/>
      <c r="L3643" s="16"/>
      <c r="M3643" s="19" t="s">
        <v>3492</v>
      </c>
      <c r="N3643" s="16"/>
      <c r="O3643" s="16" t="s">
        <v>3493</v>
      </c>
      <c r="P3643" s="16" t="str">
        <f>HYPERLINK("https://ceds.ed.gov/cedselementdetails.aspx?termid=26613")</f>
        <v>https://ceds.ed.gov/cedselementdetails.aspx?termid=26613</v>
      </c>
      <c r="Q3643" s="16">
        <v>75237</v>
      </c>
    </row>
    <row r="3644" spans="1:17" ht="115.2" x14ac:dyDescent="0.3">
      <c r="A3644" s="16" t="s">
        <v>7751</v>
      </c>
      <c r="B3644" s="16" t="s">
        <v>7754</v>
      </c>
      <c r="C3644" s="16" t="s">
        <v>7658</v>
      </c>
      <c r="D3644" s="16" t="s">
        <v>7597</v>
      </c>
      <c r="E3644" s="16" t="s">
        <v>6823</v>
      </c>
      <c r="F3644" s="16" t="s">
        <v>8155</v>
      </c>
      <c r="G3644" s="16" t="s">
        <v>32</v>
      </c>
      <c r="H3644" s="16" t="s">
        <v>69</v>
      </c>
      <c r="I3644" s="16"/>
      <c r="J3644" s="16" t="s">
        <v>6824</v>
      </c>
      <c r="K3644" s="16"/>
      <c r="L3644" s="16"/>
      <c r="M3644" s="19" t="s">
        <v>6825</v>
      </c>
      <c r="N3644" s="16"/>
      <c r="O3644" s="16" t="s">
        <v>6826</v>
      </c>
      <c r="P3644" s="16" t="str">
        <f>HYPERLINK("https://ceds.ed.gov/cedselementdetails.aspx?termid=26707")</f>
        <v>https://ceds.ed.gov/cedselementdetails.aspx?termid=26707</v>
      </c>
      <c r="Q3644" s="16">
        <v>75238</v>
      </c>
    </row>
    <row r="3645" spans="1:17" ht="230.4" x14ac:dyDescent="0.3">
      <c r="A3645" s="16" t="s">
        <v>7751</v>
      </c>
      <c r="B3645" s="16" t="s">
        <v>7754</v>
      </c>
      <c r="C3645" s="16" t="s">
        <v>7658</v>
      </c>
      <c r="D3645" s="16" t="s">
        <v>7597</v>
      </c>
      <c r="E3645" s="16" t="s">
        <v>7543</v>
      </c>
      <c r="F3645" s="16" t="s">
        <v>7544</v>
      </c>
      <c r="G3645" s="16" t="s">
        <v>13093</v>
      </c>
      <c r="H3645" s="16"/>
      <c r="I3645" s="16" t="s">
        <v>160</v>
      </c>
      <c r="J3645" s="16"/>
      <c r="K3645" s="16" t="s">
        <v>12951</v>
      </c>
      <c r="L3645" s="16"/>
      <c r="M3645" s="19" t="s">
        <v>7545</v>
      </c>
      <c r="N3645" s="16"/>
      <c r="O3645" s="16" t="s">
        <v>7543</v>
      </c>
      <c r="P3645" s="16" t="str">
        <f>HYPERLINK("https://ceds.ed.gov/cedselementdetails.aspx?termid=27959")</f>
        <v>https://ceds.ed.gov/cedselementdetails.aspx?termid=27959</v>
      </c>
      <c r="Q3645" s="16">
        <v>75484</v>
      </c>
    </row>
    <row r="3646" spans="1:17" ht="72" x14ac:dyDescent="0.3">
      <c r="A3646" s="16" t="s">
        <v>7751</v>
      </c>
      <c r="B3646" s="16" t="s">
        <v>7754</v>
      </c>
      <c r="C3646" s="16" t="s">
        <v>7658</v>
      </c>
      <c r="D3646" s="16" t="s">
        <v>7597</v>
      </c>
      <c r="E3646" s="16" t="s">
        <v>8974</v>
      </c>
      <c r="F3646" s="16" t="s">
        <v>8975</v>
      </c>
      <c r="G3646" s="16" t="s">
        <v>32</v>
      </c>
      <c r="H3646" s="16"/>
      <c r="I3646" s="16"/>
      <c r="J3646" s="16" t="s">
        <v>120</v>
      </c>
      <c r="K3646" s="16"/>
      <c r="L3646" s="16" t="s">
        <v>8976</v>
      </c>
      <c r="M3646" s="19" t="s">
        <v>8977</v>
      </c>
      <c r="N3646" s="16"/>
      <c r="O3646" s="16" t="s">
        <v>8978</v>
      </c>
      <c r="P3646" s="16" t="str">
        <f>HYPERLINK("https://ceds.ed.gov/cedselementdetails.aspx?termid=28020")</f>
        <v>https://ceds.ed.gov/cedselementdetails.aspx?termid=28020</v>
      </c>
      <c r="Q3646" s="16">
        <v>76020</v>
      </c>
    </row>
    <row r="3647" spans="1:17" ht="72" x14ac:dyDescent="0.3">
      <c r="A3647" s="16" t="s">
        <v>7751</v>
      </c>
      <c r="B3647" s="16" t="s">
        <v>7754</v>
      </c>
      <c r="C3647" s="16" t="s">
        <v>7658</v>
      </c>
      <c r="D3647" s="16" t="s">
        <v>7597</v>
      </c>
      <c r="E3647" s="16" t="s">
        <v>8979</v>
      </c>
      <c r="F3647" s="16" t="s">
        <v>8980</v>
      </c>
      <c r="G3647" s="16" t="s">
        <v>32</v>
      </c>
      <c r="H3647" s="16"/>
      <c r="I3647" s="16"/>
      <c r="J3647" s="16" t="s">
        <v>1481</v>
      </c>
      <c r="K3647" s="16"/>
      <c r="L3647" s="16" t="s">
        <v>8976</v>
      </c>
      <c r="M3647" s="19" t="s">
        <v>8981</v>
      </c>
      <c r="N3647" s="16"/>
      <c r="O3647" s="16" t="s">
        <v>8982</v>
      </c>
      <c r="P3647" s="16" t="str">
        <f>HYPERLINK("https://ceds.ed.gov/cedselementdetails.aspx?termid=28021")</f>
        <v>https://ceds.ed.gov/cedselementdetails.aspx?termid=28021</v>
      </c>
      <c r="Q3647" s="16">
        <v>76021</v>
      </c>
    </row>
    <row r="3648" spans="1:17" ht="100.8" x14ac:dyDescent="0.3">
      <c r="A3648" s="16" t="s">
        <v>7751</v>
      </c>
      <c r="B3648" s="16" t="s">
        <v>7754</v>
      </c>
      <c r="C3648" s="16" t="s">
        <v>7640</v>
      </c>
      <c r="D3648" s="16" t="s">
        <v>7597</v>
      </c>
      <c r="E3648" s="16" t="s">
        <v>4849</v>
      </c>
      <c r="F3648" s="16" t="s">
        <v>13082</v>
      </c>
      <c r="G3648" s="16" t="s">
        <v>7313</v>
      </c>
      <c r="H3648" s="16" t="s">
        <v>4851</v>
      </c>
      <c r="I3648" s="16" t="s">
        <v>160</v>
      </c>
      <c r="J3648" s="16"/>
      <c r="K3648" s="16" t="s">
        <v>12946</v>
      </c>
      <c r="L3648" s="16"/>
      <c r="M3648" s="19" t="s">
        <v>4850</v>
      </c>
      <c r="N3648" s="16"/>
      <c r="O3648" s="16"/>
      <c r="P3648" s="16" t="str">
        <f>HYPERLINK("https://ceds.ed.gov/cedselementdetails.aspx?termid=26317")</f>
        <v>https://ceds.ed.gov/cedselementdetails.aspx?termid=26317</v>
      </c>
      <c r="Q3648" s="16">
        <v>75239</v>
      </c>
    </row>
    <row r="3649" spans="1:17" ht="129.6" x14ac:dyDescent="0.3">
      <c r="A3649" s="16" t="s">
        <v>7751</v>
      </c>
      <c r="B3649" s="16" t="s">
        <v>7754</v>
      </c>
      <c r="C3649" s="16" t="s">
        <v>7640</v>
      </c>
      <c r="D3649" s="16" t="s">
        <v>7597</v>
      </c>
      <c r="E3649" s="16" t="s">
        <v>4852</v>
      </c>
      <c r="F3649" s="16" t="s">
        <v>13083</v>
      </c>
      <c r="G3649" s="16" t="s">
        <v>7313</v>
      </c>
      <c r="H3649" s="16"/>
      <c r="I3649" s="16" t="s">
        <v>160</v>
      </c>
      <c r="J3649" s="16"/>
      <c r="K3649" s="16" t="s">
        <v>12947</v>
      </c>
      <c r="L3649" s="16" t="s">
        <v>13084</v>
      </c>
      <c r="M3649" s="19" t="s">
        <v>4853</v>
      </c>
      <c r="N3649" s="16"/>
      <c r="O3649" s="16"/>
      <c r="P3649" s="16" t="str">
        <f>HYPERLINK("https://ceds.ed.gov/cedselementdetails.aspx?termid=27618")</f>
        <v>https://ceds.ed.gov/cedselementdetails.aspx?termid=27618</v>
      </c>
      <c r="Q3649" s="16">
        <v>75240</v>
      </c>
    </row>
    <row r="3650" spans="1:17" ht="409.6" x14ac:dyDescent="0.3">
      <c r="A3650" s="16" t="s">
        <v>7751</v>
      </c>
      <c r="B3650" s="16" t="s">
        <v>7754</v>
      </c>
      <c r="C3650" s="16" t="s">
        <v>7640</v>
      </c>
      <c r="D3650" s="16" t="s">
        <v>7597</v>
      </c>
      <c r="E3650" s="16" t="s">
        <v>4854</v>
      </c>
      <c r="F3650" s="16" t="s">
        <v>13085</v>
      </c>
      <c r="G3650" s="16" t="s">
        <v>8683</v>
      </c>
      <c r="H3650" s="16"/>
      <c r="I3650" s="16" t="s">
        <v>160</v>
      </c>
      <c r="J3650" s="16"/>
      <c r="K3650" s="16" t="s">
        <v>12948</v>
      </c>
      <c r="L3650" s="16" t="s">
        <v>13086</v>
      </c>
      <c r="M3650" s="19" t="s">
        <v>4855</v>
      </c>
      <c r="N3650" s="16"/>
      <c r="O3650" s="16"/>
      <c r="P3650" s="16" t="str">
        <f>HYPERLINK("https://ceds.ed.gov/cedselementdetails.aspx?termid=27619")</f>
        <v>https://ceds.ed.gov/cedselementdetails.aspx?termid=27619</v>
      </c>
      <c r="Q3650" s="16">
        <v>75241</v>
      </c>
    </row>
    <row r="3651" spans="1:17" ht="43.2" x14ac:dyDescent="0.3">
      <c r="A3651" s="16" t="s">
        <v>7751</v>
      </c>
      <c r="B3651" s="16" t="s">
        <v>7754</v>
      </c>
      <c r="C3651" s="16" t="s">
        <v>7640</v>
      </c>
      <c r="D3651" s="16" t="s">
        <v>7597</v>
      </c>
      <c r="E3651" s="16" t="s">
        <v>4886</v>
      </c>
      <c r="F3651" s="16" t="s">
        <v>4887</v>
      </c>
      <c r="G3651" s="16" t="s">
        <v>13005</v>
      </c>
      <c r="H3651" s="16"/>
      <c r="I3651" s="16"/>
      <c r="J3651" s="16"/>
      <c r="K3651" s="16"/>
      <c r="L3651" s="16"/>
      <c r="M3651" s="19"/>
      <c r="N3651" s="16"/>
      <c r="O3651" s="16"/>
      <c r="P3651" s="16"/>
      <c r="Q3651" s="16"/>
    </row>
    <row r="3652" spans="1:17" x14ac:dyDescent="0.3">
      <c r="A3652" s="16"/>
      <c r="B3652" s="16"/>
      <c r="C3652" s="16"/>
      <c r="D3652" s="16"/>
      <c r="E3652" s="16"/>
      <c r="F3652" s="16"/>
      <c r="G3652" s="16"/>
      <c r="H3652" s="16"/>
      <c r="I3652" s="16"/>
      <c r="J3652" s="16"/>
      <c r="K3652" s="16"/>
      <c r="L3652" s="16"/>
      <c r="M3652" s="19"/>
      <c r="N3652" s="16"/>
      <c r="O3652" s="16"/>
      <c r="P3652" s="16"/>
      <c r="Q3652" s="16"/>
    </row>
    <row r="3653" spans="1:17" ht="144" x14ac:dyDescent="0.3">
      <c r="A3653" s="16"/>
      <c r="B3653" s="16" t="s">
        <v>13051</v>
      </c>
      <c r="C3653" s="16" t="s">
        <v>4851</v>
      </c>
      <c r="D3653" s="16"/>
      <c r="E3653" s="16"/>
      <c r="F3653" s="16"/>
      <c r="G3653" s="16"/>
      <c r="H3653" s="16">
        <v>316</v>
      </c>
      <c r="I3653" s="16"/>
      <c r="J3653" s="16" t="s">
        <v>4888</v>
      </c>
      <c r="K3653" s="16" t="str">
        <f>HYPERLINK("https://ceds.ed.gov/cedselementdetails.aspx?termid=26316")</f>
        <v>https://ceds.ed.gov/cedselementdetails.aspx?termid=26316</v>
      </c>
      <c r="L3653" s="16">
        <v>75242</v>
      </c>
      <c r="M3653" s="19"/>
      <c r="N3653" s="16"/>
      <c r="O3653" s="16"/>
      <c r="P3653" s="16"/>
      <c r="Q3653" s="16"/>
    </row>
    <row r="3654" spans="1:17" ht="409.6" x14ac:dyDescent="0.3">
      <c r="A3654" s="16" t="s">
        <v>7751</v>
      </c>
      <c r="B3654" s="16" t="s">
        <v>7754</v>
      </c>
      <c r="C3654" s="16" t="s">
        <v>7652</v>
      </c>
      <c r="D3654" s="16" t="s">
        <v>7597</v>
      </c>
      <c r="E3654" s="16" t="s">
        <v>5751</v>
      </c>
      <c r="F3654" s="16" t="s">
        <v>5752</v>
      </c>
      <c r="G3654" s="16" t="s">
        <v>8753</v>
      </c>
      <c r="H3654" s="16" t="s">
        <v>1516</v>
      </c>
      <c r="I3654" s="16"/>
      <c r="J3654" s="16"/>
      <c r="K3654" s="16"/>
      <c r="L3654" s="16" t="s">
        <v>5753</v>
      </c>
      <c r="M3654" s="19" t="s">
        <v>5754</v>
      </c>
      <c r="N3654" s="16"/>
      <c r="O3654" s="16" t="s">
        <v>5755</v>
      </c>
      <c r="P3654" s="16" t="str">
        <f>HYPERLINK("https://ceds.ed.gov/cedselementdetails.aspx?termid=26415")</f>
        <v>https://ceds.ed.gov/cedselementdetails.aspx?termid=26415</v>
      </c>
      <c r="Q3654" s="16">
        <v>75243</v>
      </c>
    </row>
    <row r="3655" spans="1:17" ht="57.6" x14ac:dyDescent="0.3">
      <c r="A3655" s="16" t="s">
        <v>7751</v>
      </c>
      <c r="B3655" s="16" t="s">
        <v>7754</v>
      </c>
      <c r="C3655" s="16" t="s">
        <v>4</v>
      </c>
      <c r="D3655" s="16" t="s">
        <v>7597</v>
      </c>
      <c r="E3655" s="16" t="s">
        <v>6162</v>
      </c>
      <c r="F3655" s="16" t="s">
        <v>6163</v>
      </c>
      <c r="G3655" s="16" t="s">
        <v>22</v>
      </c>
      <c r="H3655" s="16"/>
      <c r="I3655" s="16"/>
      <c r="J3655" s="16"/>
      <c r="K3655" s="16"/>
      <c r="L3655" s="16"/>
      <c r="M3655" s="19" t="s">
        <v>6164</v>
      </c>
      <c r="N3655" s="16"/>
      <c r="O3655" s="16" t="s">
        <v>6165</v>
      </c>
      <c r="P3655" s="16" t="str">
        <f>HYPERLINK("https://ceds.ed.gov/cedselementdetails.aspx?termid=26760")</f>
        <v>https://ceds.ed.gov/cedselementdetails.aspx?termid=26760</v>
      </c>
      <c r="Q3655" s="16">
        <v>75244</v>
      </c>
    </row>
    <row r="3656" spans="1:17" ht="172.8" x14ac:dyDescent="0.3">
      <c r="A3656" s="16" t="s">
        <v>7751</v>
      </c>
      <c r="B3656" s="16" t="s">
        <v>7716</v>
      </c>
      <c r="C3656" s="16"/>
      <c r="D3656" s="16" t="s">
        <v>7597</v>
      </c>
      <c r="E3656" s="16" t="s">
        <v>2584</v>
      </c>
      <c r="F3656" s="16" t="s">
        <v>2585</v>
      </c>
      <c r="G3656" s="16" t="s">
        <v>32</v>
      </c>
      <c r="H3656" s="16" t="s">
        <v>2588</v>
      </c>
      <c r="I3656" s="16"/>
      <c r="J3656" s="16" t="s">
        <v>120</v>
      </c>
      <c r="K3656" s="16"/>
      <c r="L3656" s="16" t="s">
        <v>7817</v>
      </c>
      <c r="M3656" s="19" t="s">
        <v>2586</v>
      </c>
      <c r="N3656" s="16"/>
      <c r="O3656" s="16" t="s">
        <v>2587</v>
      </c>
      <c r="P3656" s="16" t="str">
        <f>HYPERLINK("https://ceds.ed.gov/cedselementdetails.aspx?termid=26055")</f>
        <v>https://ceds.ed.gov/cedselementdetails.aspx?termid=26055</v>
      </c>
      <c r="Q3656" s="16">
        <v>72784</v>
      </c>
    </row>
    <row r="3657" spans="1:17" ht="144" x14ac:dyDescent="0.3">
      <c r="A3657" s="16" t="s">
        <v>7751</v>
      </c>
      <c r="B3657" s="16" t="s">
        <v>7716</v>
      </c>
      <c r="C3657" s="16"/>
      <c r="D3657" s="16" t="s">
        <v>7597</v>
      </c>
      <c r="E3657" s="16" t="s">
        <v>2536</v>
      </c>
      <c r="F3657" s="16" t="s">
        <v>2537</v>
      </c>
      <c r="G3657" s="16" t="s">
        <v>8217</v>
      </c>
      <c r="H3657" s="16" t="s">
        <v>1484</v>
      </c>
      <c r="I3657" s="16"/>
      <c r="J3657" s="16"/>
      <c r="K3657" s="16"/>
      <c r="L3657" s="16"/>
      <c r="M3657" s="19" t="s">
        <v>2538</v>
      </c>
      <c r="N3657" s="16"/>
      <c r="O3657" s="16" t="s">
        <v>2539</v>
      </c>
      <c r="P3657" s="16" t="str">
        <f>HYPERLINK("https://ceds.ed.gov/cedselementdetails.aspx?termid=26056")</f>
        <v>https://ceds.ed.gov/cedselementdetails.aspx?termid=26056</v>
      </c>
      <c r="Q3657" s="16">
        <v>72785</v>
      </c>
    </row>
    <row r="3658" spans="1:17" ht="100.8" x14ac:dyDescent="0.3">
      <c r="A3658" s="16" t="s">
        <v>7751</v>
      </c>
      <c r="B3658" s="16" t="s">
        <v>7716</v>
      </c>
      <c r="C3658" s="16"/>
      <c r="D3658" s="16" t="s">
        <v>7597</v>
      </c>
      <c r="E3658" s="16" t="s">
        <v>2700</v>
      </c>
      <c r="F3658" s="16"/>
      <c r="G3658" s="16" t="s">
        <v>32</v>
      </c>
      <c r="H3658" s="16" t="s">
        <v>1484</v>
      </c>
      <c r="I3658" s="16" t="s">
        <v>160</v>
      </c>
      <c r="J3658" s="16" t="s">
        <v>13077</v>
      </c>
      <c r="K3658" s="16" t="s">
        <v>12939</v>
      </c>
      <c r="L3658" s="16"/>
      <c r="M3658" s="19" t="s">
        <v>2701</v>
      </c>
      <c r="N3658" s="16"/>
      <c r="O3658" s="16"/>
      <c r="P3658" s="16" t="str">
        <f>HYPERLINK("https://ceds.ed.gov/cedselementdetails.aspx?termid=26067")</f>
        <v>https://ceds.ed.gov/cedselementdetails.aspx?termid=26067</v>
      </c>
      <c r="Q3658" s="16">
        <v>72788</v>
      </c>
    </row>
    <row r="3659" spans="1:17" ht="43.2" x14ac:dyDescent="0.3">
      <c r="A3659" s="16" t="s">
        <v>7751</v>
      </c>
      <c r="B3659" s="16" t="s">
        <v>7716</v>
      </c>
      <c r="C3659" s="16"/>
      <c r="D3659" s="16" t="s">
        <v>7597</v>
      </c>
      <c r="E3659" s="16" t="s">
        <v>2556</v>
      </c>
      <c r="F3659" s="16" t="s">
        <v>2557</v>
      </c>
      <c r="G3659" s="16" t="s">
        <v>32</v>
      </c>
      <c r="H3659" s="16"/>
      <c r="I3659" s="16"/>
      <c r="J3659" s="16" t="s">
        <v>9316</v>
      </c>
      <c r="K3659" s="16"/>
      <c r="L3659" s="16"/>
      <c r="M3659" s="19" t="s">
        <v>2558</v>
      </c>
      <c r="N3659" s="16"/>
      <c r="O3659" s="16" t="s">
        <v>2559</v>
      </c>
      <c r="P3659" s="16" t="str">
        <f>HYPERLINK("https://ceds.ed.gov/cedselementdetails.aspx?termid=26508")</f>
        <v>https://ceds.ed.gov/cedselementdetails.aspx?termid=26508</v>
      </c>
      <c r="Q3659" s="16">
        <v>72796</v>
      </c>
    </row>
    <row r="3660" spans="1:17" ht="28.8" x14ac:dyDescent="0.3">
      <c r="A3660" s="16" t="s">
        <v>7751</v>
      </c>
      <c r="B3660" s="16" t="s">
        <v>7716</v>
      </c>
      <c r="C3660" s="16"/>
      <c r="D3660" s="16" t="s">
        <v>7597</v>
      </c>
      <c r="E3660" s="16" t="s">
        <v>2551</v>
      </c>
      <c r="F3660" s="16" t="s">
        <v>2552</v>
      </c>
      <c r="G3660" s="16" t="s">
        <v>32</v>
      </c>
      <c r="H3660" s="16"/>
      <c r="I3660" s="16"/>
      <c r="J3660" s="16" t="s">
        <v>145</v>
      </c>
      <c r="K3660" s="16"/>
      <c r="L3660" s="16"/>
      <c r="M3660" s="19" t="s">
        <v>2554</v>
      </c>
      <c r="N3660" s="16"/>
      <c r="O3660" s="16" t="s">
        <v>2555</v>
      </c>
      <c r="P3660" s="16" t="str">
        <f>HYPERLINK("https://ceds.ed.gov/cedselementdetails.aspx?termid=27525")</f>
        <v>https://ceds.ed.gov/cedselementdetails.aspx?termid=27525</v>
      </c>
      <c r="Q3660" s="16">
        <v>73832</v>
      </c>
    </row>
    <row r="3661" spans="1:17" ht="144" x14ac:dyDescent="0.3">
      <c r="A3661" s="16" t="s">
        <v>7751</v>
      </c>
      <c r="B3661" s="16" t="s">
        <v>7716</v>
      </c>
      <c r="C3661" s="16"/>
      <c r="D3661" s="16" t="s">
        <v>7597</v>
      </c>
      <c r="E3661" s="16" t="s">
        <v>2548</v>
      </c>
      <c r="F3661" s="16" t="s">
        <v>7918</v>
      </c>
      <c r="G3661" s="16" t="s">
        <v>8461</v>
      </c>
      <c r="H3661" s="16" t="s">
        <v>58</v>
      </c>
      <c r="I3661" s="16"/>
      <c r="J3661" s="16"/>
      <c r="K3661" s="16"/>
      <c r="L3661" s="16"/>
      <c r="M3661" s="19" t="s">
        <v>2549</v>
      </c>
      <c r="N3661" s="16"/>
      <c r="O3661" s="16" t="s">
        <v>2550</v>
      </c>
      <c r="P3661" s="16" t="str">
        <f>HYPERLINK("https://ceds.ed.gov/cedselementdetails.aspx?termid=26057")</f>
        <v>https://ceds.ed.gov/cedselementdetails.aspx?termid=26057</v>
      </c>
      <c r="Q3661" s="16">
        <v>72780</v>
      </c>
    </row>
    <row r="3662" spans="1:17" ht="302.39999999999998" x14ac:dyDescent="0.3">
      <c r="A3662" s="16" t="s">
        <v>7751</v>
      </c>
      <c r="B3662" s="16" t="s">
        <v>7716</v>
      </c>
      <c r="C3662" s="16"/>
      <c r="D3662" s="16" t="s">
        <v>7597</v>
      </c>
      <c r="E3662" s="16" t="s">
        <v>2919</v>
      </c>
      <c r="F3662" s="16" t="s">
        <v>2920</v>
      </c>
      <c r="G3662" s="16" t="s">
        <v>8486</v>
      </c>
      <c r="H3662" s="16" t="s">
        <v>64</v>
      </c>
      <c r="I3662" s="16"/>
      <c r="J3662" s="16"/>
      <c r="K3662" s="16"/>
      <c r="L3662" s="16"/>
      <c r="M3662" s="19" t="s">
        <v>2921</v>
      </c>
      <c r="N3662" s="16"/>
      <c r="O3662" s="16" t="s">
        <v>2922</v>
      </c>
      <c r="P3662" s="16" t="str">
        <f>HYPERLINK("https://ceds.ed.gov/cedselementdetails.aspx?termid=26072")</f>
        <v>https://ceds.ed.gov/cedselementdetails.aspx?termid=26072</v>
      </c>
      <c r="Q3662" s="16">
        <v>72919</v>
      </c>
    </row>
    <row r="3663" spans="1:17" ht="100.8" x14ac:dyDescent="0.3">
      <c r="A3663" s="16" t="s">
        <v>7751</v>
      </c>
      <c r="B3663" s="16" t="s">
        <v>7716</v>
      </c>
      <c r="C3663" s="16"/>
      <c r="D3663" s="16" t="s">
        <v>7597</v>
      </c>
      <c r="E3663" s="16" t="s">
        <v>2923</v>
      </c>
      <c r="F3663" s="16" t="s">
        <v>2924</v>
      </c>
      <c r="G3663" s="16" t="s">
        <v>32</v>
      </c>
      <c r="H3663" s="16" t="s">
        <v>58</v>
      </c>
      <c r="I3663" s="16"/>
      <c r="J3663" s="16" t="s">
        <v>1481</v>
      </c>
      <c r="K3663" s="16"/>
      <c r="L3663" s="16" t="s">
        <v>7931</v>
      </c>
      <c r="M3663" s="19" t="s">
        <v>2926</v>
      </c>
      <c r="N3663" s="16"/>
      <c r="O3663" s="16" t="s">
        <v>2927</v>
      </c>
      <c r="P3663" s="16" t="str">
        <f>HYPERLINK("https://ceds.ed.gov/cedselementdetails.aspx?termid=26058")</f>
        <v>https://ceds.ed.gov/cedselementdetails.aspx?termid=26058</v>
      </c>
      <c r="Q3663" s="16">
        <v>72781</v>
      </c>
    </row>
    <row r="3664" spans="1:17" ht="158.4" x14ac:dyDescent="0.3">
      <c r="A3664" s="16" t="s">
        <v>7751</v>
      </c>
      <c r="B3664" s="16" t="s">
        <v>7716</v>
      </c>
      <c r="C3664" s="16"/>
      <c r="D3664" s="16" t="s">
        <v>7597</v>
      </c>
      <c r="E3664" s="16" t="s">
        <v>148</v>
      </c>
      <c r="F3664" s="16" t="s">
        <v>149</v>
      </c>
      <c r="G3664" s="16" t="s">
        <v>8291</v>
      </c>
      <c r="H3664" s="16"/>
      <c r="I3664" s="16"/>
      <c r="J3664" s="16"/>
      <c r="K3664" s="16"/>
      <c r="L3664" s="16"/>
      <c r="M3664" s="19" t="s">
        <v>151</v>
      </c>
      <c r="N3664" s="16"/>
      <c r="O3664" s="16" t="s">
        <v>152</v>
      </c>
      <c r="P3664" s="16" t="str">
        <f>HYPERLINK("https://ceds.ed.gov/cedselementdetails.aspx?termid=26589")</f>
        <v>https://ceds.ed.gov/cedselementdetails.aspx?termid=26589</v>
      </c>
      <c r="Q3664" s="16">
        <v>72798</v>
      </c>
    </row>
    <row r="3665" spans="1:17" ht="129.6" x14ac:dyDescent="0.3">
      <c r="A3665" s="16" t="s">
        <v>7751</v>
      </c>
      <c r="B3665" s="16" t="s">
        <v>7716</v>
      </c>
      <c r="C3665" s="16"/>
      <c r="D3665" s="16" t="s">
        <v>7597</v>
      </c>
      <c r="E3665" s="16" t="s">
        <v>1478</v>
      </c>
      <c r="F3665" s="16" t="s">
        <v>1479</v>
      </c>
      <c r="G3665" s="16" t="s">
        <v>32</v>
      </c>
      <c r="H3665" s="16" t="s">
        <v>1484</v>
      </c>
      <c r="I3665" s="16"/>
      <c r="J3665" s="16" t="s">
        <v>1481</v>
      </c>
      <c r="K3665" s="16"/>
      <c r="L3665" s="16"/>
      <c r="M3665" s="19" t="s">
        <v>1482</v>
      </c>
      <c r="N3665" s="16"/>
      <c r="O3665" s="16" t="s">
        <v>1483</v>
      </c>
      <c r="P3665" s="16" t="str">
        <f>HYPERLINK("https://ceds.ed.gov/cedselementdetails.aspx?termid=26030")</f>
        <v>https://ceds.ed.gov/cedselementdetails.aspx?termid=26030</v>
      </c>
      <c r="Q3665" s="16">
        <v>72783</v>
      </c>
    </row>
    <row r="3666" spans="1:17" ht="100.8" x14ac:dyDescent="0.3">
      <c r="A3666" s="16" t="s">
        <v>7751</v>
      </c>
      <c r="B3666" s="16" t="s">
        <v>7716</v>
      </c>
      <c r="C3666" s="16"/>
      <c r="D3666" s="16" t="s">
        <v>7597</v>
      </c>
      <c r="E3666" s="16" t="s">
        <v>2574</v>
      </c>
      <c r="F3666" s="16" t="s">
        <v>2575</v>
      </c>
      <c r="G3666" s="16" t="s">
        <v>8463</v>
      </c>
      <c r="H3666" s="16" t="s">
        <v>1484</v>
      </c>
      <c r="I3666" s="16"/>
      <c r="J3666" s="16"/>
      <c r="K3666" s="16"/>
      <c r="L3666" s="16"/>
      <c r="M3666" s="19" t="s">
        <v>2577</v>
      </c>
      <c r="N3666" s="16" t="s">
        <v>2578</v>
      </c>
      <c r="O3666" s="16" t="s">
        <v>2579</v>
      </c>
      <c r="P3666" s="16" t="str">
        <f>HYPERLINK("https://ceds.ed.gov/cedselementdetails.aspx?termid=26060")</f>
        <v>https://ceds.ed.gov/cedselementdetails.aspx?termid=26060</v>
      </c>
      <c r="Q3666" s="16">
        <v>72786</v>
      </c>
    </row>
    <row r="3667" spans="1:17" ht="302.39999999999998" x14ac:dyDescent="0.3">
      <c r="A3667" s="16" t="s">
        <v>7751</v>
      </c>
      <c r="B3667" s="16" t="s">
        <v>7716</v>
      </c>
      <c r="C3667" s="16"/>
      <c r="D3667" s="16" t="s">
        <v>7597</v>
      </c>
      <c r="E3667" s="16" t="s">
        <v>2606</v>
      </c>
      <c r="F3667" s="16" t="s">
        <v>2607</v>
      </c>
      <c r="G3667" s="16" t="s">
        <v>8468</v>
      </c>
      <c r="H3667" s="16" t="s">
        <v>2588</v>
      </c>
      <c r="I3667" s="16"/>
      <c r="J3667" s="16"/>
      <c r="K3667" s="16"/>
      <c r="L3667" s="16"/>
      <c r="M3667" s="19" t="s">
        <v>2608</v>
      </c>
      <c r="N3667" s="16"/>
      <c r="O3667" s="16" t="s">
        <v>2609</v>
      </c>
      <c r="P3667" s="16" t="str">
        <f>HYPERLINK("https://ceds.ed.gov/cedselementdetails.aspx?termid=26061")</f>
        <v>https://ceds.ed.gov/cedselementdetails.aspx?termid=26061</v>
      </c>
      <c r="Q3667" s="16">
        <v>72787</v>
      </c>
    </row>
    <row r="3668" spans="1:17" ht="100.8" x14ac:dyDescent="0.3">
      <c r="A3668" s="16" t="s">
        <v>7751</v>
      </c>
      <c r="B3668" s="16" t="s">
        <v>7716</v>
      </c>
      <c r="C3668" s="16"/>
      <c r="D3668" s="16" t="s">
        <v>7597</v>
      </c>
      <c r="E3668" s="16" t="s">
        <v>4233</v>
      </c>
      <c r="F3668" s="16" t="s">
        <v>4234</v>
      </c>
      <c r="G3668" s="16" t="s">
        <v>22</v>
      </c>
      <c r="H3668" s="16" t="s">
        <v>1484</v>
      </c>
      <c r="I3668" s="16"/>
      <c r="J3668" s="16"/>
      <c r="K3668" s="16"/>
      <c r="L3668" s="16"/>
      <c r="M3668" s="19" t="s">
        <v>4236</v>
      </c>
      <c r="N3668" s="16"/>
      <c r="O3668" s="16" t="s">
        <v>4237</v>
      </c>
      <c r="P3668" s="16" t="str">
        <f>HYPERLINK("https://ceds.ed.gov/cedselementdetails.aspx?termid=26137")</f>
        <v>https://ceds.ed.gov/cedselementdetails.aspx?termid=26137</v>
      </c>
      <c r="Q3668" s="16">
        <v>72790</v>
      </c>
    </row>
    <row r="3669" spans="1:17" ht="28.8" x14ac:dyDescent="0.3">
      <c r="A3669" s="16" t="s">
        <v>7751</v>
      </c>
      <c r="B3669" s="16" t="s">
        <v>7716</v>
      </c>
      <c r="C3669" s="16"/>
      <c r="D3669" s="16" t="s">
        <v>7597</v>
      </c>
      <c r="E3669" s="16" t="s">
        <v>2632</v>
      </c>
      <c r="F3669" s="16" t="s">
        <v>2633</v>
      </c>
      <c r="G3669" s="16" t="s">
        <v>32</v>
      </c>
      <c r="H3669" s="16"/>
      <c r="I3669" s="16"/>
      <c r="J3669" s="16" t="s">
        <v>1662</v>
      </c>
      <c r="K3669" s="16"/>
      <c r="L3669" s="16"/>
      <c r="M3669" s="19" t="s">
        <v>2634</v>
      </c>
      <c r="N3669" s="16"/>
      <c r="O3669" s="16" t="s">
        <v>2635</v>
      </c>
      <c r="P3669" s="16" t="str">
        <f>HYPERLINK("https://ceds.ed.gov/cedselementdetails.aspx?termid=27648")</f>
        <v>https://ceds.ed.gov/cedselementdetails.aspx?termid=27648</v>
      </c>
      <c r="Q3669" s="16">
        <v>74879</v>
      </c>
    </row>
    <row r="3670" spans="1:17" ht="100.8" x14ac:dyDescent="0.3">
      <c r="A3670" s="16" t="s">
        <v>7751</v>
      </c>
      <c r="B3670" s="16" t="s">
        <v>7716</v>
      </c>
      <c r="C3670" s="16"/>
      <c r="D3670" s="16" t="s">
        <v>7597</v>
      </c>
      <c r="E3670" s="16" t="s">
        <v>2981</v>
      </c>
      <c r="F3670" s="16" t="s">
        <v>2982</v>
      </c>
      <c r="G3670" s="16" t="s">
        <v>8490</v>
      </c>
      <c r="H3670" s="16"/>
      <c r="I3670" s="16"/>
      <c r="J3670" s="16"/>
      <c r="K3670" s="16"/>
      <c r="L3670" s="16"/>
      <c r="M3670" s="19" t="s">
        <v>2983</v>
      </c>
      <c r="N3670" s="16"/>
      <c r="O3670" s="16" t="s">
        <v>2984</v>
      </c>
      <c r="P3670" s="16" t="str">
        <f>HYPERLINK("https://ceds.ed.gov/cedselementdetails.aspx?termid=26688")</f>
        <v>https://ceds.ed.gov/cedselementdetails.aspx?termid=26688</v>
      </c>
      <c r="Q3670" s="16">
        <v>72799</v>
      </c>
    </row>
    <row r="3671" spans="1:17" ht="43.2" x14ac:dyDescent="0.3">
      <c r="A3671" s="16" t="s">
        <v>7751</v>
      </c>
      <c r="B3671" s="16" t="s">
        <v>7716</v>
      </c>
      <c r="C3671" s="16"/>
      <c r="D3671" s="16" t="s">
        <v>7597</v>
      </c>
      <c r="E3671" s="16" t="s">
        <v>2459</v>
      </c>
      <c r="F3671" s="16" t="s">
        <v>2460</v>
      </c>
      <c r="G3671" s="16" t="s">
        <v>22</v>
      </c>
      <c r="H3671" s="16"/>
      <c r="I3671" s="16"/>
      <c r="J3671" s="16"/>
      <c r="K3671" s="16"/>
      <c r="L3671" s="16"/>
      <c r="M3671" s="19" t="s">
        <v>2462</v>
      </c>
      <c r="N3671" s="16"/>
      <c r="O3671" s="16" t="s">
        <v>2463</v>
      </c>
      <c r="P3671" s="16" t="str">
        <f>HYPERLINK("https://ceds.ed.gov/cedselementdetails.aspx?termid=26509")</f>
        <v>https://ceds.ed.gov/cedselementdetails.aspx?termid=26509</v>
      </c>
      <c r="Q3671" s="16">
        <v>72797</v>
      </c>
    </row>
    <row r="3672" spans="1:17" ht="43.2" x14ac:dyDescent="0.3">
      <c r="A3672" s="16" t="s">
        <v>7751</v>
      </c>
      <c r="B3672" s="16" t="s">
        <v>7716</v>
      </c>
      <c r="C3672" s="16"/>
      <c r="D3672" s="16" t="s">
        <v>7597</v>
      </c>
      <c r="E3672" s="16" t="s">
        <v>2519</v>
      </c>
      <c r="F3672" s="16" t="s">
        <v>2520</v>
      </c>
      <c r="G3672" s="16" t="s">
        <v>22</v>
      </c>
      <c r="H3672" s="16"/>
      <c r="I3672" s="16"/>
      <c r="J3672" s="16"/>
      <c r="K3672" s="16"/>
      <c r="L3672" s="16"/>
      <c r="M3672" s="19" t="s">
        <v>2521</v>
      </c>
      <c r="N3672" s="16"/>
      <c r="O3672" s="16" t="s">
        <v>2522</v>
      </c>
      <c r="P3672" s="16" t="str">
        <f>HYPERLINK("https://ceds.ed.gov/cedselementdetails.aspx?termid=26013")</f>
        <v>https://ceds.ed.gov/cedselementdetails.aspx?termid=26013</v>
      </c>
      <c r="Q3672" s="16">
        <v>72782</v>
      </c>
    </row>
    <row r="3673" spans="1:17" ht="115.2" x14ac:dyDescent="0.3">
      <c r="A3673" s="16" t="s">
        <v>7751</v>
      </c>
      <c r="B3673" s="16" t="s">
        <v>7716</v>
      </c>
      <c r="C3673" s="16"/>
      <c r="D3673" s="16" t="s">
        <v>7597</v>
      </c>
      <c r="E3673" s="16" t="s">
        <v>4715</v>
      </c>
      <c r="F3673" s="16" t="s">
        <v>4716</v>
      </c>
      <c r="G3673" s="16" t="s">
        <v>7313</v>
      </c>
      <c r="H3673" s="16" t="s">
        <v>202</v>
      </c>
      <c r="I3673" s="16"/>
      <c r="J3673" s="16"/>
      <c r="K3673" s="16"/>
      <c r="L3673" s="16" t="s">
        <v>7859</v>
      </c>
      <c r="M3673" s="19" t="s">
        <v>4717</v>
      </c>
      <c r="N3673" s="16"/>
      <c r="O3673" s="16" t="s">
        <v>4718</v>
      </c>
      <c r="P3673" s="16" t="str">
        <f>HYPERLINK("https://ceds.ed.gov/cedselementdetails.aspx?termid=26438")</f>
        <v>https://ceds.ed.gov/cedselementdetails.aspx?termid=26438</v>
      </c>
      <c r="Q3673" s="16">
        <v>72795</v>
      </c>
    </row>
    <row r="3674" spans="1:17" ht="115.2" x14ac:dyDescent="0.3">
      <c r="A3674" s="16" t="s">
        <v>7751</v>
      </c>
      <c r="B3674" s="16" t="s">
        <v>7716</v>
      </c>
      <c r="C3674" s="16"/>
      <c r="D3674" s="16" t="s">
        <v>7597</v>
      </c>
      <c r="E3674" s="16" t="s">
        <v>6489</v>
      </c>
      <c r="F3674" s="16" t="s">
        <v>6490</v>
      </c>
      <c r="G3674" s="16" t="s">
        <v>7313</v>
      </c>
      <c r="H3674" s="16"/>
      <c r="I3674" s="16"/>
      <c r="J3674" s="16"/>
      <c r="K3674" s="16"/>
      <c r="L3674" s="16" t="s">
        <v>8136</v>
      </c>
      <c r="M3674" s="19" t="s">
        <v>6491</v>
      </c>
      <c r="N3674" s="16" t="s">
        <v>6492</v>
      </c>
      <c r="O3674" s="16" t="s">
        <v>6493</v>
      </c>
      <c r="P3674" s="16" t="str">
        <f>HYPERLINK("https://ceds.ed.gov/cedselementdetails.aspx?termid=27490")</f>
        <v>https://ceds.ed.gov/cedselementdetails.aspx?termid=27490</v>
      </c>
      <c r="Q3674" s="16">
        <v>73745</v>
      </c>
    </row>
    <row r="3675" spans="1:17" ht="100.8" x14ac:dyDescent="0.3">
      <c r="A3675" s="16" t="s">
        <v>7751</v>
      </c>
      <c r="B3675" s="16" t="s">
        <v>7716</v>
      </c>
      <c r="C3675" s="16"/>
      <c r="D3675" s="16" t="s">
        <v>7597</v>
      </c>
      <c r="E3675" s="16" t="s">
        <v>6494</v>
      </c>
      <c r="F3675" s="16" t="s">
        <v>8137</v>
      </c>
      <c r="G3675" s="16" t="s">
        <v>8259</v>
      </c>
      <c r="H3675" s="16"/>
      <c r="I3675" s="16"/>
      <c r="J3675" s="16"/>
      <c r="K3675" s="16"/>
      <c r="L3675" s="16"/>
      <c r="M3675" s="19" t="s">
        <v>6495</v>
      </c>
      <c r="N3675" s="16" t="s">
        <v>6496</v>
      </c>
      <c r="O3675" s="16" t="s">
        <v>6497</v>
      </c>
      <c r="P3675" s="16" t="str">
        <f>HYPERLINK("https://ceds.ed.gov/cedselementdetails.aspx?termid=27488")</f>
        <v>https://ceds.ed.gov/cedselementdetails.aspx?termid=27488</v>
      </c>
      <c r="Q3675" s="16">
        <v>73746</v>
      </c>
    </row>
    <row r="3676" spans="1:17" ht="345.6" x14ac:dyDescent="0.3">
      <c r="A3676" s="16" t="s">
        <v>7751</v>
      </c>
      <c r="B3676" s="16" t="s">
        <v>7716</v>
      </c>
      <c r="C3676" s="16"/>
      <c r="D3676" s="16" t="s">
        <v>7597</v>
      </c>
      <c r="E3676" s="16" t="s">
        <v>6498</v>
      </c>
      <c r="F3676" s="16" t="s">
        <v>6499</v>
      </c>
      <c r="G3676" s="16" t="s">
        <v>8260</v>
      </c>
      <c r="H3676" s="16"/>
      <c r="I3676" s="16"/>
      <c r="J3676" s="16"/>
      <c r="K3676" s="16"/>
      <c r="L3676" s="16" t="s">
        <v>8138</v>
      </c>
      <c r="M3676" s="19" t="s">
        <v>6500</v>
      </c>
      <c r="N3676" s="16" t="s">
        <v>6501</v>
      </c>
      <c r="O3676" s="16" t="s">
        <v>6502</v>
      </c>
      <c r="P3676" s="16" t="str">
        <f>HYPERLINK("https://ceds.ed.gov/cedselementdetails.aspx?termid=27491")</f>
        <v>https://ceds.ed.gov/cedselementdetails.aspx?termid=27491</v>
      </c>
      <c r="Q3676" s="16">
        <v>73747</v>
      </c>
    </row>
    <row r="3677" spans="1:17" ht="100.8" x14ac:dyDescent="0.3">
      <c r="A3677" s="16" t="s">
        <v>7751</v>
      </c>
      <c r="B3677" s="16" t="s">
        <v>7716</v>
      </c>
      <c r="C3677" s="16"/>
      <c r="D3677" s="16" t="s">
        <v>7597</v>
      </c>
      <c r="E3677" s="16" t="s">
        <v>6510</v>
      </c>
      <c r="F3677" s="16" t="s">
        <v>6511</v>
      </c>
      <c r="G3677" s="16" t="s">
        <v>32</v>
      </c>
      <c r="H3677" s="16" t="s">
        <v>1484</v>
      </c>
      <c r="I3677" s="16"/>
      <c r="J3677" s="16" t="s">
        <v>2697</v>
      </c>
      <c r="K3677" s="16"/>
      <c r="L3677" s="16" t="s">
        <v>6512</v>
      </c>
      <c r="M3677" s="19" t="s">
        <v>6513</v>
      </c>
      <c r="N3677" s="16" t="s">
        <v>6514</v>
      </c>
      <c r="O3677" s="16" t="s">
        <v>6515</v>
      </c>
      <c r="P3677" s="16" t="str">
        <f>HYPERLINK("https://ceds.ed.gov/cedselementdetails.aspx?termid=26250")</f>
        <v>https://ceds.ed.gov/cedselementdetails.aspx?termid=26250</v>
      </c>
      <c r="Q3677" s="16">
        <v>72794</v>
      </c>
    </row>
    <row r="3678" spans="1:17" ht="43.2" x14ac:dyDescent="0.3">
      <c r="A3678" s="16" t="s">
        <v>7751</v>
      </c>
      <c r="B3678" s="16" t="s">
        <v>7716</v>
      </c>
      <c r="C3678" s="16"/>
      <c r="D3678" s="16" t="s">
        <v>7597</v>
      </c>
      <c r="E3678" s="16" t="s">
        <v>7919</v>
      </c>
      <c r="F3678" s="16" t="s">
        <v>7920</v>
      </c>
      <c r="G3678" s="16" t="s">
        <v>22</v>
      </c>
      <c r="H3678" s="16"/>
      <c r="I3678" s="16"/>
      <c r="J3678" s="16" t="s">
        <v>2</v>
      </c>
      <c r="K3678" s="16"/>
      <c r="L3678" s="16" t="s">
        <v>7921</v>
      </c>
      <c r="M3678" s="19" t="s">
        <v>8177</v>
      </c>
      <c r="N3678" s="16"/>
      <c r="O3678" s="16" t="s">
        <v>7922</v>
      </c>
      <c r="P3678" s="16" t="str">
        <f>HYPERLINK("https://ceds.ed.gov/cedselementdetails.aspx?termid=27975")</f>
        <v>https://ceds.ed.gov/cedselementdetails.aspx?termid=27975</v>
      </c>
      <c r="Q3678" s="16">
        <v>75697</v>
      </c>
    </row>
    <row r="3679" spans="1:17" ht="331.2" x14ac:dyDescent="0.3">
      <c r="A3679" s="16" t="s">
        <v>7751</v>
      </c>
      <c r="B3679" s="16" t="s">
        <v>7716</v>
      </c>
      <c r="C3679" s="16"/>
      <c r="D3679" s="16" t="s">
        <v>7597</v>
      </c>
      <c r="E3679" s="16" t="s">
        <v>12826</v>
      </c>
      <c r="F3679" s="16" t="s">
        <v>12827</v>
      </c>
      <c r="G3679" s="16" t="s">
        <v>12917</v>
      </c>
      <c r="H3679" s="16"/>
      <c r="I3679" s="16" t="s">
        <v>155</v>
      </c>
      <c r="J3679" s="16" t="s">
        <v>2</v>
      </c>
      <c r="K3679" s="16" t="s">
        <v>12636</v>
      </c>
      <c r="L3679" s="16" t="s">
        <v>12828</v>
      </c>
      <c r="M3679" s="19" t="s">
        <v>12829</v>
      </c>
      <c r="N3679" s="16"/>
      <c r="O3679" s="16" t="s">
        <v>12830</v>
      </c>
      <c r="P3679" s="16" t="str">
        <f>HYPERLINK("https://ceds.ed.gov/cedselementdetails.aspx?termid=28096")</f>
        <v>https://ceds.ed.gov/cedselementdetails.aspx?termid=28096</v>
      </c>
      <c r="Q3679" s="16">
        <v>76562</v>
      </c>
    </row>
    <row r="3680" spans="1:17" ht="172.8" x14ac:dyDescent="0.3">
      <c r="A3680" s="16" t="s">
        <v>7751</v>
      </c>
      <c r="B3680" s="16" t="s">
        <v>7715</v>
      </c>
      <c r="C3680" s="16"/>
      <c r="D3680" s="16" t="s">
        <v>7597</v>
      </c>
      <c r="E3680" s="16" t="s">
        <v>2670</v>
      </c>
      <c r="F3680" s="16" t="s">
        <v>2671</v>
      </c>
      <c r="G3680" s="16" t="s">
        <v>32</v>
      </c>
      <c r="H3680" s="16"/>
      <c r="I3680" s="16"/>
      <c r="J3680" s="16" t="s">
        <v>120</v>
      </c>
      <c r="K3680" s="16"/>
      <c r="L3680" s="16" t="s">
        <v>7817</v>
      </c>
      <c r="M3680" s="19" t="s">
        <v>2672</v>
      </c>
      <c r="N3680" s="16"/>
      <c r="O3680" s="16" t="s">
        <v>2673</v>
      </c>
      <c r="P3680" s="16" t="str">
        <f>HYPERLINK("https://ceds.ed.gov/cedselementdetails.aspx?termid=26979")</f>
        <v>https://ceds.ed.gov/cedselementdetails.aspx?termid=26979</v>
      </c>
      <c r="Q3680" s="16">
        <v>72814</v>
      </c>
    </row>
    <row r="3681" spans="1:17" ht="72" x14ac:dyDescent="0.3">
      <c r="A3681" s="16" t="s">
        <v>7751</v>
      </c>
      <c r="B3681" s="16" t="s">
        <v>7715</v>
      </c>
      <c r="C3681" s="16"/>
      <c r="D3681" s="16" t="s">
        <v>7597</v>
      </c>
      <c r="E3681" s="16" t="s">
        <v>2682</v>
      </c>
      <c r="F3681" s="16" t="s">
        <v>2683</v>
      </c>
      <c r="G3681" s="16" t="s">
        <v>32</v>
      </c>
      <c r="H3681" s="16"/>
      <c r="I3681" s="16"/>
      <c r="J3681" s="16" t="s">
        <v>81</v>
      </c>
      <c r="K3681" s="16"/>
      <c r="L3681" s="16"/>
      <c r="M3681" s="19" t="s">
        <v>2684</v>
      </c>
      <c r="N3681" s="16"/>
      <c r="O3681" s="16" t="s">
        <v>2685</v>
      </c>
      <c r="P3681" s="16" t="str">
        <f>HYPERLINK("https://ceds.ed.gov/cedselementdetails.aspx?termid=27281")</f>
        <v>https://ceds.ed.gov/cedselementdetails.aspx?termid=27281</v>
      </c>
      <c r="Q3681" s="16">
        <v>74535</v>
      </c>
    </row>
    <row r="3682" spans="1:17" ht="72" x14ac:dyDescent="0.3">
      <c r="A3682" s="16" t="s">
        <v>7751</v>
      </c>
      <c r="B3682" s="16" t="s">
        <v>7715</v>
      </c>
      <c r="C3682" s="16"/>
      <c r="D3682" s="16" t="s">
        <v>7597</v>
      </c>
      <c r="E3682" s="16" t="s">
        <v>2618</v>
      </c>
      <c r="F3682" s="16" t="s">
        <v>7923</v>
      </c>
      <c r="G3682" s="16" t="s">
        <v>32</v>
      </c>
      <c r="H3682" s="16"/>
      <c r="I3682" s="16"/>
      <c r="J3682" s="16" t="s">
        <v>81</v>
      </c>
      <c r="K3682" s="16"/>
      <c r="L3682" s="16"/>
      <c r="M3682" s="19" t="s">
        <v>2620</v>
      </c>
      <c r="N3682" s="16"/>
      <c r="O3682" s="16" t="s">
        <v>2621</v>
      </c>
      <c r="P3682" s="16" t="str">
        <f>HYPERLINK("https://ceds.ed.gov/cedselementdetails.aspx?termid=27280")</f>
        <v>https://ceds.ed.gov/cedselementdetails.aspx?termid=27280</v>
      </c>
      <c r="Q3682" s="16">
        <v>74534</v>
      </c>
    </row>
    <row r="3683" spans="1:17" ht="172.8" x14ac:dyDescent="0.3">
      <c r="A3683" s="16" t="s">
        <v>7751</v>
      </c>
      <c r="B3683" s="16" t="s">
        <v>7715</v>
      </c>
      <c r="C3683" s="16"/>
      <c r="D3683" s="16" t="s">
        <v>7597</v>
      </c>
      <c r="E3683" s="16" t="s">
        <v>5627</v>
      </c>
      <c r="F3683" s="16" t="s">
        <v>5628</v>
      </c>
      <c r="G3683" s="16" t="s">
        <v>32</v>
      </c>
      <c r="H3683" s="16"/>
      <c r="I3683" s="16"/>
      <c r="J3683" s="16" t="s">
        <v>120</v>
      </c>
      <c r="K3683" s="16"/>
      <c r="L3683" s="16" t="s">
        <v>7817</v>
      </c>
      <c r="M3683" s="19" t="s">
        <v>5629</v>
      </c>
      <c r="N3683" s="16"/>
      <c r="O3683" s="16" t="s">
        <v>5630</v>
      </c>
      <c r="P3683" s="16" t="str">
        <f>HYPERLINK("https://ceds.ed.gov/cedselementdetails.aspx?termid=27389")</f>
        <v>https://ceds.ed.gov/cedselementdetails.aspx?termid=27389</v>
      </c>
      <c r="Q3683" s="16">
        <v>74536</v>
      </c>
    </row>
    <row r="3684" spans="1:17" ht="43.2" x14ac:dyDescent="0.3">
      <c r="A3684" s="16" t="s">
        <v>7751</v>
      </c>
      <c r="B3684" s="16" t="s">
        <v>7715</v>
      </c>
      <c r="C3684" s="16"/>
      <c r="D3684" s="16" t="s">
        <v>7597</v>
      </c>
      <c r="E3684" s="16" t="s">
        <v>5668</v>
      </c>
      <c r="F3684" s="16" t="s">
        <v>5669</v>
      </c>
      <c r="G3684" s="16" t="s">
        <v>32</v>
      </c>
      <c r="H3684" s="16"/>
      <c r="I3684" s="16"/>
      <c r="J3684" s="16" t="s">
        <v>81</v>
      </c>
      <c r="K3684" s="16"/>
      <c r="L3684" s="16"/>
      <c r="M3684" s="19" t="s">
        <v>5670</v>
      </c>
      <c r="N3684" s="16"/>
      <c r="O3684" s="16" t="s">
        <v>5671</v>
      </c>
      <c r="P3684" s="16" t="str">
        <f>HYPERLINK("https://ceds.ed.gov/cedselementdetails.aspx?termid=27391")</f>
        <v>https://ceds.ed.gov/cedselementdetails.aspx?termid=27391</v>
      </c>
      <c r="Q3684" s="16">
        <v>74537</v>
      </c>
    </row>
    <row r="3685" spans="1:17" ht="100.8" x14ac:dyDescent="0.3">
      <c r="A3685" s="16" t="s">
        <v>7751</v>
      </c>
      <c r="B3685" s="16" t="s">
        <v>7715</v>
      </c>
      <c r="C3685" s="16"/>
      <c r="D3685" s="16" t="s">
        <v>7597</v>
      </c>
      <c r="E3685" s="16" t="s">
        <v>6620</v>
      </c>
      <c r="F3685" s="16" t="s">
        <v>6621</v>
      </c>
      <c r="G3685" s="16" t="s">
        <v>32</v>
      </c>
      <c r="H3685" s="16" t="s">
        <v>1484</v>
      </c>
      <c r="I3685" s="16"/>
      <c r="J3685" s="16" t="s">
        <v>106</v>
      </c>
      <c r="K3685" s="16"/>
      <c r="L3685" s="16"/>
      <c r="M3685" s="19" t="s">
        <v>6622</v>
      </c>
      <c r="N3685" s="16"/>
      <c r="O3685" s="16" t="s">
        <v>6623</v>
      </c>
      <c r="P3685" s="16" t="str">
        <f>HYPERLINK("https://ceds.ed.gov/cedselementdetails.aspx?termid=26251")</f>
        <v>https://ceds.ed.gov/cedselementdetails.aspx?termid=26251</v>
      </c>
      <c r="Q3685" s="16">
        <v>72801</v>
      </c>
    </row>
    <row r="3686" spans="1:17" ht="100.8" x14ac:dyDescent="0.3">
      <c r="A3686" s="16" t="s">
        <v>7751</v>
      </c>
      <c r="B3686" s="16" t="s">
        <v>7715</v>
      </c>
      <c r="C3686" s="16"/>
      <c r="D3686" s="16" t="s">
        <v>7597</v>
      </c>
      <c r="E3686" s="16" t="s">
        <v>6637</v>
      </c>
      <c r="F3686" s="16" t="s">
        <v>6638</v>
      </c>
      <c r="G3686" s="16" t="s">
        <v>32</v>
      </c>
      <c r="H3686" s="16" t="s">
        <v>1484</v>
      </c>
      <c r="I3686" s="16"/>
      <c r="J3686" s="16" t="s">
        <v>106</v>
      </c>
      <c r="K3686" s="16"/>
      <c r="L3686" s="16" t="s">
        <v>131</v>
      </c>
      <c r="M3686" s="19" t="s">
        <v>6639</v>
      </c>
      <c r="N3686" s="16"/>
      <c r="O3686" s="16" t="s">
        <v>6640</v>
      </c>
      <c r="P3686" s="16" t="str">
        <f>HYPERLINK("https://ceds.ed.gov/cedselementdetails.aspx?termid=26253")</f>
        <v>https://ceds.ed.gov/cedselementdetails.aspx?termid=26253</v>
      </c>
      <c r="Q3686" s="16">
        <v>72803</v>
      </c>
    </row>
    <row r="3687" spans="1:17" ht="28.8" x14ac:dyDescent="0.3">
      <c r="A3687" s="16" t="s">
        <v>7751</v>
      </c>
      <c r="B3687" s="16" t="s">
        <v>7715</v>
      </c>
      <c r="C3687" s="16"/>
      <c r="D3687" s="16" t="s">
        <v>7597</v>
      </c>
      <c r="E3687" s="16" t="s">
        <v>6632</v>
      </c>
      <c r="F3687" s="16" t="s">
        <v>6633</v>
      </c>
      <c r="G3687" s="16" t="s">
        <v>32</v>
      </c>
      <c r="H3687" s="16" t="s">
        <v>1927</v>
      </c>
      <c r="I3687" s="16"/>
      <c r="J3687" s="16" t="s">
        <v>3093</v>
      </c>
      <c r="K3687" s="16"/>
      <c r="L3687" s="16"/>
      <c r="M3687" s="19" t="s">
        <v>6635</v>
      </c>
      <c r="N3687" s="16"/>
      <c r="O3687" s="16" t="s">
        <v>6636</v>
      </c>
      <c r="P3687" s="16" t="str">
        <f>HYPERLINK("https://ceds.ed.gov/cedselementdetails.aspx?termid=26252")</f>
        <v>https://ceds.ed.gov/cedselementdetails.aspx?termid=26252</v>
      </c>
      <c r="Q3687" s="16">
        <v>72802</v>
      </c>
    </row>
    <row r="3688" spans="1:17" ht="172.8" x14ac:dyDescent="0.3">
      <c r="A3688" s="16" t="s">
        <v>7751</v>
      </c>
      <c r="B3688" s="16" t="s">
        <v>7715</v>
      </c>
      <c r="C3688" s="16"/>
      <c r="D3688" s="16" t="s">
        <v>7597</v>
      </c>
      <c r="E3688" s="16" t="s">
        <v>6657</v>
      </c>
      <c r="F3688" s="16" t="s">
        <v>6658</v>
      </c>
      <c r="G3688" s="16" t="s">
        <v>8830</v>
      </c>
      <c r="H3688" s="16" t="s">
        <v>1484</v>
      </c>
      <c r="I3688" s="16"/>
      <c r="J3688" s="16"/>
      <c r="K3688" s="16"/>
      <c r="L3688" s="16"/>
      <c r="M3688" s="19" t="s">
        <v>6660</v>
      </c>
      <c r="N3688" s="16"/>
      <c r="O3688" s="16" t="s">
        <v>6661</v>
      </c>
      <c r="P3688" s="16" t="str">
        <f>HYPERLINK("https://ceds.ed.gov/cedselementdetails.aspx?termid=26254")</f>
        <v>https://ceds.ed.gov/cedselementdetails.aspx?termid=26254</v>
      </c>
      <c r="Q3688" s="16">
        <v>72804</v>
      </c>
    </row>
    <row r="3689" spans="1:17" ht="43.2" x14ac:dyDescent="0.3">
      <c r="A3689" s="16" t="s">
        <v>7751</v>
      </c>
      <c r="B3689" s="16" t="s">
        <v>7715</v>
      </c>
      <c r="C3689" s="16"/>
      <c r="D3689" s="16" t="s">
        <v>7597</v>
      </c>
      <c r="E3689" s="16" t="s">
        <v>6624</v>
      </c>
      <c r="F3689" s="16" t="s">
        <v>6625</v>
      </c>
      <c r="G3689" s="16" t="s">
        <v>32</v>
      </c>
      <c r="H3689" s="16"/>
      <c r="I3689" s="16"/>
      <c r="J3689" s="16" t="s">
        <v>81</v>
      </c>
      <c r="K3689" s="16"/>
      <c r="L3689" s="16"/>
      <c r="M3689" s="19" t="s">
        <v>6626</v>
      </c>
      <c r="N3689" s="16"/>
      <c r="O3689" s="16" t="s">
        <v>6627</v>
      </c>
      <c r="P3689" s="16" t="str">
        <f>HYPERLINK("https://ceds.ed.gov/cedselementdetails.aspx?termid=27236")</f>
        <v>https://ceds.ed.gov/cedselementdetails.aspx?termid=27236</v>
      </c>
      <c r="Q3689" s="16">
        <v>74553</v>
      </c>
    </row>
    <row r="3690" spans="1:17" x14ac:dyDescent="0.3">
      <c r="A3690" s="16" t="s">
        <v>7751</v>
      </c>
      <c r="B3690" s="16" t="s">
        <v>7715</v>
      </c>
      <c r="C3690" s="16"/>
      <c r="D3690" s="16" t="s">
        <v>7597</v>
      </c>
      <c r="E3690" s="16" t="s">
        <v>6628</v>
      </c>
      <c r="F3690" s="16" t="s">
        <v>6629</v>
      </c>
      <c r="G3690" s="16" t="s">
        <v>32</v>
      </c>
      <c r="H3690" s="16"/>
      <c r="I3690" s="16"/>
      <c r="J3690" s="16" t="s">
        <v>316</v>
      </c>
      <c r="K3690" s="16"/>
      <c r="L3690" s="16"/>
      <c r="M3690" s="19" t="s">
        <v>6630</v>
      </c>
      <c r="N3690" s="16"/>
      <c r="O3690" s="16" t="s">
        <v>6631</v>
      </c>
      <c r="P3690" s="16" t="str">
        <f>HYPERLINK("https://ceds.ed.gov/cedselementdetails.aspx?termid=27237")</f>
        <v>https://ceds.ed.gov/cedselementdetails.aspx?termid=27237</v>
      </c>
      <c r="Q3690" s="16">
        <v>74554</v>
      </c>
    </row>
    <row r="3691" spans="1:17" ht="409.6" x14ac:dyDescent="0.3">
      <c r="A3691" s="16" t="s">
        <v>7751</v>
      </c>
      <c r="B3691" s="16" t="s">
        <v>7715</v>
      </c>
      <c r="C3691" s="16"/>
      <c r="D3691" s="16" t="s">
        <v>7597</v>
      </c>
      <c r="E3691" s="16" t="s">
        <v>293</v>
      </c>
      <c r="F3691" s="16" t="s">
        <v>7826</v>
      </c>
      <c r="G3691" s="16" t="s">
        <v>8313</v>
      </c>
      <c r="H3691" s="16"/>
      <c r="I3691" s="16"/>
      <c r="J3691" s="16" t="s">
        <v>145</v>
      </c>
      <c r="K3691" s="16"/>
      <c r="L3691" s="16"/>
      <c r="M3691" s="19" t="s">
        <v>295</v>
      </c>
      <c r="N3691" s="16" t="s">
        <v>296</v>
      </c>
      <c r="O3691" s="16" t="s">
        <v>297</v>
      </c>
      <c r="P3691" s="16" t="str">
        <f>HYPERLINK("https://ceds.ed.gov/cedselementdetails.aspx?termid=27244")</f>
        <v>https://ceds.ed.gov/cedselementdetails.aspx?termid=27244</v>
      </c>
      <c r="Q3691" s="16">
        <v>74524</v>
      </c>
    </row>
    <row r="3692" spans="1:17" ht="43.2" x14ac:dyDescent="0.3">
      <c r="A3692" s="16" t="s">
        <v>7751</v>
      </c>
      <c r="B3692" s="16" t="s">
        <v>7715</v>
      </c>
      <c r="C3692" s="16"/>
      <c r="D3692" s="16" t="s">
        <v>7597</v>
      </c>
      <c r="E3692" s="16" t="s">
        <v>2556</v>
      </c>
      <c r="F3692" s="16" t="s">
        <v>2557</v>
      </c>
      <c r="G3692" s="16" t="s">
        <v>32</v>
      </c>
      <c r="H3692" s="16"/>
      <c r="I3692" s="16"/>
      <c r="J3692" s="16" t="s">
        <v>9316</v>
      </c>
      <c r="K3692" s="16"/>
      <c r="L3692" s="16"/>
      <c r="M3692" s="19" t="s">
        <v>2558</v>
      </c>
      <c r="N3692" s="16"/>
      <c r="O3692" s="16" t="s">
        <v>2559</v>
      </c>
      <c r="P3692" s="16" t="str">
        <f>HYPERLINK("https://ceds.ed.gov/cedselementdetails.aspx?termid=26508")</f>
        <v>https://ceds.ed.gov/cedselementdetails.aspx?termid=26508</v>
      </c>
      <c r="Q3692" s="16">
        <v>74541</v>
      </c>
    </row>
    <row r="3693" spans="1:17" ht="345.6" x14ac:dyDescent="0.3">
      <c r="A3693" s="16" t="s">
        <v>7751</v>
      </c>
      <c r="B3693" s="16" t="s">
        <v>7715</v>
      </c>
      <c r="C3693" s="16"/>
      <c r="D3693" s="16" t="s">
        <v>7597</v>
      </c>
      <c r="E3693" s="16" t="s">
        <v>2540</v>
      </c>
      <c r="F3693" s="16" t="s">
        <v>2541</v>
      </c>
      <c r="G3693" s="16" t="s">
        <v>8459</v>
      </c>
      <c r="H3693" s="16"/>
      <c r="I3693" s="16"/>
      <c r="J3693" s="16"/>
      <c r="K3693" s="16"/>
      <c r="L3693" s="16"/>
      <c r="M3693" s="19" t="s">
        <v>2542</v>
      </c>
      <c r="N3693" s="16"/>
      <c r="O3693" s="16" t="s">
        <v>2543</v>
      </c>
      <c r="P3693" s="16" t="str">
        <f>HYPERLINK("https://ceds.ed.gov/cedselementdetails.aspx?termid=27269")</f>
        <v>https://ceds.ed.gov/cedselementdetails.aspx?termid=27269</v>
      </c>
      <c r="Q3693" s="16">
        <v>74526</v>
      </c>
    </row>
    <row r="3694" spans="1:17" ht="187.2" x14ac:dyDescent="0.3">
      <c r="A3694" s="16" t="s">
        <v>7751</v>
      </c>
      <c r="B3694" s="16" t="s">
        <v>7715</v>
      </c>
      <c r="C3694" s="16"/>
      <c r="D3694" s="16" t="s">
        <v>7597</v>
      </c>
      <c r="E3694" s="16" t="s">
        <v>2544</v>
      </c>
      <c r="F3694" s="16" t="s">
        <v>2545</v>
      </c>
      <c r="G3694" s="16" t="s">
        <v>8460</v>
      </c>
      <c r="H3694" s="16"/>
      <c r="I3694" s="16"/>
      <c r="J3694" s="16"/>
      <c r="K3694" s="16"/>
      <c r="L3694" s="16"/>
      <c r="M3694" s="19" t="s">
        <v>2546</v>
      </c>
      <c r="N3694" s="16"/>
      <c r="O3694" s="16" t="s">
        <v>2547</v>
      </c>
      <c r="P3694" s="16" t="str">
        <f>HYPERLINK("https://ceds.ed.gov/cedselementdetails.aspx?termid=27270")</f>
        <v>https://ceds.ed.gov/cedselementdetails.aspx?termid=27270</v>
      </c>
      <c r="Q3694" s="16">
        <v>74527</v>
      </c>
    </row>
    <row r="3695" spans="1:17" ht="409.6" x14ac:dyDescent="0.3">
      <c r="A3695" s="16" t="s">
        <v>7751</v>
      </c>
      <c r="B3695" s="16" t="s">
        <v>7715</v>
      </c>
      <c r="C3695" s="16"/>
      <c r="D3695" s="16" t="s">
        <v>7597</v>
      </c>
      <c r="E3695" s="16" t="s">
        <v>2523</v>
      </c>
      <c r="F3695" s="16" t="s">
        <v>2524</v>
      </c>
      <c r="G3695" s="16" t="s">
        <v>8458</v>
      </c>
      <c r="H3695" s="16"/>
      <c r="I3695" s="16"/>
      <c r="J3695" s="16"/>
      <c r="K3695" s="16"/>
      <c r="L3695" s="16" t="s">
        <v>7917</v>
      </c>
      <c r="M3695" s="19" t="s">
        <v>2526</v>
      </c>
      <c r="N3695" s="16"/>
      <c r="O3695" s="16" t="s">
        <v>2527</v>
      </c>
      <c r="P3695" s="16" t="str">
        <f>HYPERLINK("https://ceds.ed.gov/cedselementdetails.aspx?termid=27267")</f>
        <v>https://ceds.ed.gov/cedselementdetails.aspx?termid=27267</v>
      </c>
      <c r="Q3695" s="16">
        <v>74546</v>
      </c>
    </row>
    <row r="3696" spans="1:17" ht="302.39999999999998" x14ac:dyDescent="0.3">
      <c r="A3696" s="16" t="s">
        <v>7751</v>
      </c>
      <c r="B3696" s="16" t="s">
        <v>7715</v>
      </c>
      <c r="C3696" s="16"/>
      <c r="D3696" s="16" t="s">
        <v>7597</v>
      </c>
      <c r="E3696" s="16" t="s">
        <v>2610</v>
      </c>
      <c r="F3696" s="16" t="s">
        <v>2611</v>
      </c>
      <c r="G3696" s="16" t="s">
        <v>8218</v>
      </c>
      <c r="H3696" s="16"/>
      <c r="I3696" s="16"/>
      <c r="J3696" s="16"/>
      <c r="K3696" s="16"/>
      <c r="L3696" s="16"/>
      <c r="M3696" s="19" t="s">
        <v>2612</v>
      </c>
      <c r="N3696" s="16"/>
      <c r="O3696" s="16" t="s">
        <v>2613</v>
      </c>
      <c r="P3696" s="16" t="str">
        <f>HYPERLINK("https://ceds.ed.gov/cedselementdetails.aspx?termid=27278")</f>
        <v>https://ceds.ed.gov/cedselementdetails.aspx?termid=27278</v>
      </c>
      <c r="Q3696" s="16">
        <v>74532</v>
      </c>
    </row>
    <row r="3697" spans="1:17" ht="129.6" x14ac:dyDescent="0.3">
      <c r="A3697" s="16" t="s">
        <v>7751</v>
      </c>
      <c r="B3697" s="16" t="s">
        <v>7715</v>
      </c>
      <c r="C3697" s="16"/>
      <c r="D3697" s="16" t="s">
        <v>7597</v>
      </c>
      <c r="E3697" s="16" t="s">
        <v>2503</v>
      </c>
      <c r="F3697" s="16" t="s">
        <v>2504</v>
      </c>
      <c r="G3697" s="16" t="s">
        <v>32</v>
      </c>
      <c r="H3697" s="16"/>
      <c r="I3697" s="16"/>
      <c r="J3697" s="16" t="s">
        <v>2506</v>
      </c>
      <c r="K3697" s="16"/>
      <c r="L3697" s="16" t="s">
        <v>2507</v>
      </c>
      <c r="M3697" s="19" t="s">
        <v>2508</v>
      </c>
      <c r="N3697" s="16"/>
      <c r="O3697" s="16" t="s">
        <v>2509</v>
      </c>
      <c r="P3697" s="16" t="str">
        <f>HYPERLINK("https://ceds.ed.gov/cedselementdetails.aspx?termid=27264")</f>
        <v>https://ceds.ed.gov/cedselementdetails.aspx?termid=27264</v>
      </c>
      <c r="Q3697" s="16">
        <v>74525</v>
      </c>
    </row>
    <row r="3698" spans="1:17" ht="43.2" x14ac:dyDescent="0.3">
      <c r="A3698" s="16" t="s">
        <v>7751</v>
      </c>
      <c r="B3698" s="16" t="s">
        <v>7715</v>
      </c>
      <c r="C3698" s="16"/>
      <c r="D3698" s="16" t="s">
        <v>7597</v>
      </c>
      <c r="E3698" s="16" t="s">
        <v>2580</v>
      </c>
      <c r="F3698" s="16" t="s">
        <v>2581</v>
      </c>
      <c r="G3698" s="16" t="s">
        <v>8464</v>
      </c>
      <c r="H3698" s="16"/>
      <c r="I3698" s="16"/>
      <c r="J3698" s="16"/>
      <c r="K3698" s="16"/>
      <c r="L3698" s="16"/>
      <c r="M3698" s="19" t="s">
        <v>2582</v>
      </c>
      <c r="N3698" s="16"/>
      <c r="O3698" s="16" t="s">
        <v>2583</v>
      </c>
      <c r="P3698" s="16" t="str">
        <f>HYPERLINK("https://ceds.ed.gov/cedselementdetails.aspx?termid=27273")</f>
        <v>https://ceds.ed.gov/cedselementdetails.aspx?termid=27273</v>
      </c>
      <c r="Q3698" s="16">
        <v>74528</v>
      </c>
    </row>
    <row r="3699" spans="1:17" ht="244.8" x14ac:dyDescent="0.3">
      <c r="A3699" s="16" t="s">
        <v>7751</v>
      </c>
      <c r="B3699" s="16" t="s">
        <v>7715</v>
      </c>
      <c r="C3699" s="16"/>
      <c r="D3699" s="16" t="s">
        <v>7597</v>
      </c>
      <c r="E3699" s="16" t="s">
        <v>1887</v>
      </c>
      <c r="F3699" s="16" t="s">
        <v>1888</v>
      </c>
      <c r="G3699" s="16" t="s">
        <v>8425</v>
      </c>
      <c r="H3699" s="16"/>
      <c r="I3699" s="16" t="s">
        <v>160</v>
      </c>
      <c r="J3699" s="16"/>
      <c r="K3699" s="16" t="s">
        <v>12935</v>
      </c>
      <c r="L3699" s="16" t="s">
        <v>7896</v>
      </c>
      <c r="M3699" s="19" t="s">
        <v>1889</v>
      </c>
      <c r="N3699" s="16"/>
      <c r="O3699" s="16" t="s">
        <v>1890</v>
      </c>
      <c r="P3699" s="16" t="str">
        <f>HYPERLINK("https://ceds.ed.gov/cedselementdetails.aspx?termid=27254")</f>
        <v>https://ceds.ed.gov/cedselementdetails.aspx?termid=27254</v>
      </c>
      <c r="Q3699" s="16">
        <v>74545</v>
      </c>
    </row>
    <row r="3700" spans="1:17" ht="43.2" x14ac:dyDescent="0.3">
      <c r="A3700" s="16" t="s">
        <v>7751</v>
      </c>
      <c r="B3700" s="16" t="s">
        <v>7715</v>
      </c>
      <c r="C3700" s="16"/>
      <c r="D3700" s="16" t="s">
        <v>7597</v>
      </c>
      <c r="E3700" s="16" t="s">
        <v>2519</v>
      </c>
      <c r="F3700" s="16" t="s">
        <v>2520</v>
      </c>
      <c r="G3700" s="16" t="s">
        <v>22</v>
      </c>
      <c r="H3700" s="16"/>
      <c r="I3700" s="16"/>
      <c r="J3700" s="16"/>
      <c r="K3700" s="16"/>
      <c r="L3700" s="16"/>
      <c r="M3700" s="19" t="s">
        <v>2521</v>
      </c>
      <c r="N3700" s="16"/>
      <c r="O3700" s="16" t="s">
        <v>2522</v>
      </c>
      <c r="P3700" s="16" t="str">
        <f>HYPERLINK("https://ceds.ed.gov/cedselementdetails.aspx?termid=26013")</f>
        <v>https://ceds.ed.gov/cedselementdetails.aspx?termid=26013</v>
      </c>
      <c r="Q3700" s="16">
        <v>72824</v>
      </c>
    </row>
    <row r="3701" spans="1:17" ht="43.2" x14ac:dyDescent="0.3">
      <c r="A3701" s="16" t="s">
        <v>7751</v>
      </c>
      <c r="B3701" s="16" t="s">
        <v>7715</v>
      </c>
      <c r="C3701" s="16"/>
      <c r="D3701" s="16" t="s">
        <v>7597</v>
      </c>
      <c r="E3701" s="16" t="s">
        <v>6645</v>
      </c>
      <c r="F3701" s="16" t="s">
        <v>6646</v>
      </c>
      <c r="G3701" s="16" t="s">
        <v>22</v>
      </c>
      <c r="H3701" s="16"/>
      <c r="I3701" s="16"/>
      <c r="J3701" s="16"/>
      <c r="K3701" s="16"/>
      <c r="L3701" s="16"/>
      <c r="M3701" s="19" t="s">
        <v>6647</v>
      </c>
      <c r="N3701" s="16"/>
      <c r="O3701" s="16" t="s">
        <v>6648</v>
      </c>
      <c r="P3701" s="16" t="str">
        <f>HYPERLINK("https://ceds.ed.gov/cedselementdetails.aspx?termid=27238")</f>
        <v>https://ceds.ed.gov/cedselementdetails.aspx?termid=27238</v>
      </c>
      <c r="Q3701" s="16">
        <v>74555</v>
      </c>
    </row>
    <row r="3702" spans="1:17" ht="43.2" x14ac:dyDescent="0.3">
      <c r="A3702" s="16" t="s">
        <v>7751</v>
      </c>
      <c r="B3702" s="16" t="s">
        <v>7715</v>
      </c>
      <c r="C3702" s="16"/>
      <c r="D3702" s="16" t="s">
        <v>7597</v>
      </c>
      <c r="E3702" s="16" t="s">
        <v>6649</v>
      </c>
      <c r="F3702" s="16" t="s">
        <v>6650</v>
      </c>
      <c r="G3702" s="16" t="s">
        <v>22</v>
      </c>
      <c r="H3702" s="16"/>
      <c r="I3702" s="16"/>
      <c r="J3702" s="16"/>
      <c r="K3702" s="16"/>
      <c r="L3702" s="16"/>
      <c r="M3702" s="19" t="s">
        <v>6651</v>
      </c>
      <c r="N3702" s="16"/>
      <c r="O3702" s="16" t="s">
        <v>6652</v>
      </c>
      <c r="P3702" s="16" t="str">
        <f>HYPERLINK("https://ceds.ed.gov/cedselementdetails.aspx?termid=27239")</f>
        <v>https://ceds.ed.gov/cedselementdetails.aspx?termid=27239</v>
      </c>
      <c r="Q3702" s="16">
        <v>74556</v>
      </c>
    </row>
    <row r="3703" spans="1:17" ht="43.2" x14ac:dyDescent="0.3">
      <c r="A3703" s="16" t="s">
        <v>7751</v>
      </c>
      <c r="B3703" s="16" t="s">
        <v>7715</v>
      </c>
      <c r="C3703" s="16"/>
      <c r="D3703" s="16" t="s">
        <v>7597</v>
      </c>
      <c r="E3703" s="16" t="s">
        <v>6615</v>
      </c>
      <c r="F3703" s="16" t="s">
        <v>6616</v>
      </c>
      <c r="G3703" s="16" t="s">
        <v>22</v>
      </c>
      <c r="H3703" s="16"/>
      <c r="I3703" s="16"/>
      <c r="J3703" s="16"/>
      <c r="K3703" s="16"/>
      <c r="L3703" s="16"/>
      <c r="M3703" s="19" t="s">
        <v>6618</v>
      </c>
      <c r="N3703" s="16"/>
      <c r="O3703" s="16" t="s">
        <v>6619</v>
      </c>
      <c r="P3703" s="16" t="str">
        <f>HYPERLINK("https://ceds.ed.gov/cedselementdetails.aspx?termid=27240")</f>
        <v>https://ceds.ed.gov/cedselementdetails.aspx?termid=27240</v>
      </c>
      <c r="Q3703" s="16">
        <v>74557</v>
      </c>
    </row>
    <row r="3704" spans="1:17" ht="129.6" x14ac:dyDescent="0.3">
      <c r="A3704" s="16" t="s">
        <v>7751</v>
      </c>
      <c r="B3704" s="16" t="s">
        <v>7715</v>
      </c>
      <c r="C3704" s="16"/>
      <c r="D3704" s="16" t="s">
        <v>7597</v>
      </c>
      <c r="E3704" s="16" t="s">
        <v>2691</v>
      </c>
      <c r="F3704" s="16" t="s">
        <v>2692</v>
      </c>
      <c r="G3704" s="16" t="s">
        <v>32</v>
      </c>
      <c r="H3704" s="16" t="s">
        <v>2695</v>
      </c>
      <c r="I3704" s="16"/>
      <c r="J3704" s="16" t="s">
        <v>305</v>
      </c>
      <c r="K3704" s="16"/>
      <c r="L3704" s="16"/>
      <c r="M3704" s="19" t="s">
        <v>2693</v>
      </c>
      <c r="N3704" s="16"/>
      <c r="O3704" s="16" t="s">
        <v>2694</v>
      </c>
      <c r="P3704" s="16" t="str">
        <f>HYPERLINK("https://ceds.ed.gov/cedselementdetails.aspx?termid=26101")</f>
        <v>https://ceds.ed.gov/cedselementdetails.aspx?termid=26101</v>
      </c>
      <c r="Q3704" s="16">
        <v>72817</v>
      </c>
    </row>
    <row r="3705" spans="1:17" ht="129.6" x14ac:dyDescent="0.3">
      <c r="A3705" s="16" t="s">
        <v>7751</v>
      </c>
      <c r="B3705" s="16" t="s">
        <v>7715</v>
      </c>
      <c r="C3705" s="16"/>
      <c r="D3705" s="16" t="s">
        <v>7597</v>
      </c>
      <c r="E3705" s="16" t="s">
        <v>2628</v>
      </c>
      <c r="F3705" s="16" t="s">
        <v>2629</v>
      </c>
      <c r="G3705" s="16" t="s">
        <v>8469</v>
      </c>
      <c r="H3705" s="16" t="s">
        <v>64</v>
      </c>
      <c r="I3705" s="16"/>
      <c r="J3705" s="16"/>
      <c r="K3705" s="16"/>
      <c r="L3705" s="16"/>
      <c r="M3705" s="19" t="s">
        <v>2630</v>
      </c>
      <c r="N3705" s="16"/>
      <c r="O3705" s="16" t="s">
        <v>2631</v>
      </c>
      <c r="P3705" s="16" t="str">
        <f>HYPERLINK("https://ceds.ed.gov/cedselementdetails.aspx?termid=26065")</f>
        <v>https://ceds.ed.gov/cedselementdetails.aspx?termid=26065</v>
      </c>
      <c r="Q3705" s="16">
        <v>74523</v>
      </c>
    </row>
    <row r="3706" spans="1:17" ht="28.8" x14ac:dyDescent="0.3">
      <c r="A3706" s="16" t="s">
        <v>7751</v>
      </c>
      <c r="B3706" s="16" t="s">
        <v>7715</v>
      </c>
      <c r="C3706" s="16"/>
      <c r="D3706" s="16" t="s">
        <v>7597</v>
      </c>
      <c r="E3706" s="16" t="s">
        <v>2021</v>
      </c>
      <c r="F3706" s="16" t="s">
        <v>2022</v>
      </c>
      <c r="G3706" s="16" t="s">
        <v>32</v>
      </c>
      <c r="H3706" s="16" t="s">
        <v>2025</v>
      </c>
      <c r="I3706" s="16"/>
      <c r="J3706" s="16" t="s">
        <v>403</v>
      </c>
      <c r="K3706" s="16"/>
      <c r="L3706" s="16"/>
      <c r="M3706" s="19" t="s">
        <v>2023</v>
      </c>
      <c r="N3706" s="16"/>
      <c r="O3706" s="16" t="s">
        <v>2024</v>
      </c>
      <c r="P3706" s="16" t="str">
        <f>HYPERLINK("https://ceds.ed.gov/cedselementdetails.aspx?termid=26510")</f>
        <v>https://ceds.ed.gov/cedselementdetails.aspx?termid=26510</v>
      </c>
      <c r="Q3706" s="16">
        <v>72808</v>
      </c>
    </row>
    <row r="3707" spans="1:17" ht="28.8" x14ac:dyDescent="0.3">
      <c r="A3707" s="16" t="s">
        <v>7751</v>
      </c>
      <c r="B3707" s="16" t="s">
        <v>7715</v>
      </c>
      <c r="C3707" s="16"/>
      <c r="D3707" s="16" t="s">
        <v>7597</v>
      </c>
      <c r="E3707" s="16" t="s">
        <v>2026</v>
      </c>
      <c r="F3707" s="16" t="s">
        <v>2027</v>
      </c>
      <c r="G3707" s="16" t="s">
        <v>32</v>
      </c>
      <c r="H3707" s="16" t="s">
        <v>2025</v>
      </c>
      <c r="I3707" s="16"/>
      <c r="J3707" s="16" t="s">
        <v>403</v>
      </c>
      <c r="K3707" s="16"/>
      <c r="L3707" s="16"/>
      <c r="M3707" s="19" t="s">
        <v>2028</v>
      </c>
      <c r="N3707" s="16"/>
      <c r="O3707" s="16" t="s">
        <v>2029</v>
      </c>
      <c r="P3707" s="16" t="str">
        <f>HYPERLINK("https://ceds.ed.gov/cedselementdetails.aspx?termid=26511")</f>
        <v>https://ceds.ed.gov/cedselementdetails.aspx?termid=26511</v>
      </c>
      <c r="Q3707" s="16">
        <v>72809</v>
      </c>
    </row>
    <row r="3708" spans="1:17" ht="57.6" x14ac:dyDescent="0.3">
      <c r="A3708" s="16" t="s">
        <v>7751</v>
      </c>
      <c r="B3708" s="16" t="s">
        <v>7715</v>
      </c>
      <c r="C3708" s="16"/>
      <c r="D3708" s="16" t="s">
        <v>7597</v>
      </c>
      <c r="E3708" s="16" t="s">
        <v>2030</v>
      </c>
      <c r="F3708" s="16" t="s">
        <v>2031</v>
      </c>
      <c r="G3708" s="16" t="s">
        <v>32</v>
      </c>
      <c r="H3708" s="16"/>
      <c r="I3708" s="16"/>
      <c r="J3708" s="16" t="s">
        <v>145</v>
      </c>
      <c r="K3708" s="16"/>
      <c r="L3708" s="16"/>
      <c r="M3708" s="19" t="s">
        <v>2033</v>
      </c>
      <c r="N3708" s="16"/>
      <c r="O3708" s="16" t="s">
        <v>2034</v>
      </c>
      <c r="P3708" s="16" t="str">
        <f>HYPERLINK("https://ceds.ed.gov/cedselementdetails.aspx?termid=26512")</f>
        <v>https://ceds.ed.gov/cedselementdetails.aspx?termid=26512</v>
      </c>
      <c r="Q3708" s="16">
        <v>72810</v>
      </c>
    </row>
    <row r="3709" spans="1:17" ht="72" x14ac:dyDescent="0.3">
      <c r="A3709" s="16" t="s">
        <v>7751</v>
      </c>
      <c r="B3709" s="16" t="s">
        <v>7715</v>
      </c>
      <c r="C3709" s="16"/>
      <c r="D3709" s="16" t="s">
        <v>7597</v>
      </c>
      <c r="E3709" s="16" t="s">
        <v>2035</v>
      </c>
      <c r="F3709" s="16" t="s">
        <v>2036</v>
      </c>
      <c r="G3709" s="16" t="s">
        <v>32</v>
      </c>
      <c r="H3709" s="16"/>
      <c r="I3709" s="16"/>
      <c r="J3709" s="16" t="s">
        <v>81</v>
      </c>
      <c r="K3709" s="16"/>
      <c r="L3709" s="16"/>
      <c r="M3709" s="19" t="s">
        <v>2037</v>
      </c>
      <c r="N3709" s="16"/>
      <c r="O3709" s="16" t="s">
        <v>2038</v>
      </c>
      <c r="P3709" s="16" t="str">
        <f>HYPERLINK("https://ceds.ed.gov/cedselementdetails.aspx?termid=26513")</f>
        <v>https://ceds.ed.gov/cedselementdetails.aspx?termid=26513</v>
      </c>
      <c r="Q3709" s="16">
        <v>72811</v>
      </c>
    </row>
    <row r="3710" spans="1:17" ht="172.8" x14ac:dyDescent="0.3">
      <c r="A3710" s="16" t="s">
        <v>7751</v>
      </c>
      <c r="B3710" s="16" t="s">
        <v>7715</v>
      </c>
      <c r="C3710" s="16"/>
      <c r="D3710" s="16" t="s">
        <v>7597</v>
      </c>
      <c r="E3710" s="16" t="s">
        <v>7078</v>
      </c>
      <c r="F3710" s="16" t="s">
        <v>7079</v>
      </c>
      <c r="G3710" s="16" t="s">
        <v>32</v>
      </c>
      <c r="H3710" s="16"/>
      <c r="I3710" s="16"/>
      <c r="J3710" s="16" t="s">
        <v>120</v>
      </c>
      <c r="K3710" s="16"/>
      <c r="L3710" s="16" t="s">
        <v>7817</v>
      </c>
      <c r="M3710" s="19" t="s">
        <v>7080</v>
      </c>
      <c r="N3710" s="16"/>
      <c r="O3710" s="16" t="s">
        <v>7081</v>
      </c>
      <c r="P3710" s="16" t="str">
        <f>HYPERLINK("https://ceds.ed.gov/cedselementdetails.aspx?termid=26514")</f>
        <v>https://ceds.ed.gov/cedselementdetails.aspx?termid=26514</v>
      </c>
      <c r="Q3710" s="16">
        <v>72812</v>
      </c>
    </row>
    <row r="3711" spans="1:17" ht="28.8" x14ac:dyDescent="0.3">
      <c r="A3711" s="16" t="s">
        <v>7751</v>
      </c>
      <c r="B3711" s="16" t="s">
        <v>7715</v>
      </c>
      <c r="C3711" s="16"/>
      <c r="D3711" s="16" t="s">
        <v>7597</v>
      </c>
      <c r="E3711" s="16" t="s">
        <v>2678</v>
      </c>
      <c r="F3711" s="16" t="s">
        <v>2679</v>
      </c>
      <c r="G3711" s="16" t="s">
        <v>32</v>
      </c>
      <c r="H3711" s="16"/>
      <c r="I3711" s="16"/>
      <c r="J3711" s="16" t="s">
        <v>305</v>
      </c>
      <c r="K3711" s="16"/>
      <c r="L3711" s="16"/>
      <c r="M3711" s="19" t="s">
        <v>2680</v>
      </c>
      <c r="N3711" s="16"/>
      <c r="O3711" s="16" t="s">
        <v>2681</v>
      </c>
      <c r="P3711" s="16" t="str">
        <f>HYPERLINK("https://ceds.ed.gov/cedselementdetails.aspx?termid=27636")</f>
        <v>https://ceds.ed.gov/cedselementdetails.aspx?termid=27636</v>
      </c>
      <c r="Q3711" s="16">
        <v>74352</v>
      </c>
    </row>
    <row r="3712" spans="1:17" ht="374.4" x14ac:dyDescent="0.3">
      <c r="A3712" s="16" t="s">
        <v>7751</v>
      </c>
      <c r="B3712" s="16" t="s">
        <v>7715</v>
      </c>
      <c r="C3712" s="16"/>
      <c r="D3712" s="16" t="s">
        <v>7597</v>
      </c>
      <c r="E3712" s="16" t="s">
        <v>2589</v>
      </c>
      <c r="F3712" s="16" t="s">
        <v>2590</v>
      </c>
      <c r="G3712" s="16" t="s">
        <v>8465</v>
      </c>
      <c r="H3712" s="16"/>
      <c r="I3712" s="16"/>
      <c r="J3712" s="16"/>
      <c r="K3712" s="16"/>
      <c r="L3712" s="16"/>
      <c r="M3712" s="19" t="s">
        <v>2591</v>
      </c>
      <c r="N3712" s="16"/>
      <c r="O3712" s="16" t="s">
        <v>2592</v>
      </c>
      <c r="P3712" s="16" t="str">
        <f>HYPERLINK("https://ceds.ed.gov/cedselementdetails.aspx?termid=27274")</f>
        <v>https://ceds.ed.gov/cedselementdetails.aspx?termid=27274</v>
      </c>
      <c r="Q3712" s="16">
        <v>74529</v>
      </c>
    </row>
    <row r="3713" spans="1:17" ht="115.2" x14ac:dyDescent="0.3">
      <c r="A3713" s="16" t="s">
        <v>7751</v>
      </c>
      <c r="B3713" s="16" t="s">
        <v>7715</v>
      </c>
      <c r="C3713" s="16"/>
      <c r="D3713" s="16" t="s">
        <v>7597</v>
      </c>
      <c r="E3713" s="16" t="s">
        <v>4715</v>
      </c>
      <c r="F3713" s="16" t="s">
        <v>4716</v>
      </c>
      <c r="G3713" s="16" t="s">
        <v>7313</v>
      </c>
      <c r="H3713" s="16" t="s">
        <v>202</v>
      </c>
      <c r="I3713" s="16"/>
      <c r="J3713" s="16"/>
      <c r="K3713" s="16"/>
      <c r="L3713" s="16" t="s">
        <v>7859</v>
      </c>
      <c r="M3713" s="19" t="s">
        <v>4717</v>
      </c>
      <c r="N3713" s="16"/>
      <c r="O3713" s="16" t="s">
        <v>4718</v>
      </c>
      <c r="P3713" s="16" t="str">
        <f>HYPERLINK("https://ceds.ed.gov/cedselementdetails.aspx?termid=26438")</f>
        <v>https://ceds.ed.gov/cedselementdetails.aspx?termid=26438</v>
      </c>
      <c r="Q3713" s="16">
        <v>72806</v>
      </c>
    </row>
    <row r="3714" spans="1:17" ht="172.8" x14ac:dyDescent="0.3">
      <c r="A3714" s="16" t="s">
        <v>7751</v>
      </c>
      <c r="B3714" s="16" t="s">
        <v>7715</v>
      </c>
      <c r="C3714" s="16"/>
      <c r="D3714" s="16" t="s">
        <v>7597</v>
      </c>
      <c r="E3714" s="16" t="s">
        <v>2060</v>
      </c>
      <c r="F3714" s="16" t="s">
        <v>2061</v>
      </c>
      <c r="G3714" s="16" t="s">
        <v>32</v>
      </c>
      <c r="H3714" s="16"/>
      <c r="I3714" s="16"/>
      <c r="J3714" s="16" t="s">
        <v>120</v>
      </c>
      <c r="K3714" s="16"/>
      <c r="L3714" s="16" t="s">
        <v>7817</v>
      </c>
      <c r="M3714" s="19" t="s">
        <v>2062</v>
      </c>
      <c r="N3714" s="16"/>
      <c r="O3714" s="16" t="s">
        <v>2063</v>
      </c>
      <c r="P3714" s="16" t="str">
        <f>HYPERLINK("https://ceds.ed.gov/cedselementdetails.aspx?termid=26507")</f>
        <v>https://ceds.ed.gov/cedselementdetails.aspx?termid=26507</v>
      </c>
      <c r="Q3714" s="16">
        <v>72807</v>
      </c>
    </row>
    <row r="3715" spans="1:17" ht="158.4" x14ac:dyDescent="0.3">
      <c r="A3715" s="16" t="s">
        <v>7751</v>
      </c>
      <c r="B3715" s="16" t="s">
        <v>7715</v>
      </c>
      <c r="C3715" s="16"/>
      <c r="D3715" s="16" t="s">
        <v>7597</v>
      </c>
      <c r="E3715" s="16" t="s">
        <v>6261</v>
      </c>
      <c r="F3715" s="16" t="s">
        <v>6262</v>
      </c>
      <c r="G3715" s="16" t="s">
        <v>8257</v>
      </c>
      <c r="H3715" s="16"/>
      <c r="I3715" s="16"/>
      <c r="J3715" s="16"/>
      <c r="K3715" s="16"/>
      <c r="L3715" s="16"/>
      <c r="M3715" s="19" t="s">
        <v>6263</v>
      </c>
      <c r="N3715" s="16"/>
      <c r="O3715" s="16" t="s">
        <v>6264</v>
      </c>
      <c r="P3715" s="16" t="str">
        <f>HYPERLINK("https://ceds.ed.gov/cedselementdetails.aspx?termid=26515")</f>
        <v>https://ceds.ed.gov/cedselementdetails.aspx?termid=26515</v>
      </c>
      <c r="Q3715" s="16">
        <v>72813</v>
      </c>
    </row>
    <row r="3716" spans="1:17" ht="28.8" x14ac:dyDescent="0.3">
      <c r="A3716" s="16" t="s">
        <v>7751</v>
      </c>
      <c r="B3716" s="16" t="s">
        <v>7715</v>
      </c>
      <c r="C3716" s="16"/>
      <c r="D3716" s="16" t="s">
        <v>7597</v>
      </c>
      <c r="E3716" s="16" t="s">
        <v>2593</v>
      </c>
      <c r="F3716" s="16" t="s">
        <v>2594</v>
      </c>
      <c r="G3716" s="16" t="s">
        <v>32</v>
      </c>
      <c r="H3716" s="16"/>
      <c r="I3716" s="16"/>
      <c r="J3716" s="16" t="s">
        <v>145</v>
      </c>
      <c r="K3716" s="16"/>
      <c r="L3716" s="16"/>
      <c r="M3716" s="19" t="s">
        <v>2595</v>
      </c>
      <c r="N3716" s="16"/>
      <c r="O3716" s="16" t="s">
        <v>2596</v>
      </c>
      <c r="P3716" s="16" t="str">
        <f>HYPERLINK("https://ceds.ed.gov/cedselementdetails.aspx?termid=27275")</f>
        <v>https://ceds.ed.gov/cedselementdetails.aspx?termid=27275</v>
      </c>
      <c r="Q3716" s="16">
        <v>74530</v>
      </c>
    </row>
    <row r="3717" spans="1:17" ht="144" x14ac:dyDescent="0.3">
      <c r="A3717" s="16" t="s">
        <v>7751</v>
      </c>
      <c r="B3717" s="16" t="s">
        <v>7715</v>
      </c>
      <c r="C3717" s="16"/>
      <c r="D3717" s="16" t="s">
        <v>7597</v>
      </c>
      <c r="E3717" s="16" t="s">
        <v>2597</v>
      </c>
      <c r="F3717" s="16" t="s">
        <v>2598</v>
      </c>
      <c r="G3717" s="16" t="s">
        <v>8466</v>
      </c>
      <c r="H3717" s="16"/>
      <c r="I3717" s="16"/>
      <c r="J3717" s="16"/>
      <c r="K3717" s="16"/>
      <c r="L3717" s="16"/>
      <c r="M3717" s="19" t="s">
        <v>2599</v>
      </c>
      <c r="N3717" s="16"/>
      <c r="O3717" s="16" t="s">
        <v>2600</v>
      </c>
      <c r="P3717" s="16" t="str">
        <f>HYPERLINK("https://ceds.ed.gov/cedselementdetails.aspx?termid=27276")</f>
        <v>https://ceds.ed.gov/cedselementdetails.aspx?termid=27276</v>
      </c>
      <c r="Q3717" s="16">
        <v>74531</v>
      </c>
    </row>
    <row r="3718" spans="1:17" ht="244.8" x14ac:dyDescent="0.3">
      <c r="A3718" s="16" t="s">
        <v>7751</v>
      </c>
      <c r="B3718" s="16" t="s">
        <v>7715</v>
      </c>
      <c r="C3718" s="16"/>
      <c r="D3718" s="16" t="s">
        <v>7597</v>
      </c>
      <c r="E3718" s="16" t="s">
        <v>2064</v>
      </c>
      <c r="F3718" s="16" t="s">
        <v>2065</v>
      </c>
      <c r="G3718" s="16" t="s">
        <v>8213</v>
      </c>
      <c r="H3718" s="16"/>
      <c r="I3718" s="16"/>
      <c r="J3718" s="16"/>
      <c r="K3718" s="16"/>
      <c r="L3718" s="16"/>
      <c r="M3718" s="19" t="s">
        <v>2066</v>
      </c>
      <c r="N3718" s="16"/>
      <c r="O3718" s="16" t="s">
        <v>2067</v>
      </c>
      <c r="P3718" s="16" t="str">
        <f>HYPERLINK("https://ceds.ed.gov/cedselementdetails.aspx?termid=26615")</f>
        <v>https://ceds.ed.gov/cedselementdetails.aspx?termid=26615</v>
      </c>
      <c r="Q3718" s="16">
        <v>74543</v>
      </c>
    </row>
    <row r="3719" spans="1:17" ht="115.2" x14ac:dyDescent="0.3">
      <c r="A3719" s="16" t="s">
        <v>7751</v>
      </c>
      <c r="B3719" s="16" t="s">
        <v>7715</v>
      </c>
      <c r="C3719" s="16"/>
      <c r="D3719" s="16" t="s">
        <v>7597</v>
      </c>
      <c r="E3719" s="16" t="s">
        <v>7227</v>
      </c>
      <c r="F3719" s="16" t="s">
        <v>8171</v>
      </c>
      <c r="G3719" s="16" t="s">
        <v>22</v>
      </c>
      <c r="H3719" s="16"/>
      <c r="I3719" s="16"/>
      <c r="J3719" s="16"/>
      <c r="K3719" s="16"/>
      <c r="L3719" s="16"/>
      <c r="M3719" s="19" t="s">
        <v>7228</v>
      </c>
      <c r="N3719" s="16"/>
      <c r="O3719" s="16" t="s">
        <v>7229</v>
      </c>
      <c r="P3719" s="16" t="str">
        <f>HYPERLINK("https://ceds.ed.gov/cedselementdetails.aspx?termid=27167")</f>
        <v>https://ceds.ed.gov/cedselementdetails.aspx?termid=27167</v>
      </c>
      <c r="Q3719" s="16">
        <v>72815</v>
      </c>
    </row>
    <row r="3720" spans="1:17" ht="129.6" x14ac:dyDescent="0.3">
      <c r="A3720" s="16" t="s">
        <v>7751</v>
      </c>
      <c r="B3720" s="16" t="s">
        <v>7715</v>
      </c>
      <c r="C3720" s="16"/>
      <c r="D3720" s="16" t="s">
        <v>7597</v>
      </c>
      <c r="E3720" s="16" t="s">
        <v>2674</v>
      </c>
      <c r="F3720" s="16" t="s">
        <v>2675</v>
      </c>
      <c r="G3720" s="16" t="s">
        <v>8473</v>
      </c>
      <c r="H3720" s="16"/>
      <c r="I3720" s="16"/>
      <c r="J3720" s="16"/>
      <c r="K3720" s="16"/>
      <c r="L3720" s="16"/>
      <c r="M3720" s="19" t="s">
        <v>2676</v>
      </c>
      <c r="N3720" s="16"/>
      <c r="O3720" s="16" t="s">
        <v>2677</v>
      </c>
      <c r="P3720" s="16" t="str">
        <f>HYPERLINK("https://ceds.ed.gov/cedselementdetails.aspx?termid=27168")</f>
        <v>https://ceds.ed.gov/cedselementdetails.aspx?termid=27168</v>
      </c>
      <c r="Q3720" s="16">
        <v>72816</v>
      </c>
    </row>
    <row r="3721" spans="1:17" ht="144" x14ac:dyDescent="0.3">
      <c r="A3721" s="16" t="s">
        <v>7751</v>
      </c>
      <c r="B3721" s="16" t="s">
        <v>7715</v>
      </c>
      <c r="C3721" s="16"/>
      <c r="D3721" s="16" t="s">
        <v>7597</v>
      </c>
      <c r="E3721" s="16" t="s">
        <v>1522</v>
      </c>
      <c r="F3721" s="16" t="s">
        <v>1523</v>
      </c>
      <c r="G3721" s="16" t="s">
        <v>8212</v>
      </c>
      <c r="H3721" s="16"/>
      <c r="I3721" s="16"/>
      <c r="J3721" s="16"/>
      <c r="K3721" s="16"/>
      <c r="L3721" s="16" t="s">
        <v>1524</v>
      </c>
      <c r="M3721" s="19" t="s">
        <v>1525</v>
      </c>
      <c r="N3721" s="16"/>
      <c r="O3721" s="16" t="s">
        <v>1526</v>
      </c>
      <c r="P3721" s="16" t="str">
        <f>HYPERLINK("https://ceds.ed.gov/cedselementdetails.aspx?termid=27253")</f>
        <v>https://ceds.ed.gov/cedselementdetails.aspx?termid=27253</v>
      </c>
      <c r="Q3721" s="16">
        <v>74544</v>
      </c>
    </row>
    <row r="3722" spans="1:17" ht="43.2" x14ac:dyDescent="0.3">
      <c r="A3722" s="16" t="s">
        <v>7751</v>
      </c>
      <c r="B3722" s="16" t="s">
        <v>7715</v>
      </c>
      <c r="C3722" s="16"/>
      <c r="D3722" s="16" t="s">
        <v>7597</v>
      </c>
      <c r="E3722" s="16" t="s">
        <v>2601</v>
      </c>
      <c r="F3722" s="16" t="s">
        <v>2602</v>
      </c>
      <c r="G3722" s="16" t="s">
        <v>8467</v>
      </c>
      <c r="H3722" s="16"/>
      <c r="I3722" s="16"/>
      <c r="J3722" s="16"/>
      <c r="K3722" s="16"/>
      <c r="L3722" s="16" t="s">
        <v>2603</v>
      </c>
      <c r="M3722" s="19" t="s">
        <v>2604</v>
      </c>
      <c r="N3722" s="16"/>
      <c r="O3722" s="16" t="s">
        <v>2605</v>
      </c>
      <c r="P3722" s="16" t="str">
        <f>HYPERLINK("https://ceds.ed.gov/cedselementdetails.aspx?termid=27277")</f>
        <v>https://ceds.ed.gov/cedselementdetails.aspx?termid=27277</v>
      </c>
      <c r="Q3722" s="16">
        <v>74549</v>
      </c>
    </row>
    <row r="3723" spans="1:17" ht="230.4" x14ac:dyDescent="0.3">
      <c r="A3723" s="16" t="s">
        <v>7751</v>
      </c>
      <c r="B3723" s="16" t="s">
        <v>7715</v>
      </c>
      <c r="C3723" s="16"/>
      <c r="D3723" s="16" t="s">
        <v>7597</v>
      </c>
      <c r="E3723" s="16" t="s">
        <v>7286</v>
      </c>
      <c r="F3723" s="16" t="s">
        <v>7287</v>
      </c>
      <c r="G3723" s="16" t="s">
        <v>9348</v>
      </c>
      <c r="H3723" s="16"/>
      <c r="I3723" s="16"/>
      <c r="J3723" s="16"/>
      <c r="K3723" s="16"/>
      <c r="L3723" s="16"/>
      <c r="M3723" s="19" t="s">
        <v>7288</v>
      </c>
      <c r="N3723" s="16"/>
      <c r="O3723" s="16" t="s">
        <v>7289</v>
      </c>
      <c r="P3723" s="16" t="str">
        <f>HYPERLINK("https://ceds.ed.gov/cedselementdetails.aspx?termid=27471")</f>
        <v>https://ceds.ed.gov/cedselementdetails.aspx?termid=27471</v>
      </c>
      <c r="Q3723" s="16">
        <v>74538</v>
      </c>
    </row>
    <row r="3724" spans="1:17" ht="57.6" x14ac:dyDescent="0.3">
      <c r="A3724" s="16" t="s">
        <v>7751</v>
      </c>
      <c r="B3724" s="16" t="s">
        <v>7715</v>
      </c>
      <c r="C3724" s="16"/>
      <c r="D3724" s="16" t="s">
        <v>7597</v>
      </c>
      <c r="E3724" s="16" t="s">
        <v>2686</v>
      </c>
      <c r="F3724" s="16" t="s">
        <v>2687</v>
      </c>
      <c r="G3724" s="16" t="s">
        <v>8474</v>
      </c>
      <c r="H3724" s="16" t="s">
        <v>2690</v>
      </c>
      <c r="I3724" s="16"/>
      <c r="J3724" s="16"/>
      <c r="K3724" s="16"/>
      <c r="L3724" s="16"/>
      <c r="M3724" s="19" t="s">
        <v>2688</v>
      </c>
      <c r="N3724" s="16"/>
      <c r="O3724" s="16" t="s">
        <v>2689</v>
      </c>
      <c r="P3724" s="16" t="str">
        <f>HYPERLINK("https://ceds.ed.gov/cedselementdetails.aspx?termid=26258")</f>
        <v>https://ceds.ed.gov/cedselementdetails.aspx?termid=26258</v>
      </c>
      <c r="Q3724" s="16">
        <v>72805</v>
      </c>
    </row>
    <row r="3725" spans="1:17" ht="57.6" x14ac:dyDescent="0.3">
      <c r="A3725" s="16" t="s">
        <v>7751</v>
      </c>
      <c r="B3725" s="16" t="s">
        <v>7715</v>
      </c>
      <c r="C3725" s="16"/>
      <c r="D3725" s="16" t="s">
        <v>7597</v>
      </c>
      <c r="E3725" s="16" t="s">
        <v>20</v>
      </c>
      <c r="F3725" s="16" t="s">
        <v>21</v>
      </c>
      <c r="G3725" s="16" t="s">
        <v>22</v>
      </c>
      <c r="H3725" s="16" t="s">
        <v>25</v>
      </c>
      <c r="I3725" s="16"/>
      <c r="J3725" s="16"/>
      <c r="K3725" s="16"/>
      <c r="L3725" s="16"/>
      <c r="M3725" s="19" t="s">
        <v>23</v>
      </c>
      <c r="N3725" s="16"/>
      <c r="O3725" s="16" t="s">
        <v>24</v>
      </c>
      <c r="P3725" s="16" t="str">
        <f>HYPERLINK("https://ceds.ed.gov/cedselementdetails.aspx?termid=26000")</f>
        <v>https://ceds.ed.gov/cedselementdetails.aspx?termid=26000</v>
      </c>
      <c r="Q3725" s="16">
        <v>74558</v>
      </c>
    </row>
    <row r="3726" spans="1:17" ht="100.8" x14ac:dyDescent="0.3">
      <c r="A3726" s="16" t="s">
        <v>7751</v>
      </c>
      <c r="B3726" s="16" t="s">
        <v>7715</v>
      </c>
      <c r="C3726" s="16"/>
      <c r="D3726" s="16" t="s">
        <v>7597</v>
      </c>
      <c r="E3726" s="16" t="s">
        <v>2574</v>
      </c>
      <c r="F3726" s="16" t="s">
        <v>2575</v>
      </c>
      <c r="G3726" s="16" t="s">
        <v>8463</v>
      </c>
      <c r="H3726" s="16" t="s">
        <v>1484</v>
      </c>
      <c r="I3726" s="16"/>
      <c r="J3726" s="16"/>
      <c r="K3726" s="16"/>
      <c r="L3726" s="16"/>
      <c r="M3726" s="19" t="s">
        <v>2577</v>
      </c>
      <c r="N3726" s="16" t="s">
        <v>2578</v>
      </c>
      <c r="O3726" s="16" t="s">
        <v>2579</v>
      </c>
      <c r="P3726" s="16" t="str">
        <f>HYPERLINK("https://ceds.ed.gov/cedselementdetails.aspx?termid=26060")</f>
        <v>https://ceds.ed.gov/cedselementdetails.aspx?termid=26060</v>
      </c>
      <c r="Q3726" s="16">
        <v>72828</v>
      </c>
    </row>
    <row r="3727" spans="1:17" ht="158.4" x14ac:dyDescent="0.3">
      <c r="A3727" s="16" t="s">
        <v>7751</v>
      </c>
      <c r="B3727" s="16" t="s">
        <v>7715</v>
      </c>
      <c r="C3727" s="16"/>
      <c r="D3727" s="16" t="s">
        <v>7597</v>
      </c>
      <c r="E3727" s="16" t="s">
        <v>148</v>
      </c>
      <c r="F3727" s="16" t="s">
        <v>149</v>
      </c>
      <c r="G3727" s="16" t="s">
        <v>8291</v>
      </c>
      <c r="H3727" s="16"/>
      <c r="I3727" s="16"/>
      <c r="J3727" s="16"/>
      <c r="K3727" s="16"/>
      <c r="L3727" s="16"/>
      <c r="M3727" s="19" t="s">
        <v>151</v>
      </c>
      <c r="N3727" s="16"/>
      <c r="O3727" s="16" t="s">
        <v>152</v>
      </c>
      <c r="P3727" s="16" t="str">
        <f>HYPERLINK("https://ceds.ed.gov/cedselementdetails.aspx?termid=26589")</f>
        <v>https://ceds.ed.gov/cedselementdetails.aspx?termid=26589</v>
      </c>
      <c r="Q3727" s="16">
        <v>74542</v>
      </c>
    </row>
    <row r="3728" spans="1:17" ht="43.2" x14ac:dyDescent="0.3">
      <c r="A3728" s="16" t="s">
        <v>7751</v>
      </c>
      <c r="B3728" s="16" t="s">
        <v>7715</v>
      </c>
      <c r="C3728" s="16"/>
      <c r="D3728" s="16" t="s">
        <v>7597</v>
      </c>
      <c r="E3728" s="16" t="s">
        <v>2532</v>
      </c>
      <c r="F3728" s="16" t="s">
        <v>2533</v>
      </c>
      <c r="G3728" s="16" t="s">
        <v>32</v>
      </c>
      <c r="H3728" s="16"/>
      <c r="I3728" s="16"/>
      <c r="J3728" s="16" t="s">
        <v>101</v>
      </c>
      <c r="K3728" s="16"/>
      <c r="L3728" s="16"/>
      <c r="M3728" s="19" t="s">
        <v>2534</v>
      </c>
      <c r="N3728" s="16"/>
      <c r="O3728" s="16" t="s">
        <v>2535</v>
      </c>
      <c r="P3728" s="16" t="str">
        <f>HYPERLINK("https://ceds.ed.gov/cedselementdetails.aspx?termid=27268")</f>
        <v>https://ceds.ed.gov/cedselementdetails.aspx?termid=27268</v>
      </c>
      <c r="Q3728" s="16">
        <v>74547</v>
      </c>
    </row>
    <row r="3729" spans="1:17" ht="86.4" x14ac:dyDescent="0.3">
      <c r="A3729" s="16" t="s">
        <v>7751</v>
      </c>
      <c r="B3729" s="16" t="s">
        <v>7715</v>
      </c>
      <c r="C3729" s="16"/>
      <c r="D3729" s="16" t="s">
        <v>7597</v>
      </c>
      <c r="E3729" s="16" t="s">
        <v>2614</v>
      </c>
      <c r="F3729" s="16" t="s">
        <v>2615</v>
      </c>
      <c r="G3729" s="16" t="s">
        <v>32</v>
      </c>
      <c r="H3729" s="16"/>
      <c r="I3729" s="16"/>
      <c r="J3729" s="16" t="s">
        <v>316</v>
      </c>
      <c r="K3729" s="16"/>
      <c r="L3729" s="16"/>
      <c r="M3729" s="19" t="s">
        <v>2616</v>
      </c>
      <c r="N3729" s="16"/>
      <c r="O3729" s="16" t="s">
        <v>2617</v>
      </c>
      <c r="P3729" s="16" t="str">
        <f>HYPERLINK("https://ceds.ed.gov/cedselementdetails.aspx?termid=27279")</f>
        <v>https://ceds.ed.gov/cedselementdetails.aspx?termid=27279</v>
      </c>
      <c r="Q3729" s="16">
        <v>74533</v>
      </c>
    </row>
    <row r="3730" spans="1:17" ht="43.2" x14ac:dyDescent="0.3">
      <c r="A3730" s="16" t="s">
        <v>7751</v>
      </c>
      <c r="B3730" s="16" t="s">
        <v>7715</v>
      </c>
      <c r="C3730" s="16"/>
      <c r="D3730" s="16" t="s">
        <v>7597</v>
      </c>
      <c r="E3730" s="16" t="s">
        <v>3843</v>
      </c>
      <c r="F3730" s="16" t="s">
        <v>3844</v>
      </c>
      <c r="G3730" s="16" t="s">
        <v>22</v>
      </c>
      <c r="H3730" s="16"/>
      <c r="I3730" s="16"/>
      <c r="J3730" s="16"/>
      <c r="K3730" s="16"/>
      <c r="L3730" s="16"/>
      <c r="M3730" s="19" t="s">
        <v>3845</v>
      </c>
      <c r="N3730" s="16"/>
      <c r="O3730" s="16" t="s">
        <v>3846</v>
      </c>
      <c r="P3730" s="16" t="str">
        <f>HYPERLINK("https://ceds.ed.gov/cedselementdetails.aspx?termid=27311")</f>
        <v>https://ceds.ed.gov/cedselementdetails.aspx?termid=27311</v>
      </c>
      <c r="Q3730" s="16">
        <v>74550</v>
      </c>
    </row>
    <row r="3731" spans="1:17" ht="43.2" x14ac:dyDescent="0.3">
      <c r="A3731" s="16" t="s">
        <v>7751</v>
      </c>
      <c r="B3731" s="16" t="s">
        <v>7715</v>
      </c>
      <c r="C3731" s="16"/>
      <c r="D3731" s="16" t="s">
        <v>7597</v>
      </c>
      <c r="E3731" s="16" t="s">
        <v>5440</v>
      </c>
      <c r="F3731" s="16" t="s">
        <v>5441</v>
      </c>
      <c r="G3731" s="16" t="s">
        <v>22</v>
      </c>
      <c r="H3731" s="16"/>
      <c r="I3731" s="16"/>
      <c r="J3731" s="16"/>
      <c r="K3731" s="16"/>
      <c r="L3731" s="16"/>
      <c r="M3731" s="19" t="s">
        <v>5442</v>
      </c>
      <c r="N3731" s="16" t="s">
        <v>5443</v>
      </c>
      <c r="O3731" s="16" t="s">
        <v>5444</v>
      </c>
      <c r="P3731" s="16" t="str">
        <f>HYPERLINK("https://ceds.ed.gov/cedselementdetails.aspx?termid=27382")</f>
        <v>https://ceds.ed.gov/cedselementdetails.aspx?termid=27382</v>
      </c>
      <c r="Q3731" s="16">
        <v>74551</v>
      </c>
    </row>
    <row r="3732" spans="1:17" ht="72" x14ac:dyDescent="0.3">
      <c r="A3732" s="16" t="s">
        <v>7751</v>
      </c>
      <c r="B3732" s="16" t="s">
        <v>7715</v>
      </c>
      <c r="C3732" s="16"/>
      <c r="D3732" s="16" t="s">
        <v>7597</v>
      </c>
      <c r="E3732" s="16" t="s">
        <v>2569</v>
      </c>
      <c r="F3732" s="16" t="s">
        <v>2570</v>
      </c>
      <c r="G3732" s="16" t="s">
        <v>32</v>
      </c>
      <c r="H3732" s="16"/>
      <c r="I3732" s="16"/>
      <c r="J3732" s="16" t="s">
        <v>81</v>
      </c>
      <c r="K3732" s="16"/>
      <c r="L3732" s="16" t="s">
        <v>2571</v>
      </c>
      <c r="M3732" s="19" t="s">
        <v>2572</v>
      </c>
      <c r="N3732" s="16"/>
      <c r="O3732" s="16" t="s">
        <v>2573</v>
      </c>
      <c r="P3732" s="16" t="str">
        <f>HYPERLINK("https://ceds.ed.gov/cedselementdetails.aspx?termid=27272")</f>
        <v>https://ceds.ed.gov/cedselementdetails.aspx?termid=27272</v>
      </c>
      <c r="Q3732" s="16">
        <v>74548</v>
      </c>
    </row>
    <row r="3733" spans="1:17" ht="57.6" x14ac:dyDescent="0.3">
      <c r="A3733" s="16" t="s">
        <v>7751</v>
      </c>
      <c r="B3733" s="16" t="s">
        <v>7715</v>
      </c>
      <c r="C3733" s="16"/>
      <c r="D3733" s="16" t="s">
        <v>7597</v>
      </c>
      <c r="E3733" s="16" t="s">
        <v>7197</v>
      </c>
      <c r="F3733" s="16" t="s">
        <v>7198</v>
      </c>
      <c r="G3733" s="16" t="s">
        <v>22</v>
      </c>
      <c r="H3733" s="16"/>
      <c r="I3733" s="16"/>
      <c r="J3733" s="16"/>
      <c r="K3733" s="16"/>
      <c r="L3733" s="16" t="s">
        <v>7199</v>
      </c>
      <c r="M3733" s="19" t="s">
        <v>7200</v>
      </c>
      <c r="N3733" s="16"/>
      <c r="O3733" s="16" t="s">
        <v>7201</v>
      </c>
      <c r="P3733" s="16" t="str">
        <f>HYPERLINK("https://ceds.ed.gov/cedselementdetails.aspx?termid=27554")</f>
        <v>https://ceds.ed.gov/cedselementdetails.aspx?termid=27554</v>
      </c>
      <c r="Q3733" s="16">
        <v>74552</v>
      </c>
    </row>
    <row r="3734" spans="1:17" ht="86.4" x14ac:dyDescent="0.3">
      <c r="A3734" s="16" t="s">
        <v>7751</v>
      </c>
      <c r="B3734" s="16" t="s">
        <v>7715</v>
      </c>
      <c r="C3734" s="16"/>
      <c r="D3734" s="16" t="s">
        <v>7597</v>
      </c>
      <c r="E3734" s="16" t="s">
        <v>3073</v>
      </c>
      <c r="F3734" s="16" t="s">
        <v>3074</v>
      </c>
      <c r="G3734" s="16" t="s">
        <v>8500</v>
      </c>
      <c r="H3734" s="16" t="s">
        <v>3072</v>
      </c>
      <c r="I3734" s="16"/>
      <c r="J3734" s="16"/>
      <c r="K3734" s="16"/>
      <c r="L3734" s="16"/>
      <c r="M3734" s="19" t="s">
        <v>3076</v>
      </c>
      <c r="N3734" s="16"/>
      <c r="O3734" s="16" t="s">
        <v>3077</v>
      </c>
      <c r="P3734" s="16" t="str">
        <f>HYPERLINK("https://ceds.ed.gov/cedselementdetails.aspx?termid=27568")</f>
        <v>https://ceds.ed.gov/cedselementdetails.aspx?termid=27568</v>
      </c>
      <c r="Q3734" s="16">
        <v>74539</v>
      </c>
    </row>
    <row r="3735" spans="1:17" ht="28.8" x14ac:dyDescent="0.3">
      <c r="A3735" s="16" t="s">
        <v>7751</v>
      </c>
      <c r="B3735" s="16" t="s">
        <v>7715</v>
      </c>
      <c r="C3735" s="16"/>
      <c r="D3735" s="16" t="s">
        <v>7597</v>
      </c>
      <c r="E3735" s="16" t="s">
        <v>7818</v>
      </c>
      <c r="F3735" s="16" t="s">
        <v>7819</v>
      </c>
      <c r="G3735" s="16" t="s">
        <v>32</v>
      </c>
      <c r="H3735" s="16"/>
      <c r="I3735" s="16"/>
      <c r="J3735" s="16" t="s">
        <v>136</v>
      </c>
      <c r="K3735" s="16"/>
      <c r="L3735" s="16"/>
      <c r="M3735" s="19" t="s">
        <v>8174</v>
      </c>
      <c r="N3735" s="16"/>
      <c r="O3735" s="16" t="s">
        <v>7820</v>
      </c>
      <c r="P3735" s="16" t="str">
        <f>HYPERLINK("https://ceds.ed.gov/cedselementdetails.aspx?termid=27972")</f>
        <v>https://ceds.ed.gov/cedselementdetails.aspx?termid=27972</v>
      </c>
      <c r="Q3735" s="16">
        <v>75698</v>
      </c>
    </row>
    <row r="3736" spans="1:17" ht="43.2" x14ac:dyDescent="0.3">
      <c r="A3736" s="16" t="s">
        <v>7751</v>
      </c>
      <c r="B3736" s="16" t="s">
        <v>7715</v>
      </c>
      <c r="C3736" s="16"/>
      <c r="D3736" s="16" t="s">
        <v>7597</v>
      </c>
      <c r="E3736" s="16" t="s">
        <v>7821</v>
      </c>
      <c r="F3736" s="16" t="s">
        <v>7822</v>
      </c>
      <c r="G3736" s="16" t="s">
        <v>8197</v>
      </c>
      <c r="H3736" s="16"/>
      <c r="I3736" s="16"/>
      <c r="J3736" s="16" t="s">
        <v>2</v>
      </c>
      <c r="K3736" s="16"/>
      <c r="L3736" s="16"/>
      <c r="M3736" s="19" t="s">
        <v>8175</v>
      </c>
      <c r="N3736" s="16"/>
      <c r="O3736" s="16" t="s">
        <v>7823</v>
      </c>
      <c r="P3736" s="16" t="str">
        <f>HYPERLINK("https://ceds.ed.gov/cedselementdetails.aspx?termid=27973")</f>
        <v>https://ceds.ed.gov/cedselementdetails.aspx?termid=27973</v>
      </c>
      <c r="Q3736" s="16">
        <v>75699</v>
      </c>
    </row>
    <row r="3737" spans="1:17" ht="28.8" x14ac:dyDescent="0.3">
      <c r="A3737" s="16" t="s">
        <v>7751</v>
      </c>
      <c r="B3737" s="16" t="s">
        <v>7715</v>
      </c>
      <c r="C3737" s="16"/>
      <c r="D3737" s="16" t="s">
        <v>7597</v>
      </c>
      <c r="E3737" s="16" t="s">
        <v>9250</v>
      </c>
      <c r="F3737" s="16" t="s">
        <v>9251</v>
      </c>
      <c r="G3737" s="16" t="s">
        <v>32</v>
      </c>
      <c r="H3737" s="16"/>
      <c r="I3737" s="16"/>
      <c r="J3737" s="16" t="s">
        <v>136</v>
      </c>
      <c r="K3737" s="16"/>
      <c r="L3737" s="16"/>
      <c r="M3737" s="19" t="s">
        <v>9252</v>
      </c>
      <c r="N3737" s="16"/>
      <c r="O3737" s="16" t="s">
        <v>9253</v>
      </c>
      <c r="P3737" s="16" t="str">
        <f>HYPERLINK("https://ceds.ed.gov/cedselementdetails.aspx?termid=28086")</f>
        <v>https://ceds.ed.gov/cedselementdetails.aspx?termid=28086</v>
      </c>
      <c r="Q3737" s="16">
        <v>76016</v>
      </c>
    </row>
    <row r="3738" spans="1:17" ht="172.8" x14ac:dyDescent="0.3">
      <c r="A3738" s="16" t="s">
        <v>7751</v>
      </c>
      <c r="B3738" s="16" t="s">
        <v>7715</v>
      </c>
      <c r="C3738" s="16" t="s">
        <v>7716</v>
      </c>
      <c r="D3738" s="16" t="s">
        <v>7597</v>
      </c>
      <c r="E3738" s="16" t="s">
        <v>2584</v>
      </c>
      <c r="F3738" s="16" t="s">
        <v>2585</v>
      </c>
      <c r="G3738" s="16" t="s">
        <v>32</v>
      </c>
      <c r="H3738" s="16" t="s">
        <v>2588</v>
      </c>
      <c r="I3738" s="16"/>
      <c r="J3738" s="16" t="s">
        <v>120</v>
      </c>
      <c r="K3738" s="16"/>
      <c r="L3738" s="16" t="s">
        <v>7817</v>
      </c>
      <c r="M3738" s="19" t="s">
        <v>2586</v>
      </c>
      <c r="N3738" s="16"/>
      <c r="O3738" s="16" t="s">
        <v>2587</v>
      </c>
      <c r="P3738" s="16" t="str">
        <f>HYPERLINK("https://ceds.ed.gov/cedselementdetails.aspx?termid=26055")</f>
        <v>https://ceds.ed.gov/cedselementdetails.aspx?termid=26055</v>
      </c>
      <c r="Q3738" s="16">
        <v>72826</v>
      </c>
    </row>
    <row r="3739" spans="1:17" ht="172.8" x14ac:dyDescent="0.3">
      <c r="A3739" s="16" t="s">
        <v>7751</v>
      </c>
      <c r="B3739" s="16" t="s">
        <v>7715</v>
      </c>
      <c r="C3739" s="16" t="s">
        <v>7716</v>
      </c>
      <c r="D3739" s="16" t="s">
        <v>7597</v>
      </c>
      <c r="E3739" s="16" t="s">
        <v>309</v>
      </c>
      <c r="F3739" s="16" t="s">
        <v>310</v>
      </c>
      <c r="G3739" s="16" t="s">
        <v>32</v>
      </c>
      <c r="H3739" s="16"/>
      <c r="I3739" s="16"/>
      <c r="J3739" s="16" t="s">
        <v>120</v>
      </c>
      <c r="K3739" s="16"/>
      <c r="L3739" s="16" t="s">
        <v>7817</v>
      </c>
      <c r="M3739" s="19" t="s">
        <v>312</v>
      </c>
      <c r="N3739" s="16"/>
      <c r="O3739" s="16" t="s">
        <v>313</v>
      </c>
      <c r="P3739" s="16" t="str">
        <f>HYPERLINK("https://ceds.ed.gov/cedselementdetails.aspx?termid=27246")</f>
        <v>https://ceds.ed.gov/cedselementdetails.aspx?termid=27246</v>
      </c>
      <c r="Q3739" s="16">
        <v>74519</v>
      </c>
    </row>
    <row r="3740" spans="1:17" ht="144" x14ac:dyDescent="0.3">
      <c r="A3740" s="16" t="s">
        <v>7751</v>
      </c>
      <c r="B3740" s="16" t="s">
        <v>7715</v>
      </c>
      <c r="C3740" s="16" t="s">
        <v>7716</v>
      </c>
      <c r="D3740" s="16" t="s">
        <v>7597</v>
      </c>
      <c r="E3740" s="16" t="s">
        <v>2536</v>
      </c>
      <c r="F3740" s="16" t="s">
        <v>2537</v>
      </c>
      <c r="G3740" s="16" t="s">
        <v>8217</v>
      </c>
      <c r="H3740" s="16" t="s">
        <v>1484</v>
      </c>
      <c r="I3740" s="16"/>
      <c r="J3740" s="16"/>
      <c r="K3740" s="16"/>
      <c r="L3740" s="16"/>
      <c r="M3740" s="19" t="s">
        <v>2538</v>
      </c>
      <c r="N3740" s="16"/>
      <c r="O3740" s="16" t="s">
        <v>2539</v>
      </c>
      <c r="P3740" s="16" t="str">
        <f>HYPERLINK("https://ceds.ed.gov/cedselementdetails.aspx?termid=26056")</f>
        <v>https://ceds.ed.gov/cedselementdetails.aspx?termid=26056</v>
      </c>
      <c r="Q3740" s="16">
        <v>72827</v>
      </c>
    </row>
    <row r="3741" spans="1:17" ht="43.2" x14ac:dyDescent="0.3">
      <c r="A3741" s="16" t="s">
        <v>7751</v>
      </c>
      <c r="B3741" s="16" t="s">
        <v>7715</v>
      </c>
      <c r="C3741" s="16" t="s">
        <v>7716</v>
      </c>
      <c r="D3741" s="16" t="s">
        <v>7597</v>
      </c>
      <c r="E3741" s="16" t="s">
        <v>5459</v>
      </c>
      <c r="F3741" s="16" t="s">
        <v>5460</v>
      </c>
      <c r="G3741" s="16" t="s">
        <v>5461</v>
      </c>
      <c r="H3741" s="16"/>
      <c r="I3741" s="16"/>
      <c r="J3741" s="16"/>
      <c r="K3741" s="16"/>
      <c r="L3741" s="16"/>
      <c r="M3741" s="19" t="s">
        <v>5462</v>
      </c>
      <c r="N3741" s="16"/>
      <c r="O3741" s="16" t="s">
        <v>5463</v>
      </c>
      <c r="P3741" s="16" t="str">
        <f>HYPERLINK("https://ceds.ed.gov/cedselementdetails.aspx?termid=27383")</f>
        <v>https://ceds.ed.gov/cedselementdetails.aspx?termid=27383</v>
      </c>
      <c r="Q3741" s="16">
        <v>74520</v>
      </c>
    </row>
    <row r="3742" spans="1:17" ht="57.6" x14ac:dyDescent="0.3">
      <c r="A3742" s="16" t="s">
        <v>7751</v>
      </c>
      <c r="B3742" s="16" t="s">
        <v>7715</v>
      </c>
      <c r="C3742" s="16" t="s">
        <v>7716</v>
      </c>
      <c r="D3742" s="16" t="s">
        <v>7597</v>
      </c>
      <c r="E3742" s="16" t="s">
        <v>2696</v>
      </c>
      <c r="F3742" s="16" t="s">
        <v>7926</v>
      </c>
      <c r="G3742" s="16" t="s">
        <v>32</v>
      </c>
      <c r="H3742" s="16" t="s">
        <v>58</v>
      </c>
      <c r="I3742" s="16"/>
      <c r="J3742" s="16" t="s">
        <v>2697</v>
      </c>
      <c r="K3742" s="16"/>
      <c r="L3742" s="16"/>
      <c r="M3742" s="19" t="s">
        <v>2698</v>
      </c>
      <c r="N3742" s="16"/>
      <c r="O3742" s="16" t="s">
        <v>2699</v>
      </c>
      <c r="P3742" s="16" t="str">
        <f>HYPERLINK("https://ceds.ed.gov/cedselementdetails.aspx?termid=26066")</f>
        <v>https://ceds.ed.gov/cedselementdetails.aspx?termid=26066</v>
      </c>
      <c r="Q3742" s="16">
        <v>74517</v>
      </c>
    </row>
    <row r="3743" spans="1:17" ht="28.8" x14ac:dyDescent="0.3">
      <c r="A3743" s="16" t="s">
        <v>7751</v>
      </c>
      <c r="B3743" s="16" t="s">
        <v>7715</v>
      </c>
      <c r="C3743" s="16" t="s">
        <v>7716</v>
      </c>
      <c r="D3743" s="16" t="s">
        <v>7597</v>
      </c>
      <c r="E3743" s="16" t="s">
        <v>5782</v>
      </c>
      <c r="F3743" s="16" t="s">
        <v>5783</v>
      </c>
      <c r="G3743" s="16" t="s">
        <v>32</v>
      </c>
      <c r="H3743" s="16" t="s">
        <v>58</v>
      </c>
      <c r="I3743" s="16"/>
      <c r="J3743" s="16" t="s">
        <v>145</v>
      </c>
      <c r="K3743" s="16"/>
      <c r="L3743" s="16"/>
      <c r="M3743" s="19" t="s">
        <v>5784</v>
      </c>
      <c r="N3743" s="16"/>
      <c r="O3743" s="16" t="s">
        <v>5785</v>
      </c>
      <c r="P3743" s="16" t="str">
        <f>HYPERLINK("https://ceds.ed.gov/cedselementdetails.aspx?termid=26068")</f>
        <v>https://ceds.ed.gov/cedselementdetails.aspx?termid=26068</v>
      </c>
      <c r="Q3743" s="16">
        <v>74518</v>
      </c>
    </row>
    <row r="3744" spans="1:17" ht="100.8" x14ac:dyDescent="0.3">
      <c r="A3744" s="16" t="s">
        <v>7751</v>
      </c>
      <c r="B3744" s="16" t="s">
        <v>7715</v>
      </c>
      <c r="C3744" s="16" t="s">
        <v>7716</v>
      </c>
      <c r="D3744" s="16" t="s">
        <v>7597</v>
      </c>
      <c r="E3744" s="16" t="s">
        <v>2700</v>
      </c>
      <c r="F3744" s="16"/>
      <c r="G3744" s="16" t="s">
        <v>32</v>
      </c>
      <c r="H3744" s="16" t="s">
        <v>1484</v>
      </c>
      <c r="I3744" s="16" t="s">
        <v>160</v>
      </c>
      <c r="J3744" s="16" t="s">
        <v>13077</v>
      </c>
      <c r="K3744" s="16" t="s">
        <v>12939</v>
      </c>
      <c r="L3744" s="16"/>
      <c r="M3744" s="19" t="s">
        <v>2701</v>
      </c>
      <c r="N3744" s="16"/>
      <c r="O3744" s="16"/>
      <c r="P3744" s="16" t="str">
        <f>HYPERLINK("https://ceds.ed.gov/cedselementdetails.aspx?termid=26067")</f>
        <v>https://ceds.ed.gov/cedselementdetails.aspx?termid=26067</v>
      </c>
      <c r="Q3744" s="16">
        <v>72830</v>
      </c>
    </row>
    <row r="3745" spans="1:17" ht="43.2" x14ac:dyDescent="0.3">
      <c r="A3745" s="16" t="s">
        <v>7751</v>
      </c>
      <c r="B3745" s="16" t="s">
        <v>7715</v>
      </c>
      <c r="C3745" s="16" t="s">
        <v>7716</v>
      </c>
      <c r="D3745" s="16" t="s">
        <v>7597</v>
      </c>
      <c r="E3745" s="16" t="s">
        <v>6315</v>
      </c>
      <c r="F3745" s="16" t="s">
        <v>6316</v>
      </c>
      <c r="G3745" s="16" t="s">
        <v>32</v>
      </c>
      <c r="H3745" s="16"/>
      <c r="I3745" s="16"/>
      <c r="J3745" s="16" t="s">
        <v>145</v>
      </c>
      <c r="K3745" s="16"/>
      <c r="L3745" s="16"/>
      <c r="M3745" s="19" t="s">
        <v>6317</v>
      </c>
      <c r="N3745" s="16" t="s">
        <v>6318</v>
      </c>
      <c r="O3745" s="16" t="s">
        <v>6319</v>
      </c>
      <c r="P3745" s="16" t="str">
        <f>HYPERLINK("https://ceds.ed.gov/cedselementdetails.aspx?termid=26231")</f>
        <v>https://ceds.ed.gov/cedselementdetails.aspx?termid=26231</v>
      </c>
      <c r="Q3745" s="16">
        <v>72818</v>
      </c>
    </row>
    <row r="3746" spans="1:17" ht="28.8" x14ac:dyDescent="0.3">
      <c r="A3746" s="16" t="s">
        <v>7751</v>
      </c>
      <c r="B3746" s="16" t="s">
        <v>7715</v>
      </c>
      <c r="C3746" s="16" t="s">
        <v>7716</v>
      </c>
      <c r="D3746" s="16" t="s">
        <v>7597</v>
      </c>
      <c r="E3746" s="16" t="s">
        <v>2528</v>
      </c>
      <c r="F3746" s="16" t="s">
        <v>2529</v>
      </c>
      <c r="G3746" s="16" t="s">
        <v>32</v>
      </c>
      <c r="H3746" s="16" t="s">
        <v>1927</v>
      </c>
      <c r="I3746" s="16"/>
      <c r="J3746" s="16" t="s">
        <v>106</v>
      </c>
      <c r="K3746" s="16"/>
      <c r="L3746" s="16"/>
      <c r="M3746" s="19" t="s">
        <v>2530</v>
      </c>
      <c r="N3746" s="16"/>
      <c r="O3746" s="16" t="s">
        <v>2531</v>
      </c>
      <c r="P3746" s="16" t="str">
        <f>HYPERLINK("https://ceds.ed.gov/cedselementdetails.aspx?termid=26054")</f>
        <v>https://ceds.ed.gov/cedselementdetails.aspx?termid=26054</v>
      </c>
      <c r="Q3746" s="16">
        <v>74513</v>
      </c>
    </row>
    <row r="3747" spans="1:17" ht="57.6" x14ac:dyDescent="0.3">
      <c r="A3747" s="16" t="s">
        <v>7751</v>
      </c>
      <c r="B3747" s="16" t="s">
        <v>7715</v>
      </c>
      <c r="C3747" s="16" t="s">
        <v>7716</v>
      </c>
      <c r="D3747" s="16" t="s">
        <v>7597</v>
      </c>
      <c r="E3747" s="16" t="s">
        <v>2565</v>
      </c>
      <c r="F3747" s="16" t="s">
        <v>2566</v>
      </c>
      <c r="G3747" s="16" t="s">
        <v>32</v>
      </c>
      <c r="H3747" s="16" t="s">
        <v>1927</v>
      </c>
      <c r="I3747" s="16"/>
      <c r="J3747" s="16" t="s">
        <v>106</v>
      </c>
      <c r="K3747" s="16"/>
      <c r="L3747" s="16" t="s">
        <v>131</v>
      </c>
      <c r="M3747" s="19" t="s">
        <v>2567</v>
      </c>
      <c r="N3747" s="16"/>
      <c r="O3747" s="16" t="s">
        <v>2568</v>
      </c>
      <c r="P3747" s="16" t="str">
        <f>HYPERLINK("https://ceds.ed.gov/cedselementdetails.aspx?termid=26059")</f>
        <v>https://ceds.ed.gov/cedselementdetails.aspx?termid=26059</v>
      </c>
      <c r="Q3747" s="16">
        <v>74516</v>
      </c>
    </row>
    <row r="3748" spans="1:17" ht="28.8" x14ac:dyDescent="0.3">
      <c r="A3748" s="16" t="s">
        <v>7751</v>
      </c>
      <c r="B3748" s="16" t="s">
        <v>7715</v>
      </c>
      <c r="C3748" s="16" t="s">
        <v>7716</v>
      </c>
      <c r="D3748" s="16" t="s">
        <v>7597</v>
      </c>
      <c r="E3748" s="16" t="s">
        <v>2551</v>
      </c>
      <c r="F3748" s="16" t="s">
        <v>2552</v>
      </c>
      <c r="G3748" s="16" t="s">
        <v>32</v>
      </c>
      <c r="H3748" s="16"/>
      <c r="I3748" s="16"/>
      <c r="J3748" s="16" t="s">
        <v>145</v>
      </c>
      <c r="K3748" s="16"/>
      <c r="L3748" s="16"/>
      <c r="M3748" s="19" t="s">
        <v>2554</v>
      </c>
      <c r="N3748" s="16"/>
      <c r="O3748" s="16" t="s">
        <v>2555</v>
      </c>
      <c r="P3748" s="16" t="str">
        <f>HYPERLINK("https://ceds.ed.gov/cedselementdetails.aspx?termid=27525")</f>
        <v>https://ceds.ed.gov/cedselementdetails.aspx?termid=27525</v>
      </c>
      <c r="Q3748" s="16">
        <v>73835</v>
      </c>
    </row>
    <row r="3749" spans="1:17" ht="72" x14ac:dyDescent="0.3">
      <c r="A3749" s="16" t="s">
        <v>7751</v>
      </c>
      <c r="B3749" s="16" t="s">
        <v>7715</v>
      </c>
      <c r="C3749" s="16" t="s">
        <v>7716</v>
      </c>
      <c r="D3749" s="16" t="s">
        <v>7597</v>
      </c>
      <c r="E3749" s="16" t="s">
        <v>2044</v>
      </c>
      <c r="F3749" s="16" t="s">
        <v>2045</v>
      </c>
      <c r="G3749" s="16" t="s">
        <v>7312</v>
      </c>
      <c r="H3749" s="16" t="s">
        <v>42</v>
      </c>
      <c r="I3749" s="16" t="s">
        <v>160</v>
      </c>
      <c r="J3749" s="16" t="s">
        <v>2</v>
      </c>
      <c r="K3749" s="16" t="s">
        <v>12935</v>
      </c>
      <c r="L3749" s="16"/>
      <c r="M3749" s="19" t="s">
        <v>2046</v>
      </c>
      <c r="N3749" s="16" t="s">
        <v>2047</v>
      </c>
      <c r="O3749" s="16" t="s">
        <v>2048</v>
      </c>
      <c r="P3749" s="16" t="str">
        <f>HYPERLINK("https://ceds.ed.gov/cedselementdetails.aspx?termid=26043")</f>
        <v>https://ceds.ed.gov/cedselementdetails.aspx?termid=26043</v>
      </c>
      <c r="Q3749" s="16">
        <v>74521</v>
      </c>
    </row>
    <row r="3750" spans="1:17" ht="100.8" x14ac:dyDescent="0.3">
      <c r="A3750" s="16" t="s">
        <v>7751</v>
      </c>
      <c r="B3750" s="16" t="s">
        <v>7715</v>
      </c>
      <c r="C3750" s="16" t="s">
        <v>7716</v>
      </c>
      <c r="D3750" s="16" t="s">
        <v>7597</v>
      </c>
      <c r="E3750" s="16" t="s">
        <v>2055</v>
      </c>
      <c r="F3750" s="16" t="s">
        <v>2056</v>
      </c>
      <c r="G3750" s="16" t="s">
        <v>9328</v>
      </c>
      <c r="H3750" s="16" t="s">
        <v>186</v>
      </c>
      <c r="I3750" s="16"/>
      <c r="J3750" s="16"/>
      <c r="K3750" s="16"/>
      <c r="L3750" s="16"/>
      <c r="M3750" s="19" t="s">
        <v>2057</v>
      </c>
      <c r="N3750" s="16" t="s">
        <v>2058</v>
      </c>
      <c r="O3750" s="16" t="s">
        <v>2059</v>
      </c>
      <c r="P3750" s="16" t="str">
        <f>HYPERLINK("https://ceds.ed.gov/cedselementdetails.aspx?termid=26045")</f>
        <v>https://ceds.ed.gov/cedselementdetails.aspx?termid=26045</v>
      </c>
      <c r="Q3750" s="16">
        <v>74522</v>
      </c>
    </row>
    <row r="3751" spans="1:17" ht="409.6" x14ac:dyDescent="0.3">
      <c r="A3751" s="16" t="s">
        <v>7751</v>
      </c>
      <c r="B3751" s="16" t="s">
        <v>7715</v>
      </c>
      <c r="C3751" s="16" t="s">
        <v>7716</v>
      </c>
      <c r="D3751" s="16" t="s">
        <v>7597</v>
      </c>
      <c r="E3751" s="16" t="s">
        <v>2636</v>
      </c>
      <c r="F3751" s="16" t="s">
        <v>2637</v>
      </c>
      <c r="G3751" s="16" t="s">
        <v>9353</v>
      </c>
      <c r="H3751" s="16" t="s">
        <v>2641</v>
      </c>
      <c r="I3751" s="16"/>
      <c r="J3751" s="16"/>
      <c r="K3751" s="16"/>
      <c r="L3751" s="16"/>
      <c r="M3751" s="19" t="s">
        <v>2639</v>
      </c>
      <c r="N3751" s="16"/>
      <c r="O3751" s="16" t="s">
        <v>2640</v>
      </c>
      <c r="P3751" s="16" t="str">
        <f>HYPERLINK("https://ceds.ed.gov/cedselementdetails.aspx?termid=26027")</f>
        <v>https://ceds.ed.gov/cedselementdetails.aspx?termid=26027</v>
      </c>
      <c r="Q3751" s="16">
        <v>72823</v>
      </c>
    </row>
    <row r="3752" spans="1:17" ht="144" x14ac:dyDescent="0.3">
      <c r="A3752" s="16" t="s">
        <v>7751</v>
      </c>
      <c r="B3752" s="16" t="s">
        <v>7715</v>
      </c>
      <c r="C3752" s="16" t="s">
        <v>7716</v>
      </c>
      <c r="D3752" s="16" t="s">
        <v>7597</v>
      </c>
      <c r="E3752" s="16" t="s">
        <v>2548</v>
      </c>
      <c r="F3752" s="16" t="s">
        <v>7918</v>
      </c>
      <c r="G3752" s="16" t="s">
        <v>8461</v>
      </c>
      <c r="H3752" s="16" t="s">
        <v>58</v>
      </c>
      <c r="I3752" s="16"/>
      <c r="J3752" s="16"/>
      <c r="K3752" s="16"/>
      <c r="L3752" s="16"/>
      <c r="M3752" s="19" t="s">
        <v>2549</v>
      </c>
      <c r="N3752" s="16"/>
      <c r="O3752" s="16" t="s">
        <v>2550</v>
      </c>
      <c r="P3752" s="16" t="str">
        <f>HYPERLINK("https://ceds.ed.gov/cedselementdetails.aspx?termid=26057")</f>
        <v>https://ceds.ed.gov/cedselementdetails.aspx?termid=26057</v>
      </c>
      <c r="Q3752" s="16">
        <v>74514</v>
      </c>
    </row>
    <row r="3753" spans="1:17" ht="302.39999999999998" x14ac:dyDescent="0.3">
      <c r="A3753" s="16" t="s">
        <v>7751</v>
      </c>
      <c r="B3753" s="16" t="s">
        <v>7715</v>
      </c>
      <c r="C3753" s="16" t="s">
        <v>7716</v>
      </c>
      <c r="D3753" s="16" t="s">
        <v>7597</v>
      </c>
      <c r="E3753" s="16" t="s">
        <v>2919</v>
      </c>
      <c r="F3753" s="16" t="s">
        <v>2920</v>
      </c>
      <c r="G3753" s="16" t="s">
        <v>8486</v>
      </c>
      <c r="H3753" s="16" t="s">
        <v>64</v>
      </c>
      <c r="I3753" s="16"/>
      <c r="J3753" s="16"/>
      <c r="K3753" s="16"/>
      <c r="L3753" s="16"/>
      <c r="M3753" s="19" t="s">
        <v>2921</v>
      </c>
      <c r="N3753" s="16"/>
      <c r="O3753" s="16" t="s">
        <v>2922</v>
      </c>
      <c r="P3753" s="16" t="str">
        <f>HYPERLINK("https://ceds.ed.gov/cedselementdetails.aspx?termid=26072")</f>
        <v>https://ceds.ed.gov/cedselementdetails.aspx?termid=26072</v>
      </c>
      <c r="Q3753" s="16">
        <v>72831</v>
      </c>
    </row>
    <row r="3754" spans="1:17" ht="100.8" x14ac:dyDescent="0.3">
      <c r="A3754" s="16" t="s">
        <v>7751</v>
      </c>
      <c r="B3754" s="16" t="s">
        <v>7715</v>
      </c>
      <c r="C3754" s="16" t="s">
        <v>7716</v>
      </c>
      <c r="D3754" s="16" t="s">
        <v>7597</v>
      </c>
      <c r="E3754" s="16" t="s">
        <v>2923</v>
      </c>
      <c r="F3754" s="16" t="s">
        <v>2924</v>
      </c>
      <c r="G3754" s="16" t="s">
        <v>32</v>
      </c>
      <c r="H3754" s="16" t="s">
        <v>58</v>
      </c>
      <c r="I3754" s="16"/>
      <c r="J3754" s="16" t="s">
        <v>1481</v>
      </c>
      <c r="K3754" s="16"/>
      <c r="L3754" s="16" t="s">
        <v>7931</v>
      </c>
      <c r="M3754" s="19" t="s">
        <v>2926</v>
      </c>
      <c r="N3754" s="16"/>
      <c r="O3754" s="16" t="s">
        <v>2927</v>
      </c>
      <c r="P3754" s="16" t="str">
        <f>HYPERLINK("https://ceds.ed.gov/cedselementdetails.aspx?termid=26058")</f>
        <v>https://ceds.ed.gov/cedselementdetails.aspx?termid=26058</v>
      </c>
      <c r="Q3754" s="16">
        <v>74515</v>
      </c>
    </row>
    <row r="3755" spans="1:17" ht="129.6" x14ac:dyDescent="0.3">
      <c r="A3755" s="16" t="s">
        <v>7751</v>
      </c>
      <c r="B3755" s="16" t="s">
        <v>7715</v>
      </c>
      <c r="C3755" s="16" t="s">
        <v>7716</v>
      </c>
      <c r="D3755" s="16" t="s">
        <v>7597</v>
      </c>
      <c r="E3755" s="16" t="s">
        <v>1478</v>
      </c>
      <c r="F3755" s="16" t="s">
        <v>1479</v>
      </c>
      <c r="G3755" s="16" t="s">
        <v>32</v>
      </c>
      <c r="H3755" s="16" t="s">
        <v>1484</v>
      </c>
      <c r="I3755" s="16"/>
      <c r="J3755" s="16" t="s">
        <v>1481</v>
      </c>
      <c r="K3755" s="16"/>
      <c r="L3755" s="16"/>
      <c r="M3755" s="19" t="s">
        <v>1482</v>
      </c>
      <c r="N3755" s="16"/>
      <c r="O3755" s="16" t="s">
        <v>1483</v>
      </c>
      <c r="P3755" s="16" t="str">
        <f>HYPERLINK("https://ceds.ed.gov/cedselementdetails.aspx?termid=26030")</f>
        <v>https://ceds.ed.gov/cedselementdetails.aspx?termid=26030</v>
      </c>
      <c r="Q3755" s="16">
        <v>72825</v>
      </c>
    </row>
    <row r="3756" spans="1:17" ht="302.39999999999998" x14ac:dyDescent="0.3">
      <c r="A3756" s="16" t="s">
        <v>7751</v>
      </c>
      <c r="B3756" s="16" t="s">
        <v>7715</v>
      </c>
      <c r="C3756" s="16" t="s">
        <v>7716</v>
      </c>
      <c r="D3756" s="16" t="s">
        <v>7597</v>
      </c>
      <c r="E3756" s="16" t="s">
        <v>2606</v>
      </c>
      <c r="F3756" s="16" t="s">
        <v>2607</v>
      </c>
      <c r="G3756" s="16" t="s">
        <v>8468</v>
      </c>
      <c r="H3756" s="16" t="s">
        <v>2588</v>
      </c>
      <c r="I3756" s="16"/>
      <c r="J3756" s="16"/>
      <c r="K3756" s="16"/>
      <c r="L3756" s="16"/>
      <c r="M3756" s="19" t="s">
        <v>2608</v>
      </c>
      <c r="N3756" s="16"/>
      <c r="O3756" s="16" t="s">
        <v>2609</v>
      </c>
      <c r="P3756" s="16" t="str">
        <f>HYPERLINK("https://ceds.ed.gov/cedselementdetails.aspx?termid=26061")</f>
        <v>https://ceds.ed.gov/cedselementdetails.aspx?termid=26061</v>
      </c>
      <c r="Q3756" s="16">
        <v>72829</v>
      </c>
    </row>
    <row r="3757" spans="1:17" ht="100.8" x14ac:dyDescent="0.3">
      <c r="A3757" s="16" t="s">
        <v>7751</v>
      </c>
      <c r="B3757" s="16" t="s">
        <v>7715</v>
      </c>
      <c r="C3757" s="16" t="s">
        <v>7716</v>
      </c>
      <c r="D3757" s="16" t="s">
        <v>7597</v>
      </c>
      <c r="E3757" s="16" t="s">
        <v>4233</v>
      </c>
      <c r="F3757" s="16" t="s">
        <v>4234</v>
      </c>
      <c r="G3757" s="16" t="s">
        <v>22</v>
      </c>
      <c r="H3757" s="16" t="s">
        <v>1484</v>
      </c>
      <c r="I3757" s="16"/>
      <c r="J3757" s="16"/>
      <c r="K3757" s="16"/>
      <c r="L3757" s="16"/>
      <c r="M3757" s="19" t="s">
        <v>4236</v>
      </c>
      <c r="N3757" s="16"/>
      <c r="O3757" s="16" t="s">
        <v>4237</v>
      </c>
      <c r="P3757" s="16" t="str">
        <f>HYPERLINK("https://ceds.ed.gov/cedselementdetails.aspx?termid=26137")</f>
        <v>https://ceds.ed.gov/cedselementdetails.aspx?termid=26137</v>
      </c>
      <c r="Q3757" s="16">
        <v>72833</v>
      </c>
    </row>
    <row r="3758" spans="1:17" ht="28.8" x14ac:dyDescent="0.3">
      <c r="A3758" s="16" t="s">
        <v>7751</v>
      </c>
      <c r="B3758" s="16" t="s">
        <v>7715</v>
      </c>
      <c r="C3758" s="16" t="s">
        <v>7716</v>
      </c>
      <c r="D3758" s="16" t="s">
        <v>7597</v>
      </c>
      <c r="E3758" s="16" t="s">
        <v>2632</v>
      </c>
      <c r="F3758" s="16" t="s">
        <v>2633</v>
      </c>
      <c r="G3758" s="16" t="s">
        <v>32</v>
      </c>
      <c r="H3758" s="16"/>
      <c r="I3758" s="16"/>
      <c r="J3758" s="16" t="s">
        <v>1662</v>
      </c>
      <c r="K3758" s="16"/>
      <c r="L3758" s="16"/>
      <c r="M3758" s="19" t="s">
        <v>2634</v>
      </c>
      <c r="N3758" s="16"/>
      <c r="O3758" s="16" t="s">
        <v>2635</v>
      </c>
      <c r="P3758" s="16" t="str">
        <f>HYPERLINK("https://ceds.ed.gov/cedselementdetails.aspx?termid=27648")</f>
        <v>https://ceds.ed.gov/cedselementdetails.aspx?termid=27648</v>
      </c>
      <c r="Q3758" s="16">
        <v>74880</v>
      </c>
    </row>
    <row r="3759" spans="1:17" ht="100.8" x14ac:dyDescent="0.3">
      <c r="A3759" s="16" t="s">
        <v>7751</v>
      </c>
      <c r="B3759" s="16" t="s">
        <v>7715</v>
      </c>
      <c r="C3759" s="16" t="s">
        <v>7716</v>
      </c>
      <c r="D3759" s="16" t="s">
        <v>7597</v>
      </c>
      <c r="E3759" s="16" t="s">
        <v>6510</v>
      </c>
      <c r="F3759" s="16" t="s">
        <v>6511</v>
      </c>
      <c r="G3759" s="16" t="s">
        <v>32</v>
      </c>
      <c r="H3759" s="16" t="s">
        <v>1484</v>
      </c>
      <c r="I3759" s="16"/>
      <c r="J3759" s="16" t="s">
        <v>2697</v>
      </c>
      <c r="K3759" s="16"/>
      <c r="L3759" s="16" t="s">
        <v>6512</v>
      </c>
      <c r="M3759" s="19" t="s">
        <v>6513</v>
      </c>
      <c r="N3759" s="16" t="s">
        <v>6514</v>
      </c>
      <c r="O3759" s="16" t="s">
        <v>6515</v>
      </c>
      <c r="P3759" s="16" t="str">
        <f>HYPERLINK("https://ceds.ed.gov/cedselementdetails.aspx?termid=26250")</f>
        <v>https://ceds.ed.gov/cedselementdetails.aspx?termid=26250</v>
      </c>
      <c r="Q3759" s="16">
        <v>72822</v>
      </c>
    </row>
    <row r="3760" spans="1:17" ht="43.2" x14ac:dyDescent="0.3">
      <c r="A3760" s="16" t="s">
        <v>7751</v>
      </c>
      <c r="B3760" s="16" t="s">
        <v>7715</v>
      </c>
      <c r="C3760" s="16" t="s">
        <v>7716</v>
      </c>
      <c r="D3760" s="16" t="s">
        <v>7597</v>
      </c>
      <c r="E3760" s="16" t="s">
        <v>7919</v>
      </c>
      <c r="F3760" s="16" t="s">
        <v>7920</v>
      </c>
      <c r="G3760" s="16" t="s">
        <v>22</v>
      </c>
      <c r="H3760" s="16"/>
      <c r="I3760" s="16"/>
      <c r="J3760" s="16" t="s">
        <v>2</v>
      </c>
      <c r="K3760" s="16"/>
      <c r="L3760" s="16" t="s">
        <v>7921</v>
      </c>
      <c r="M3760" s="19" t="s">
        <v>8177</v>
      </c>
      <c r="N3760" s="16"/>
      <c r="O3760" s="16" t="s">
        <v>7922</v>
      </c>
      <c r="P3760" s="16" t="str">
        <f>HYPERLINK("https://ceds.ed.gov/cedselementdetails.aspx?termid=27975")</f>
        <v>https://ceds.ed.gov/cedselementdetails.aspx?termid=27975</v>
      </c>
      <c r="Q3760" s="16">
        <v>75700</v>
      </c>
    </row>
    <row r="3761" spans="1:17" ht="331.2" x14ac:dyDescent="0.3">
      <c r="A3761" s="16" t="s">
        <v>7751</v>
      </c>
      <c r="B3761" s="16" t="s">
        <v>7715</v>
      </c>
      <c r="C3761" s="16" t="s">
        <v>7716</v>
      </c>
      <c r="D3761" s="16" t="s">
        <v>7597</v>
      </c>
      <c r="E3761" s="16" t="s">
        <v>12826</v>
      </c>
      <c r="F3761" s="16" t="s">
        <v>12827</v>
      </c>
      <c r="G3761" s="16" t="s">
        <v>12917</v>
      </c>
      <c r="H3761" s="16"/>
      <c r="I3761" s="16" t="s">
        <v>155</v>
      </c>
      <c r="J3761" s="16" t="s">
        <v>2</v>
      </c>
      <c r="K3761" s="16" t="s">
        <v>12636</v>
      </c>
      <c r="L3761" s="16" t="s">
        <v>12828</v>
      </c>
      <c r="M3761" s="19" t="s">
        <v>12829</v>
      </c>
      <c r="N3761" s="16"/>
      <c r="O3761" s="16" t="s">
        <v>12830</v>
      </c>
      <c r="P3761" s="16" t="str">
        <f>HYPERLINK("https://ceds.ed.gov/cedselementdetails.aspx?termid=28096")</f>
        <v>https://ceds.ed.gov/cedselementdetails.aspx?termid=28096</v>
      </c>
      <c r="Q3761" s="16">
        <v>76563</v>
      </c>
    </row>
    <row r="3762" spans="1:17" ht="172.8" x14ac:dyDescent="0.3">
      <c r="A3762" s="16" t="s">
        <v>7751</v>
      </c>
      <c r="B3762" s="16" t="s">
        <v>7715</v>
      </c>
      <c r="C3762" s="16" t="s">
        <v>7641</v>
      </c>
      <c r="D3762" s="16" t="s">
        <v>7597</v>
      </c>
      <c r="E3762" s="16" t="s">
        <v>6937</v>
      </c>
      <c r="F3762" s="16" t="s">
        <v>6938</v>
      </c>
      <c r="G3762" s="16" t="s">
        <v>32</v>
      </c>
      <c r="H3762" s="16" t="s">
        <v>6936</v>
      </c>
      <c r="I3762" s="16"/>
      <c r="J3762" s="16" t="s">
        <v>120</v>
      </c>
      <c r="K3762" s="16"/>
      <c r="L3762" s="16" t="s">
        <v>7817</v>
      </c>
      <c r="M3762" s="19" t="s">
        <v>6939</v>
      </c>
      <c r="N3762" s="16"/>
      <c r="O3762" s="16" t="s">
        <v>6940</v>
      </c>
      <c r="P3762" s="16" t="str">
        <f>HYPERLINK("https://ceds.ed.gov/cedselementdetails.aspx?termid=26157")</f>
        <v>https://ceds.ed.gov/cedselementdetails.aspx?termid=26157</v>
      </c>
      <c r="Q3762" s="16">
        <v>74506</v>
      </c>
    </row>
    <row r="3763" spans="1:17" ht="158.4" x14ac:dyDescent="0.3">
      <c r="A3763" s="16" t="s">
        <v>7751</v>
      </c>
      <c r="B3763" s="16" t="s">
        <v>7715</v>
      </c>
      <c r="C3763" s="16" t="s">
        <v>7641</v>
      </c>
      <c r="D3763" s="16" t="s">
        <v>7597</v>
      </c>
      <c r="E3763" s="16" t="s">
        <v>6932</v>
      </c>
      <c r="F3763" s="16" t="s">
        <v>6933</v>
      </c>
      <c r="G3763" s="16" t="s">
        <v>9344</v>
      </c>
      <c r="H3763" s="16" t="s">
        <v>6936</v>
      </c>
      <c r="I3763" s="16"/>
      <c r="J3763" s="16"/>
      <c r="K3763" s="16"/>
      <c r="L3763" s="16"/>
      <c r="M3763" s="19" t="s">
        <v>6934</v>
      </c>
      <c r="N3763" s="16"/>
      <c r="O3763" s="16" t="s">
        <v>6935</v>
      </c>
      <c r="P3763" s="16" t="str">
        <f>HYPERLINK("https://ceds.ed.gov/cedselementdetails.aspx?termid=26163")</f>
        <v>https://ceds.ed.gov/cedselementdetails.aspx?termid=26163</v>
      </c>
      <c r="Q3763" s="16">
        <v>74507</v>
      </c>
    </row>
    <row r="3764" spans="1:17" ht="28.8" x14ac:dyDescent="0.3">
      <c r="A3764" s="16" t="s">
        <v>7751</v>
      </c>
      <c r="B3764" s="16" t="s">
        <v>7715</v>
      </c>
      <c r="C3764" s="16" t="s">
        <v>7641</v>
      </c>
      <c r="D3764" s="16" t="s">
        <v>7597</v>
      </c>
      <c r="E3764" s="16" t="s">
        <v>2622</v>
      </c>
      <c r="F3764" s="16" t="s">
        <v>7924</v>
      </c>
      <c r="G3764" s="16" t="s">
        <v>32</v>
      </c>
      <c r="H3764" s="16" t="s">
        <v>58</v>
      </c>
      <c r="I3764" s="16"/>
      <c r="J3764" s="16" t="s">
        <v>55</v>
      </c>
      <c r="K3764" s="16"/>
      <c r="L3764" s="16"/>
      <c r="M3764" s="19" t="s">
        <v>2623</v>
      </c>
      <c r="N3764" s="16"/>
      <c r="O3764" s="16" t="s">
        <v>2624</v>
      </c>
      <c r="P3764" s="16" t="str">
        <f>HYPERLINK("https://ceds.ed.gov/cedselementdetails.aspx?termid=26063")</f>
        <v>https://ceds.ed.gov/cedselementdetails.aspx?termid=26063</v>
      </c>
      <c r="Q3764" s="16">
        <v>74498</v>
      </c>
    </row>
    <row r="3765" spans="1:17" ht="28.8" x14ac:dyDescent="0.3">
      <c r="A3765" s="16" t="s">
        <v>7751</v>
      </c>
      <c r="B3765" s="16" t="s">
        <v>7715</v>
      </c>
      <c r="C3765" s="16" t="s">
        <v>7641</v>
      </c>
      <c r="D3765" s="16" t="s">
        <v>7597</v>
      </c>
      <c r="E3765" s="16" t="s">
        <v>2515</v>
      </c>
      <c r="F3765" s="16" t="s">
        <v>2516</v>
      </c>
      <c r="G3765" s="16" t="s">
        <v>32</v>
      </c>
      <c r="H3765" s="16"/>
      <c r="I3765" s="16"/>
      <c r="J3765" s="16" t="s">
        <v>106</v>
      </c>
      <c r="K3765" s="16"/>
      <c r="L3765" s="16"/>
      <c r="M3765" s="19" t="s">
        <v>2517</v>
      </c>
      <c r="N3765" s="16"/>
      <c r="O3765" s="16" t="s">
        <v>2518</v>
      </c>
      <c r="P3765" s="16" t="str">
        <f>HYPERLINK("https://ceds.ed.gov/cedselementdetails.aspx?termid=27266")</f>
        <v>https://ceds.ed.gov/cedselementdetails.aspx?termid=27266</v>
      </c>
      <c r="Q3765" s="16">
        <v>74502</v>
      </c>
    </row>
    <row r="3766" spans="1:17" ht="28.8" x14ac:dyDescent="0.3">
      <c r="A3766" s="16" t="s">
        <v>7751</v>
      </c>
      <c r="B3766" s="16" t="s">
        <v>7715</v>
      </c>
      <c r="C3766" s="16" t="s">
        <v>7641</v>
      </c>
      <c r="D3766" s="16" t="s">
        <v>7597</v>
      </c>
      <c r="E3766" s="16" t="s">
        <v>2560</v>
      </c>
      <c r="F3766" s="16" t="s">
        <v>2561</v>
      </c>
      <c r="G3766" s="16" t="s">
        <v>32</v>
      </c>
      <c r="H3766" s="16" t="s">
        <v>2564</v>
      </c>
      <c r="I3766" s="16"/>
      <c r="J3766" s="16" t="s">
        <v>106</v>
      </c>
      <c r="K3766" s="16"/>
      <c r="L3766" s="16"/>
      <c r="M3766" s="19" t="s">
        <v>2562</v>
      </c>
      <c r="N3766" s="16"/>
      <c r="O3766" s="16" t="s">
        <v>2563</v>
      </c>
      <c r="P3766" s="16" t="str">
        <f>HYPERLINK("https://ceds.ed.gov/cedselementdetails.aspx?termid=27271")</f>
        <v>https://ceds.ed.gov/cedselementdetails.aspx?termid=27271</v>
      </c>
      <c r="Q3766" s="16">
        <v>74503</v>
      </c>
    </row>
    <row r="3767" spans="1:17" ht="43.2" x14ac:dyDescent="0.3">
      <c r="A3767" s="16" t="s">
        <v>7751</v>
      </c>
      <c r="B3767" s="16" t="s">
        <v>7715</v>
      </c>
      <c r="C3767" s="16" t="s">
        <v>7641</v>
      </c>
      <c r="D3767" s="16" t="s">
        <v>7597</v>
      </c>
      <c r="E3767" s="16" t="s">
        <v>3018</v>
      </c>
      <c r="F3767" s="16" t="s">
        <v>7935</v>
      </c>
      <c r="G3767" s="16" t="s">
        <v>22</v>
      </c>
      <c r="H3767" s="16" t="s">
        <v>58</v>
      </c>
      <c r="I3767" s="16"/>
      <c r="J3767" s="16"/>
      <c r="K3767" s="16"/>
      <c r="L3767" s="16"/>
      <c r="M3767" s="19" t="s">
        <v>3019</v>
      </c>
      <c r="N3767" s="16"/>
      <c r="O3767" s="16" t="s">
        <v>3020</v>
      </c>
      <c r="P3767" s="16" t="str">
        <f>HYPERLINK("https://ceds.ed.gov/cedselementdetails.aspx?termid=26077")</f>
        <v>https://ceds.ed.gov/cedselementdetails.aspx?termid=26077</v>
      </c>
      <c r="Q3767" s="16">
        <v>74501</v>
      </c>
    </row>
    <row r="3768" spans="1:17" ht="72" x14ac:dyDescent="0.3">
      <c r="A3768" s="16" t="s">
        <v>7751</v>
      </c>
      <c r="B3768" s="16" t="s">
        <v>7715</v>
      </c>
      <c r="C3768" s="16" t="s">
        <v>7641</v>
      </c>
      <c r="D3768" s="16" t="s">
        <v>7597</v>
      </c>
      <c r="E3768" s="16" t="s">
        <v>6914</v>
      </c>
      <c r="F3768" s="16" t="s">
        <v>6915</v>
      </c>
      <c r="G3768" s="16" t="s">
        <v>32</v>
      </c>
      <c r="H3768" s="16" t="s">
        <v>64</v>
      </c>
      <c r="I3768" s="16"/>
      <c r="J3768" s="16" t="s">
        <v>2500</v>
      </c>
      <c r="K3768" s="16"/>
      <c r="L3768" s="16"/>
      <c r="M3768" s="19" t="s">
        <v>6917</v>
      </c>
      <c r="N3768" s="16"/>
      <c r="O3768" s="16" t="s">
        <v>6918</v>
      </c>
      <c r="P3768" s="16" t="str">
        <f>HYPERLINK("https://ceds.ed.gov/cedselementdetails.aspx?termid=26124")</f>
        <v>https://ceds.ed.gov/cedselementdetails.aspx?termid=26124</v>
      </c>
      <c r="Q3768" s="16">
        <v>74504</v>
      </c>
    </row>
    <row r="3769" spans="1:17" ht="28.8" x14ac:dyDescent="0.3">
      <c r="A3769" s="16" t="s">
        <v>7751</v>
      </c>
      <c r="B3769" s="16" t="s">
        <v>7715</v>
      </c>
      <c r="C3769" s="16" t="s">
        <v>7641</v>
      </c>
      <c r="D3769" s="16" t="s">
        <v>7597</v>
      </c>
      <c r="E3769" s="16" t="s">
        <v>2498</v>
      </c>
      <c r="F3769" s="16" t="s">
        <v>7916</v>
      </c>
      <c r="G3769" s="16" t="s">
        <v>32</v>
      </c>
      <c r="H3769" s="16" t="s">
        <v>1927</v>
      </c>
      <c r="I3769" s="16"/>
      <c r="J3769" s="16" t="s">
        <v>2500</v>
      </c>
      <c r="K3769" s="16"/>
      <c r="L3769" s="16"/>
      <c r="M3769" s="19" t="s">
        <v>2501</v>
      </c>
      <c r="N3769" s="16"/>
      <c r="O3769" s="16" t="s">
        <v>2502</v>
      </c>
      <c r="P3769" s="16" t="str">
        <f>HYPERLINK("https://ceds.ed.gov/cedselementdetails.aspx?termid=26053")</f>
        <v>https://ceds.ed.gov/cedselementdetails.aspx?termid=26053</v>
      </c>
      <c r="Q3769" s="16">
        <v>74497</v>
      </c>
    </row>
    <row r="3770" spans="1:17" ht="100.8" x14ac:dyDescent="0.3">
      <c r="A3770" s="16" t="s">
        <v>7751</v>
      </c>
      <c r="B3770" s="16" t="s">
        <v>7715</v>
      </c>
      <c r="C3770" s="16" t="s">
        <v>7641</v>
      </c>
      <c r="D3770" s="16" t="s">
        <v>7597</v>
      </c>
      <c r="E3770" s="16" t="s">
        <v>5503</v>
      </c>
      <c r="F3770" s="16" t="s">
        <v>5504</v>
      </c>
      <c r="G3770" s="16" t="s">
        <v>32</v>
      </c>
      <c r="H3770" s="16" t="s">
        <v>5256</v>
      </c>
      <c r="I3770" s="16"/>
      <c r="J3770" s="16" t="s">
        <v>1481</v>
      </c>
      <c r="K3770" s="16"/>
      <c r="L3770" s="16"/>
      <c r="M3770" s="19" t="s">
        <v>5505</v>
      </c>
      <c r="N3770" s="16"/>
      <c r="O3770" s="16" t="s">
        <v>5506</v>
      </c>
      <c r="P3770" s="16" t="str">
        <f>HYPERLINK("https://ceds.ed.gov/cedselementdetails.aspx?termid=26200")</f>
        <v>https://ceds.ed.gov/cedselementdetails.aspx?termid=26200</v>
      </c>
      <c r="Q3770" s="16">
        <v>74508</v>
      </c>
    </row>
    <row r="3771" spans="1:17" ht="43.2" x14ac:dyDescent="0.3">
      <c r="A3771" s="16" t="s">
        <v>7751</v>
      </c>
      <c r="B3771" s="16" t="s">
        <v>7715</v>
      </c>
      <c r="C3771" s="16" t="s">
        <v>7641</v>
      </c>
      <c r="D3771" s="16" t="s">
        <v>7597</v>
      </c>
      <c r="E3771" s="16" t="s">
        <v>2625</v>
      </c>
      <c r="F3771" s="16" t="s">
        <v>7925</v>
      </c>
      <c r="G3771" s="16" t="s">
        <v>32</v>
      </c>
      <c r="H3771" s="16" t="s">
        <v>58</v>
      </c>
      <c r="I3771" s="16"/>
      <c r="J3771" s="16" t="s">
        <v>1481</v>
      </c>
      <c r="K3771" s="16"/>
      <c r="L3771" s="16"/>
      <c r="M3771" s="19" t="s">
        <v>2626</v>
      </c>
      <c r="N3771" s="16"/>
      <c r="O3771" s="16" t="s">
        <v>2627</v>
      </c>
      <c r="P3771" s="16" t="str">
        <f>HYPERLINK("https://ceds.ed.gov/cedselementdetails.aspx?termid=26064")</f>
        <v>https://ceds.ed.gov/cedselementdetails.aspx?termid=26064</v>
      </c>
      <c r="Q3771" s="16">
        <v>74499</v>
      </c>
    </row>
    <row r="3772" spans="1:17" ht="43.2" x14ac:dyDescent="0.3">
      <c r="A3772" s="16" t="s">
        <v>7751</v>
      </c>
      <c r="B3772" s="16" t="s">
        <v>7715</v>
      </c>
      <c r="C3772" s="16" t="s">
        <v>7641</v>
      </c>
      <c r="D3772" s="16" t="s">
        <v>7597</v>
      </c>
      <c r="E3772" s="16" t="s">
        <v>6919</v>
      </c>
      <c r="F3772" s="16" t="s">
        <v>6920</v>
      </c>
      <c r="G3772" s="16" t="s">
        <v>32</v>
      </c>
      <c r="H3772" s="16"/>
      <c r="I3772" s="16"/>
      <c r="J3772" s="16" t="s">
        <v>101</v>
      </c>
      <c r="K3772" s="16"/>
      <c r="L3772" s="16"/>
      <c r="M3772" s="19" t="s">
        <v>6922</v>
      </c>
      <c r="N3772" s="16"/>
      <c r="O3772" s="16" t="s">
        <v>6923</v>
      </c>
      <c r="P3772" s="16" t="str">
        <f>HYPERLINK("https://ceds.ed.gov/cedselementdetails.aspx?termid=27552")</f>
        <v>https://ceds.ed.gov/cedselementdetails.aspx?termid=27552</v>
      </c>
      <c r="Q3772" s="16">
        <v>74505</v>
      </c>
    </row>
    <row r="3773" spans="1:17" ht="43.2" x14ac:dyDescent="0.3">
      <c r="A3773" s="16" t="s">
        <v>7751</v>
      </c>
      <c r="B3773" s="16" t="s">
        <v>7715</v>
      </c>
      <c r="C3773" s="16" t="s">
        <v>7641</v>
      </c>
      <c r="D3773" s="16" t="s">
        <v>7597</v>
      </c>
      <c r="E3773" s="16" t="s">
        <v>7966</v>
      </c>
      <c r="F3773" s="16" t="s">
        <v>7967</v>
      </c>
      <c r="G3773" s="16" t="s">
        <v>32</v>
      </c>
      <c r="H3773" s="16"/>
      <c r="I3773" s="16"/>
      <c r="J3773" s="16" t="s">
        <v>1662</v>
      </c>
      <c r="K3773" s="16"/>
      <c r="L3773" s="16" t="s">
        <v>7968</v>
      </c>
      <c r="M3773" s="19" t="s">
        <v>8181</v>
      </c>
      <c r="N3773" s="16"/>
      <c r="O3773" s="16" t="s">
        <v>7969</v>
      </c>
      <c r="P3773" s="16" t="str">
        <f>HYPERLINK("https://ceds.ed.gov/cedselementdetails.aspx?termid=27979")</f>
        <v>https://ceds.ed.gov/cedselementdetails.aspx?termid=27979</v>
      </c>
      <c r="Q3773" s="16">
        <v>75701</v>
      </c>
    </row>
    <row r="3774" spans="1:17" ht="72" x14ac:dyDescent="0.3">
      <c r="A3774" s="16" t="s">
        <v>7751</v>
      </c>
      <c r="B3774" s="16" t="s">
        <v>7715</v>
      </c>
      <c r="C3774" s="16" t="s">
        <v>7717</v>
      </c>
      <c r="D3774" s="16" t="s">
        <v>7597</v>
      </c>
      <c r="E3774" s="16" t="s">
        <v>5296</v>
      </c>
      <c r="F3774" s="16" t="s">
        <v>5297</v>
      </c>
      <c r="G3774" s="16" t="s">
        <v>32</v>
      </c>
      <c r="H3774" s="16" t="s">
        <v>64</v>
      </c>
      <c r="I3774" s="16"/>
      <c r="J3774" s="16" t="s">
        <v>81</v>
      </c>
      <c r="K3774" s="16"/>
      <c r="L3774" s="16"/>
      <c r="M3774" s="19" t="s">
        <v>5299</v>
      </c>
      <c r="N3774" s="16"/>
      <c r="O3774" s="16" t="s">
        <v>5300</v>
      </c>
      <c r="P3774" s="16" t="str">
        <f>HYPERLINK("https://ceds.ed.gov/cedselementdetails.aspx?termid=26182")</f>
        <v>https://ceds.ed.gov/cedselementdetails.aspx?termid=26182</v>
      </c>
      <c r="Q3774" s="16">
        <v>74492</v>
      </c>
    </row>
    <row r="3775" spans="1:17" ht="72" x14ac:dyDescent="0.3">
      <c r="A3775" s="16" t="s">
        <v>7751</v>
      </c>
      <c r="B3775" s="16" t="s">
        <v>7715</v>
      </c>
      <c r="C3775" s="16" t="s">
        <v>7717</v>
      </c>
      <c r="D3775" s="16" t="s">
        <v>7597</v>
      </c>
      <c r="E3775" s="16" t="s">
        <v>5324</v>
      </c>
      <c r="F3775" s="16" t="s">
        <v>5325</v>
      </c>
      <c r="G3775" s="16" t="s">
        <v>32</v>
      </c>
      <c r="H3775" s="16" t="s">
        <v>64</v>
      </c>
      <c r="I3775" s="16"/>
      <c r="J3775" s="16" t="s">
        <v>2500</v>
      </c>
      <c r="K3775" s="16"/>
      <c r="L3775" s="16"/>
      <c r="M3775" s="19" t="s">
        <v>5326</v>
      </c>
      <c r="N3775" s="16"/>
      <c r="O3775" s="16" t="s">
        <v>5327</v>
      </c>
      <c r="P3775" s="16" t="str">
        <f>HYPERLINK("https://ceds.ed.gov/cedselementdetails.aspx?termid=26183")</f>
        <v>https://ceds.ed.gov/cedselementdetails.aspx?termid=26183</v>
      </c>
      <c r="Q3775" s="16">
        <v>74495</v>
      </c>
    </row>
    <row r="3776" spans="1:17" ht="72" x14ac:dyDescent="0.3">
      <c r="A3776" s="16" t="s">
        <v>7751</v>
      </c>
      <c r="B3776" s="16" t="s">
        <v>7715</v>
      </c>
      <c r="C3776" s="16" t="s">
        <v>7717</v>
      </c>
      <c r="D3776" s="16" t="s">
        <v>7597</v>
      </c>
      <c r="E3776" s="16" t="s">
        <v>6914</v>
      </c>
      <c r="F3776" s="16" t="s">
        <v>6915</v>
      </c>
      <c r="G3776" s="16" t="s">
        <v>32</v>
      </c>
      <c r="H3776" s="16" t="s">
        <v>64</v>
      </c>
      <c r="I3776" s="16"/>
      <c r="J3776" s="16" t="s">
        <v>2500</v>
      </c>
      <c r="K3776" s="16"/>
      <c r="L3776" s="16"/>
      <c r="M3776" s="19" t="s">
        <v>6917</v>
      </c>
      <c r="N3776" s="16"/>
      <c r="O3776" s="16" t="s">
        <v>6918</v>
      </c>
      <c r="P3776" s="16" t="str">
        <f>HYPERLINK("https://ceds.ed.gov/cedselementdetails.aspx?termid=26124")</f>
        <v>https://ceds.ed.gov/cedselementdetails.aspx?termid=26124</v>
      </c>
      <c r="Q3776" s="16">
        <v>74494</v>
      </c>
    </row>
    <row r="3777" spans="1:17" ht="43.2" x14ac:dyDescent="0.3">
      <c r="A3777" s="16" t="s">
        <v>7751</v>
      </c>
      <c r="B3777" s="16" t="s">
        <v>7715</v>
      </c>
      <c r="C3777" s="16" t="s">
        <v>7717</v>
      </c>
      <c r="D3777" s="16" t="s">
        <v>7597</v>
      </c>
      <c r="E3777" s="16" t="s">
        <v>6924</v>
      </c>
      <c r="F3777" s="16" t="s">
        <v>6925</v>
      </c>
      <c r="G3777" s="16" t="s">
        <v>22</v>
      </c>
      <c r="H3777" s="16"/>
      <c r="I3777" s="16"/>
      <c r="J3777" s="16"/>
      <c r="K3777" s="16"/>
      <c r="L3777" s="16"/>
      <c r="M3777" s="19" t="s">
        <v>6926</v>
      </c>
      <c r="N3777" s="16"/>
      <c r="O3777" s="16" t="s">
        <v>6927</v>
      </c>
      <c r="P3777" s="16" t="str">
        <f>HYPERLINK("https://ceds.ed.gov/cedselementdetails.aspx?termid=27191")</f>
        <v>https://ceds.ed.gov/cedselementdetails.aspx?termid=27191</v>
      </c>
      <c r="Q3777" s="16">
        <v>74493</v>
      </c>
    </row>
    <row r="3778" spans="1:17" ht="230.4" x14ac:dyDescent="0.3">
      <c r="A3778" s="16" t="s">
        <v>7751</v>
      </c>
      <c r="B3778" s="16" t="s">
        <v>7715</v>
      </c>
      <c r="C3778" s="16" t="s">
        <v>7717</v>
      </c>
      <c r="D3778" s="16" t="s">
        <v>7597</v>
      </c>
      <c r="E3778" s="16" t="s">
        <v>2510</v>
      </c>
      <c r="F3778" s="16" t="s">
        <v>2511</v>
      </c>
      <c r="G3778" s="16" t="s">
        <v>8457</v>
      </c>
      <c r="H3778" s="16"/>
      <c r="I3778" s="16"/>
      <c r="J3778" s="16"/>
      <c r="K3778" s="16"/>
      <c r="L3778" s="16"/>
      <c r="M3778" s="19" t="s">
        <v>2513</v>
      </c>
      <c r="N3778" s="16"/>
      <c r="O3778" s="16" t="s">
        <v>2514</v>
      </c>
      <c r="P3778" s="16" t="str">
        <f>HYPERLINK("https://ceds.ed.gov/cedselementdetails.aspx?termid=27265")</f>
        <v>https://ceds.ed.gov/cedselementdetails.aspx?termid=27265</v>
      </c>
      <c r="Q3778" s="16">
        <v>74491</v>
      </c>
    </row>
    <row r="3779" spans="1:17" ht="28.8" x14ac:dyDescent="0.3">
      <c r="A3779" s="16" t="s">
        <v>7751</v>
      </c>
      <c r="B3779" s="16" t="s">
        <v>7715</v>
      </c>
      <c r="C3779" s="16" t="s">
        <v>7717</v>
      </c>
      <c r="D3779" s="16" t="s">
        <v>7597</v>
      </c>
      <c r="E3779" s="16" t="s">
        <v>4174</v>
      </c>
      <c r="F3779" s="16"/>
      <c r="G3779" s="16" t="s">
        <v>32</v>
      </c>
      <c r="H3779" s="16"/>
      <c r="I3779" s="16" t="s">
        <v>160</v>
      </c>
      <c r="J3779" s="16" t="s">
        <v>13079</v>
      </c>
      <c r="K3779" s="16" t="s">
        <v>12939</v>
      </c>
      <c r="L3779" s="16"/>
      <c r="M3779" s="19" t="s">
        <v>4176</v>
      </c>
      <c r="N3779" s="16"/>
      <c r="O3779" s="16"/>
      <c r="P3779" s="16" t="str">
        <f>HYPERLINK("https://ceds.ed.gov/cedselementdetails.aspx?termid=26609")</f>
        <v>https://ceds.ed.gov/cedselementdetails.aspx?termid=26609</v>
      </c>
      <c r="Q3779" s="16">
        <v>74496</v>
      </c>
    </row>
    <row r="3780" spans="1:17" ht="172.8" x14ac:dyDescent="0.3">
      <c r="A3780" s="16" t="s">
        <v>7751</v>
      </c>
      <c r="B3780" s="16" t="s">
        <v>7715</v>
      </c>
      <c r="C3780" s="16" t="s">
        <v>7718</v>
      </c>
      <c r="D3780" s="16" t="s">
        <v>7597</v>
      </c>
      <c r="E3780" s="16" t="s">
        <v>6810</v>
      </c>
      <c r="F3780" s="16" t="s">
        <v>6811</v>
      </c>
      <c r="G3780" s="16" t="s">
        <v>32</v>
      </c>
      <c r="H3780" s="16" t="s">
        <v>6814</v>
      </c>
      <c r="I3780" s="16"/>
      <c r="J3780" s="16" t="s">
        <v>120</v>
      </c>
      <c r="K3780" s="16"/>
      <c r="L3780" s="16" t="s">
        <v>7817</v>
      </c>
      <c r="M3780" s="19" t="s">
        <v>6812</v>
      </c>
      <c r="N3780" s="16"/>
      <c r="O3780" s="16" t="s">
        <v>6813</v>
      </c>
      <c r="P3780" s="16" t="str">
        <f>HYPERLINK("https://ceds.ed.gov/cedselementdetails.aspx?termid=26156")</f>
        <v>https://ceds.ed.gov/cedselementdetails.aspx?termid=26156</v>
      </c>
      <c r="Q3780" s="16">
        <v>74511</v>
      </c>
    </row>
    <row r="3781" spans="1:17" ht="259.2" x14ac:dyDescent="0.3">
      <c r="A3781" s="16" t="s">
        <v>7751</v>
      </c>
      <c r="B3781" s="16" t="s">
        <v>7715</v>
      </c>
      <c r="C3781" s="16" t="s">
        <v>7718</v>
      </c>
      <c r="D3781" s="16" t="s">
        <v>7597</v>
      </c>
      <c r="E3781" s="16" t="s">
        <v>6805</v>
      </c>
      <c r="F3781" s="16" t="s">
        <v>6806</v>
      </c>
      <c r="G3781" s="16" t="s">
        <v>9342</v>
      </c>
      <c r="H3781" s="16" t="s">
        <v>6809</v>
      </c>
      <c r="I3781" s="16"/>
      <c r="J3781" s="16"/>
      <c r="K3781" s="16"/>
      <c r="L3781" s="16"/>
      <c r="M3781" s="19" t="s">
        <v>6807</v>
      </c>
      <c r="N3781" s="16"/>
      <c r="O3781" s="16" t="s">
        <v>6808</v>
      </c>
      <c r="P3781" s="16" t="str">
        <f>HYPERLINK("https://ceds.ed.gov/cedselementdetails.aspx?termid=26162")</f>
        <v>https://ceds.ed.gov/cedselementdetails.aspx?termid=26162</v>
      </c>
      <c r="Q3781" s="16">
        <v>74512</v>
      </c>
    </row>
    <row r="3782" spans="1:17" ht="28.8" x14ac:dyDescent="0.3">
      <c r="A3782" s="16" t="s">
        <v>7751</v>
      </c>
      <c r="B3782" s="16" t="s">
        <v>7715</v>
      </c>
      <c r="C3782" s="16" t="s">
        <v>7718</v>
      </c>
      <c r="D3782" s="16" t="s">
        <v>7597</v>
      </c>
      <c r="E3782" s="16" t="s">
        <v>1406</v>
      </c>
      <c r="F3782" s="16" t="s">
        <v>1407</v>
      </c>
      <c r="G3782" s="16" t="s">
        <v>32</v>
      </c>
      <c r="H3782" s="16"/>
      <c r="I3782" s="16"/>
      <c r="J3782" s="16" t="s">
        <v>106</v>
      </c>
      <c r="K3782" s="16"/>
      <c r="L3782" s="16"/>
      <c r="M3782" s="19" t="s">
        <v>1408</v>
      </c>
      <c r="N3782" s="16"/>
      <c r="O3782" s="16" t="s">
        <v>1409</v>
      </c>
      <c r="P3782" s="16" t="str">
        <f>HYPERLINK("https://ceds.ed.gov/cedselementdetails.aspx?termid=26517")</f>
        <v>https://ceds.ed.gov/cedselementdetails.aspx?termid=26517</v>
      </c>
      <c r="Q3782" s="16">
        <v>74509</v>
      </c>
    </row>
    <row r="3783" spans="1:17" ht="57.6" x14ac:dyDescent="0.3">
      <c r="A3783" s="16" t="s">
        <v>7751</v>
      </c>
      <c r="B3783" s="16" t="s">
        <v>7715</v>
      </c>
      <c r="C3783" s="16" t="s">
        <v>7718</v>
      </c>
      <c r="D3783" s="16" t="s">
        <v>7597</v>
      </c>
      <c r="E3783" s="16" t="s">
        <v>1402</v>
      </c>
      <c r="F3783" s="16" t="s">
        <v>1403</v>
      </c>
      <c r="G3783" s="16" t="s">
        <v>32</v>
      </c>
      <c r="H3783" s="16"/>
      <c r="I3783" s="16"/>
      <c r="J3783" s="16" t="s">
        <v>106</v>
      </c>
      <c r="K3783" s="16"/>
      <c r="L3783" s="16" t="s">
        <v>131</v>
      </c>
      <c r="M3783" s="19" t="s">
        <v>1404</v>
      </c>
      <c r="N3783" s="16"/>
      <c r="O3783" s="16" t="s">
        <v>1405</v>
      </c>
      <c r="P3783" s="16" t="str">
        <f>HYPERLINK("https://ceds.ed.gov/cedselementdetails.aspx?termid=26518")</f>
        <v>https://ceds.ed.gov/cedselementdetails.aspx?termid=26518</v>
      </c>
      <c r="Q3783" s="16">
        <v>74510</v>
      </c>
    </row>
    <row r="3784" spans="1:17" ht="57.6" x14ac:dyDescent="0.3">
      <c r="A3784" s="16" t="s">
        <v>7751</v>
      </c>
      <c r="B3784" s="16" t="s">
        <v>7715</v>
      </c>
      <c r="C3784" s="16" t="s">
        <v>7718</v>
      </c>
      <c r="D3784" s="16" t="s">
        <v>7597</v>
      </c>
      <c r="E3784" s="16" t="s">
        <v>6992</v>
      </c>
      <c r="F3784" s="16" t="s">
        <v>6993</v>
      </c>
      <c r="G3784" s="16" t="s">
        <v>22</v>
      </c>
      <c r="H3784" s="16" t="s">
        <v>6997</v>
      </c>
      <c r="I3784" s="16"/>
      <c r="J3784" s="16"/>
      <c r="K3784" s="16"/>
      <c r="L3784" s="16" t="s">
        <v>6994</v>
      </c>
      <c r="M3784" s="19" t="s">
        <v>6995</v>
      </c>
      <c r="N3784" s="16"/>
      <c r="O3784" s="16" t="s">
        <v>6996</v>
      </c>
      <c r="P3784" s="16" t="str">
        <f>HYPERLINK("https://ceds.ed.gov/cedselementdetails.aspx?termid=26649")</f>
        <v>https://ceds.ed.gov/cedselementdetails.aspx?termid=26649</v>
      </c>
      <c r="Q3784" s="16">
        <v>74560</v>
      </c>
    </row>
    <row r="3785" spans="1:17" ht="72" x14ac:dyDescent="0.3">
      <c r="A3785" s="16" t="s">
        <v>7751</v>
      </c>
      <c r="B3785" s="16" t="s">
        <v>7715</v>
      </c>
      <c r="C3785" s="16" t="s">
        <v>7718</v>
      </c>
      <c r="D3785" s="16" t="s">
        <v>7597</v>
      </c>
      <c r="E3785" s="16" t="s">
        <v>7018</v>
      </c>
      <c r="F3785" s="16" t="s">
        <v>8166</v>
      </c>
      <c r="G3785" s="16" t="s">
        <v>8273</v>
      </c>
      <c r="H3785" s="16" t="s">
        <v>6997</v>
      </c>
      <c r="I3785" s="16"/>
      <c r="J3785" s="16"/>
      <c r="K3785" s="16"/>
      <c r="L3785" s="16"/>
      <c r="M3785" s="19" t="s">
        <v>7019</v>
      </c>
      <c r="N3785" s="16"/>
      <c r="O3785" s="16" t="s">
        <v>7020</v>
      </c>
      <c r="P3785" s="16" t="str">
        <f>HYPERLINK("https://ceds.ed.gov/cedselementdetails.aspx?termid=26650")</f>
        <v>https://ceds.ed.gov/cedselementdetails.aspx?termid=26650</v>
      </c>
      <c r="Q3785" s="16">
        <v>74561</v>
      </c>
    </row>
    <row r="3786" spans="1:17" ht="72" x14ac:dyDescent="0.3">
      <c r="A3786" s="16" t="s">
        <v>7751</v>
      </c>
      <c r="B3786" s="16" t="s">
        <v>7715</v>
      </c>
      <c r="C3786" s="16" t="s">
        <v>7718</v>
      </c>
      <c r="D3786" s="16" t="s">
        <v>7597</v>
      </c>
      <c r="E3786" s="16" t="s">
        <v>7009</v>
      </c>
      <c r="F3786" s="16" t="s">
        <v>7010</v>
      </c>
      <c r="G3786" s="16" t="s">
        <v>32</v>
      </c>
      <c r="H3786" s="16" t="s">
        <v>6997</v>
      </c>
      <c r="I3786" s="16"/>
      <c r="J3786" s="16" t="s">
        <v>742</v>
      </c>
      <c r="K3786" s="16"/>
      <c r="L3786" s="16"/>
      <c r="M3786" s="19" t="s">
        <v>7011</v>
      </c>
      <c r="N3786" s="16"/>
      <c r="O3786" s="16" t="s">
        <v>7012</v>
      </c>
      <c r="P3786" s="16" t="str">
        <f>HYPERLINK("https://ceds.ed.gov/cedselementdetails.aspx?termid=26651")</f>
        <v>https://ceds.ed.gov/cedselementdetails.aspx?termid=26651</v>
      </c>
      <c r="Q3786" s="16">
        <v>74562</v>
      </c>
    </row>
    <row r="3787" spans="1:17" ht="244.8" x14ac:dyDescent="0.3">
      <c r="A3787" s="16" t="s">
        <v>7751</v>
      </c>
      <c r="B3787" s="16" t="s">
        <v>7715</v>
      </c>
      <c r="C3787" s="16" t="s">
        <v>7718</v>
      </c>
      <c r="D3787" s="16" t="s">
        <v>7597</v>
      </c>
      <c r="E3787" s="16" t="s">
        <v>2064</v>
      </c>
      <c r="F3787" s="16" t="s">
        <v>2065</v>
      </c>
      <c r="G3787" s="16" t="s">
        <v>8213</v>
      </c>
      <c r="H3787" s="16"/>
      <c r="I3787" s="16"/>
      <c r="J3787" s="16"/>
      <c r="K3787" s="16"/>
      <c r="L3787" s="16"/>
      <c r="M3787" s="19" t="s">
        <v>2066</v>
      </c>
      <c r="N3787" s="16"/>
      <c r="O3787" s="16" t="s">
        <v>2067</v>
      </c>
      <c r="P3787" s="16" t="str">
        <f>HYPERLINK("https://ceds.ed.gov/cedselementdetails.aspx?termid=26615")</f>
        <v>https://ceds.ed.gov/cedselementdetails.aspx?termid=26615</v>
      </c>
      <c r="Q3787" s="16">
        <v>74559</v>
      </c>
    </row>
    <row r="3788" spans="1:17" ht="28.8" x14ac:dyDescent="0.3">
      <c r="A3788" s="16" t="s">
        <v>7751</v>
      </c>
      <c r="B3788" s="16" t="s">
        <v>7715</v>
      </c>
      <c r="C3788" s="16" t="s">
        <v>7682</v>
      </c>
      <c r="D3788" s="16" t="s">
        <v>7597</v>
      </c>
      <c r="E3788" s="16" t="s">
        <v>1410</v>
      </c>
      <c r="F3788" s="16" t="s">
        <v>1411</v>
      </c>
      <c r="G3788" s="16" t="s">
        <v>32</v>
      </c>
      <c r="H3788" s="16"/>
      <c r="I3788" s="16"/>
      <c r="J3788" s="16" t="s">
        <v>106</v>
      </c>
      <c r="K3788" s="16"/>
      <c r="L3788" s="16"/>
      <c r="M3788" s="19" t="s">
        <v>1412</v>
      </c>
      <c r="N3788" s="16"/>
      <c r="O3788" s="16" t="s">
        <v>1413</v>
      </c>
      <c r="P3788" s="16" t="str">
        <f>HYPERLINK("https://ceds.ed.gov/cedselementdetails.aspx?termid=27630")</f>
        <v>https://ceds.ed.gov/cedselementdetails.aspx?termid=27630</v>
      </c>
      <c r="Q3788" s="16">
        <v>74565</v>
      </c>
    </row>
    <row r="3789" spans="1:17" ht="72" x14ac:dyDescent="0.3">
      <c r="A3789" s="16" t="s">
        <v>7751</v>
      </c>
      <c r="B3789" s="16" t="s">
        <v>7715</v>
      </c>
      <c r="C3789" s="16" t="s">
        <v>7682</v>
      </c>
      <c r="D3789" s="16" t="s">
        <v>7597</v>
      </c>
      <c r="E3789" s="16" t="s">
        <v>1414</v>
      </c>
      <c r="F3789" s="16" t="s">
        <v>1415</v>
      </c>
      <c r="G3789" s="16" t="s">
        <v>8365</v>
      </c>
      <c r="H3789" s="16"/>
      <c r="I3789" s="16"/>
      <c r="J3789" s="16"/>
      <c r="K3789" s="16"/>
      <c r="L3789" s="16"/>
      <c r="M3789" s="19" t="s">
        <v>1417</v>
      </c>
      <c r="N3789" s="16"/>
      <c r="O3789" s="16" t="s">
        <v>1418</v>
      </c>
      <c r="P3789" s="16" t="str">
        <f>HYPERLINK("https://ceds.ed.gov/cedselementdetails.aspx?termid=26594")</f>
        <v>https://ceds.ed.gov/cedselementdetails.aspx?termid=26594</v>
      </c>
      <c r="Q3789" s="16">
        <v>74564</v>
      </c>
    </row>
    <row r="3790" spans="1:17" ht="86.4" x14ac:dyDescent="0.3">
      <c r="A3790" s="16" t="s">
        <v>7751</v>
      </c>
      <c r="B3790" s="16" t="s">
        <v>7715</v>
      </c>
      <c r="C3790" s="16" t="s">
        <v>7682</v>
      </c>
      <c r="D3790" s="16" t="s">
        <v>7597</v>
      </c>
      <c r="E3790" s="16" t="s">
        <v>1419</v>
      </c>
      <c r="F3790" s="16" t="s">
        <v>1420</v>
      </c>
      <c r="G3790" s="16" t="s">
        <v>8211</v>
      </c>
      <c r="H3790" s="16"/>
      <c r="I3790" s="16"/>
      <c r="J3790" s="16"/>
      <c r="K3790" s="16"/>
      <c r="L3790" s="16"/>
      <c r="M3790" s="19" t="s">
        <v>1421</v>
      </c>
      <c r="N3790" s="16"/>
      <c r="O3790" s="16" t="s">
        <v>1422</v>
      </c>
      <c r="P3790" s="16" t="str">
        <f>HYPERLINK("https://ceds.ed.gov/cedselementdetails.aspx?termid=26076")</f>
        <v>https://ceds.ed.gov/cedselementdetails.aspx?termid=26076</v>
      </c>
      <c r="Q3790" s="16">
        <v>74563</v>
      </c>
    </row>
    <row r="3791" spans="1:17" ht="115.2" x14ac:dyDescent="0.3">
      <c r="A3791" s="16" t="s">
        <v>7751</v>
      </c>
      <c r="B3791" s="16" t="s">
        <v>7715</v>
      </c>
      <c r="C3791" s="16" t="s">
        <v>7682</v>
      </c>
      <c r="D3791" s="16" t="s">
        <v>7597</v>
      </c>
      <c r="E3791" s="16" t="s">
        <v>8896</v>
      </c>
      <c r="F3791" s="16" t="s">
        <v>8897</v>
      </c>
      <c r="G3791" s="16" t="s">
        <v>32</v>
      </c>
      <c r="H3791" s="16"/>
      <c r="I3791" s="16"/>
      <c r="J3791" s="16" t="s">
        <v>4030</v>
      </c>
      <c r="K3791" s="16"/>
      <c r="L3791" s="16" t="s">
        <v>8898</v>
      </c>
      <c r="M3791" s="19" t="s">
        <v>8899</v>
      </c>
      <c r="N3791" s="16"/>
      <c r="O3791" s="16" t="s">
        <v>8900</v>
      </c>
      <c r="P3791" s="16" t="str">
        <f>HYPERLINK("https://ceds.ed.gov/cedselementdetails.aspx?termid=28001")</f>
        <v>https://ceds.ed.gov/cedselementdetails.aspx?termid=28001</v>
      </c>
      <c r="Q3791" s="16">
        <v>76017</v>
      </c>
    </row>
    <row r="3792" spans="1:17" ht="28.8" x14ac:dyDescent="0.3">
      <c r="A3792" s="16" t="s">
        <v>7751</v>
      </c>
      <c r="B3792" s="16" t="s">
        <v>7715</v>
      </c>
      <c r="C3792" s="16" t="s">
        <v>7682</v>
      </c>
      <c r="D3792" s="16" t="s">
        <v>7597</v>
      </c>
      <c r="E3792" s="16" t="s">
        <v>8901</v>
      </c>
      <c r="F3792" s="16" t="s">
        <v>8902</v>
      </c>
      <c r="G3792" s="16" t="s">
        <v>32</v>
      </c>
      <c r="H3792" s="16"/>
      <c r="I3792" s="16"/>
      <c r="J3792" s="16" t="s">
        <v>4030</v>
      </c>
      <c r="K3792" s="16"/>
      <c r="L3792" s="16"/>
      <c r="M3792" s="19" t="s">
        <v>8903</v>
      </c>
      <c r="N3792" s="16"/>
      <c r="O3792" s="16" t="s">
        <v>8904</v>
      </c>
      <c r="P3792" s="16" t="str">
        <f>HYPERLINK("https://ceds.ed.gov/cedselementdetails.aspx?termid=28002")</f>
        <v>https://ceds.ed.gov/cedselementdetails.aspx?termid=28002</v>
      </c>
      <c r="Q3792" s="16">
        <v>76018</v>
      </c>
    </row>
    <row r="3793" spans="1:17" ht="28.8" x14ac:dyDescent="0.3">
      <c r="A3793" s="16" t="s">
        <v>7751</v>
      </c>
      <c r="B3793" s="16" t="s">
        <v>7715</v>
      </c>
      <c r="C3793" s="16" t="s">
        <v>7682</v>
      </c>
      <c r="D3793" s="16" t="s">
        <v>7597</v>
      </c>
      <c r="E3793" s="16" t="s">
        <v>8905</v>
      </c>
      <c r="F3793" s="16" t="s">
        <v>8906</v>
      </c>
      <c r="G3793" s="16" t="s">
        <v>32</v>
      </c>
      <c r="H3793" s="16"/>
      <c r="I3793" s="16"/>
      <c r="J3793" s="16" t="s">
        <v>4030</v>
      </c>
      <c r="K3793" s="16"/>
      <c r="L3793" s="16"/>
      <c r="M3793" s="19" t="s">
        <v>8907</v>
      </c>
      <c r="N3793" s="16"/>
      <c r="O3793" s="16" t="s">
        <v>8908</v>
      </c>
      <c r="P3793" s="16" t="str">
        <f>HYPERLINK("https://ceds.ed.gov/cedselementdetails.aspx?termid=28003")</f>
        <v>https://ceds.ed.gov/cedselementdetails.aspx?termid=28003</v>
      </c>
      <c r="Q3793" s="16">
        <v>76019</v>
      </c>
    </row>
    <row r="3794" spans="1:17" ht="409.6" x14ac:dyDescent="0.3">
      <c r="A3794" s="16" t="s">
        <v>7751</v>
      </c>
      <c r="B3794" s="16" t="s">
        <v>7650</v>
      </c>
      <c r="C3794" s="16"/>
      <c r="D3794" s="16" t="s">
        <v>7597</v>
      </c>
      <c r="E3794" s="16" t="s">
        <v>6130</v>
      </c>
      <c r="F3794" s="16" t="s">
        <v>6131</v>
      </c>
      <c r="G3794" s="16" t="s">
        <v>9420</v>
      </c>
      <c r="H3794" s="16" t="s">
        <v>64</v>
      </c>
      <c r="I3794" s="16"/>
      <c r="J3794" s="16"/>
      <c r="K3794" s="16"/>
      <c r="L3794" s="16"/>
      <c r="M3794" s="19" t="s">
        <v>6132</v>
      </c>
      <c r="N3794" s="16"/>
      <c r="O3794" s="16" t="s">
        <v>6133</v>
      </c>
      <c r="P3794" s="16" t="str">
        <f>HYPERLINK("https://ceds.ed.gov/cedselementdetails.aspx?termid=26225")</f>
        <v>https://ceds.ed.gov/cedselementdetails.aspx?termid=26225</v>
      </c>
      <c r="Q3794" s="16">
        <v>72917</v>
      </c>
    </row>
    <row r="3795" spans="1:17" ht="43.2" x14ac:dyDescent="0.3">
      <c r="A3795" s="16" t="s">
        <v>7751</v>
      </c>
      <c r="B3795" s="16" t="s">
        <v>7650</v>
      </c>
      <c r="C3795" s="16"/>
      <c r="D3795" s="16" t="s">
        <v>7597</v>
      </c>
      <c r="E3795" s="16" t="s">
        <v>6089</v>
      </c>
      <c r="F3795" s="16" t="s">
        <v>6090</v>
      </c>
      <c r="G3795" s="16" t="s">
        <v>32</v>
      </c>
      <c r="H3795" s="16" t="s">
        <v>2564</v>
      </c>
      <c r="I3795" s="16"/>
      <c r="J3795" s="16" t="s">
        <v>145</v>
      </c>
      <c r="K3795" s="16"/>
      <c r="L3795" s="16"/>
      <c r="M3795" s="19" t="s">
        <v>6091</v>
      </c>
      <c r="N3795" s="16"/>
      <c r="O3795" s="16" t="s">
        <v>6092</v>
      </c>
      <c r="P3795" s="16" t="str">
        <f>HYPERLINK("https://ceds.ed.gov/cedselementdetails.aspx?termid=26619")</f>
        <v>https://ceds.ed.gov/cedselementdetails.aspx?termid=26619</v>
      </c>
      <c r="Q3795" s="16">
        <v>72918</v>
      </c>
    </row>
    <row r="3796" spans="1:17" ht="244.8" x14ac:dyDescent="0.3">
      <c r="A3796" s="16" t="s">
        <v>7751</v>
      </c>
      <c r="B3796" s="16" t="s">
        <v>7650</v>
      </c>
      <c r="C3796" s="16"/>
      <c r="D3796" s="16" t="s">
        <v>7597</v>
      </c>
      <c r="E3796" s="16" t="s">
        <v>1887</v>
      </c>
      <c r="F3796" s="16" t="s">
        <v>1888</v>
      </c>
      <c r="G3796" s="16" t="s">
        <v>8425</v>
      </c>
      <c r="H3796" s="16"/>
      <c r="I3796" s="16" t="s">
        <v>160</v>
      </c>
      <c r="J3796" s="16"/>
      <c r="K3796" s="16" t="s">
        <v>12935</v>
      </c>
      <c r="L3796" s="16" t="s">
        <v>7896</v>
      </c>
      <c r="M3796" s="19" t="s">
        <v>1889</v>
      </c>
      <c r="N3796" s="16"/>
      <c r="O3796" s="16" t="s">
        <v>1890</v>
      </c>
      <c r="P3796" s="16" t="str">
        <f>HYPERLINK("https://ceds.ed.gov/cedselementdetails.aspx?termid=27254")</f>
        <v>https://ceds.ed.gov/cedselementdetails.aspx?termid=27254</v>
      </c>
      <c r="Q3796" s="16">
        <v>73564</v>
      </c>
    </row>
    <row r="3797" spans="1:17" ht="201.6" x14ac:dyDescent="0.3">
      <c r="A3797" s="16" t="s">
        <v>7751</v>
      </c>
      <c r="B3797" s="16" t="s">
        <v>7650</v>
      </c>
      <c r="C3797" s="16"/>
      <c r="D3797" s="16" t="s">
        <v>7597</v>
      </c>
      <c r="E3797" s="16" t="s">
        <v>6122</v>
      </c>
      <c r="F3797" s="16" t="s">
        <v>6123</v>
      </c>
      <c r="G3797" s="16" t="s">
        <v>8255</v>
      </c>
      <c r="H3797" s="16"/>
      <c r="I3797" s="16"/>
      <c r="J3797" s="16"/>
      <c r="K3797" s="16"/>
      <c r="L3797" s="16"/>
      <c r="M3797" s="19" t="s">
        <v>6124</v>
      </c>
      <c r="N3797" s="16"/>
      <c r="O3797" s="16" t="s">
        <v>6125</v>
      </c>
      <c r="P3797" s="16" t="str">
        <f>HYPERLINK("https://ceds.ed.gov/cedselementdetails.aspx?termid=26692")</f>
        <v>https://ceds.ed.gov/cedselementdetails.aspx?termid=26692</v>
      </c>
      <c r="Q3797" s="16">
        <v>73522</v>
      </c>
    </row>
    <row r="3798" spans="1:17" ht="43.2" x14ac:dyDescent="0.3">
      <c r="A3798" s="16" t="s">
        <v>7751</v>
      </c>
      <c r="B3798" s="16" t="s">
        <v>7650</v>
      </c>
      <c r="C3798" s="16"/>
      <c r="D3798" s="16" t="s">
        <v>7597</v>
      </c>
      <c r="E3798" s="16" t="s">
        <v>7966</v>
      </c>
      <c r="F3798" s="16" t="s">
        <v>7967</v>
      </c>
      <c r="G3798" s="16" t="s">
        <v>32</v>
      </c>
      <c r="H3798" s="16"/>
      <c r="I3798" s="16"/>
      <c r="J3798" s="16" t="s">
        <v>1662</v>
      </c>
      <c r="K3798" s="16"/>
      <c r="L3798" s="16" t="s">
        <v>7968</v>
      </c>
      <c r="M3798" s="19" t="s">
        <v>8181</v>
      </c>
      <c r="N3798" s="16"/>
      <c r="O3798" s="16" t="s">
        <v>7969</v>
      </c>
      <c r="P3798" s="16" t="str">
        <f>HYPERLINK("https://ceds.ed.gov/cedselementdetails.aspx?termid=27979")</f>
        <v>https://ceds.ed.gov/cedselementdetails.aspx?termid=27979</v>
      </c>
      <c r="Q3798" s="16">
        <v>75702</v>
      </c>
    </row>
    <row r="3799" spans="1:17" ht="43.2" x14ac:dyDescent="0.3">
      <c r="A3799" s="16" t="s">
        <v>7751</v>
      </c>
      <c r="B3799" s="16" t="s">
        <v>7650</v>
      </c>
      <c r="C3799" s="16"/>
      <c r="D3799" s="16" t="s">
        <v>7597</v>
      </c>
      <c r="E3799" s="16" t="s">
        <v>8108</v>
      </c>
      <c r="F3799" s="16" t="s">
        <v>8109</v>
      </c>
      <c r="G3799" s="16" t="s">
        <v>22</v>
      </c>
      <c r="H3799" s="16"/>
      <c r="I3799" s="16"/>
      <c r="J3799" s="16" t="s">
        <v>2</v>
      </c>
      <c r="K3799" s="16"/>
      <c r="L3799" s="16" t="s">
        <v>8110</v>
      </c>
      <c r="M3799" s="19" t="s">
        <v>8192</v>
      </c>
      <c r="N3799" s="16"/>
      <c r="O3799" s="16" t="s">
        <v>8111</v>
      </c>
      <c r="P3799" s="16" t="str">
        <f>HYPERLINK("https://ceds.ed.gov/cedselementdetails.aspx?termid=27990")</f>
        <v>https://ceds.ed.gov/cedselementdetails.aspx?termid=27990</v>
      </c>
      <c r="Q3799" s="16">
        <v>75703</v>
      </c>
    </row>
    <row r="3800" spans="1:17" ht="331.2" x14ac:dyDescent="0.3">
      <c r="A3800" s="16" t="s">
        <v>7751</v>
      </c>
      <c r="B3800" s="16" t="s">
        <v>7650</v>
      </c>
      <c r="C3800" s="16"/>
      <c r="D3800" s="16" t="s">
        <v>7597</v>
      </c>
      <c r="E3800" s="16" t="s">
        <v>12826</v>
      </c>
      <c r="F3800" s="16" t="s">
        <v>12827</v>
      </c>
      <c r="G3800" s="16" t="s">
        <v>12917</v>
      </c>
      <c r="H3800" s="16"/>
      <c r="I3800" s="16" t="s">
        <v>155</v>
      </c>
      <c r="J3800" s="16" t="s">
        <v>2</v>
      </c>
      <c r="K3800" s="16" t="s">
        <v>12636</v>
      </c>
      <c r="L3800" s="16" t="s">
        <v>12828</v>
      </c>
      <c r="M3800" s="19" t="s">
        <v>12829</v>
      </c>
      <c r="N3800" s="16"/>
      <c r="O3800" s="16" t="s">
        <v>12830</v>
      </c>
      <c r="P3800" s="16" t="str">
        <f>HYPERLINK("https://ceds.ed.gov/cedselementdetails.aspx?termid=28096")</f>
        <v>https://ceds.ed.gov/cedselementdetails.aspx?termid=28096</v>
      </c>
      <c r="Q3800" s="16">
        <v>76565</v>
      </c>
    </row>
    <row r="3801" spans="1:17" ht="172.8" x14ac:dyDescent="0.3">
      <c r="A3801" s="16" t="s">
        <v>7755</v>
      </c>
      <c r="B3801" s="16" t="s">
        <v>7756</v>
      </c>
      <c r="C3801" s="16"/>
      <c r="D3801" s="16" t="s">
        <v>7597</v>
      </c>
      <c r="E3801" s="16" t="s">
        <v>267</v>
      </c>
      <c r="F3801" s="16" t="s">
        <v>268</v>
      </c>
      <c r="G3801" s="16" t="s">
        <v>32</v>
      </c>
      <c r="H3801" s="16"/>
      <c r="I3801" s="16"/>
      <c r="J3801" s="16" t="s">
        <v>120</v>
      </c>
      <c r="K3801" s="16"/>
      <c r="L3801" s="16" t="s">
        <v>7817</v>
      </c>
      <c r="M3801" s="19" t="s">
        <v>269</v>
      </c>
      <c r="N3801" s="16"/>
      <c r="O3801" s="16" t="s">
        <v>270</v>
      </c>
      <c r="P3801" s="16" t="str">
        <f>HYPERLINK("https://ceds.ed.gov/cedselementdetails.aspx?termid=26777")</f>
        <v>https://ceds.ed.gov/cedselementdetails.aspx?termid=26777</v>
      </c>
      <c r="Q3801" s="16">
        <v>71295</v>
      </c>
    </row>
    <row r="3802" spans="1:17" ht="172.8" x14ac:dyDescent="0.3">
      <c r="A3802" s="16" t="s">
        <v>7755</v>
      </c>
      <c r="B3802" s="16" t="s">
        <v>7756</v>
      </c>
      <c r="C3802" s="16"/>
      <c r="D3802" s="16" t="s">
        <v>7597</v>
      </c>
      <c r="E3802" s="16" t="s">
        <v>262</v>
      </c>
      <c r="F3802" s="16" t="s">
        <v>263</v>
      </c>
      <c r="G3802" s="16" t="s">
        <v>8308</v>
      </c>
      <c r="H3802" s="16"/>
      <c r="I3802" s="16"/>
      <c r="J3802" s="16"/>
      <c r="K3802" s="16"/>
      <c r="L3802" s="16"/>
      <c r="M3802" s="19" t="s">
        <v>265</v>
      </c>
      <c r="N3802" s="16"/>
      <c r="O3802" s="16" t="s">
        <v>266</v>
      </c>
      <c r="P3802" s="16" t="str">
        <f>HYPERLINK("https://ceds.ed.gov/cedselementdetails.aspx?termid=26778")</f>
        <v>https://ceds.ed.gov/cedselementdetails.aspx?termid=26778</v>
      </c>
      <c r="Q3802" s="16">
        <v>71296</v>
      </c>
    </row>
    <row r="3803" spans="1:17" ht="129.6" x14ac:dyDescent="0.3">
      <c r="A3803" s="16" t="s">
        <v>7755</v>
      </c>
      <c r="B3803" s="16" t="s">
        <v>7756</v>
      </c>
      <c r="C3803" s="16"/>
      <c r="D3803" s="16" t="s">
        <v>7597</v>
      </c>
      <c r="E3803" s="16" t="s">
        <v>257</v>
      </c>
      <c r="F3803" s="16" t="s">
        <v>258</v>
      </c>
      <c r="G3803" s="16" t="s">
        <v>8307</v>
      </c>
      <c r="H3803" s="16"/>
      <c r="I3803" s="16"/>
      <c r="J3803" s="16"/>
      <c r="K3803" s="16"/>
      <c r="L3803" s="16"/>
      <c r="M3803" s="19" t="s">
        <v>260</v>
      </c>
      <c r="N3803" s="16"/>
      <c r="O3803" s="16" t="s">
        <v>261</v>
      </c>
      <c r="P3803" s="16" t="str">
        <f>HYPERLINK("https://ceds.ed.gov/cedselementdetails.aspx?termid=26779")</f>
        <v>https://ceds.ed.gov/cedselementdetails.aspx?termid=26779</v>
      </c>
      <c r="Q3803" s="16">
        <v>71297</v>
      </c>
    </row>
    <row r="3804" spans="1:17" ht="187.2" x14ac:dyDescent="0.3">
      <c r="A3804" s="16" t="s">
        <v>7755</v>
      </c>
      <c r="B3804" s="16" t="s">
        <v>7756</v>
      </c>
      <c r="C3804" s="16"/>
      <c r="D3804" s="16" t="s">
        <v>7597</v>
      </c>
      <c r="E3804" s="16" t="s">
        <v>5431</v>
      </c>
      <c r="F3804" s="16" t="s">
        <v>5432</v>
      </c>
      <c r="G3804" s="16" t="s">
        <v>32</v>
      </c>
      <c r="H3804" s="16" t="s">
        <v>5435</v>
      </c>
      <c r="I3804" s="16"/>
      <c r="J3804" s="16" t="s">
        <v>145</v>
      </c>
      <c r="K3804" s="16"/>
      <c r="L3804" s="16"/>
      <c r="M3804" s="19" t="s">
        <v>5433</v>
      </c>
      <c r="N3804" s="16"/>
      <c r="O3804" s="16" t="s">
        <v>5434</v>
      </c>
      <c r="P3804" s="16" t="str">
        <f>HYPERLINK("https://ceds.ed.gov/cedselementdetails.aspx?termid=26191")</f>
        <v>https://ceds.ed.gov/cedselementdetails.aspx?termid=26191</v>
      </c>
      <c r="Q3804" s="16">
        <v>71342</v>
      </c>
    </row>
    <row r="3805" spans="1:17" ht="86.4" x14ac:dyDescent="0.3">
      <c r="A3805" s="16" t="s">
        <v>7755</v>
      </c>
      <c r="B3805" s="16" t="s">
        <v>7756</v>
      </c>
      <c r="C3805" s="16"/>
      <c r="D3805" s="16" t="s">
        <v>7597</v>
      </c>
      <c r="E3805" s="16" t="s">
        <v>8142</v>
      </c>
      <c r="F3805" s="16" t="s">
        <v>8143</v>
      </c>
      <c r="G3805" s="16" t="s">
        <v>32</v>
      </c>
      <c r="H3805" s="16"/>
      <c r="I3805" s="16"/>
      <c r="J3805" s="16" t="s">
        <v>81</v>
      </c>
      <c r="K3805" s="16"/>
      <c r="L3805" s="16" t="s">
        <v>6671</v>
      </c>
      <c r="M3805" s="19" t="s">
        <v>6672</v>
      </c>
      <c r="N3805" s="16"/>
      <c r="O3805" s="16" t="s">
        <v>8144</v>
      </c>
      <c r="P3805" s="16" t="str">
        <f>HYPERLINK("https://ceds.ed.gov/cedselementdetails.aspx?termid=27459")</f>
        <v>https://ceds.ed.gov/cedselementdetails.aspx?termid=27459</v>
      </c>
      <c r="Q3805" s="16">
        <v>73424</v>
      </c>
    </row>
    <row r="3806" spans="1:17" ht="72" x14ac:dyDescent="0.3">
      <c r="A3806" s="16" t="s">
        <v>7755</v>
      </c>
      <c r="B3806" s="16" t="s">
        <v>7756</v>
      </c>
      <c r="C3806" s="16"/>
      <c r="D3806" s="16" t="s">
        <v>7597</v>
      </c>
      <c r="E3806" s="16" t="s">
        <v>5212</v>
      </c>
      <c r="F3806" s="16" t="s">
        <v>5213</v>
      </c>
      <c r="G3806" s="16" t="s">
        <v>8709</v>
      </c>
      <c r="H3806" s="16" t="s">
        <v>1927</v>
      </c>
      <c r="I3806" s="16"/>
      <c r="J3806" s="16"/>
      <c r="K3806" s="16"/>
      <c r="L3806" s="16"/>
      <c r="M3806" s="19" t="s">
        <v>5215</v>
      </c>
      <c r="N3806" s="16"/>
      <c r="O3806" s="16" t="s">
        <v>5216</v>
      </c>
      <c r="P3806" s="16" t="str">
        <f>HYPERLINK("https://ceds.ed.gov/cedselementdetails.aspx?termid=26178")</f>
        <v>https://ceds.ed.gov/cedselementdetails.aspx?termid=26178</v>
      </c>
      <c r="Q3806" s="16">
        <v>71574</v>
      </c>
    </row>
    <row r="3807" spans="1:17" ht="158.4" x14ac:dyDescent="0.3">
      <c r="A3807" s="16" t="s">
        <v>7755</v>
      </c>
      <c r="B3807" s="16" t="s">
        <v>7757</v>
      </c>
      <c r="C3807" s="16" t="s">
        <v>7625</v>
      </c>
      <c r="D3807" s="16" t="s">
        <v>7597</v>
      </c>
      <c r="E3807" s="16" t="s">
        <v>3990</v>
      </c>
      <c r="F3807" s="16" t="s">
        <v>3991</v>
      </c>
      <c r="G3807" s="16" t="s">
        <v>32</v>
      </c>
      <c r="H3807" s="16" t="s">
        <v>3994</v>
      </c>
      <c r="I3807" s="16"/>
      <c r="J3807" s="16" t="s">
        <v>7426</v>
      </c>
      <c r="K3807" s="16"/>
      <c r="L3807" s="16" t="s">
        <v>8047</v>
      </c>
      <c r="M3807" s="19" t="s">
        <v>3992</v>
      </c>
      <c r="N3807" s="16"/>
      <c r="O3807" s="16" t="s">
        <v>3993</v>
      </c>
      <c r="P3807" s="16" t="str">
        <f>HYPERLINK("https://ceds.ed.gov/cedselementdetails.aspx?termid=26115")</f>
        <v>https://ceds.ed.gov/cedselementdetails.aspx?termid=26115</v>
      </c>
      <c r="Q3807" s="16">
        <v>71298</v>
      </c>
    </row>
    <row r="3808" spans="1:17" ht="158.4" x14ac:dyDescent="0.3">
      <c r="A3808" s="16" t="s">
        <v>7755</v>
      </c>
      <c r="B3808" s="16" t="s">
        <v>7757</v>
      </c>
      <c r="C3808" s="16" t="s">
        <v>7625</v>
      </c>
      <c r="D3808" s="16" t="s">
        <v>7597</v>
      </c>
      <c r="E3808" s="16" t="s">
        <v>5328</v>
      </c>
      <c r="F3808" s="16" t="s">
        <v>5329</v>
      </c>
      <c r="G3808" s="16" t="s">
        <v>32</v>
      </c>
      <c r="H3808" s="16" t="s">
        <v>3994</v>
      </c>
      <c r="I3808" s="16"/>
      <c r="J3808" s="16" t="s">
        <v>7426</v>
      </c>
      <c r="K3808" s="16"/>
      <c r="L3808" s="16" t="s">
        <v>8053</v>
      </c>
      <c r="M3808" s="19" t="s">
        <v>5330</v>
      </c>
      <c r="N3808" s="16"/>
      <c r="O3808" s="16" t="s">
        <v>5331</v>
      </c>
      <c r="P3808" s="16" t="str">
        <f>HYPERLINK("https://ceds.ed.gov/cedselementdetails.aspx?termid=26184")</f>
        <v>https://ceds.ed.gov/cedselementdetails.aspx?termid=26184</v>
      </c>
      <c r="Q3808" s="16">
        <v>71300</v>
      </c>
    </row>
    <row r="3809" spans="1:17" ht="158.4" x14ac:dyDescent="0.3">
      <c r="A3809" s="16" t="s">
        <v>7755</v>
      </c>
      <c r="B3809" s="16" t="s">
        <v>7757</v>
      </c>
      <c r="C3809" s="16" t="s">
        <v>7625</v>
      </c>
      <c r="D3809" s="16" t="s">
        <v>7597</v>
      </c>
      <c r="E3809" s="16" t="s">
        <v>4893</v>
      </c>
      <c r="F3809" s="16" t="s">
        <v>4894</v>
      </c>
      <c r="G3809" s="16" t="s">
        <v>32</v>
      </c>
      <c r="H3809" s="16" t="s">
        <v>3994</v>
      </c>
      <c r="I3809" s="16"/>
      <c r="J3809" s="16" t="s">
        <v>7426</v>
      </c>
      <c r="K3809" s="16"/>
      <c r="L3809" s="16" t="s">
        <v>8053</v>
      </c>
      <c r="M3809" s="19" t="s">
        <v>4895</v>
      </c>
      <c r="N3809" s="16" t="s">
        <v>4896</v>
      </c>
      <c r="O3809" s="16" t="s">
        <v>4897</v>
      </c>
      <c r="P3809" s="16" t="str">
        <f>HYPERLINK("https://ceds.ed.gov/cedselementdetails.aspx?termid=26172")</f>
        <v>https://ceds.ed.gov/cedselementdetails.aspx?termid=26172</v>
      </c>
      <c r="Q3809" s="16">
        <v>71302</v>
      </c>
    </row>
    <row r="3810" spans="1:17" ht="129.6" x14ac:dyDescent="0.3">
      <c r="A3810" s="16" t="s">
        <v>7755</v>
      </c>
      <c r="B3810" s="16" t="s">
        <v>7757</v>
      </c>
      <c r="C3810" s="16" t="s">
        <v>7625</v>
      </c>
      <c r="D3810" s="16" t="s">
        <v>7597</v>
      </c>
      <c r="E3810" s="16" t="s">
        <v>4054</v>
      </c>
      <c r="F3810" s="16" t="s">
        <v>4055</v>
      </c>
      <c r="G3810" s="16" t="s">
        <v>32</v>
      </c>
      <c r="H3810" s="16" t="s">
        <v>4059</v>
      </c>
      <c r="I3810" s="16"/>
      <c r="J3810" s="16" t="s">
        <v>2697</v>
      </c>
      <c r="K3810" s="16"/>
      <c r="L3810" s="16" t="s">
        <v>8053</v>
      </c>
      <c r="M3810" s="19" t="s">
        <v>4057</v>
      </c>
      <c r="N3810" s="16"/>
      <c r="O3810" s="16" t="s">
        <v>4058</v>
      </c>
      <c r="P3810" s="16" t="str">
        <f>HYPERLINK("https://ceds.ed.gov/cedselementdetails.aspx?termid=26121")</f>
        <v>https://ceds.ed.gov/cedselementdetails.aspx?termid=26121</v>
      </c>
      <c r="Q3810" s="16">
        <v>72886</v>
      </c>
    </row>
    <row r="3811" spans="1:17" ht="86.4" x14ac:dyDescent="0.3">
      <c r="A3811" s="16" t="s">
        <v>7755</v>
      </c>
      <c r="B3811" s="16" t="s">
        <v>7757</v>
      </c>
      <c r="C3811" s="16" t="s">
        <v>7625</v>
      </c>
      <c r="D3811" s="16" t="s">
        <v>7597</v>
      </c>
      <c r="E3811" s="16" t="s">
        <v>5760</v>
      </c>
      <c r="F3811" s="16" t="s">
        <v>5761</v>
      </c>
      <c r="G3811" s="16" t="s">
        <v>32</v>
      </c>
      <c r="H3811" s="16" t="s">
        <v>5765</v>
      </c>
      <c r="I3811" s="16"/>
      <c r="J3811" s="16" t="s">
        <v>81</v>
      </c>
      <c r="K3811" s="16"/>
      <c r="L3811" s="16"/>
      <c r="M3811" s="19" t="s">
        <v>5762</v>
      </c>
      <c r="N3811" s="16" t="s">
        <v>5763</v>
      </c>
      <c r="O3811" s="16" t="s">
        <v>5764</v>
      </c>
      <c r="P3811" s="16" t="str">
        <f>HYPERLINK("https://ceds.ed.gov/cedselementdetails.aspx?termid=26212")</f>
        <v>https://ceds.ed.gov/cedselementdetails.aspx?termid=26212</v>
      </c>
      <c r="Q3811" s="16">
        <v>72887</v>
      </c>
    </row>
    <row r="3812" spans="1:17" ht="28.8" x14ac:dyDescent="0.3">
      <c r="A3812" s="16" t="s">
        <v>7755</v>
      </c>
      <c r="B3812" s="16" t="s">
        <v>7757</v>
      </c>
      <c r="C3812" s="16" t="s">
        <v>7626</v>
      </c>
      <c r="D3812" s="16" t="s">
        <v>7597</v>
      </c>
      <c r="E3812" s="16" t="s">
        <v>5631</v>
      </c>
      <c r="F3812" s="16" t="s">
        <v>5632</v>
      </c>
      <c r="G3812" s="16" t="s">
        <v>32</v>
      </c>
      <c r="H3812" s="16"/>
      <c r="I3812" s="16"/>
      <c r="J3812" s="16" t="s">
        <v>1266</v>
      </c>
      <c r="K3812" s="16"/>
      <c r="L3812" s="16" t="s">
        <v>5633</v>
      </c>
      <c r="M3812" s="19" t="s">
        <v>5634</v>
      </c>
      <c r="N3812" s="16"/>
      <c r="O3812" s="16" t="s">
        <v>5635</v>
      </c>
      <c r="P3812" s="16" t="str">
        <f>HYPERLINK("https://ceds.ed.gov/cedselementdetails.aspx?termid=27486")</f>
        <v>https://ceds.ed.gov/cedselementdetails.aspx?termid=27486</v>
      </c>
      <c r="Q3812" s="16">
        <v>73636</v>
      </c>
    </row>
    <row r="3813" spans="1:17" ht="28.8" x14ac:dyDescent="0.3">
      <c r="A3813" s="16" t="s">
        <v>7755</v>
      </c>
      <c r="B3813" s="16" t="s">
        <v>7757</v>
      </c>
      <c r="C3813" s="16" t="s">
        <v>7626</v>
      </c>
      <c r="D3813" s="16" t="s">
        <v>7597</v>
      </c>
      <c r="E3813" s="16" t="s">
        <v>5641</v>
      </c>
      <c r="F3813" s="16" t="s">
        <v>5642</v>
      </c>
      <c r="G3813" s="16" t="s">
        <v>32</v>
      </c>
      <c r="H3813" s="16"/>
      <c r="I3813" s="16"/>
      <c r="J3813" s="16" t="s">
        <v>1266</v>
      </c>
      <c r="K3813" s="16"/>
      <c r="L3813" s="16" t="s">
        <v>5643</v>
      </c>
      <c r="M3813" s="19" t="s">
        <v>5644</v>
      </c>
      <c r="N3813" s="16"/>
      <c r="O3813" s="16" t="s">
        <v>5645</v>
      </c>
      <c r="P3813" s="16" t="str">
        <f>HYPERLINK("https://ceds.ed.gov/cedselementdetails.aspx?termid=27487")</f>
        <v>https://ceds.ed.gov/cedselementdetails.aspx?termid=27487</v>
      </c>
      <c r="Q3813" s="16">
        <v>73652</v>
      </c>
    </row>
    <row r="3814" spans="1:17" ht="28.8" x14ac:dyDescent="0.3">
      <c r="A3814" s="16" t="s">
        <v>7755</v>
      </c>
      <c r="B3814" s="16" t="s">
        <v>7757</v>
      </c>
      <c r="C3814" s="16" t="s">
        <v>7626</v>
      </c>
      <c r="D3814" s="16" t="s">
        <v>7597</v>
      </c>
      <c r="E3814" s="16" t="s">
        <v>5636</v>
      </c>
      <c r="F3814" s="16" t="s">
        <v>5637</v>
      </c>
      <c r="G3814" s="16" t="s">
        <v>32</v>
      </c>
      <c r="H3814" s="16"/>
      <c r="I3814" s="16"/>
      <c r="J3814" s="16" t="s">
        <v>1266</v>
      </c>
      <c r="K3814" s="16"/>
      <c r="L3814" s="16" t="s">
        <v>5638</v>
      </c>
      <c r="M3814" s="19" t="s">
        <v>5639</v>
      </c>
      <c r="N3814" s="16"/>
      <c r="O3814" s="16" t="s">
        <v>5640</v>
      </c>
      <c r="P3814" s="16" t="str">
        <f>HYPERLINK("https://ceds.ed.gov/cedselementdetails.aspx?termid=27485")</f>
        <v>https://ceds.ed.gov/cedselementdetails.aspx?termid=27485</v>
      </c>
      <c r="Q3814" s="16">
        <v>73620</v>
      </c>
    </row>
    <row r="3815" spans="1:17" ht="129.6" x14ac:dyDescent="0.3">
      <c r="A3815" s="16" t="s">
        <v>7755</v>
      </c>
      <c r="B3815" s="16" t="s">
        <v>7757</v>
      </c>
      <c r="C3815" s="16" t="s">
        <v>7626</v>
      </c>
      <c r="D3815" s="16" t="s">
        <v>7597</v>
      </c>
      <c r="E3815" s="16" t="s">
        <v>5646</v>
      </c>
      <c r="F3815" s="16" t="s">
        <v>5647</v>
      </c>
      <c r="G3815" s="16" t="s">
        <v>32</v>
      </c>
      <c r="H3815" s="16" t="s">
        <v>4059</v>
      </c>
      <c r="I3815" s="16"/>
      <c r="J3815" s="16" t="s">
        <v>120</v>
      </c>
      <c r="K3815" s="16"/>
      <c r="L3815" s="16"/>
      <c r="M3815" s="19" t="s">
        <v>5648</v>
      </c>
      <c r="N3815" s="16"/>
      <c r="O3815" s="16" t="s">
        <v>5649</v>
      </c>
      <c r="P3815" s="16" t="str">
        <f>HYPERLINK("https://ceds.ed.gov/cedselementdetails.aspx?termid=26206")</f>
        <v>https://ceds.ed.gov/cedselementdetails.aspx?termid=26206</v>
      </c>
      <c r="Q3815" s="16">
        <v>72888</v>
      </c>
    </row>
    <row r="3816" spans="1:17" ht="115.2" x14ac:dyDescent="0.3">
      <c r="A3816" s="16" t="s">
        <v>7755</v>
      </c>
      <c r="B3816" s="16" t="s">
        <v>7757</v>
      </c>
      <c r="C3816" s="16" t="s">
        <v>7626</v>
      </c>
      <c r="D3816" s="16" t="s">
        <v>7597</v>
      </c>
      <c r="E3816" s="16" t="s">
        <v>5650</v>
      </c>
      <c r="F3816" s="16" t="s">
        <v>5651</v>
      </c>
      <c r="G3816" s="16" t="s">
        <v>8746</v>
      </c>
      <c r="H3816" s="16" t="s">
        <v>5654</v>
      </c>
      <c r="I3816" s="16"/>
      <c r="J3816" s="16" t="s">
        <v>81</v>
      </c>
      <c r="K3816" s="16"/>
      <c r="L3816" s="16"/>
      <c r="M3816" s="19" t="s">
        <v>5652</v>
      </c>
      <c r="N3816" s="16"/>
      <c r="O3816" s="16" t="s">
        <v>5653</v>
      </c>
      <c r="P3816" s="16" t="str">
        <f>HYPERLINK("https://ceds.ed.gov/cedselementdetails.aspx?termid=26627")</f>
        <v>https://ceds.ed.gov/cedselementdetails.aspx?termid=26627</v>
      </c>
      <c r="Q3816" s="16">
        <v>72889</v>
      </c>
    </row>
    <row r="3817" spans="1:17" ht="172.8" x14ac:dyDescent="0.3">
      <c r="A3817" s="16" t="s">
        <v>7755</v>
      </c>
      <c r="B3817" s="16" t="s">
        <v>7757</v>
      </c>
      <c r="C3817" s="16" t="s">
        <v>7627</v>
      </c>
      <c r="D3817" s="16" t="s">
        <v>7597</v>
      </c>
      <c r="E3817" s="16" t="s">
        <v>6937</v>
      </c>
      <c r="F3817" s="16" t="s">
        <v>6938</v>
      </c>
      <c r="G3817" s="16" t="s">
        <v>32</v>
      </c>
      <c r="H3817" s="16" t="s">
        <v>6936</v>
      </c>
      <c r="I3817" s="16"/>
      <c r="J3817" s="16" t="s">
        <v>120</v>
      </c>
      <c r="K3817" s="16"/>
      <c r="L3817" s="16" t="s">
        <v>7817</v>
      </c>
      <c r="M3817" s="19" t="s">
        <v>6939</v>
      </c>
      <c r="N3817" s="16"/>
      <c r="O3817" s="16" t="s">
        <v>6940</v>
      </c>
      <c r="P3817" s="16" t="str">
        <f>HYPERLINK("https://ceds.ed.gov/cedselementdetails.aspx?termid=26157")</f>
        <v>https://ceds.ed.gov/cedselementdetails.aspx?termid=26157</v>
      </c>
      <c r="Q3817" s="16">
        <v>71339</v>
      </c>
    </row>
    <row r="3818" spans="1:17" ht="158.4" x14ac:dyDescent="0.3">
      <c r="A3818" s="16" t="s">
        <v>7755</v>
      </c>
      <c r="B3818" s="16" t="s">
        <v>7757</v>
      </c>
      <c r="C3818" s="16" t="s">
        <v>7627</v>
      </c>
      <c r="D3818" s="16" t="s">
        <v>7597</v>
      </c>
      <c r="E3818" s="16" t="s">
        <v>6932</v>
      </c>
      <c r="F3818" s="16" t="s">
        <v>6933</v>
      </c>
      <c r="G3818" s="16" t="s">
        <v>9344</v>
      </c>
      <c r="H3818" s="16" t="s">
        <v>6936</v>
      </c>
      <c r="I3818" s="16"/>
      <c r="J3818" s="16"/>
      <c r="K3818" s="16"/>
      <c r="L3818" s="16"/>
      <c r="M3818" s="19" t="s">
        <v>6934</v>
      </c>
      <c r="N3818" s="16"/>
      <c r="O3818" s="16" t="s">
        <v>6935</v>
      </c>
      <c r="P3818" s="16" t="str">
        <f>HYPERLINK("https://ceds.ed.gov/cedselementdetails.aspx?termid=26163")</f>
        <v>https://ceds.ed.gov/cedselementdetails.aspx?termid=26163</v>
      </c>
      <c r="Q3818" s="16">
        <v>71340</v>
      </c>
    </row>
    <row r="3819" spans="1:17" ht="403.2" x14ac:dyDescent="0.3">
      <c r="A3819" s="16" t="s">
        <v>7755</v>
      </c>
      <c r="B3819" s="16" t="s">
        <v>7757</v>
      </c>
      <c r="C3819" s="16" t="s">
        <v>7627</v>
      </c>
      <c r="D3819" s="16" t="s">
        <v>7597</v>
      </c>
      <c r="E3819" s="16" t="s">
        <v>5756</v>
      </c>
      <c r="F3819" s="16" t="s">
        <v>5757</v>
      </c>
      <c r="G3819" s="16" t="s">
        <v>8252</v>
      </c>
      <c r="H3819" s="16"/>
      <c r="I3819" s="16"/>
      <c r="J3819" s="16"/>
      <c r="K3819" s="16"/>
      <c r="L3819" s="16"/>
      <c r="M3819" s="19" t="s">
        <v>5758</v>
      </c>
      <c r="N3819" s="16"/>
      <c r="O3819" s="16" t="s">
        <v>5759</v>
      </c>
      <c r="P3819" s="16" t="str">
        <f>HYPERLINK("https://ceds.ed.gov/cedselementdetails.aspx?termid=26611")</f>
        <v>https://ceds.ed.gov/cedselementdetails.aspx?termid=26611</v>
      </c>
      <c r="Q3819" s="16">
        <v>72220</v>
      </c>
    </row>
    <row r="3820" spans="1:17" ht="72" x14ac:dyDescent="0.3">
      <c r="A3820" s="16" t="s">
        <v>7755</v>
      </c>
      <c r="B3820" s="16" t="s">
        <v>7757</v>
      </c>
      <c r="C3820" s="16" t="s">
        <v>7627</v>
      </c>
      <c r="D3820" s="16" t="s">
        <v>7597</v>
      </c>
      <c r="E3820" s="16" t="s">
        <v>7508</v>
      </c>
      <c r="F3820" s="16" t="s">
        <v>7509</v>
      </c>
      <c r="G3820" s="16" t="s">
        <v>8251</v>
      </c>
      <c r="H3820" s="16"/>
      <c r="I3820" s="16"/>
      <c r="J3820" s="16"/>
      <c r="K3820" s="16"/>
      <c r="L3820" s="16"/>
      <c r="M3820" s="19" t="s">
        <v>7510</v>
      </c>
      <c r="N3820" s="16"/>
      <c r="O3820" s="16" t="s">
        <v>7511</v>
      </c>
      <c r="P3820" s="16" t="str">
        <f>HYPERLINK("https://ceds.ed.gov/cedselementdetails.aspx?termid=27951")</f>
        <v>https://ceds.ed.gov/cedselementdetails.aspx?termid=27951</v>
      </c>
      <c r="Q3820" s="16">
        <v>75470</v>
      </c>
    </row>
    <row r="3821" spans="1:17" ht="172.8" x14ac:dyDescent="0.3">
      <c r="A3821" s="16" t="s">
        <v>7755</v>
      </c>
      <c r="B3821" s="16" t="s">
        <v>7757</v>
      </c>
      <c r="C3821" s="16" t="s">
        <v>7603</v>
      </c>
      <c r="D3821" s="16" t="s">
        <v>7597</v>
      </c>
      <c r="E3821" s="16" t="s">
        <v>182</v>
      </c>
      <c r="F3821" s="16" t="s">
        <v>183</v>
      </c>
      <c r="G3821" s="16" t="s">
        <v>8293</v>
      </c>
      <c r="H3821" s="16" t="s">
        <v>186</v>
      </c>
      <c r="I3821" s="16"/>
      <c r="J3821" s="16" t="s">
        <v>81</v>
      </c>
      <c r="K3821" s="16"/>
      <c r="L3821" s="16"/>
      <c r="M3821" s="19" t="s">
        <v>184</v>
      </c>
      <c r="N3821" s="16"/>
      <c r="O3821" s="16" t="s">
        <v>185</v>
      </c>
      <c r="P3821" s="16" t="str">
        <f>HYPERLINK("https://ceds.ed.gov/cedselementdetails.aspx?termid=26358")</f>
        <v>https://ceds.ed.gov/cedselementdetails.aspx?termid=26358</v>
      </c>
      <c r="Q3821" s="16">
        <v>72890</v>
      </c>
    </row>
    <row r="3822" spans="1:17" ht="187.2" x14ac:dyDescent="0.3">
      <c r="A3822" s="16" t="s">
        <v>7755</v>
      </c>
      <c r="B3822" s="16" t="s">
        <v>7757</v>
      </c>
      <c r="C3822" s="16" t="s">
        <v>7603</v>
      </c>
      <c r="D3822" s="16" t="s">
        <v>7597</v>
      </c>
      <c r="E3822" s="16" t="s">
        <v>177</v>
      </c>
      <c r="F3822" s="16" t="s">
        <v>178</v>
      </c>
      <c r="G3822" s="16" t="s">
        <v>32</v>
      </c>
      <c r="H3822" s="16" t="s">
        <v>163</v>
      </c>
      <c r="I3822" s="16"/>
      <c r="J3822" s="16" t="s">
        <v>179</v>
      </c>
      <c r="K3822" s="16"/>
      <c r="L3822" s="16"/>
      <c r="M3822" s="19" t="s">
        <v>180</v>
      </c>
      <c r="N3822" s="16"/>
      <c r="O3822" s="16" t="s">
        <v>181</v>
      </c>
      <c r="P3822" s="16" t="str">
        <f>HYPERLINK("https://ceds.ed.gov/cedselementdetails.aspx?termid=26269")</f>
        <v>https://ceds.ed.gov/cedselementdetails.aspx?termid=26269</v>
      </c>
      <c r="Q3822" s="16">
        <v>71304</v>
      </c>
    </row>
    <row r="3823" spans="1:17" ht="187.2" x14ac:dyDescent="0.3">
      <c r="A3823" s="16" t="s">
        <v>7755</v>
      </c>
      <c r="B3823" s="16" t="s">
        <v>7757</v>
      </c>
      <c r="C3823" s="16" t="s">
        <v>7603</v>
      </c>
      <c r="D3823" s="16" t="s">
        <v>7597</v>
      </c>
      <c r="E3823" s="16" t="s">
        <v>158</v>
      </c>
      <c r="F3823" s="16" t="s">
        <v>159</v>
      </c>
      <c r="G3823" s="16" t="s">
        <v>32</v>
      </c>
      <c r="H3823" s="16" t="s">
        <v>163</v>
      </c>
      <c r="I3823" s="16"/>
      <c r="J3823" s="16" t="s">
        <v>145</v>
      </c>
      <c r="K3823" s="16"/>
      <c r="L3823" s="16"/>
      <c r="M3823" s="19" t="s">
        <v>161</v>
      </c>
      <c r="N3823" s="16"/>
      <c r="O3823" s="16" t="s">
        <v>162</v>
      </c>
      <c r="P3823" s="16" t="str">
        <f>HYPERLINK("https://ceds.ed.gov/cedselementdetails.aspx?termid=26019")</f>
        <v>https://ceds.ed.gov/cedselementdetails.aspx?termid=26019</v>
      </c>
      <c r="Q3823" s="16">
        <v>71306</v>
      </c>
    </row>
    <row r="3824" spans="1:17" ht="187.2" x14ac:dyDescent="0.3">
      <c r="A3824" s="16" t="s">
        <v>7755</v>
      </c>
      <c r="B3824" s="16" t="s">
        <v>7757</v>
      </c>
      <c r="C3824" s="16" t="s">
        <v>7603</v>
      </c>
      <c r="D3824" s="16" t="s">
        <v>7597</v>
      </c>
      <c r="E3824" s="16" t="s">
        <v>164</v>
      </c>
      <c r="F3824" s="16" t="s">
        <v>165</v>
      </c>
      <c r="G3824" s="16" t="s">
        <v>32</v>
      </c>
      <c r="H3824" s="16" t="s">
        <v>163</v>
      </c>
      <c r="I3824" s="16"/>
      <c r="J3824" s="16" t="s">
        <v>81</v>
      </c>
      <c r="K3824" s="16"/>
      <c r="L3824" s="16"/>
      <c r="M3824" s="19" t="s">
        <v>166</v>
      </c>
      <c r="N3824" s="16"/>
      <c r="O3824" s="16" t="s">
        <v>167</v>
      </c>
      <c r="P3824" s="16" t="str">
        <f>HYPERLINK("https://ceds.ed.gov/cedselementdetails.aspx?termid=26040")</f>
        <v>https://ceds.ed.gov/cedselementdetails.aspx?termid=26040</v>
      </c>
      <c r="Q3824" s="16">
        <v>71308</v>
      </c>
    </row>
    <row r="3825" spans="1:17" ht="409.6" x14ac:dyDescent="0.3">
      <c r="A3825" s="16" t="s">
        <v>7755</v>
      </c>
      <c r="B3825" s="16" t="s">
        <v>7757</v>
      </c>
      <c r="C3825" s="16" t="s">
        <v>7603</v>
      </c>
      <c r="D3825" s="16" t="s">
        <v>7597</v>
      </c>
      <c r="E3825" s="16" t="s">
        <v>6840</v>
      </c>
      <c r="F3825" s="16" t="s">
        <v>6841</v>
      </c>
      <c r="G3825" s="16" t="s">
        <v>8266</v>
      </c>
      <c r="H3825" s="16" t="s">
        <v>6844</v>
      </c>
      <c r="I3825" s="16"/>
      <c r="J3825" s="16"/>
      <c r="K3825" s="16"/>
      <c r="L3825" s="16"/>
      <c r="M3825" s="19" t="s">
        <v>6842</v>
      </c>
      <c r="N3825" s="16"/>
      <c r="O3825" s="16" t="s">
        <v>6843</v>
      </c>
      <c r="P3825" s="16" t="str">
        <f>HYPERLINK("https://ceds.ed.gov/cedselementdetails.aspx?termid=26267")</f>
        <v>https://ceds.ed.gov/cedselementdetails.aspx?termid=26267</v>
      </c>
      <c r="Q3825" s="16">
        <v>71312</v>
      </c>
    </row>
    <row r="3826" spans="1:17" ht="187.2" x14ac:dyDescent="0.3">
      <c r="A3826" s="16" t="s">
        <v>7755</v>
      </c>
      <c r="B3826" s="16" t="s">
        <v>7757</v>
      </c>
      <c r="C3826" s="16" t="s">
        <v>7603</v>
      </c>
      <c r="D3826" s="16" t="s">
        <v>7597</v>
      </c>
      <c r="E3826" s="16" t="s">
        <v>172</v>
      </c>
      <c r="F3826" s="16" t="s">
        <v>173</v>
      </c>
      <c r="G3826" s="16" t="s">
        <v>32</v>
      </c>
      <c r="H3826" s="16" t="s">
        <v>163</v>
      </c>
      <c r="I3826" s="16"/>
      <c r="J3826" s="16" t="s">
        <v>174</v>
      </c>
      <c r="K3826" s="16"/>
      <c r="L3826" s="16"/>
      <c r="M3826" s="19" t="s">
        <v>175</v>
      </c>
      <c r="N3826" s="16"/>
      <c r="O3826" s="16" t="s">
        <v>176</v>
      </c>
      <c r="P3826" s="16" t="str">
        <f>HYPERLINK("https://ceds.ed.gov/cedselementdetails.aspx?termid=26214")</f>
        <v>https://ceds.ed.gov/cedselementdetails.aspx?termid=26214</v>
      </c>
      <c r="Q3826" s="16">
        <v>71314</v>
      </c>
    </row>
    <row r="3827" spans="1:17" ht="187.2" x14ac:dyDescent="0.3">
      <c r="A3827" s="16" t="s">
        <v>7755</v>
      </c>
      <c r="B3827" s="16" t="s">
        <v>7757</v>
      </c>
      <c r="C3827" s="16" t="s">
        <v>7603</v>
      </c>
      <c r="D3827" s="16" t="s">
        <v>7597</v>
      </c>
      <c r="E3827" s="16" t="s">
        <v>168</v>
      </c>
      <c r="F3827" s="16" t="s">
        <v>169</v>
      </c>
      <c r="G3827" s="16" t="s">
        <v>32</v>
      </c>
      <c r="H3827" s="16" t="s">
        <v>163</v>
      </c>
      <c r="I3827" s="16"/>
      <c r="J3827" s="16" t="s">
        <v>81</v>
      </c>
      <c r="K3827" s="16"/>
      <c r="L3827" s="16"/>
      <c r="M3827" s="19" t="s">
        <v>170</v>
      </c>
      <c r="N3827" s="16"/>
      <c r="O3827" s="16" t="s">
        <v>171</v>
      </c>
      <c r="P3827" s="16" t="str">
        <f>HYPERLINK("https://ceds.ed.gov/cedselementdetails.aspx?termid=26190")</f>
        <v>https://ceds.ed.gov/cedselementdetails.aspx?termid=26190</v>
      </c>
      <c r="Q3827" s="16">
        <v>71310</v>
      </c>
    </row>
    <row r="3828" spans="1:17" ht="409.6" x14ac:dyDescent="0.3">
      <c r="A3828" s="16" t="s">
        <v>7755</v>
      </c>
      <c r="B3828" s="16" t="s">
        <v>7757</v>
      </c>
      <c r="C3828" s="16" t="s">
        <v>7603</v>
      </c>
      <c r="D3828" s="16" t="s">
        <v>7597</v>
      </c>
      <c r="E3828" s="16" t="s">
        <v>2483</v>
      </c>
      <c r="F3828" s="16" t="s">
        <v>2484</v>
      </c>
      <c r="G3828" s="16" t="s">
        <v>8454</v>
      </c>
      <c r="H3828" s="16" t="s">
        <v>2487</v>
      </c>
      <c r="I3828" s="16"/>
      <c r="J3828" s="16"/>
      <c r="K3828" s="16"/>
      <c r="L3828" s="16" t="s">
        <v>7915</v>
      </c>
      <c r="M3828" s="19" t="s">
        <v>2485</v>
      </c>
      <c r="N3828" s="16"/>
      <c r="O3828" s="16" t="s">
        <v>2486</v>
      </c>
      <c r="P3828" s="16" t="str">
        <f>HYPERLINK("https://ceds.ed.gov/cedselementdetails.aspx?termid=26050")</f>
        <v>https://ceds.ed.gov/cedselementdetails.aspx?termid=26050</v>
      </c>
      <c r="Q3828" s="16">
        <v>72138</v>
      </c>
    </row>
    <row r="3829" spans="1:17" ht="57.6" x14ac:dyDescent="0.3">
      <c r="A3829" s="16" t="s">
        <v>7755</v>
      </c>
      <c r="B3829" s="16" t="s">
        <v>7757</v>
      </c>
      <c r="C3829" s="16" t="s">
        <v>7603</v>
      </c>
      <c r="D3829" s="16" t="s">
        <v>7597</v>
      </c>
      <c r="E3829" s="16" t="s">
        <v>4902</v>
      </c>
      <c r="F3829" s="16" t="s">
        <v>4903</v>
      </c>
      <c r="G3829" s="16" t="s">
        <v>32</v>
      </c>
      <c r="H3829" s="16"/>
      <c r="I3829" s="16"/>
      <c r="J3829" s="16" t="s">
        <v>1130</v>
      </c>
      <c r="K3829" s="16"/>
      <c r="L3829" s="16"/>
      <c r="M3829" s="19" t="s">
        <v>4904</v>
      </c>
      <c r="N3829" s="16"/>
      <c r="O3829" s="16" t="s">
        <v>4902</v>
      </c>
      <c r="P3829" s="16" t="str">
        <f>HYPERLINK("https://ceds.ed.gov/cedselementdetails.aspx?termid=26599")</f>
        <v>https://ceds.ed.gov/cedselementdetails.aspx?termid=26599</v>
      </c>
      <c r="Q3829" s="16">
        <v>74266</v>
      </c>
    </row>
    <row r="3830" spans="1:17" ht="57.6" x14ac:dyDescent="0.3">
      <c r="A3830" s="16" t="s">
        <v>7755</v>
      </c>
      <c r="B3830" s="16" t="s">
        <v>7757</v>
      </c>
      <c r="C3830" s="16" t="s">
        <v>7603</v>
      </c>
      <c r="D3830" s="16" t="s">
        <v>7597</v>
      </c>
      <c r="E3830" s="16" t="s">
        <v>5285</v>
      </c>
      <c r="F3830" s="16" t="s">
        <v>5286</v>
      </c>
      <c r="G3830" s="16" t="s">
        <v>32</v>
      </c>
      <c r="H3830" s="16"/>
      <c r="I3830" s="16"/>
      <c r="J3830" s="16" t="s">
        <v>1130</v>
      </c>
      <c r="K3830" s="16"/>
      <c r="L3830" s="16"/>
      <c r="M3830" s="19" t="s">
        <v>5287</v>
      </c>
      <c r="N3830" s="16"/>
      <c r="O3830" s="16" t="s">
        <v>5285</v>
      </c>
      <c r="P3830" s="16" t="str">
        <f>HYPERLINK("https://ceds.ed.gov/cedselementdetails.aspx?termid=26600")</f>
        <v>https://ceds.ed.gov/cedselementdetails.aspx?termid=26600</v>
      </c>
      <c r="Q3830" s="16">
        <v>74289</v>
      </c>
    </row>
    <row r="3831" spans="1:17" ht="158.4" x14ac:dyDescent="0.3">
      <c r="A3831" s="16" t="s">
        <v>7755</v>
      </c>
      <c r="B3831" s="16" t="s">
        <v>7757</v>
      </c>
      <c r="C3831" s="16" t="s">
        <v>7603</v>
      </c>
      <c r="D3831" s="16" t="s">
        <v>7597</v>
      </c>
      <c r="E3831" s="16" t="s">
        <v>2493</v>
      </c>
      <c r="F3831" s="16" t="s">
        <v>2494</v>
      </c>
      <c r="G3831" s="16" t="s">
        <v>32</v>
      </c>
      <c r="H3831" s="16"/>
      <c r="I3831" s="16"/>
      <c r="J3831" s="16" t="s">
        <v>2495</v>
      </c>
      <c r="K3831" s="16"/>
      <c r="L3831" s="16"/>
      <c r="M3831" s="19" t="s">
        <v>2496</v>
      </c>
      <c r="N3831" s="16"/>
      <c r="O3831" s="16" t="s">
        <v>2497</v>
      </c>
      <c r="P3831" s="16" t="str">
        <f>HYPERLINK("https://ceds.ed.gov/cedselementdetails.aspx?termid=27176")</f>
        <v>https://ceds.ed.gov/cedselementdetails.aspx?termid=27176</v>
      </c>
      <c r="Q3831" s="16">
        <v>75216</v>
      </c>
    </row>
    <row r="3832" spans="1:17" ht="57.6" x14ac:dyDescent="0.3">
      <c r="A3832" s="16" t="s">
        <v>7755</v>
      </c>
      <c r="B3832" s="16" t="s">
        <v>7757</v>
      </c>
      <c r="C3832" s="16" t="s">
        <v>7603</v>
      </c>
      <c r="D3832" s="16" t="s">
        <v>7597</v>
      </c>
      <c r="E3832" s="16" t="s">
        <v>3175</v>
      </c>
      <c r="F3832" s="16" t="s">
        <v>3176</v>
      </c>
      <c r="G3832" s="16" t="s">
        <v>2987</v>
      </c>
      <c r="H3832" s="16"/>
      <c r="I3832" s="16"/>
      <c r="J3832" s="16"/>
      <c r="K3832" s="16"/>
      <c r="L3832" s="16"/>
      <c r="M3832" s="19" t="s">
        <v>3177</v>
      </c>
      <c r="N3832" s="16"/>
      <c r="O3832" s="16" t="s">
        <v>3178</v>
      </c>
      <c r="P3832" s="16" t="str">
        <f>HYPERLINK("https://ceds.ed.gov/cedselementdetails.aspx?termid=27905")</f>
        <v>https://ceds.ed.gov/cedselementdetails.aspx?termid=27905</v>
      </c>
      <c r="Q3832" s="16">
        <v>75217</v>
      </c>
    </row>
    <row r="3833" spans="1:17" ht="86.4" x14ac:dyDescent="0.3">
      <c r="A3833" s="16" t="s">
        <v>7755</v>
      </c>
      <c r="B3833" s="16" t="s">
        <v>7757</v>
      </c>
      <c r="C3833" s="16" t="s">
        <v>7604</v>
      </c>
      <c r="D3833" s="16" t="s">
        <v>7597</v>
      </c>
      <c r="E3833" s="16" t="s">
        <v>7062</v>
      </c>
      <c r="F3833" s="16" t="s">
        <v>7063</v>
      </c>
      <c r="G3833" s="16" t="s">
        <v>8849</v>
      </c>
      <c r="H3833" s="16" t="s">
        <v>64</v>
      </c>
      <c r="I3833" s="16"/>
      <c r="J3833" s="16" t="s">
        <v>2500</v>
      </c>
      <c r="K3833" s="16"/>
      <c r="L3833" s="16"/>
      <c r="M3833" s="19" t="s">
        <v>7064</v>
      </c>
      <c r="N3833" s="16"/>
      <c r="O3833" s="16" t="s">
        <v>7065</v>
      </c>
      <c r="P3833" s="16" t="str">
        <f>HYPERLINK("https://ceds.ed.gov/cedselementdetails.aspx?termid=26280")</f>
        <v>https://ceds.ed.gov/cedselementdetails.aspx?termid=26280</v>
      </c>
      <c r="Q3833" s="16">
        <v>71320</v>
      </c>
    </row>
    <row r="3834" spans="1:17" ht="72" x14ac:dyDescent="0.3">
      <c r="A3834" s="16" t="s">
        <v>7755</v>
      </c>
      <c r="B3834" s="16" t="s">
        <v>7757</v>
      </c>
      <c r="C3834" s="16" t="s">
        <v>7604</v>
      </c>
      <c r="D3834" s="16" t="s">
        <v>7597</v>
      </c>
      <c r="E3834" s="16" t="s">
        <v>5865</v>
      </c>
      <c r="F3834" s="16" t="s">
        <v>5866</v>
      </c>
      <c r="G3834" s="16" t="s">
        <v>22</v>
      </c>
      <c r="H3834" s="16" t="s">
        <v>64</v>
      </c>
      <c r="I3834" s="16"/>
      <c r="J3834" s="16"/>
      <c r="K3834" s="16"/>
      <c r="L3834" s="16"/>
      <c r="M3834" s="19" t="s">
        <v>5867</v>
      </c>
      <c r="N3834" s="16"/>
      <c r="O3834" s="16" t="s">
        <v>5868</v>
      </c>
      <c r="P3834" s="16" t="str">
        <f>HYPERLINK("https://ceds.ed.gov/cedselementdetails.aspx?termid=26219")</f>
        <v>https://ceds.ed.gov/cedselementdetails.aspx?termid=26219</v>
      </c>
      <c r="Q3834" s="16">
        <v>71321</v>
      </c>
    </row>
    <row r="3835" spans="1:17" ht="72" x14ac:dyDescent="0.3">
      <c r="A3835" s="16" t="s">
        <v>7755</v>
      </c>
      <c r="B3835" s="16" t="s">
        <v>7757</v>
      </c>
      <c r="C3835" s="16" t="s">
        <v>7604</v>
      </c>
      <c r="D3835" s="16" t="s">
        <v>7597</v>
      </c>
      <c r="E3835" s="16" t="s">
        <v>7053</v>
      </c>
      <c r="F3835" s="16" t="s">
        <v>7054</v>
      </c>
      <c r="G3835" s="16" t="s">
        <v>32</v>
      </c>
      <c r="H3835" s="16" t="s">
        <v>64</v>
      </c>
      <c r="I3835" s="16"/>
      <c r="J3835" s="16" t="s">
        <v>7055</v>
      </c>
      <c r="K3835" s="16"/>
      <c r="L3835" s="16"/>
      <c r="M3835" s="19" t="s">
        <v>7056</v>
      </c>
      <c r="N3835" s="16"/>
      <c r="O3835" s="16" t="s">
        <v>7057</v>
      </c>
      <c r="P3835" s="16" t="str">
        <f>HYPERLINK("https://ceds.ed.gov/cedselementdetails.aspx?termid=26279")</f>
        <v>https://ceds.ed.gov/cedselementdetails.aspx?termid=26279</v>
      </c>
      <c r="Q3835" s="16">
        <v>71319</v>
      </c>
    </row>
    <row r="3836" spans="1:17" ht="57.6" x14ac:dyDescent="0.3">
      <c r="A3836" s="16" t="s">
        <v>7755</v>
      </c>
      <c r="B3836" s="16" t="s">
        <v>7757</v>
      </c>
      <c r="C3836" s="16" t="s">
        <v>7604</v>
      </c>
      <c r="D3836" s="16" t="s">
        <v>7597</v>
      </c>
      <c r="E3836" s="16" t="s">
        <v>3175</v>
      </c>
      <c r="F3836" s="16" t="s">
        <v>3176</v>
      </c>
      <c r="G3836" s="16" t="s">
        <v>2987</v>
      </c>
      <c r="H3836" s="16"/>
      <c r="I3836" s="16"/>
      <c r="J3836" s="16"/>
      <c r="K3836" s="16"/>
      <c r="L3836" s="16"/>
      <c r="M3836" s="19" t="s">
        <v>3177</v>
      </c>
      <c r="N3836" s="16"/>
      <c r="O3836" s="16" t="s">
        <v>3178</v>
      </c>
      <c r="P3836" s="16" t="str">
        <f>HYPERLINK("https://ceds.ed.gov/cedselementdetails.aspx?termid=27905")</f>
        <v>https://ceds.ed.gov/cedselementdetails.aspx?termid=27905</v>
      </c>
      <c r="Q3836" s="16">
        <v>75219</v>
      </c>
    </row>
    <row r="3837" spans="1:17" ht="57.6" x14ac:dyDescent="0.3">
      <c r="A3837" s="16" t="s">
        <v>7755</v>
      </c>
      <c r="B3837" s="16" t="s">
        <v>7757</v>
      </c>
      <c r="C3837" s="16" t="s">
        <v>7604</v>
      </c>
      <c r="D3837" s="16" t="s">
        <v>7597</v>
      </c>
      <c r="E3837" s="16" t="s">
        <v>7058</v>
      </c>
      <c r="F3837" s="16" t="s">
        <v>7059</v>
      </c>
      <c r="G3837" s="16" t="s">
        <v>8848</v>
      </c>
      <c r="H3837" s="16"/>
      <c r="I3837" s="16"/>
      <c r="J3837" s="16"/>
      <c r="K3837" s="16"/>
      <c r="L3837" s="16"/>
      <c r="M3837" s="19" t="s">
        <v>7060</v>
      </c>
      <c r="N3837" s="16"/>
      <c r="O3837" s="16" t="s">
        <v>7061</v>
      </c>
      <c r="P3837" s="16" t="str">
        <f>HYPERLINK("https://ceds.ed.gov/cedselementdetails.aspx?termid=27911")</f>
        <v>https://ceds.ed.gov/cedselementdetails.aspx?termid=27911</v>
      </c>
      <c r="Q3837" s="16">
        <v>75220</v>
      </c>
    </row>
    <row r="3838" spans="1:17" ht="72" x14ac:dyDescent="0.3">
      <c r="A3838" s="16" t="s">
        <v>7755</v>
      </c>
      <c r="B3838" s="16" t="s">
        <v>7757</v>
      </c>
      <c r="C3838" s="16" t="s">
        <v>7605</v>
      </c>
      <c r="D3838" s="16" t="s">
        <v>7597</v>
      </c>
      <c r="E3838" s="16" t="s">
        <v>3412</v>
      </c>
      <c r="F3838" s="16" t="s">
        <v>3413</v>
      </c>
      <c r="G3838" s="16" t="s">
        <v>9330</v>
      </c>
      <c r="H3838" s="16" t="s">
        <v>64</v>
      </c>
      <c r="I3838" s="16"/>
      <c r="J3838" s="16"/>
      <c r="K3838" s="16"/>
      <c r="L3838" s="16"/>
      <c r="M3838" s="19" t="s">
        <v>3414</v>
      </c>
      <c r="N3838" s="16" t="s">
        <v>3415</v>
      </c>
      <c r="O3838" s="16" t="s">
        <v>3416</v>
      </c>
      <c r="P3838" s="16" t="str">
        <f>HYPERLINK("https://ceds.ed.gov/cedselementdetails.aspx?termid=26089")</f>
        <v>https://ceds.ed.gov/cedselementdetails.aspx?termid=26089</v>
      </c>
      <c r="Q3838" s="16">
        <v>71317</v>
      </c>
    </row>
    <row r="3839" spans="1:17" ht="72" x14ac:dyDescent="0.3">
      <c r="A3839" s="16" t="s">
        <v>7755</v>
      </c>
      <c r="B3839" s="16" t="s">
        <v>7757</v>
      </c>
      <c r="C3839" s="16" t="s">
        <v>7605</v>
      </c>
      <c r="D3839" s="16" t="s">
        <v>7597</v>
      </c>
      <c r="E3839" s="16" t="s">
        <v>3406</v>
      </c>
      <c r="F3839" s="16" t="s">
        <v>3407</v>
      </c>
      <c r="G3839" s="16" t="s">
        <v>32</v>
      </c>
      <c r="H3839" s="16" t="s">
        <v>64</v>
      </c>
      <c r="I3839" s="16"/>
      <c r="J3839" s="16" t="s">
        <v>3408</v>
      </c>
      <c r="K3839" s="16"/>
      <c r="L3839" s="16"/>
      <c r="M3839" s="19" t="s">
        <v>3409</v>
      </c>
      <c r="N3839" s="16" t="s">
        <v>3410</v>
      </c>
      <c r="O3839" s="16" t="s">
        <v>3411</v>
      </c>
      <c r="P3839" s="16" t="str">
        <f>HYPERLINK("https://ceds.ed.gov/cedselementdetails.aspx?termid=26088")</f>
        <v>https://ceds.ed.gov/cedselementdetails.aspx?termid=26088</v>
      </c>
      <c r="Q3839" s="16">
        <v>71315</v>
      </c>
    </row>
    <row r="3840" spans="1:17" ht="57.6" x14ac:dyDescent="0.3">
      <c r="A3840" s="16" t="s">
        <v>7755</v>
      </c>
      <c r="B3840" s="16" t="s">
        <v>7757</v>
      </c>
      <c r="C3840" s="16" t="s">
        <v>7605</v>
      </c>
      <c r="D3840" s="16" t="s">
        <v>7597</v>
      </c>
      <c r="E3840" s="16" t="s">
        <v>3175</v>
      </c>
      <c r="F3840" s="16" t="s">
        <v>3176</v>
      </c>
      <c r="G3840" s="16" t="s">
        <v>2987</v>
      </c>
      <c r="H3840" s="16"/>
      <c r="I3840" s="16"/>
      <c r="J3840" s="16"/>
      <c r="K3840" s="16"/>
      <c r="L3840" s="16"/>
      <c r="M3840" s="19" t="s">
        <v>3177</v>
      </c>
      <c r="N3840" s="16"/>
      <c r="O3840" s="16" t="s">
        <v>3178</v>
      </c>
      <c r="P3840" s="16" t="str">
        <f>HYPERLINK("https://ceds.ed.gov/cedselementdetails.aspx?termid=27905")</f>
        <v>https://ceds.ed.gov/cedselementdetails.aspx?termid=27905</v>
      </c>
      <c r="Q3840" s="16">
        <v>75218</v>
      </c>
    </row>
    <row r="3841" spans="1:17" ht="201.6" x14ac:dyDescent="0.3">
      <c r="A3841" s="16" t="s">
        <v>7755</v>
      </c>
      <c r="B3841" s="16" t="s">
        <v>7757</v>
      </c>
      <c r="C3841" s="16" t="s">
        <v>7628</v>
      </c>
      <c r="D3841" s="16" t="s">
        <v>7597</v>
      </c>
      <c r="E3841" s="16" t="s">
        <v>1507</v>
      </c>
      <c r="F3841" s="16" t="s">
        <v>1508</v>
      </c>
      <c r="G3841" s="16" t="s">
        <v>32</v>
      </c>
      <c r="H3841" s="16" t="s">
        <v>1510</v>
      </c>
      <c r="I3841" s="16"/>
      <c r="J3841" s="16" t="s">
        <v>106</v>
      </c>
      <c r="K3841" s="16"/>
      <c r="L3841" s="16"/>
      <c r="M3841" s="19" t="s">
        <v>1509</v>
      </c>
      <c r="N3841" s="16"/>
      <c r="O3841" s="16" t="s">
        <v>1507</v>
      </c>
      <c r="P3841" s="16" t="str">
        <f>HYPERLINK("https://ceds.ed.gov/cedselementdetails.aspx?termid=26033")</f>
        <v>https://ceds.ed.gov/cedselementdetails.aspx?termid=26033</v>
      </c>
      <c r="Q3841" s="16">
        <v>71322</v>
      </c>
    </row>
    <row r="3842" spans="1:17" ht="216" x14ac:dyDescent="0.3">
      <c r="A3842" s="16" t="s">
        <v>7755</v>
      </c>
      <c r="B3842" s="16" t="s">
        <v>7757</v>
      </c>
      <c r="C3842" s="16" t="s">
        <v>7628</v>
      </c>
      <c r="D3842" s="16" t="s">
        <v>7597</v>
      </c>
      <c r="E3842" s="16" t="s">
        <v>6662</v>
      </c>
      <c r="F3842" s="16" t="s">
        <v>6663</v>
      </c>
      <c r="G3842" s="16" t="s">
        <v>8831</v>
      </c>
      <c r="H3842" s="16" t="s">
        <v>6666</v>
      </c>
      <c r="I3842" s="16"/>
      <c r="J3842" s="16"/>
      <c r="K3842" s="16"/>
      <c r="L3842" s="16" t="s">
        <v>6664</v>
      </c>
      <c r="M3842" s="19" t="s">
        <v>6665</v>
      </c>
      <c r="N3842" s="16"/>
      <c r="O3842" s="16" t="s">
        <v>6662</v>
      </c>
      <c r="P3842" s="16" t="str">
        <f>HYPERLINK("https://ceds.ed.gov/cedselementdetails.aspx?termid=26255")</f>
        <v>https://ceds.ed.gov/cedselementdetails.aspx?termid=26255</v>
      </c>
      <c r="Q3842" s="16">
        <v>71323</v>
      </c>
    </row>
    <row r="3843" spans="1:17" ht="201.6" x14ac:dyDescent="0.3">
      <c r="A3843" s="16" t="s">
        <v>7755</v>
      </c>
      <c r="B3843" s="16" t="s">
        <v>7757</v>
      </c>
      <c r="C3843" s="16" t="s">
        <v>7628</v>
      </c>
      <c r="D3843" s="16" t="s">
        <v>7597</v>
      </c>
      <c r="E3843" s="16" t="s">
        <v>348</v>
      </c>
      <c r="F3843" s="16" t="s">
        <v>349</v>
      </c>
      <c r="G3843" s="16" t="s">
        <v>8319</v>
      </c>
      <c r="H3843" s="16" t="s">
        <v>353</v>
      </c>
      <c r="I3843" s="16"/>
      <c r="J3843" s="16"/>
      <c r="K3843" s="16"/>
      <c r="L3843" s="16" t="s">
        <v>7828</v>
      </c>
      <c r="M3843" s="19" t="s">
        <v>350</v>
      </c>
      <c r="N3843" s="16" t="s">
        <v>351</v>
      </c>
      <c r="O3843" s="16" t="s">
        <v>352</v>
      </c>
      <c r="P3843" s="16" t="str">
        <f>HYPERLINK("https://ceds.ed.gov/cedselementdetails.aspx?termid=26655")</f>
        <v>https://ceds.ed.gov/cedselementdetails.aspx?termid=26655</v>
      </c>
      <c r="Q3843" s="16">
        <v>71324</v>
      </c>
    </row>
    <row r="3844" spans="1:17" ht="201.6" x14ac:dyDescent="0.3">
      <c r="A3844" s="16" t="s">
        <v>7755</v>
      </c>
      <c r="B3844" s="16" t="s">
        <v>7757</v>
      </c>
      <c r="C3844" s="16" t="s">
        <v>7628</v>
      </c>
      <c r="D3844" s="16" t="s">
        <v>7597</v>
      </c>
      <c r="E3844" s="16" t="s">
        <v>373</v>
      </c>
      <c r="F3844" s="16" t="s">
        <v>374</v>
      </c>
      <c r="G3844" s="16" t="s">
        <v>8319</v>
      </c>
      <c r="H3844" s="16" t="s">
        <v>353</v>
      </c>
      <c r="I3844" s="16"/>
      <c r="J3844" s="16"/>
      <c r="K3844" s="16"/>
      <c r="L3844" s="16" t="s">
        <v>7828</v>
      </c>
      <c r="M3844" s="19" t="s">
        <v>375</v>
      </c>
      <c r="N3844" s="16" t="s">
        <v>376</v>
      </c>
      <c r="O3844" s="16" t="s">
        <v>373</v>
      </c>
      <c r="P3844" s="16" t="str">
        <f>HYPERLINK("https://ceds.ed.gov/cedselementdetails.aspx?termid=26656")</f>
        <v>https://ceds.ed.gov/cedselementdetails.aspx?termid=26656</v>
      </c>
      <c r="Q3844" s="16">
        <v>71325</v>
      </c>
    </row>
    <row r="3845" spans="1:17" ht="201.6" x14ac:dyDescent="0.3">
      <c r="A3845" s="16" t="s">
        <v>7755</v>
      </c>
      <c r="B3845" s="16" t="s">
        <v>7757</v>
      </c>
      <c r="C3845" s="16" t="s">
        <v>7628</v>
      </c>
      <c r="D3845" s="16" t="s">
        <v>7597</v>
      </c>
      <c r="E3845" s="16" t="s">
        <v>1517</v>
      </c>
      <c r="F3845" s="16" t="s">
        <v>1518</v>
      </c>
      <c r="G3845" s="16" t="s">
        <v>8319</v>
      </c>
      <c r="H3845" s="16" t="s">
        <v>353</v>
      </c>
      <c r="I3845" s="16"/>
      <c r="J3845" s="16"/>
      <c r="K3845" s="16"/>
      <c r="L3845" s="16" t="s">
        <v>7828</v>
      </c>
      <c r="M3845" s="19" t="s">
        <v>1519</v>
      </c>
      <c r="N3845" s="16" t="s">
        <v>1520</v>
      </c>
      <c r="O3845" s="16" t="s">
        <v>1521</v>
      </c>
      <c r="P3845" s="16" t="str">
        <f>HYPERLINK("https://ceds.ed.gov/cedselementdetails.aspx?termid=26657")</f>
        <v>https://ceds.ed.gov/cedselementdetails.aspx?termid=26657</v>
      </c>
      <c r="Q3845" s="16">
        <v>71326</v>
      </c>
    </row>
    <row r="3846" spans="1:17" ht="201.6" x14ac:dyDescent="0.3">
      <c r="A3846" s="16" t="s">
        <v>7755</v>
      </c>
      <c r="B3846" s="16" t="s">
        <v>7757</v>
      </c>
      <c r="C3846" s="16" t="s">
        <v>7628</v>
      </c>
      <c r="D3846" s="16" t="s">
        <v>7597</v>
      </c>
      <c r="E3846" s="16" t="s">
        <v>5454</v>
      </c>
      <c r="F3846" s="16" t="s">
        <v>5455</v>
      </c>
      <c r="G3846" s="16" t="s">
        <v>8319</v>
      </c>
      <c r="H3846" s="16" t="s">
        <v>353</v>
      </c>
      <c r="I3846" s="16"/>
      <c r="J3846" s="16"/>
      <c r="K3846" s="16"/>
      <c r="L3846" s="16" t="s">
        <v>7828</v>
      </c>
      <c r="M3846" s="19" t="s">
        <v>5456</v>
      </c>
      <c r="N3846" s="16" t="s">
        <v>5457</v>
      </c>
      <c r="O3846" s="16" t="s">
        <v>5458</v>
      </c>
      <c r="P3846" s="16" t="str">
        <f>HYPERLINK("https://ceds.ed.gov/cedselementdetails.aspx?termid=26658")</f>
        <v>https://ceds.ed.gov/cedselementdetails.aspx?termid=26658</v>
      </c>
      <c r="Q3846" s="16">
        <v>71327</v>
      </c>
    </row>
    <row r="3847" spans="1:17" ht="201.6" x14ac:dyDescent="0.3">
      <c r="A3847" s="16" t="s">
        <v>7755</v>
      </c>
      <c r="B3847" s="16" t="s">
        <v>7757</v>
      </c>
      <c r="C3847" s="16" t="s">
        <v>7628</v>
      </c>
      <c r="D3847" s="16" t="s">
        <v>7597</v>
      </c>
      <c r="E3847" s="16" t="s">
        <v>7282</v>
      </c>
      <c r="F3847" s="16" t="s">
        <v>7283</v>
      </c>
      <c r="G3847" s="16" t="s">
        <v>8319</v>
      </c>
      <c r="H3847" s="16" t="s">
        <v>353</v>
      </c>
      <c r="I3847" s="16"/>
      <c r="J3847" s="16"/>
      <c r="K3847" s="16"/>
      <c r="L3847" s="16" t="s">
        <v>7828</v>
      </c>
      <c r="M3847" s="19" t="s">
        <v>7284</v>
      </c>
      <c r="N3847" s="16" t="s">
        <v>7285</v>
      </c>
      <c r="O3847" s="16" t="s">
        <v>7282</v>
      </c>
      <c r="P3847" s="16" t="str">
        <f>HYPERLINK("https://ceds.ed.gov/cedselementdetails.aspx?termid=26659")</f>
        <v>https://ceds.ed.gov/cedselementdetails.aspx?termid=26659</v>
      </c>
      <c r="Q3847" s="16">
        <v>71328</v>
      </c>
    </row>
    <row r="3848" spans="1:17" ht="201.6" x14ac:dyDescent="0.3">
      <c r="A3848" s="16" t="s">
        <v>7755</v>
      </c>
      <c r="B3848" s="16" t="s">
        <v>7757</v>
      </c>
      <c r="C3848" s="16" t="s">
        <v>7628</v>
      </c>
      <c r="D3848" s="16" t="s">
        <v>7597</v>
      </c>
      <c r="E3848" s="16" t="s">
        <v>4283</v>
      </c>
      <c r="F3848" s="16" t="s">
        <v>4284</v>
      </c>
      <c r="G3848" s="16" t="s">
        <v>8319</v>
      </c>
      <c r="H3848" s="16" t="s">
        <v>353</v>
      </c>
      <c r="I3848" s="16"/>
      <c r="J3848" s="16"/>
      <c r="K3848" s="16"/>
      <c r="L3848" s="16" t="s">
        <v>7828</v>
      </c>
      <c r="M3848" s="19" t="s">
        <v>4285</v>
      </c>
      <c r="N3848" s="16"/>
      <c r="O3848" s="16" t="s">
        <v>4286</v>
      </c>
      <c r="P3848" s="16" t="str">
        <f>HYPERLINK("https://ceds.ed.gov/cedselementdetails.aspx?termid=26144")</f>
        <v>https://ceds.ed.gov/cedselementdetails.aspx?termid=26144</v>
      </c>
      <c r="Q3848" s="16">
        <v>71329</v>
      </c>
    </row>
    <row r="3849" spans="1:17" ht="100.8" x14ac:dyDescent="0.3">
      <c r="A3849" s="16" t="s">
        <v>7755</v>
      </c>
      <c r="B3849" s="16" t="s">
        <v>7757</v>
      </c>
      <c r="C3849" s="16" t="s">
        <v>7628</v>
      </c>
      <c r="D3849" s="16" t="s">
        <v>7597</v>
      </c>
      <c r="E3849" s="16" t="s">
        <v>5395</v>
      </c>
      <c r="F3849" s="16" t="s">
        <v>8092</v>
      </c>
      <c r="G3849" s="16" t="s">
        <v>8728</v>
      </c>
      <c r="H3849" s="16"/>
      <c r="I3849" s="16"/>
      <c r="J3849" s="16"/>
      <c r="K3849" s="16"/>
      <c r="L3849" s="16"/>
      <c r="M3849" s="19" t="s">
        <v>5396</v>
      </c>
      <c r="N3849" s="16"/>
      <c r="O3849" s="16" t="s">
        <v>5397</v>
      </c>
      <c r="P3849" s="16" t="str">
        <f>HYPERLINK("https://ceds.ed.gov/cedselementdetails.aspx?termid=27621")</f>
        <v>https://ceds.ed.gov/cedselementdetails.aspx?termid=27621</v>
      </c>
      <c r="Q3849" s="16">
        <v>74311</v>
      </c>
    </row>
    <row r="3850" spans="1:17" ht="72" x14ac:dyDescent="0.3">
      <c r="A3850" s="16" t="s">
        <v>7755</v>
      </c>
      <c r="B3850" s="16" t="s">
        <v>7757</v>
      </c>
      <c r="C3850" s="16" t="s">
        <v>7628</v>
      </c>
      <c r="D3850" s="16" t="s">
        <v>7597</v>
      </c>
      <c r="E3850" s="16" t="s">
        <v>3038</v>
      </c>
      <c r="F3850" s="16" t="s">
        <v>3039</v>
      </c>
      <c r="G3850" s="16" t="s">
        <v>22</v>
      </c>
      <c r="H3850" s="16"/>
      <c r="I3850" s="16"/>
      <c r="J3850" s="16"/>
      <c r="K3850" s="16"/>
      <c r="L3850" s="16" t="s">
        <v>3040</v>
      </c>
      <c r="M3850" s="19" t="s">
        <v>3041</v>
      </c>
      <c r="N3850" s="16"/>
      <c r="O3850" s="16" t="s">
        <v>3042</v>
      </c>
      <c r="P3850" s="16" t="str">
        <f>HYPERLINK("https://ceds.ed.gov/cedselementdetails.aspx?termid=26974")</f>
        <v>https://ceds.ed.gov/cedselementdetails.aspx?termid=26974</v>
      </c>
      <c r="Q3850" s="16">
        <v>75157</v>
      </c>
    </row>
    <row r="3851" spans="1:17" ht="409.6" x14ac:dyDescent="0.3">
      <c r="A3851" s="16" t="s">
        <v>7755</v>
      </c>
      <c r="B3851" s="16" t="s">
        <v>7757</v>
      </c>
      <c r="C3851" s="16" t="s">
        <v>7628</v>
      </c>
      <c r="D3851" s="16" t="s">
        <v>7597</v>
      </c>
      <c r="E3851" s="16" t="s">
        <v>2488</v>
      </c>
      <c r="F3851" s="16" t="s">
        <v>2489</v>
      </c>
      <c r="G3851" s="16" t="s">
        <v>8454</v>
      </c>
      <c r="H3851" s="16" t="s">
        <v>2492</v>
      </c>
      <c r="I3851" s="16"/>
      <c r="J3851" s="16"/>
      <c r="K3851" s="16"/>
      <c r="L3851" s="16" t="s">
        <v>7915</v>
      </c>
      <c r="M3851" s="19" t="s">
        <v>2490</v>
      </c>
      <c r="N3851" s="16"/>
      <c r="O3851" s="16" t="s">
        <v>2491</v>
      </c>
      <c r="P3851" s="16" t="str">
        <f>HYPERLINK("https://ceds.ed.gov/cedselementdetails.aspx?termid=26051")</f>
        <v>https://ceds.ed.gov/cedselementdetails.aspx?termid=26051</v>
      </c>
      <c r="Q3851" s="16">
        <v>75221</v>
      </c>
    </row>
    <row r="3852" spans="1:17" ht="57.6" x14ac:dyDescent="0.3">
      <c r="A3852" s="16" t="s">
        <v>7755</v>
      </c>
      <c r="B3852" s="16" t="s">
        <v>7757</v>
      </c>
      <c r="C3852" s="16" t="s">
        <v>7628</v>
      </c>
      <c r="D3852" s="16" t="s">
        <v>7597</v>
      </c>
      <c r="E3852" s="16" t="s">
        <v>7181</v>
      </c>
      <c r="F3852" s="16" t="s">
        <v>7182</v>
      </c>
      <c r="G3852" s="16" t="s">
        <v>7313</v>
      </c>
      <c r="H3852" s="16"/>
      <c r="I3852" s="16"/>
      <c r="J3852" s="16"/>
      <c r="K3852" s="16"/>
      <c r="L3852" s="16"/>
      <c r="M3852" s="19" t="s">
        <v>7183</v>
      </c>
      <c r="N3852" s="16"/>
      <c r="O3852" s="16" t="s">
        <v>7184</v>
      </c>
      <c r="P3852" s="16" t="str">
        <f>HYPERLINK("https://ceds.ed.gov/cedselementdetails.aspx?termid=27638")</f>
        <v>https://ceds.ed.gov/cedselementdetails.aspx?termid=27638</v>
      </c>
      <c r="Q3852" s="16">
        <v>75222</v>
      </c>
    </row>
    <row r="3853" spans="1:17" ht="57.6" x14ac:dyDescent="0.3">
      <c r="A3853" s="16" t="s">
        <v>7755</v>
      </c>
      <c r="B3853" s="16" t="s">
        <v>7757</v>
      </c>
      <c r="C3853" s="16" t="s">
        <v>7628</v>
      </c>
      <c r="D3853" s="16" t="s">
        <v>7597</v>
      </c>
      <c r="E3853" s="16" t="s">
        <v>7418</v>
      </c>
      <c r="F3853" s="16" t="s">
        <v>7419</v>
      </c>
      <c r="G3853" s="16" t="s">
        <v>22</v>
      </c>
      <c r="H3853" s="16"/>
      <c r="I3853" s="16"/>
      <c r="J3853" s="16"/>
      <c r="K3853" s="16"/>
      <c r="L3853" s="16"/>
      <c r="M3853" s="19" t="s">
        <v>7420</v>
      </c>
      <c r="N3853" s="16"/>
      <c r="O3853" s="16" t="s">
        <v>7421</v>
      </c>
      <c r="P3853" s="16" t="str">
        <f>HYPERLINK("https://ceds.ed.gov/cedselementdetails.aspx?termid=27932")</f>
        <v>https://ceds.ed.gov/cedselementdetails.aspx?termid=27932</v>
      </c>
      <c r="Q3853" s="16">
        <v>75463</v>
      </c>
    </row>
    <row r="3854" spans="1:17" ht="115.2" x14ac:dyDescent="0.3">
      <c r="A3854" s="16" t="s">
        <v>7755</v>
      </c>
      <c r="B3854" s="16" t="s">
        <v>7757</v>
      </c>
      <c r="C3854" s="16" t="s">
        <v>7628</v>
      </c>
      <c r="D3854" s="16" t="s">
        <v>7597</v>
      </c>
      <c r="E3854" s="16" t="s">
        <v>7422</v>
      </c>
      <c r="F3854" s="16" t="s">
        <v>7423</v>
      </c>
      <c r="G3854" s="16" t="s">
        <v>2987</v>
      </c>
      <c r="H3854" s="16"/>
      <c r="I3854" s="16"/>
      <c r="J3854" s="16"/>
      <c r="K3854" s="16"/>
      <c r="L3854" s="16"/>
      <c r="M3854" s="19" t="s">
        <v>7424</v>
      </c>
      <c r="N3854" s="16"/>
      <c r="O3854" s="16" t="s">
        <v>7425</v>
      </c>
      <c r="P3854" s="16" t="str">
        <f>HYPERLINK("https://ceds.ed.gov/cedselementdetails.aspx?termid=27933")</f>
        <v>https://ceds.ed.gov/cedselementdetails.aspx?termid=27933</v>
      </c>
      <c r="Q3854" s="16">
        <v>75464</v>
      </c>
    </row>
    <row r="3855" spans="1:17" ht="144" x14ac:dyDescent="0.3">
      <c r="A3855" s="16" t="s">
        <v>7755</v>
      </c>
      <c r="B3855" s="16" t="s">
        <v>7757</v>
      </c>
      <c r="C3855" s="16" t="s">
        <v>7628</v>
      </c>
      <c r="D3855" s="16" t="s">
        <v>7597</v>
      </c>
      <c r="E3855" s="16" t="s">
        <v>7527</v>
      </c>
      <c r="F3855" s="16" t="s">
        <v>7528</v>
      </c>
      <c r="G3855" s="16" t="s">
        <v>8811</v>
      </c>
      <c r="H3855" s="16"/>
      <c r="I3855" s="16"/>
      <c r="J3855" s="16"/>
      <c r="K3855" s="16"/>
      <c r="L3855" s="16" t="s">
        <v>7529</v>
      </c>
      <c r="M3855" s="19" t="s">
        <v>7530</v>
      </c>
      <c r="N3855" s="16"/>
      <c r="O3855" s="16" t="s">
        <v>7527</v>
      </c>
      <c r="P3855" s="16" t="str">
        <f>HYPERLINK("https://ceds.ed.gov/cedselementdetails.aspx?termid=27955")</f>
        <v>https://ceds.ed.gov/cedselementdetails.aspx?termid=27955</v>
      </c>
      <c r="Q3855" s="16">
        <v>75465</v>
      </c>
    </row>
    <row r="3856" spans="1:17" ht="100.8" x14ac:dyDescent="0.3">
      <c r="A3856" s="16" t="s">
        <v>7755</v>
      </c>
      <c r="B3856" s="16" t="s">
        <v>7757</v>
      </c>
      <c r="C3856" s="16" t="s">
        <v>7683</v>
      </c>
      <c r="D3856" s="16" t="s">
        <v>7597</v>
      </c>
      <c r="E3856" s="16" t="s">
        <v>5503</v>
      </c>
      <c r="F3856" s="16" t="s">
        <v>5504</v>
      </c>
      <c r="G3856" s="16" t="s">
        <v>32</v>
      </c>
      <c r="H3856" s="16" t="s">
        <v>5256</v>
      </c>
      <c r="I3856" s="16"/>
      <c r="J3856" s="16" t="s">
        <v>1481</v>
      </c>
      <c r="K3856" s="16"/>
      <c r="L3856" s="16"/>
      <c r="M3856" s="19" t="s">
        <v>5505</v>
      </c>
      <c r="N3856" s="16"/>
      <c r="O3856" s="16" t="s">
        <v>5506</v>
      </c>
      <c r="P3856" s="16" t="str">
        <f>HYPERLINK("https://ceds.ed.gov/cedselementdetails.aspx?termid=26200")</f>
        <v>https://ceds.ed.gov/cedselementdetails.aspx?termid=26200</v>
      </c>
      <c r="Q3856" s="16">
        <v>73981</v>
      </c>
    </row>
    <row r="3857" spans="1:17" ht="409.6" x14ac:dyDescent="0.3">
      <c r="A3857" s="16" t="s">
        <v>7755</v>
      </c>
      <c r="B3857" s="16" t="s">
        <v>7757</v>
      </c>
      <c r="C3857" s="16" t="s">
        <v>7683</v>
      </c>
      <c r="D3857" s="16" t="s">
        <v>7597</v>
      </c>
      <c r="E3857" s="16" t="s">
        <v>4268</v>
      </c>
      <c r="F3857" s="16" t="s">
        <v>4269</v>
      </c>
      <c r="G3857" s="16" t="s">
        <v>8445</v>
      </c>
      <c r="H3857" s="16" t="s">
        <v>4272</v>
      </c>
      <c r="I3857" s="16"/>
      <c r="J3857" s="16"/>
      <c r="K3857" s="16"/>
      <c r="L3857" s="16"/>
      <c r="M3857" s="19" t="s">
        <v>4270</v>
      </c>
      <c r="N3857" s="16"/>
      <c r="O3857" s="16" t="s">
        <v>4271</v>
      </c>
      <c r="P3857" s="16" t="str">
        <f>HYPERLINK("https://ceds.ed.gov/cedselementdetails.aspx?termid=26141")</f>
        <v>https://ceds.ed.gov/cedselementdetails.aspx?termid=26141</v>
      </c>
      <c r="Q3857" s="16">
        <v>71343</v>
      </c>
    </row>
    <row r="3858" spans="1:17" ht="115.2" x14ac:dyDescent="0.3">
      <c r="A3858" s="16" t="s">
        <v>7755</v>
      </c>
      <c r="B3858" s="16" t="s">
        <v>7757</v>
      </c>
      <c r="C3858" s="16" t="s">
        <v>7685</v>
      </c>
      <c r="D3858" s="16" t="s">
        <v>7597</v>
      </c>
      <c r="E3858" s="16" t="s">
        <v>3090</v>
      </c>
      <c r="F3858" s="16" t="s">
        <v>3091</v>
      </c>
      <c r="G3858" s="16" t="s">
        <v>32</v>
      </c>
      <c r="H3858" s="16" t="s">
        <v>3096</v>
      </c>
      <c r="I3858" s="16"/>
      <c r="J3858" s="16" t="s">
        <v>3093</v>
      </c>
      <c r="K3858" s="16"/>
      <c r="L3858" s="16"/>
      <c r="M3858" s="19" t="s">
        <v>3094</v>
      </c>
      <c r="N3858" s="16"/>
      <c r="O3858" s="16" t="s">
        <v>3095</v>
      </c>
      <c r="P3858" s="16" t="str">
        <f>HYPERLINK("https://ceds.ed.gov/cedselementdetails.aspx?termid=26081")</f>
        <v>https://ceds.ed.gov/cedselementdetails.aspx?termid=26081</v>
      </c>
      <c r="Q3858" s="16">
        <v>71336</v>
      </c>
    </row>
    <row r="3859" spans="1:17" ht="216" x14ac:dyDescent="0.3">
      <c r="A3859" s="16" t="s">
        <v>7755</v>
      </c>
      <c r="B3859" s="16" t="s">
        <v>7757</v>
      </c>
      <c r="C3859" s="16" t="s">
        <v>7685</v>
      </c>
      <c r="D3859" s="16" t="s">
        <v>7597</v>
      </c>
      <c r="E3859" s="16" t="s">
        <v>4243</v>
      </c>
      <c r="F3859" s="16" t="s">
        <v>4244</v>
      </c>
      <c r="G3859" s="16" t="s">
        <v>9333</v>
      </c>
      <c r="H3859" s="16" t="s">
        <v>4249</v>
      </c>
      <c r="I3859" s="16"/>
      <c r="J3859" s="16"/>
      <c r="K3859" s="16"/>
      <c r="L3859" s="16" t="s">
        <v>4246</v>
      </c>
      <c r="M3859" s="19" t="s">
        <v>4247</v>
      </c>
      <c r="N3859" s="16"/>
      <c r="O3859" s="16" t="s">
        <v>4248</v>
      </c>
      <c r="P3859" s="16" t="str">
        <f>HYPERLINK("https://ceds.ed.gov/cedselementdetails.aspx?termid=26138")</f>
        <v>https://ceds.ed.gov/cedselementdetails.aspx?termid=26138</v>
      </c>
      <c r="Q3859" s="16">
        <v>71335</v>
      </c>
    </row>
    <row r="3860" spans="1:17" ht="144" x14ac:dyDescent="0.3">
      <c r="A3860" s="16" t="s">
        <v>7755</v>
      </c>
      <c r="B3860" s="16" t="s">
        <v>7757</v>
      </c>
      <c r="C3860" s="16" t="s">
        <v>7685</v>
      </c>
      <c r="D3860" s="16" t="s">
        <v>7597</v>
      </c>
      <c r="E3860" s="16" t="s">
        <v>4238</v>
      </c>
      <c r="F3860" s="16" t="s">
        <v>4239</v>
      </c>
      <c r="G3860" s="16" t="s">
        <v>9332</v>
      </c>
      <c r="H3860" s="16"/>
      <c r="I3860" s="16"/>
      <c r="J3860" s="16"/>
      <c r="K3860" s="16"/>
      <c r="L3860" s="16"/>
      <c r="M3860" s="19" t="s">
        <v>4241</v>
      </c>
      <c r="N3860" s="16"/>
      <c r="O3860" s="16" t="s">
        <v>4242</v>
      </c>
      <c r="P3860" s="16" t="str">
        <f>HYPERLINK("https://ceds.ed.gov/cedselementdetails.aspx?termid=26689")</f>
        <v>https://ceds.ed.gov/cedselementdetails.aspx?termid=26689</v>
      </c>
      <c r="Q3860" s="16">
        <v>74721</v>
      </c>
    </row>
    <row r="3861" spans="1:17" ht="57.6" x14ac:dyDescent="0.3">
      <c r="A3861" s="16" t="s">
        <v>7755</v>
      </c>
      <c r="B3861" s="16" t="s">
        <v>7757</v>
      </c>
      <c r="C3861" s="16" t="s">
        <v>7685</v>
      </c>
      <c r="D3861" s="16" t="s">
        <v>7597</v>
      </c>
      <c r="E3861" s="16" t="s">
        <v>30</v>
      </c>
      <c r="F3861" s="16" t="s">
        <v>31</v>
      </c>
      <c r="G3861" s="16" t="s">
        <v>32</v>
      </c>
      <c r="H3861" s="16" t="s">
        <v>37</v>
      </c>
      <c r="I3861" s="16"/>
      <c r="J3861" s="16" t="s">
        <v>34</v>
      </c>
      <c r="K3861" s="16"/>
      <c r="L3861" s="16"/>
      <c r="M3861" s="19" t="s">
        <v>35</v>
      </c>
      <c r="N3861" s="16"/>
      <c r="O3861" s="16" t="s">
        <v>36</v>
      </c>
      <c r="P3861" s="16" t="str">
        <f>HYPERLINK("https://ceds.ed.gov/cedselementdetails.aspx?termid=26001")</f>
        <v>https://ceds.ed.gov/cedselementdetails.aspx?termid=26001</v>
      </c>
      <c r="Q3861" s="16">
        <v>74724</v>
      </c>
    </row>
    <row r="3862" spans="1:17" ht="216" x14ac:dyDescent="0.3">
      <c r="A3862" s="16" t="s">
        <v>7755</v>
      </c>
      <c r="B3862" s="16" t="s">
        <v>7757</v>
      </c>
      <c r="C3862" s="16" t="s">
        <v>7685</v>
      </c>
      <c r="D3862" s="16" t="s">
        <v>7597</v>
      </c>
      <c r="E3862" s="16" t="s">
        <v>38</v>
      </c>
      <c r="F3862" s="16" t="s">
        <v>7813</v>
      </c>
      <c r="G3862" s="16" t="s">
        <v>8281</v>
      </c>
      <c r="H3862" s="16" t="s">
        <v>42</v>
      </c>
      <c r="I3862" s="16"/>
      <c r="J3862" s="16"/>
      <c r="K3862" s="16"/>
      <c r="L3862" s="16"/>
      <c r="M3862" s="19" t="s">
        <v>40</v>
      </c>
      <c r="N3862" s="16"/>
      <c r="O3862" s="16" t="s">
        <v>41</v>
      </c>
      <c r="P3862" s="16" t="str">
        <f>HYPERLINK("https://ceds.ed.gov/cedselementdetails.aspx?termid=26002")</f>
        <v>https://ceds.ed.gov/cedselementdetails.aspx?termid=26002</v>
      </c>
      <c r="Q3862" s="16">
        <v>73043</v>
      </c>
    </row>
    <row r="3863" spans="1:17" ht="28.8" x14ac:dyDescent="0.3">
      <c r="A3863" s="16" t="s">
        <v>7755</v>
      </c>
      <c r="B3863" s="16" t="s">
        <v>7757</v>
      </c>
      <c r="C3863" s="16" t="s">
        <v>7685</v>
      </c>
      <c r="D3863" s="16" t="s">
        <v>7597</v>
      </c>
      <c r="E3863" s="16" t="s">
        <v>53</v>
      </c>
      <c r="F3863" s="16" t="s">
        <v>54</v>
      </c>
      <c r="G3863" s="16" t="s">
        <v>32</v>
      </c>
      <c r="H3863" s="16" t="s">
        <v>58</v>
      </c>
      <c r="I3863" s="16"/>
      <c r="J3863" s="16" t="s">
        <v>55</v>
      </c>
      <c r="K3863" s="16"/>
      <c r="L3863" s="16"/>
      <c r="M3863" s="19" t="s">
        <v>56</v>
      </c>
      <c r="N3863" s="16"/>
      <c r="O3863" s="16" t="s">
        <v>57</v>
      </c>
      <c r="P3863" s="16" t="str">
        <f>HYPERLINK("https://ceds.ed.gov/cedselementdetails.aspx?termid=26003")</f>
        <v>https://ceds.ed.gov/cedselementdetails.aspx?termid=26003</v>
      </c>
      <c r="Q3863" s="16">
        <v>74725</v>
      </c>
    </row>
    <row r="3864" spans="1:17" ht="172.8" x14ac:dyDescent="0.3">
      <c r="A3864" s="16" t="s">
        <v>7755</v>
      </c>
      <c r="B3864" s="16" t="s">
        <v>7757</v>
      </c>
      <c r="C3864" s="16" t="s">
        <v>7685</v>
      </c>
      <c r="D3864" s="16" t="s">
        <v>7597</v>
      </c>
      <c r="E3864" s="16" t="s">
        <v>2914</v>
      </c>
      <c r="F3864" s="16" t="s">
        <v>2915</v>
      </c>
      <c r="G3864" s="16" t="s">
        <v>8485</v>
      </c>
      <c r="H3864" s="16"/>
      <c r="I3864" s="16"/>
      <c r="J3864" s="16"/>
      <c r="K3864" s="16"/>
      <c r="L3864" s="16"/>
      <c r="M3864" s="19" t="s">
        <v>2917</v>
      </c>
      <c r="N3864" s="16"/>
      <c r="O3864" s="16" t="s">
        <v>2918</v>
      </c>
      <c r="P3864" s="16" t="str">
        <f>HYPERLINK("https://ceds.ed.gov/cedselementdetails.aspx?termid=27283")</f>
        <v>https://ceds.ed.gov/cedselementdetails.aspx?termid=27283</v>
      </c>
      <c r="Q3864" s="16">
        <v>74730</v>
      </c>
    </row>
    <row r="3865" spans="1:17" ht="115.2" x14ac:dyDescent="0.3">
      <c r="A3865" s="16" t="s">
        <v>7755</v>
      </c>
      <c r="B3865" s="16" t="s">
        <v>7757</v>
      </c>
      <c r="C3865" s="16" t="s">
        <v>7685</v>
      </c>
      <c r="D3865" s="16" t="s">
        <v>7597</v>
      </c>
      <c r="E3865" s="16" t="s">
        <v>6034</v>
      </c>
      <c r="F3865" s="16" t="s">
        <v>6035</v>
      </c>
      <c r="G3865" s="16" t="s">
        <v>8794</v>
      </c>
      <c r="H3865" s="16"/>
      <c r="I3865" s="16"/>
      <c r="J3865" s="16"/>
      <c r="K3865" s="16"/>
      <c r="L3865" s="16"/>
      <c r="M3865" s="19" t="s">
        <v>6037</v>
      </c>
      <c r="N3865" s="16"/>
      <c r="O3865" s="16" t="s">
        <v>6038</v>
      </c>
      <c r="P3865" s="16" t="str">
        <f>HYPERLINK("https://ceds.ed.gov/cedselementdetails.aspx?termid=26780")</f>
        <v>https://ceds.ed.gov/cedselementdetails.aspx?termid=26780</v>
      </c>
      <c r="Q3865" s="16">
        <v>72841</v>
      </c>
    </row>
    <row r="3866" spans="1:17" ht="172.8" x14ac:dyDescent="0.3">
      <c r="A3866" s="16" t="s">
        <v>7755</v>
      </c>
      <c r="B3866" s="16" t="s">
        <v>7757</v>
      </c>
      <c r="C3866" s="16" t="s">
        <v>7685</v>
      </c>
      <c r="D3866" s="16" t="s">
        <v>7597</v>
      </c>
      <c r="E3866" s="16" t="s">
        <v>6074</v>
      </c>
      <c r="F3866" s="16" t="s">
        <v>6075</v>
      </c>
      <c r="G3866" s="16" t="s">
        <v>32</v>
      </c>
      <c r="H3866" s="16" t="s">
        <v>2564</v>
      </c>
      <c r="I3866" s="16"/>
      <c r="J3866" s="16" t="s">
        <v>120</v>
      </c>
      <c r="K3866" s="16"/>
      <c r="L3866" s="16" t="s">
        <v>7817</v>
      </c>
      <c r="M3866" s="19" t="s">
        <v>6076</v>
      </c>
      <c r="N3866" s="16"/>
      <c r="O3866" s="16" t="s">
        <v>6077</v>
      </c>
      <c r="P3866" s="16" t="str">
        <f>HYPERLINK("https://ceds.ed.gov/cedselementdetails.aspx?termid=26618")</f>
        <v>https://ceds.ed.gov/cedselementdetails.aspx?termid=26618</v>
      </c>
      <c r="Q3866" s="16">
        <v>74729</v>
      </c>
    </row>
    <row r="3867" spans="1:17" ht="129.6" x14ac:dyDescent="0.3">
      <c r="A3867" s="16" t="s">
        <v>7755</v>
      </c>
      <c r="B3867" s="16" t="s">
        <v>7757</v>
      </c>
      <c r="C3867" s="16" t="s">
        <v>7685</v>
      </c>
      <c r="D3867" s="16" t="s">
        <v>7597</v>
      </c>
      <c r="E3867" s="16" t="s">
        <v>3196</v>
      </c>
      <c r="F3867" s="16" t="s">
        <v>12979</v>
      </c>
      <c r="G3867" s="16" t="s">
        <v>8516</v>
      </c>
      <c r="H3867" s="16"/>
      <c r="I3867" s="16"/>
      <c r="J3867" s="16"/>
      <c r="K3867" s="16"/>
      <c r="L3867" s="16" t="s">
        <v>7940</v>
      </c>
      <c r="M3867" s="19" t="s">
        <v>3198</v>
      </c>
      <c r="N3867" s="16"/>
      <c r="O3867" s="16" t="s">
        <v>3199</v>
      </c>
      <c r="P3867" s="16" t="str">
        <f>HYPERLINK("https://ceds.ed.gov/cedselementdetails.aspx?termid=27622")</f>
        <v>https://ceds.ed.gov/cedselementdetails.aspx?termid=27622</v>
      </c>
      <c r="Q3867" s="16">
        <v>74732</v>
      </c>
    </row>
    <row r="3868" spans="1:17" ht="72" x14ac:dyDescent="0.3">
      <c r="A3868" s="16" t="s">
        <v>7755</v>
      </c>
      <c r="B3868" s="16" t="s">
        <v>7757</v>
      </c>
      <c r="C3868" s="16" t="s">
        <v>7685</v>
      </c>
      <c r="D3868" s="16" t="s">
        <v>7597</v>
      </c>
      <c r="E3868" s="16" t="s">
        <v>5809</v>
      </c>
      <c r="F3868" s="16" t="s">
        <v>5810</v>
      </c>
      <c r="G3868" s="16" t="s">
        <v>8761</v>
      </c>
      <c r="H3868" s="16" t="s">
        <v>5813</v>
      </c>
      <c r="I3868" s="16"/>
      <c r="J3868" s="16"/>
      <c r="K3868" s="16"/>
      <c r="L3868" s="16"/>
      <c r="M3868" s="19" t="s">
        <v>5811</v>
      </c>
      <c r="N3868" s="16"/>
      <c r="O3868" s="16" t="s">
        <v>5812</v>
      </c>
      <c r="P3868" s="16" t="str">
        <f>HYPERLINK("https://ceds.ed.gov/cedselementdetails.aspx?termid=27595")</f>
        <v>https://ceds.ed.gov/cedselementdetails.aspx?termid=27595</v>
      </c>
      <c r="Q3868" s="16">
        <v>74731</v>
      </c>
    </row>
    <row r="3869" spans="1:17" ht="72" x14ac:dyDescent="0.3">
      <c r="A3869" s="16" t="s">
        <v>7755</v>
      </c>
      <c r="B3869" s="16" t="s">
        <v>7757</v>
      </c>
      <c r="C3869" s="16" t="s">
        <v>7685</v>
      </c>
      <c r="D3869" s="16" t="s">
        <v>7597</v>
      </c>
      <c r="E3869" s="16" t="s">
        <v>2044</v>
      </c>
      <c r="F3869" s="16" t="s">
        <v>2045</v>
      </c>
      <c r="G3869" s="16" t="s">
        <v>7312</v>
      </c>
      <c r="H3869" s="16" t="s">
        <v>42</v>
      </c>
      <c r="I3869" s="16" t="s">
        <v>160</v>
      </c>
      <c r="J3869" s="16" t="s">
        <v>2</v>
      </c>
      <c r="K3869" s="16" t="s">
        <v>12935</v>
      </c>
      <c r="L3869" s="16"/>
      <c r="M3869" s="19" t="s">
        <v>2046</v>
      </c>
      <c r="N3869" s="16" t="s">
        <v>2047</v>
      </c>
      <c r="O3869" s="16" t="s">
        <v>2048</v>
      </c>
      <c r="P3869" s="16" t="str">
        <f>HYPERLINK("https://ceds.ed.gov/cedselementdetails.aspx?termid=26043")</f>
        <v>https://ceds.ed.gov/cedselementdetails.aspx?termid=26043</v>
      </c>
      <c r="Q3869" s="16">
        <v>74726</v>
      </c>
    </row>
    <row r="3870" spans="1:17" ht="72" x14ac:dyDescent="0.3">
      <c r="A3870" s="16" t="s">
        <v>7755</v>
      </c>
      <c r="B3870" s="16" t="s">
        <v>7757</v>
      </c>
      <c r="C3870" s="16" t="s">
        <v>7685</v>
      </c>
      <c r="D3870" s="16" t="s">
        <v>7597</v>
      </c>
      <c r="E3870" s="16" t="s">
        <v>2049</v>
      </c>
      <c r="F3870" s="16" t="s">
        <v>2050</v>
      </c>
      <c r="G3870" s="16" t="s">
        <v>8439</v>
      </c>
      <c r="H3870" s="16" t="s">
        <v>186</v>
      </c>
      <c r="I3870" s="16"/>
      <c r="J3870" s="16"/>
      <c r="K3870" s="16"/>
      <c r="L3870" s="16"/>
      <c r="M3870" s="19" t="s">
        <v>2052</v>
      </c>
      <c r="N3870" s="16" t="s">
        <v>2053</v>
      </c>
      <c r="O3870" s="16" t="s">
        <v>2054</v>
      </c>
      <c r="P3870" s="16" t="str">
        <f>HYPERLINK("https://ceds.ed.gov/cedselementdetails.aspx?termid=26044")</f>
        <v>https://ceds.ed.gov/cedselementdetails.aspx?termid=26044</v>
      </c>
      <c r="Q3870" s="16">
        <v>74727</v>
      </c>
    </row>
    <row r="3871" spans="1:17" ht="100.8" x14ac:dyDescent="0.3">
      <c r="A3871" s="16" t="s">
        <v>7755</v>
      </c>
      <c r="B3871" s="16" t="s">
        <v>7757</v>
      </c>
      <c r="C3871" s="16" t="s">
        <v>7685</v>
      </c>
      <c r="D3871" s="16" t="s">
        <v>7597</v>
      </c>
      <c r="E3871" s="16" t="s">
        <v>2055</v>
      </c>
      <c r="F3871" s="16" t="s">
        <v>2056</v>
      </c>
      <c r="G3871" s="16" t="s">
        <v>9328</v>
      </c>
      <c r="H3871" s="16" t="s">
        <v>186</v>
      </c>
      <c r="I3871" s="16"/>
      <c r="J3871" s="16"/>
      <c r="K3871" s="16"/>
      <c r="L3871" s="16"/>
      <c r="M3871" s="19" t="s">
        <v>2057</v>
      </c>
      <c r="N3871" s="16" t="s">
        <v>2058</v>
      </c>
      <c r="O3871" s="16" t="s">
        <v>2059</v>
      </c>
      <c r="P3871" s="16" t="str">
        <f>HYPERLINK("https://ceds.ed.gov/cedselementdetails.aspx?termid=26045")</f>
        <v>https://ceds.ed.gov/cedselementdetails.aspx?termid=26045</v>
      </c>
      <c r="Q3871" s="16">
        <v>74728</v>
      </c>
    </row>
    <row r="3872" spans="1:17" ht="216" x14ac:dyDescent="0.3">
      <c r="A3872" s="16" t="s">
        <v>7755</v>
      </c>
      <c r="B3872" s="16" t="s">
        <v>7757</v>
      </c>
      <c r="C3872" s="16" t="s">
        <v>7685</v>
      </c>
      <c r="D3872" s="16" t="s">
        <v>7597</v>
      </c>
      <c r="E3872" s="16" t="s">
        <v>9213</v>
      </c>
      <c r="F3872" s="16" t="s">
        <v>9214</v>
      </c>
      <c r="G3872" s="16" t="s">
        <v>9306</v>
      </c>
      <c r="H3872" s="16"/>
      <c r="I3872" s="16"/>
      <c r="J3872" s="16" t="s">
        <v>2</v>
      </c>
      <c r="K3872" s="16"/>
      <c r="L3872" s="16"/>
      <c r="M3872" s="19" t="s">
        <v>9215</v>
      </c>
      <c r="N3872" s="16"/>
      <c r="O3872" s="16" t="s">
        <v>9216</v>
      </c>
      <c r="P3872" s="16" t="str">
        <f>HYPERLINK("https://ceds.ed.gov/cedselementdetails.aspx?termid=28077")</f>
        <v>https://ceds.ed.gov/cedselementdetails.aspx?termid=28077</v>
      </c>
      <c r="Q3872" s="16">
        <v>75983</v>
      </c>
    </row>
    <row r="3873" spans="1:17" ht="72" x14ac:dyDescent="0.3">
      <c r="A3873" s="16" t="s">
        <v>7755</v>
      </c>
      <c r="B3873" s="16" t="s">
        <v>7757</v>
      </c>
      <c r="C3873" s="16" t="s">
        <v>7716</v>
      </c>
      <c r="D3873" s="16" t="s">
        <v>7597</v>
      </c>
      <c r="E3873" s="16" t="s">
        <v>2618</v>
      </c>
      <c r="F3873" s="16" t="s">
        <v>7923</v>
      </c>
      <c r="G3873" s="16" t="s">
        <v>32</v>
      </c>
      <c r="H3873" s="16"/>
      <c r="I3873" s="16"/>
      <c r="J3873" s="16" t="s">
        <v>81</v>
      </c>
      <c r="K3873" s="16"/>
      <c r="L3873" s="16"/>
      <c r="M3873" s="19" t="s">
        <v>2620</v>
      </c>
      <c r="N3873" s="16"/>
      <c r="O3873" s="16" t="s">
        <v>2621</v>
      </c>
      <c r="P3873" s="16" t="str">
        <f>HYPERLINK("https://ceds.ed.gov/cedselementdetails.aspx?termid=27280")</f>
        <v>https://ceds.ed.gov/cedselementdetails.aspx?termid=27280</v>
      </c>
      <c r="Q3873" s="16">
        <v>74125</v>
      </c>
    </row>
    <row r="3874" spans="1:17" ht="230.4" x14ac:dyDescent="0.3">
      <c r="A3874" s="16" t="s">
        <v>7755</v>
      </c>
      <c r="B3874" s="16" t="s">
        <v>7757</v>
      </c>
      <c r="C3874" s="16" t="s">
        <v>7642</v>
      </c>
      <c r="D3874" s="16" t="s">
        <v>7597</v>
      </c>
      <c r="E3874" s="16" t="s">
        <v>4346</v>
      </c>
      <c r="F3874" s="16" t="s">
        <v>4347</v>
      </c>
      <c r="G3874" s="16" t="s">
        <v>22</v>
      </c>
      <c r="H3874" s="16" t="s">
        <v>4350</v>
      </c>
      <c r="I3874" s="16"/>
      <c r="J3874" s="16"/>
      <c r="K3874" s="16"/>
      <c r="L3874" s="16"/>
      <c r="M3874" s="19" t="s">
        <v>4348</v>
      </c>
      <c r="N3874" s="16"/>
      <c r="O3874" s="16" t="s">
        <v>4349</v>
      </c>
      <c r="P3874" s="16" t="str">
        <f>HYPERLINK("https://ceds.ed.gov/cedselementdetails.aspx?termid=26151")</f>
        <v>https://ceds.ed.gov/cedselementdetails.aspx?termid=26151</v>
      </c>
      <c r="Q3874" s="16">
        <v>71331</v>
      </c>
    </row>
    <row r="3875" spans="1:17" ht="43.2" x14ac:dyDescent="0.3">
      <c r="A3875" s="16" t="s">
        <v>7755</v>
      </c>
      <c r="B3875" s="16" t="s">
        <v>7757</v>
      </c>
      <c r="C3875" s="16" t="s">
        <v>7642</v>
      </c>
      <c r="D3875" s="16" t="s">
        <v>7597</v>
      </c>
      <c r="E3875" s="16" t="s">
        <v>3117</v>
      </c>
      <c r="F3875" s="16" t="s">
        <v>3118</v>
      </c>
      <c r="G3875" s="16" t="s">
        <v>22</v>
      </c>
      <c r="H3875" s="16" t="s">
        <v>214</v>
      </c>
      <c r="I3875" s="16"/>
      <c r="J3875" s="16"/>
      <c r="K3875" s="16"/>
      <c r="L3875" s="16"/>
      <c r="M3875" s="19" t="s">
        <v>3119</v>
      </c>
      <c r="N3875" s="16"/>
      <c r="O3875" s="16" t="s">
        <v>3120</v>
      </c>
      <c r="P3875" s="16" t="str">
        <f>HYPERLINK("https://ceds.ed.gov/cedselementdetails.aspx?termid=26569")</f>
        <v>https://ceds.ed.gov/cedselementdetails.aspx?termid=26569</v>
      </c>
      <c r="Q3875" s="16">
        <v>71332</v>
      </c>
    </row>
    <row r="3876" spans="1:17" ht="144" x14ac:dyDescent="0.3">
      <c r="A3876" s="16" t="s">
        <v>7755</v>
      </c>
      <c r="B3876" s="16" t="s">
        <v>7757</v>
      </c>
      <c r="C3876" s="16" t="s">
        <v>7642</v>
      </c>
      <c r="D3876" s="16" t="s">
        <v>7597</v>
      </c>
      <c r="E3876" s="16" t="s">
        <v>3113</v>
      </c>
      <c r="F3876" s="16" t="s">
        <v>3114</v>
      </c>
      <c r="G3876" s="16" t="s">
        <v>8506</v>
      </c>
      <c r="H3876" s="16"/>
      <c r="I3876" s="16"/>
      <c r="J3876" s="16"/>
      <c r="K3876" s="16"/>
      <c r="L3876" s="16" t="s">
        <v>3110</v>
      </c>
      <c r="M3876" s="19" t="s">
        <v>3115</v>
      </c>
      <c r="N3876" s="16"/>
      <c r="O3876" s="16" t="s">
        <v>3116</v>
      </c>
      <c r="P3876" s="16" t="str">
        <f>HYPERLINK("https://ceds.ed.gov/cedselementdetails.aspx?termid=27287")</f>
        <v>https://ceds.ed.gov/cedselementdetails.aspx?termid=27287</v>
      </c>
      <c r="Q3876" s="16">
        <v>74760</v>
      </c>
    </row>
    <row r="3877" spans="1:17" ht="158.4" x14ac:dyDescent="0.3">
      <c r="A3877" s="16" t="s">
        <v>7755</v>
      </c>
      <c r="B3877" s="16" t="s">
        <v>7757</v>
      </c>
      <c r="C3877" s="16" t="s">
        <v>4</v>
      </c>
      <c r="D3877" s="16" t="s">
        <v>7597</v>
      </c>
      <c r="E3877" s="16" t="s">
        <v>5288</v>
      </c>
      <c r="F3877" s="16" t="s">
        <v>5289</v>
      </c>
      <c r="G3877" s="16" t="s">
        <v>22</v>
      </c>
      <c r="H3877" s="16"/>
      <c r="I3877" s="16" t="s">
        <v>160</v>
      </c>
      <c r="J3877" s="16"/>
      <c r="K3877" s="16" t="s">
        <v>12935</v>
      </c>
      <c r="L3877" s="16"/>
      <c r="M3877" s="19" t="s">
        <v>5290</v>
      </c>
      <c r="N3877" s="16"/>
      <c r="O3877" s="16" t="s">
        <v>5291</v>
      </c>
      <c r="P3877" s="16" t="str">
        <f>HYPERLINK("https://ceds.ed.gov/cedselementdetails.aspx?termid=26758")</f>
        <v>https://ceds.ed.gov/cedselementdetails.aspx?termid=26758</v>
      </c>
      <c r="Q3877" s="16">
        <v>71279</v>
      </c>
    </row>
    <row r="3878" spans="1:17" ht="115.2" x14ac:dyDescent="0.3">
      <c r="A3878" s="16" t="s">
        <v>7755</v>
      </c>
      <c r="B3878" s="16" t="s">
        <v>7757</v>
      </c>
      <c r="C3878" s="16" t="s">
        <v>4</v>
      </c>
      <c r="D3878" s="16" t="s">
        <v>7597</v>
      </c>
      <c r="E3878" s="16" t="s">
        <v>3155</v>
      </c>
      <c r="F3878" s="16" t="s">
        <v>3156</v>
      </c>
      <c r="G3878" s="16" t="s">
        <v>22</v>
      </c>
      <c r="H3878" s="16"/>
      <c r="I3878" s="16"/>
      <c r="J3878" s="16"/>
      <c r="K3878" s="16"/>
      <c r="L3878" s="16"/>
      <c r="M3878" s="19" t="s">
        <v>3157</v>
      </c>
      <c r="N3878" s="16"/>
      <c r="O3878" s="16" t="s">
        <v>3158</v>
      </c>
      <c r="P3878" s="16" t="str">
        <f>HYPERLINK("https://ceds.ed.gov/cedselementdetails.aspx?termid=26759")</f>
        <v>https://ceds.ed.gov/cedselementdetails.aspx?termid=26759</v>
      </c>
      <c r="Q3878" s="16">
        <v>71280</v>
      </c>
    </row>
    <row r="3879" spans="1:17" ht="57.6" x14ac:dyDescent="0.3">
      <c r="A3879" s="16" t="s">
        <v>7755</v>
      </c>
      <c r="B3879" s="16" t="s">
        <v>7757</v>
      </c>
      <c r="C3879" s="16" t="s">
        <v>4</v>
      </c>
      <c r="D3879" s="16" t="s">
        <v>7597</v>
      </c>
      <c r="E3879" s="16" t="s">
        <v>6162</v>
      </c>
      <c r="F3879" s="16" t="s">
        <v>6163</v>
      </c>
      <c r="G3879" s="16" t="s">
        <v>22</v>
      </c>
      <c r="H3879" s="16"/>
      <c r="I3879" s="16"/>
      <c r="J3879" s="16"/>
      <c r="K3879" s="16"/>
      <c r="L3879" s="16"/>
      <c r="M3879" s="19" t="s">
        <v>6164</v>
      </c>
      <c r="N3879" s="16"/>
      <c r="O3879" s="16" t="s">
        <v>6165</v>
      </c>
      <c r="P3879" s="16" t="str">
        <f>HYPERLINK("https://ceds.ed.gov/cedselementdetails.aspx?termid=26760")</f>
        <v>https://ceds.ed.gov/cedselementdetails.aspx?termid=26760</v>
      </c>
      <c r="Q3879" s="16">
        <v>71281</v>
      </c>
    </row>
    <row r="3880" spans="1:17" ht="72" x14ac:dyDescent="0.3">
      <c r="A3880" s="16" t="s">
        <v>7755</v>
      </c>
      <c r="B3880" s="16" t="s">
        <v>7757</v>
      </c>
      <c r="C3880" s="16" t="s">
        <v>4</v>
      </c>
      <c r="D3880" s="16" t="s">
        <v>7597</v>
      </c>
      <c r="E3880" s="16" t="s">
        <v>6434</v>
      </c>
      <c r="F3880" s="16" t="s">
        <v>6435</v>
      </c>
      <c r="G3880" s="16" t="s">
        <v>22</v>
      </c>
      <c r="H3880" s="16"/>
      <c r="I3880" s="16"/>
      <c r="J3880" s="16"/>
      <c r="K3880" s="16"/>
      <c r="L3880" s="16"/>
      <c r="M3880" s="19" t="s">
        <v>6436</v>
      </c>
      <c r="N3880" s="16"/>
      <c r="O3880" s="16" t="s">
        <v>6437</v>
      </c>
      <c r="P3880" s="16" t="str">
        <f>HYPERLINK("https://ceds.ed.gov/cedselementdetails.aspx?termid=26761")</f>
        <v>https://ceds.ed.gov/cedselementdetails.aspx?termid=26761</v>
      </c>
      <c r="Q3880" s="16">
        <v>71282</v>
      </c>
    </row>
    <row r="3881" spans="1:17" ht="86.4" x14ac:dyDescent="0.3">
      <c r="A3881" s="16" t="s">
        <v>7755</v>
      </c>
      <c r="B3881" s="16" t="s">
        <v>7757</v>
      </c>
      <c r="C3881" s="16" t="s">
        <v>4</v>
      </c>
      <c r="D3881" s="16" t="s">
        <v>7597</v>
      </c>
      <c r="E3881" s="16" t="s">
        <v>6681</v>
      </c>
      <c r="F3881" s="16" t="s">
        <v>6682</v>
      </c>
      <c r="G3881" s="16" t="s">
        <v>22</v>
      </c>
      <c r="H3881" s="16" t="s">
        <v>2080</v>
      </c>
      <c r="I3881" s="16"/>
      <c r="J3881" s="16"/>
      <c r="K3881" s="16"/>
      <c r="L3881" s="16"/>
      <c r="M3881" s="19" t="s">
        <v>6684</v>
      </c>
      <c r="N3881" s="16"/>
      <c r="O3881" s="16" t="s">
        <v>6685</v>
      </c>
      <c r="P3881" s="16" t="str">
        <f>HYPERLINK("https://ceds.ed.gov/cedselementdetails.aspx?termid=26573")</f>
        <v>https://ceds.ed.gov/cedselementdetails.aspx?termid=26573</v>
      </c>
      <c r="Q3881" s="16">
        <v>71330</v>
      </c>
    </row>
    <row r="3882" spans="1:17" ht="230.4" x14ac:dyDescent="0.3">
      <c r="A3882" s="16" t="s">
        <v>7755</v>
      </c>
      <c r="B3882" s="16" t="s">
        <v>7757</v>
      </c>
      <c r="C3882" s="16" t="s">
        <v>4</v>
      </c>
      <c r="D3882" s="16" t="s">
        <v>7597</v>
      </c>
      <c r="E3882" s="16" t="s">
        <v>1917</v>
      </c>
      <c r="F3882" s="16" t="s">
        <v>7897</v>
      </c>
      <c r="G3882" s="16" t="s">
        <v>22</v>
      </c>
      <c r="H3882" s="16" t="s">
        <v>214</v>
      </c>
      <c r="I3882" s="16"/>
      <c r="J3882" s="16"/>
      <c r="K3882" s="16"/>
      <c r="L3882" s="16"/>
      <c r="M3882" s="19" t="s">
        <v>1919</v>
      </c>
      <c r="N3882" s="16" t="s">
        <v>1920</v>
      </c>
      <c r="O3882" s="16" t="s">
        <v>1921</v>
      </c>
      <c r="P3882" s="16" t="str">
        <f>HYPERLINK("https://ceds.ed.gov/cedselementdetails.aspx?termid=26084")</f>
        <v>https://ceds.ed.gov/cedselementdetails.aspx?termid=26084</v>
      </c>
      <c r="Q3882" s="16">
        <v>71345</v>
      </c>
    </row>
    <row r="3883" spans="1:17" ht="244.8" x14ac:dyDescent="0.3">
      <c r="A3883" s="16" t="s">
        <v>7755</v>
      </c>
      <c r="B3883" s="16" t="s">
        <v>7757</v>
      </c>
      <c r="C3883" s="16" t="s">
        <v>4</v>
      </c>
      <c r="D3883" s="16" t="s">
        <v>7597</v>
      </c>
      <c r="E3883" s="16" t="s">
        <v>5664</v>
      </c>
      <c r="F3883" s="16" t="s">
        <v>5665</v>
      </c>
      <c r="G3883" s="16" t="s">
        <v>2987</v>
      </c>
      <c r="H3883" s="16"/>
      <c r="I3883" s="16" t="s">
        <v>160</v>
      </c>
      <c r="J3883" s="16"/>
      <c r="K3883" s="16" t="s">
        <v>12935</v>
      </c>
      <c r="L3883" s="16"/>
      <c r="M3883" s="19" t="s">
        <v>5666</v>
      </c>
      <c r="N3883" s="16"/>
      <c r="O3883" s="16" t="s">
        <v>5667</v>
      </c>
      <c r="P3883" s="16" t="str">
        <f>HYPERLINK("https://ceds.ed.gov/cedselementdetails.aspx?termid=27908")</f>
        <v>https://ceds.ed.gov/cedselementdetails.aspx?termid=27908</v>
      </c>
      <c r="Q3883" s="16">
        <v>75229</v>
      </c>
    </row>
    <row r="3884" spans="1:17" ht="43.2" x14ac:dyDescent="0.3">
      <c r="A3884" s="16" t="s">
        <v>7755</v>
      </c>
      <c r="B3884" s="16" t="s">
        <v>7757</v>
      </c>
      <c r="C3884" s="16" t="s">
        <v>7658</v>
      </c>
      <c r="D3884" s="16" t="s">
        <v>7597</v>
      </c>
      <c r="E3884" s="16" t="s">
        <v>3471</v>
      </c>
      <c r="F3884" s="16" t="s">
        <v>3472</v>
      </c>
      <c r="G3884" s="16" t="s">
        <v>2838</v>
      </c>
      <c r="H3884" s="16"/>
      <c r="I3884" s="16"/>
      <c r="J3884" s="16" t="s">
        <v>2839</v>
      </c>
      <c r="K3884" s="16"/>
      <c r="L3884" s="16"/>
      <c r="M3884" s="19" t="s">
        <v>3474</v>
      </c>
      <c r="N3884" s="16"/>
      <c r="O3884" s="16" t="s">
        <v>3475</v>
      </c>
      <c r="P3884" s="16" t="str">
        <f>HYPERLINK("https://ceds.ed.gov/cedselementdetails.aspx?termid=27070")</f>
        <v>https://ceds.ed.gov/cedselementdetails.aspx?termid=27070</v>
      </c>
      <c r="Q3884" s="16">
        <v>71713</v>
      </c>
    </row>
    <row r="3885" spans="1:17" ht="201.6" x14ac:dyDescent="0.3">
      <c r="A3885" s="16" t="s">
        <v>7755</v>
      </c>
      <c r="B3885" s="16" t="s">
        <v>7757</v>
      </c>
      <c r="C3885" s="16" t="s">
        <v>7658</v>
      </c>
      <c r="D3885" s="16" t="s">
        <v>7597</v>
      </c>
      <c r="E3885" s="16" t="s">
        <v>3457</v>
      </c>
      <c r="F3885" s="16" t="s">
        <v>3458</v>
      </c>
      <c r="G3885" s="16" t="s">
        <v>3446</v>
      </c>
      <c r="H3885" s="16" t="s">
        <v>3450</v>
      </c>
      <c r="I3885" s="16"/>
      <c r="J3885" s="16"/>
      <c r="K3885" s="16"/>
      <c r="L3885" s="16" t="s">
        <v>3459</v>
      </c>
      <c r="M3885" s="19" t="s">
        <v>3460</v>
      </c>
      <c r="N3885" s="16"/>
      <c r="O3885" s="16" t="s">
        <v>3461</v>
      </c>
      <c r="P3885" s="16" t="str">
        <f>HYPERLINK("https://ceds.ed.gov/cedselementdetails.aspx?termid=26989")</f>
        <v>https://ceds.ed.gov/cedselementdetails.aspx?termid=26989</v>
      </c>
      <c r="Q3885" s="16">
        <v>71712</v>
      </c>
    </row>
    <row r="3886" spans="1:17" ht="230.4" x14ac:dyDescent="0.3">
      <c r="A3886" s="16" t="s">
        <v>7755</v>
      </c>
      <c r="B3886" s="16" t="s">
        <v>7757</v>
      </c>
      <c r="C3886" s="16" t="s">
        <v>7658</v>
      </c>
      <c r="D3886" s="16" t="s">
        <v>7597</v>
      </c>
      <c r="E3886" s="16" t="s">
        <v>3444</v>
      </c>
      <c r="F3886" s="16" t="s">
        <v>3445</v>
      </c>
      <c r="G3886" s="16" t="s">
        <v>3446</v>
      </c>
      <c r="H3886" s="16" t="s">
        <v>3450</v>
      </c>
      <c r="I3886" s="16"/>
      <c r="J3886" s="16"/>
      <c r="K3886" s="16"/>
      <c r="L3886" s="16" t="s">
        <v>7965</v>
      </c>
      <c r="M3886" s="19" t="s">
        <v>3448</v>
      </c>
      <c r="N3886" s="16"/>
      <c r="O3886" s="16" t="s">
        <v>3449</v>
      </c>
      <c r="P3886" s="16" t="str">
        <f>HYPERLINK("https://ceds.ed.gov/cedselementdetails.aspx?termid=26990")</f>
        <v>https://ceds.ed.gov/cedselementdetails.aspx?termid=26990</v>
      </c>
      <c r="Q3886" s="16">
        <v>71711</v>
      </c>
    </row>
    <row r="3887" spans="1:17" ht="57.6" x14ac:dyDescent="0.3">
      <c r="A3887" s="16" t="s">
        <v>7755</v>
      </c>
      <c r="B3887" s="16" t="s">
        <v>7757</v>
      </c>
      <c r="C3887" s="16" t="s">
        <v>7658</v>
      </c>
      <c r="D3887" s="16" t="s">
        <v>7597</v>
      </c>
      <c r="E3887" s="16" t="s">
        <v>3498</v>
      </c>
      <c r="F3887" s="16" t="s">
        <v>3499</v>
      </c>
      <c r="G3887" s="16" t="s">
        <v>32</v>
      </c>
      <c r="H3887" s="16" t="s">
        <v>3502</v>
      </c>
      <c r="I3887" s="16"/>
      <c r="J3887" s="16" t="s">
        <v>106</v>
      </c>
      <c r="K3887" s="16"/>
      <c r="L3887" s="16"/>
      <c r="M3887" s="19" t="s">
        <v>3500</v>
      </c>
      <c r="N3887" s="16"/>
      <c r="O3887" s="16" t="s">
        <v>3501</v>
      </c>
      <c r="P3887" s="16" t="str">
        <f>HYPERLINK("https://ceds.ed.gov/cedselementdetails.aspx?termid=26345")</f>
        <v>https://ceds.ed.gov/cedselementdetails.aspx?termid=26345</v>
      </c>
      <c r="Q3887" s="16">
        <v>73703</v>
      </c>
    </row>
    <row r="3888" spans="1:17" ht="57.6" x14ac:dyDescent="0.3">
      <c r="A3888" s="16" t="s">
        <v>7755</v>
      </c>
      <c r="B3888" s="16" t="s">
        <v>7757</v>
      </c>
      <c r="C3888" s="16" t="s">
        <v>7658</v>
      </c>
      <c r="D3888" s="16" t="s">
        <v>7597</v>
      </c>
      <c r="E3888" s="16" t="s">
        <v>3462</v>
      </c>
      <c r="F3888" s="16" t="s">
        <v>3463</v>
      </c>
      <c r="G3888" s="16" t="s">
        <v>32</v>
      </c>
      <c r="H3888" s="16" t="s">
        <v>195</v>
      </c>
      <c r="I3888" s="16"/>
      <c r="J3888" s="16" t="s">
        <v>106</v>
      </c>
      <c r="K3888" s="16"/>
      <c r="L3888" s="16" t="s">
        <v>131</v>
      </c>
      <c r="M3888" s="19" t="s">
        <v>3464</v>
      </c>
      <c r="N3888" s="16"/>
      <c r="O3888" s="16" t="s">
        <v>3465</v>
      </c>
      <c r="P3888" s="16" t="str">
        <f>HYPERLINK("https://ceds.ed.gov/cedselementdetails.aspx?termid=26794")</f>
        <v>https://ceds.ed.gov/cedselementdetails.aspx?termid=26794</v>
      </c>
      <c r="Q3888" s="16">
        <v>73698</v>
      </c>
    </row>
    <row r="3889" spans="1:17" ht="230.4" x14ac:dyDescent="0.3">
      <c r="A3889" s="16" t="s">
        <v>7755</v>
      </c>
      <c r="B3889" s="16" t="s">
        <v>7757</v>
      </c>
      <c r="C3889" s="16" t="s">
        <v>7658</v>
      </c>
      <c r="D3889" s="16" t="s">
        <v>7597</v>
      </c>
      <c r="E3889" s="16" t="s">
        <v>7543</v>
      </c>
      <c r="F3889" s="16" t="s">
        <v>7544</v>
      </c>
      <c r="G3889" s="16" t="s">
        <v>13093</v>
      </c>
      <c r="H3889" s="16"/>
      <c r="I3889" s="16" t="s">
        <v>160</v>
      </c>
      <c r="J3889" s="16"/>
      <c r="K3889" s="16" t="s">
        <v>12951</v>
      </c>
      <c r="L3889" s="16"/>
      <c r="M3889" s="19" t="s">
        <v>7545</v>
      </c>
      <c r="N3889" s="16"/>
      <c r="O3889" s="16" t="s">
        <v>7543</v>
      </c>
      <c r="P3889" s="16" t="str">
        <f>HYPERLINK("https://ceds.ed.gov/cedselementdetails.aspx?termid=27959")</f>
        <v>https://ceds.ed.gov/cedselementdetails.aspx?termid=27959</v>
      </c>
      <c r="Q3889" s="16">
        <v>75469</v>
      </c>
    </row>
    <row r="3890" spans="1:17" ht="86.4" x14ac:dyDescent="0.3">
      <c r="A3890" s="16" t="s">
        <v>7755</v>
      </c>
      <c r="B3890" s="16" t="s">
        <v>7757</v>
      </c>
      <c r="C3890" s="16" t="s">
        <v>7747</v>
      </c>
      <c r="D3890" s="16" t="s">
        <v>7597</v>
      </c>
      <c r="E3890" s="16" t="s">
        <v>244</v>
      </c>
      <c r="F3890" s="16" t="s">
        <v>245</v>
      </c>
      <c r="G3890" s="16" t="s">
        <v>8304</v>
      </c>
      <c r="H3890" s="16"/>
      <c r="I3890" s="16"/>
      <c r="J3890" s="16"/>
      <c r="K3890" s="16"/>
      <c r="L3890" s="16"/>
      <c r="M3890" s="19" t="s">
        <v>247</v>
      </c>
      <c r="N3890" s="16"/>
      <c r="O3890" s="16" t="s">
        <v>248</v>
      </c>
      <c r="P3890" s="16" t="str">
        <f>HYPERLINK("https://ceds.ed.gov/cedselementdetails.aspx?termid=26765")</f>
        <v>https://ceds.ed.gov/cedselementdetails.aspx?termid=26765</v>
      </c>
      <c r="Q3890" s="16">
        <v>71285</v>
      </c>
    </row>
    <row r="3891" spans="1:17" ht="187.2" x14ac:dyDescent="0.3">
      <c r="A3891" s="16" t="s">
        <v>7755</v>
      </c>
      <c r="B3891" s="16" t="s">
        <v>7757</v>
      </c>
      <c r="C3891" s="16" t="s">
        <v>7747</v>
      </c>
      <c r="D3891" s="16" t="s">
        <v>7597</v>
      </c>
      <c r="E3891" s="16" t="s">
        <v>271</v>
      </c>
      <c r="F3891" s="16" t="s">
        <v>272</v>
      </c>
      <c r="G3891" s="16" t="s">
        <v>8309</v>
      </c>
      <c r="H3891" s="16"/>
      <c r="I3891" s="16"/>
      <c r="J3891" s="16"/>
      <c r="K3891" s="16"/>
      <c r="L3891" s="16" t="s">
        <v>273</v>
      </c>
      <c r="M3891" s="19" t="s">
        <v>274</v>
      </c>
      <c r="N3891" s="16"/>
      <c r="O3891" s="16" t="s">
        <v>275</v>
      </c>
      <c r="P3891" s="16" t="str">
        <f>HYPERLINK("https://ceds.ed.gov/cedselementdetails.aspx?termid=26766")</f>
        <v>https://ceds.ed.gov/cedselementdetails.aspx?termid=26766</v>
      </c>
      <c r="Q3891" s="16">
        <v>71286</v>
      </c>
    </row>
    <row r="3892" spans="1:17" ht="187.2" x14ac:dyDescent="0.3">
      <c r="A3892" s="16" t="s">
        <v>7755</v>
      </c>
      <c r="B3892" s="16" t="s">
        <v>7757</v>
      </c>
      <c r="C3892" s="16" t="s">
        <v>7747</v>
      </c>
      <c r="D3892" s="16" t="s">
        <v>7597</v>
      </c>
      <c r="E3892" s="16" t="s">
        <v>285</v>
      </c>
      <c r="F3892" s="16" t="s">
        <v>286</v>
      </c>
      <c r="G3892" s="16" t="s">
        <v>8312</v>
      </c>
      <c r="H3892" s="16"/>
      <c r="I3892" s="16"/>
      <c r="J3892" s="16"/>
      <c r="K3892" s="16"/>
      <c r="L3892" s="16"/>
      <c r="M3892" s="19" t="s">
        <v>287</v>
      </c>
      <c r="N3892" s="16"/>
      <c r="O3892" s="16" t="s">
        <v>288</v>
      </c>
      <c r="P3892" s="16" t="str">
        <f>HYPERLINK("https://ceds.ed.gov/cedselementdetails.aspx?termid=26763")</f>
        <v>https://ceds.ed.gov/cedselementdetails.aspx?termid=26763</v>
      </c>
      <c r="Q3892" s="16">
        <v>71283</v>
      </c>
    </row>
    <row r="3893" spans="1:17" ht="187.2" x14ac:dyDescent="0.3">
      <c r="A3893" s="16" t="s">
        <v>7755</v>
      </c>
      <c r="B3893" s="16" t="s">
        <v>7757</v>
      </c>
      <c r="C3893" s="16" t="s">
        <v>7747</v>
      </c>
      <c r="D3893" s="16" t="s">
        <v>7597</v>
      </c>
      <c r="E3893" s="16" t="s">
        <v>289</v>
      </c>
      <c r="F3893" s="16" t="s">
        <v>290</v>
      </c>
      <c r="G3893" s="16" t="s">
        <v>8312</v>
      </c>
      <c r="H3893" s="16"/>
      <c r="I3893" s="16" t="s">
        <v>160</v>
      </c>
      <c r="J3893" s="16"/>
      <c r="K3893" s="16" t="s">
        <v>12935</v>
      </c>
      <c r="L3893" s="16"/>
      <c r="M3893" s="19" t="s">
        <v>291</v>
      </c>
      <c r="N3893" s="16"/>
      <c r="O3893" s="16" t="s">
        <v>292</v>
      </c>
      <c r="P3893" s="16" t="str">
        <f>HYPERLINK("https://ceds.ed.gov/cedselementdetails.aspx?termid=26764")</f>
        <v>https://ceds.ed.gov/cedselementdetails.aspx?termid=26764</v>
      </c>
      <c r="Q3893" s="16">
        <v>71284</v>
      </c>
    </row>
    <row r="3894" spans="1:17" ht="100.8" x14ac:dyDescent="0.3">
      <c r="A3894" s="16" t="s">
        <v>7755</v>
      </c>
      <c r="B3894" s="16" t="s">
        <v>7757</v>
      </c>
      <c r="C3894" s="16" t="s">
        <v>7747</v>
      </c>
      <c r="D3894" s="16" t="s">
        <v>7597</v>
      </c>
      <c r="E3894" s="16" t="s">
        <v>249</v>
      </c>
      <c r="F3894" s="16" t="s">
        <v>250</v>
      </c>
      <c r="G3894" s="16" t="s">
        <v>8305</v>
      </c>
      <c r="H3894" s="16"/>
      <c r="I3894" s="16"/>
      <c r="J3894" s="16"/>
      <c r="K3894" s="16"/>
      <c r="L3894" s="16"/>
      <c r="M3894" s="19" t="s">
        <v>251</v>
      </c>
      <c r="N3894" s="16"/>
      <c r="O3894" s="16" t="s">
        <v>252</v>
      </c>
      <c r="P3894" s="16" t="str">
        <f>HYPERLINK("https://ceds.ed.gov/cedselementdetails.aspx?termid=26768")</f>
        <v>https://ceds.ed.gov/cedselementdetails.aspx?termid=26768</v>
      </c>
      <c r="Q3894" s="16">
        <v>71288</v>
      </c>
    </row>
    <row r="3895" spans="1:17" ht="72" x14ac:dyDescent="0.3">
      <c r="A3895" s="16" t="s">
        <v>7755</v>
      </c>
      <c r="B3895" s="16" t="s">
        <v>7757</v>
      </c>
      <c r="C3895" s="16" t="s">
        <v>7747</v>
      </c>
      <c r="D3895" s="16" t="s">
        <v>7597</v>
      </c>
      <c r="E3895" s="16" t="s">
        <v>253</v>
      </c>
      <c r="F3895" s="16" t="s">
        <v>254</v>
      </c>
      <c r="G3895" s="16" t="s">
        <v>32</v>
      </c>
      <c r="H3895" s="16"/>
      <c r="I3895" s="16"/>
      <c r="J3895" s="16" t="s">
        <v>106</v>
      </c>
      <c r="K3895" s="16"/>
      <c r="L3895" s="16"/>
      <c r="M3895" s="19" t="s">
        <v>255</v>
      </c>
      <c r="N3895" s="16"/>
      <c r="O3895" s="16" t="s">
        <v>256</v>
      </c>
      <c r="P3895" s="16" t="str">
        <f>HYPERLINK("https://ceds.ed.gov/cedselementdetails.aspx?termid=26769")</f>
        <v>https://ceds.ed.gov/cedselementdetails.aspx?termid=26769</v>
      </c>
      <c r="Q3895" s="16">
        <v>71289</v>
      </c>
    </row>
    <row r="3896" spans="1:17" ht="43.2" x14ac:dyDescent="0.3">
      <c r="A3896" s="16" t="s">
        <v>7755</v>
      </c>
      <c r="B3896" s="16" t="s">
        <v>7757</v>
      </c>
      <c r="C3896" s="16" t="s">
        <v>7747</v>
      </c>
      <c r="D3896" s="16" t="s">
        <v>7597</v>
      </c>
      <c r="E3896" s="16" t="s">
        <v>3522</v>
      </c>
      <c r="F3896" s="16" t="s">
        <v>3523</v>
      </c>
      <c r="G3896" s="16" t="s">
        <v>32</v>
      </c>
      <c r="H3896" s="16" t="s">
        <v>372</v>
      </c>
      <c r="I3896" s="16"/>
      <c r="J3896" s="16" t="s">
        <v>106</v>
      </c>
      <c r="K3896" s="16"/>
      <c r="L3896" s="16"/>
      <c r="M3896" s="19" t="s">
        <v>3524</v>
      </c>
      <c r="N3896" s="16"/>
      <c r="O3896" s="16" t="s">
        <v>3525</v>
      </c>
      <c r="P3896" s="16" t="str">
        <f>HYPERLINK("https://ceds.ed.gov/cedselementdetails.aspx?termid=26324")</f>
        <v>https://ceds.ed.gov/cedselementdetails.aspx?termid=26324</v>
      </c>
      <c r="Q3896" s="16">
        <v>71333</v>
      </c>
    </row>
    <row r="3897" spans="1:17" ht="57.6" x14ac:dyDescent="0.3">
      <c r="A3897" s="16" t="s">
        <v>7755</v>
      </c>
      <c r="B3897" s="16" t="s">
        <v>7757</v>
      </c>
      <c r="C3897" s="16" t="s">
        <v>7747</v>
      </c>
      <c r="D3897" s="16" t="s">
        <v>7597</v>
      </c>
      <c r="E3897" s="16" t="s">
        <v>3531</v>
      </c>
      <c r="F3897" s="16" t="s">
        <v>3532</v>
      </c>
      <c r="G3897" s="16" t="s">
        <v>32</v>
      </c>
      <c r="H3897" s="16" t="s">
        <v>58</v>
      </c>
      <c r="I3897" s="16"/>
      <c r="J3897" s="16" t="s">
        <v>106</v>
      </c>
      <c r="K3897" s="16"/>
      <c r="L3897" s="16" t="s">
        <v>131</v>
      </c>
      <c r="M3897" s="19" t="s">
        <v>3533</v>
      </c>
      <c r="N3897" s="16"/>
      <c r="O3897" s="16" t="s">
        <v>3534</v>
      </c>
      <c r="P3897" s="16" t="str">
        <f>HYPERLINK("https://ceds.ed.gov/cedselementdetails.aspx?termid=26107")</f>
        <v>https://ceds.ed.gov/cedselementdetails.aspx?termid=26107</v>
      </c>
      <c r="Q3897" s="16">
        <v>71334</v>
      </c>
    </row>
    <row r="3898" spans="1:17" ht="144" x14ac:dyDescent="0.3">
      <c r="A3898" s="16" t="s">
        <v>7755</v>
      </c>
      <c r="B3898" s="16" t="s">
        <v>7757</v>
      </c>
      <c r="C3898" s="16" t="s">
        <v>7747</v>
      </c>
      <c r="D3898" s="16" t="s">
        <v>7597</v>
      </c>
      <c r="E3898" s="16" t="s">
        <v>4125</v>
      </c>
      <c r="F3898" s="16" t="s">
        <v>4126</v>
      </c>
      <c r="G3898" s="16" t="s">
        <v>8612</v>
      </c>
      <c r="H3898" s="16"/>
      <c r="I3898" s="16"/>
      <c r="J3898" s="16"/>
      <c r="K3898" s="16"/>
      <c r="L3898" s="16"/>
      <c r="M3898" s="19" t="s">
        <v>4127</v>
      </c>
      <c r="N3898" s="16"/>
      <c r="O3898" s="16" t="s">
        <v>4128</v>
      </c>
      <c r="P3898" s="16" t="str">
        <f>HYPERLINK("https://ceds.ed.gov/cedselementdetails.aspx?termid=26767")</f>
        <v>https://ceds.ed.gov/cedselementdetails.aspx?termid=26767</v>
      </c>
      <c r="Q3898" s="16">
        <v>71287</v>
      </c>
    </row>
    <row r="3899" spans="1:17" ht="43.2" x14ac:dyDescent="0.3">
      <c r="A3899" s="16" t="s">
        <v>7755</v>
      </c>
      <c r="B3899" s="16" t="s">
        <v>7757</v>
      </c>
      <c r="C3899" s="16" t="s">
        <v>7747</v>
      </c>
      <c r="D3899" s="16" t="s">
        <v>7597</v>
      </c>
      <c r="E3899" s="16" t="s">
        <v>6158</v>
      </c>
      <c r="F3899" s="16" t="s">
        <v>6159</v>
      </c>
      <c r="G3899" s="16" t="s">
        <v>32</v>
      </c>
      <c r="H3899" s="16"/>
      <c r="I3899" s="16"/>
      <c r="J3899" s="16" t="s">
        <v>3782</v>
      </c>
      <c r="K3899" s="16"/>
      <c r="L3899" s="16"/>
      <c r="M3899" s="19" t="s">
        <v>6160</v>
      </c>
      <c r="N3899" s="16"/>
      <c r="O3899" s="16" t="s">
        <v>6161</v>
      </c>
      <c r="P3899" s="16" t="str">
        <f>HYPERLINK("https://ceds.ed.gov/cedselementdetails.aspx?termid=26776")</f>
        <v>https://ceds.ed.gov/cedselementdetails.aspx?termid=26776</v>
      </c>
      <c r="Q3899" s="16">
        <v>71294</v>
      </c>
    </row>
    <row r="3900" spans="1:17" ht="244.8" x14ac:dyDescent="0.3">
      <c r="A3900" s="16" t="s">
        <v>7755</v>
      </c>
      <c r="B3900" s="16" t="s">
        <v>7757</v>
      </c>
      <c r="C3900" s="16" t="s">
        <v>7747</v>
      </c>
      <c r="D3900" s="16" t="s">
        <v>7597</v>
      </c>
      <c r="E3900" s="16" t="s">
        <v>1887</v>
      </c>
      <c r="F3900" s="16" t="s">
        <v>1888</v>
      </c>
      <c r="G3900" s="16" t="s">
        <v>8425</v>
      </c>
      <c r="H3900" s="16"/>
      <c r="I3900" s="16" t="s">
        <v>160</v>
      </c>
      <c r="J3900" s="16"/>
      <c r="K3900" s="16" t="s">
        <v>12935</v>
      </c>
      <c r="L3900" s="16" t="s">
        <v>7896</v>
      </c>
      <c r="M3900" s="19" t="s">
        <v>1889</v>
      </c>
      <c r="N3900" s="16"/>
      <c r="O3900" s="16" t="s">
        <v>1890</v>
      </c>
      <c r="P3900" s="16" t="str">
        <f>HYPERLINK("https://ceds.ed.gov/cedselementdetails.aspx?termid=27254")</f>
        <v>https://ceds.ed.gov/cedselementdetails.aspx?termid=27254</v>
      </c>
      <c r="Q3900" s="16">
        <v>73077</v>
      </c>
    </row>
    <row r="3901" spans="1:17" ht="72" x14ac:dyDescent="0.3">
      <c r="A3901" s="16" t="s">
        <v>7755</v>
      </c>
      <c r="B3901" s="16" t="s">
        <v>7757</v>
      </c>
      <c r="C3901" s="16" t="s">
        <v>7747</v>
      </c>
      <c r="D3901" s="16" t="s">
        <v>7597</v>
      </c>
      <c r="E3901" s="16" t="s">
        <v>1904</v>
      </c>
      <c r="F3901" s="16" t="s">
        <v>1905</v>
      </c>
      <c r="G3901" s="16" t="s">
        <v>22</v>
      </c>
      <c r="H3901" s="16"/>
      <c r="I3901" s="16"/>
      <c r="J3901" s="16"/>
      <c r="K3901" s="16"/>
      <c r="L3901" s="16"/>
      <c r="M3901" s="19" t="s">
        <v>1906</v>
      </c>
      <c r="N3901" s="16"/>
      <c r="O3901" s="16" t="s">
        <v>1907</v>
      </c>
      <c r="P3901" s="16" t="str">
        <f>HYPERLINK("https://ceds.ed.gov/cedselementdetails.aspx?termid=27257")</f>
        <v>https://ceds.ed.gov/cedselementdetails.aspx?termid=27257</v>
      </c>
      <c r="Q3901" s="16">
        <v>73085</v>
      </c>
    </row>
    <row r="3902" spans="1:17" ht="43.2" x14ac:dyDescent="0.3">
      <c r="A3902" s="16" t="s">
        <v>7755</v>
      </c>
      <c r="B3902" s="16" t="s">
        <v>7757</v>
      </c>
      <c r="C3902" s="16" t="s">
        <v>7747</v>
      </c>
      <c r="D3902" s="16" t="s">
        <v>7597</v>
      </c>
      <c r="E3902" s="16" t="s">
        <v>1908</v>
      </c>
      <c r="F3902" s="16" t="s">
        <v>1909</v>
      </c>
      <c r="G3902" s="16" t="s">
        <v>32</v>
      </c>
      <c r="H3902" s="16"/>
      <c r="I3902" s="16"/>
      <c r="J3902" s="16" t="s">
        <v>106</v>
      </c>
      <c r="K3902" s="16"/>
      <c r="L3902" s="16"/>
      <c r="M3902" s="19" t="s">
        <v>1910</v>
      </c>
      <c r="N3902" s="16"/>
      <c r="O3902" s="16" t="s">
        <v>1911</v>
      </c>
      <c r="P3902" s="16" t="str">
        <f>HYPERLINK("https://ceds.ed.gov/cedselementdetails.aspx?termid=27563")</f>
        <v>https://ceds.ed.gov/cedselementdetails.aspx?termid=27563</v>
      </c>
      <c r="Q3902" s="16">
        <v>74043</v>
      </c>
    </row>
    <row r="3903" spans="1:17" ht="57.6" x14ac:dyDescent="0.3">
      <c r="A3903" s="16" t="s">
        <v>7755</v>
      </c>
      <c r="B3903" s="16" t="s">
        <v>7757</v>
      </c>
      <c r="C3903" s="16" t="s">
        <v>7747</v>
      </c>
      <c r="D3903" s="16" t="s">
        <v>7597</v>
      </c>
      <c r="E3903" s="16" t="s">
        <v>1899</v>
      </c>
      <c r="F3903" s="16" t="s">
        <v>1900</v>
      </c>
      <c r="G3903" s="16" t="s">
        <v>32</v>
      </c>
      <c r="H3903" s="16"/>
      <c r="I3903" s="16"/>
      <c r="J3903" s="16" t="s">
        <v>106</v>
      </c>
      <c r="K3903" s="16"/>
      <c r="L3903" s="16" t="s">
        <v>131</v>
      </c>
      <c r="M3903" s="19" t="s">
        <v>1902</v>
      </c>
      <c r="N3903" s="16"/>
      <c r="O3903" s="16" t="s">
        <v>1903</v>
      </c>
      <c r="P3903" s="16" t="str">
        <f>HYPERLINK("https://ceds.ed.gov/cedselementdetails.aspx?termid=27562")</f>
        <v>https://ceds.ed.gov/cedselementdetails.aspx?termid=27562</v>
      </c>
      <c r="Q3903" s="16">
        <v>74038</v>
      </c>
    </row>
    <row r="3904" spans="1:17" ht="72" x14ac:dyDescent="0.3">
      <c r="A3904" s="16" t="s">
        <v>7755</v>
      </c>
      <c r="B3904" s="16" t="s">
        <v>7757</v>
      </c>
      <c r="C3904" s="16" t="s">
        <v>7747</v>
      </c>
      <c r="D3904" s="16" t="s">
        <v>7597</v>
      </c>
      <c r="E3904" s="16" t="s">
        <v>2468</v>
      </c>
      <c r="F3904" s="16" t="s">
        <v>2469</v>
      </c>
      <c r="G3904" s="16" t="s">
        <v>22</v>
      </c>
      <c r="H3904" s="16"/>
      <c r="I3904" s="16"/>
      <c r="J3904" s="16"/>
      <c r="K3904" s="16"/>
      <c r="L3904" s="16"/>
      <c r="M3904" s="19" t="s">
        <v>2470</v>
      </c>
      <c r="N3904" s="16"/>
      <c r="O3904" s="16" t="s">
        <v>2471</v>
      </c>
      <c r="P3904" s="16" t="str">
        <f>HYPERLINK("https://ceds.ed.gov/cedselementdetails.aspx?termid=27263")</f>
        <v>https://ceds.ed.gov/cedselementdetails.aspx?termid=27263</v>
      </c>
      <c r="Q3904" s="16">
        <v>73092</v>
      </c>
    </row>
    <row r="3905" spans="1:17" ht="86.4" x14ac:dyDescent="0.3">
      <c r="A3905" s="16" t="s">
        <v>7755</v>
      </c>
      <c r="B3905" s="16" t="s">
        <v>7757</v>
      </c>
      <c r="C3905" s="16" t="s">
        <v>7747</v>
      </c>
      <c r="D3905" s="16" t="s">
        <v>7597</v>
      </c>
      <c r="E3905" s="16" t="s">
        <v>2464</v>
      </c>
      <c r="F3905" s="16" t="s">
        <v>2465</v>
      </c>
      <c r="G3905" s="16" t="s">
        <v>8452</v>
      </c>
      <c r="H3905" s="16"/>
      <c r="I3905" s="16"/>
      <c r="J3905" s="16"/>
      <c r="K3905" s="16"/>
      <c r="L3905" s="16"/>
      <c r="M3905" s="19" t="s">
        <v>2466</v>
      </c>
      <c r="N3905" s="16"/>
      <c r="O3905" s="16" t="s">
        <v>2467</v>
      </c>
      <c r="P3905" s="16" t="str">
        <f>HYPERLINK("https://ceds.ed.gov/cedselementdetails.aspx?termid=27262")</f>
        <v>https://ceds.ed.gov/cedselementdetails.aspx?termid=27262</v>
      </c>
      <c r="Q3905" s="16">
        <v>73091</v>
      </c>
    </row>
    <row r="3906" spans="1:17" ht="331.2" x14ac:dyDescent="0.3">
      <c r="A3906" s="16" t="s">
        <v>7755</v>
      </c>
      <c r="B3906" s="16" t="s">
        <v>7757</v>
      </c>
      <c r="C3906" s="16" t="s">
        <v>7747</v>
      </c>
      <c r="D3906" s="16" t="s">
        <v>7597</v>
      </c>
      <c r="E3906" s="16" t="s">
        <v>3548</v>
      </c>
      <c r="F3906" s="16" t="s">
        <v>3549</v>
      </c>
      <c r="G3906" s="16" t="s">
        <v>8235</v>
      </c>
      <c r="H3906" s="16" t="s">
        <v>1863</v>
      </c>
      <c r="I3906" s="16"/>
      <c r="J3906" s="16"/>
      <c r="K3906" s="16"/>
      <c r="L3906" s="16"/>
      <c r="M3906" s="19" t="s">
        <v>3551</v>
      </c>
      <c r="N3906" s="16"/>
      <c r="O3906" s="16" t="s">
        <v>3552</v>
      </c>
      <c r="P3906" s="16" t="str">
        <f>HYPERLINK("https://ceds.ed.gov/cedselementdetails.aspx?termid=26100")</f>
        <v>https://ceds.ed.gov/cedselementdetails.aspx?termid=26100</v>
      </c>
      <c r="Q3906" s="16">
        <v>73157</v>
      </c>
    </row>
    <row r="3907" spans="1:17" ht="331.2" x14ac:dyDescent="0.3">
      <c r="A3907" s="16" t="s">
        <v>7755</v>
      </c>
      <c r="B3907" s="16" t="s">
        <v>7757</v>
      </c>
      <c r="C3907" s="16" t="s">
        <v>7747</v>
      </c>
      <c r="D3907" s="16" t="s">
        <v>7597</v>
      </c>
      <c r="E3907" s="16" t="s">
        <v>3557</v>
      </c>
      <c r="F3907" s="16" t="s">
        <v>3558</v>
      </c>
      <c r="G3907" s="16" t="s">
        <v>8235</v>
      </c>
      <c r="H3907" s="16"/>
      <c r="I3907" s="16"/>
      <c r="J3907" s="16"/>
      <c r="K3907" s="16"/>
      <c r="L3907" s="16"/>
      <c r="M3907" s="19" t="s">
        <v>3559</v>
      </c>
      <c r="N3907" s="16"/>
      <c r="O3907" s="16" t="s">
        <v>3560</v>
      </c>
      <c r="P3907" s="16" t="str">
        <f>HYPERLINK("https://ceds.ed.gov/cedselementdetails.aspx?termid=27177")</f>
        <v>https://ceds.ed.gov/cedselementdetails.aspx?termid=27177</v>
      </c>
      <c r="Q3907" s="16">
        <v>73158</v>
      </c>
    </row>
    <row r="3908" spans="1:17" ht="43.2" x14ac:dyDescent="0.3">
      <c r="A3908" s="16" t="s">
        <v>7755</v>
      </c>
      <c r="B3908" s="16" t="s">
        <v>7757</v>
      </c>
      <c r="C3908" s="16" t="s">
        <v>7747</v>
      </c>
      <c r="D3908" s="16" t="s">
        <v>7597</v>
      </c>
      <c r="E3908" s="16" t="s">
        <v>4723</v>
      </c>
      <c r="F3908" s="16" t="s">
        <v>4724</v>
      </c>
      <c r="G3908" s="16" t="s">
        <v>32</v>
      </c>
      <c r="H3908" s="16" t="s">
        <v>4728</v>
      </c>
      <c r="I3908" s="16"/>
      <c r="J3908" s="16" t="s">
        <v>1481</v>
      </c>
      <c r="K3908" s="16"/>
      <c r="L3908" s="16"/>
      <c r="M3908" s="19" t="s">
        <v>4726</v>
      </c>
      <c r="N3908" s="16"/>
      <c r="O3908" s="16" t="s">
        <v>4727</v>
      </c>
      <c r="P3908" s="16" t="str">
        <f>HYPERLINK("https://ceds.ed.gov/cedselementdetails.aspx?termid=26361")</f>
        <v>https://ceds.ed.gov/cedselementdetails.aspx?termid=26361</v>
      </c>
      <c r="Q3908" s="16">
        <v>73230</v>
      </c>
    </row>
    <row r="3909" spans="1:17" ht="28.8" x14ac:dyDescent="0.3">
      <c r="A3909" s="16" t="s">
        <v>7755</v>
      </c>
      <c r="B3909" s="16" t="s">
        <v>7757</v>
      </c>
      <c r="C3909" s="16" t="s">
        <v>7747</v>
      </c>
      <c r="D3909" s="16" t="s">
        <v>7597</v>
      </c>
      <c r="E3909" s="16" t="s">
        <v>6057</v>
      </c>
      <c r="F3909" s="16" t="s">
        <v>6058</v>
      </c>
      <c r="G3909" s="16" t="s">
        <v>32</v>
      </c>
      <c r="H3909" s="16"/>
      <c r="I3909" s="16" t="s">
        <v>160</v>
      </c>
      <c r="J3909" s="16" t="s">
        <v>101</v>
      </c>
      <c r="K3909" s="16" t="s">
        <v>12935</v>
      </c>
      <c r="L3909" s="16"/>
      <c r="M3909" s="19" t="s">
        <v>6059</v>
      </c>
      <c r="N3909" s="16"/>
      <c r="O3909" s="16" t="s">
        <v>6060</v>
      </c>
      <c r="P3909" s="16" t="str">
        <f>HYPERLINK("https://ceds.ed.gov/cedselementdetails.aspx?termid=27909")</f>
        <v>https://ceds.ed.gov/cedselementdetails.aspx?termid=27909</v>
      </c>
      <c r="Q3909" s="16">
        <v>75227</v>
      </c>
    </row>
    <row r="3910" spans="1:17" ht="115.2" x14ac:dyDescent="0.3">
      <c r="A3910" s="16" t="s">
        <v>7755</v>
      </c>
      <c r="B3910" s="16" t="s">
        <v>7757</v>
      </c>
      <c r="C3910" s="16" t="s">
        <v>7747</v>
      </c>
      <c r="D3910" s="16" t="s">
        <v>7597</v>
      </c>
      <c r="E3910" s="16" t="s">
        <v>7315</v>
      </c>
      <c r="F3910" s="16" t="s">
        <v>7316</v>
      </c>
      <c r="G3910" s="16" t="s">
        <v>2987</v>
      </c>
      <c r="H3910" s="16"/>
      <c r="I3910" s="16"/>
      <c r="J3910" s="16"/>
      <c r="K3910" s="16"/>
      <c r="L3910" s="16"/>
      <c r="M3910" s="19" t="s">
        <v>7317</v>
      </c>
      <c r="N3910" s="16"/>
      <c r="O3910" s="16" t="s">
        <v>7318</v>
      </c>
      <c r="P3910" s="16" t="str">
        <f>HYPERLINK("https://ceds.ed.gov/cedselementdetails.aspx?termid=27912")</f>
        <v>https://ceds.ed.gov/cedselementdetails.aspx?termid=27912</v>
      </c>
      <c r="Q3910" s="16">
        <v>75471</v>
      </c>
    </row>
    <row r="3911" spans="1:17" ht="86.4" x14ac:dyDescent="0.3">
      <c r="A3911" s="16" t="s">
        <v>7755</v>
      </c>
      <c r="B3911" s="16" t="s">
        <v>7757</v>
      </c>
      <c r="C3911" s="16" t="s">
        <v>7747</v>
      </c>
      <c r="D3911" s="16" t="s">
        <v>7597</v>
      </c>
      <c r="E3911" s="16" t="s">
        <v>7319</v>
      </c>
      <c r="F3911" s="16" t="s">
        <v>7320</v>
      </c>
      <c r="G3911" s="16" t="s">
        <v>2987</v>
      </c>
      <c r="H3911" s="16"/>
      <c r="I3911" s="16"/>
      <c r="J3911" s="16"/>
      <c r="K3911" s="16"/>
      <c r="L3911" s="16"/>
      <c r="M3911" s="19" t="s">
        <v>7321</v>
      </c>
      <c r="N3911" s="16"/>
      <c r="O3911" s="16" t="s">
        <v>7322</v>
      </c>
      <c r="P3911" s="16" t="str">
        <f>HYPERLINK("https://ceds.ed.gov/cedselementdetails.aspx?termid=27913")</f>
        <v>https://ceds.ed.gov/cedselementdetails.aspx?termid=27913</v>
      </c>
      <c r="Q3911" s="16">
        <v>75472</v>
      </c>
    </row>
    <row r="3912" spans="1:17" ht="129.6" x14ac:dyDescent="0.3">
      <c r="A3912" s="16" t="s">
        <v>7755</v>
      </c>
      <c r="B3912" s="16" t="s">
        <v>7757</v>
      </c>
      <c r="C3912" s="16" t="s">
        <v>7747</v>
      </c>
      <c r="D3912" s="16" t="s">
        <v>7597</v>
      </c>
      <c r="E3912" s="16" t="s">
        <v>7323</v>
      </c>
      <c r="F3912" s="16" t="s">
        <v>7324</v>
      </c>
      <c r="G3912" s="16" t="s">
        <v>2987</v>
      </c>
      <c r="H3912" s="16"/>
      <c r="I3912" s="16"/>
      <c r="J3912" s="16"/>
      <c r="K3912" s="16"/>
      <c r="L3912" s="16"/>
      <c r="M3912" s="19" t="s">
        <v>7325</v>
      </c>
      <c r="N3912" s="16"/>
      <c r="O3912" s="16" t="s">
        <v>7326</v>
      </c>
      <c r="P3912" s="16" t="str">
        <f>HYPERLINK("https://ceds.ed.gov/cedselementdetails.aspx?termid=27914")</f>
        <v>https://ceds.ed.gov/cedselementdetails.aspx?termid=27914</v>
      </c>
      <c r="Q3912" s="16">
        <v>75473</v>
      </c>
    </row>
    <row r="3913" spans="1:17" ht="201.6" x14ac:dyDescent="0.3">
      <c r="A3913" s="16" t="s">
        <v>7755</v>
      </c>
      <c r="B3913" s="16" t="s">
        <v>7757</v>
      </c>
      <c r="C3913" s="16" t="s">
        <v>7747</v>
      </c>
      <c r="D3913" s="16" t="s">
        <v>7597</v>
      </c>
      <c r="E3913" s="16" t="s">
        <v>7327</v>
      </c>
      <c r="F3913" s="16" t="s">
        <v>7328</v>
      </c>
      <c r="G3913" s="16" t="s">
        <v>8306</v>
      </c>
      <c r="H3913" s="16"/>
      <c r="I3913" s="16"/>
      <c r="J3913" s="16"/>
      <c r="K3913" s="16"/>
      <c r="L3913" s="16"/>
      <c r="M3913" s="19" t="s">
        <v>7329</v>
      </c>
      <c r="N3913" s="16"/>
      <c r="O3913" s="16" t="s">
        <v>7330</v>
      </c>
      <c r="P3913" s="16" t="str">
        <f>HYPERLINK("https://ceds.ed.gov/cedselementdetails.aspx?termid=27915")</f>
        <v>https://ceds.ed.gov/cedselementdetails.aspx?termid=27915</v>
      </c>
      <c r="Q3913" s="16">
        <v>75474</v>
      </c>
    </row>
    <row r="3914" spans="1:17" ht="43.2" x14ac:dyDescent="0.3">
      <c r="A3914" s="16" t="s">
        <v>7755</v>
      </c>
      <c r="B3914" s="16" t="s">
        <v>7757</v>
      </c>
      <c r="C3914" s="16" t="s">
        <v>7747</v>
      </c>
      <c r="D3914" s="16" t="s">
        <v>7597</v>
      </c>
      <c r="E3914" s="16" t="s">
        <v>369</v>
      </c>
      <c r="F3914" s="16" t="s">
        <v>7829</v>
      </c>
      <c r="G3914" s="16" t="s">
        <v>32</v>
      </c>
      <c r="H3914" s="16" t="s">
        <v>372</v>
      </c>
      <c r="I3914" s="16"/>
      <c r="J3914" s="16" t="s">
        <v>106</v>
      </c>
      <c r="K3914" s="16"/>
      <c r="L3914" s="16"/>
      <c r="M3914" s="19" t="s">
        <v>370</v>
      </c>
      <c r="N3914" s="16"/>
      <c r="O3914" s="16" t="s">
        <v>371</v>
      </c>
      <c r="P3914" s="16" t="str">
        <f>HYPERLINK("https://ceds.ed.gov/cedselementdetails.aspx?termid=26323")</f>
        <v>https://ceds.ed.gov/cedselementdetails.aspx?termid=26323</v>
      </c>
      <c r="Q3914" s="16">
        <v>75475</v>
      </c>
    </row>
    <row r="3915" spans="1:17" ht="230.4" x14ac:dyDescent="0.3">
      <c r="A3915" s="16" t="s">
        <v>7755</v>
      </c>
      <c r="B3915" s="16" t="s">
        <v>7757</v>
      </c>
      <c r="C3915" s="16" t="s">
        <v>7747</v>
      </c>
      <c r="D3915" s="16" t="s">
        <v>7597</v>
      </c>
      <c r="E3915" s="16" t="s">
        <v>7543</v>
      </c>
      <c r="F3915" s="16" t="s">
        <v>7544</v>
      </c>
      <c r="G3915" s="16" t="s">
        <v>13093</v>
      </c>
      <c r="H3915" s="16"/>
      <c r="I3915" s="16" t="s">
        <v>160</v>
      </c>
      <c r="J3915" s="16"/>
      <c r="K3915" s="16" t="s">
        <v>12951</v>
      </c>
      <c r="L3915" s="16"/>
      <c r="M3915" s="19" t="s">
        <v>7545</v>
      </c>
      <c r="N3915" s="16"/>
      <c r="O3915" s="16" t="s">
        <v>7543</v>
      </c>
      <c r="P3915" s="16" t="str">
        <f>HYPERLINK("https://ceds.ed.gov/cedselementdetails.aspx?termid=27959")</f>
        <v>https://ceds.ed.gov/cedselementdetails.aspx?termid=27959</v>
      </c>
      <c r="Q3915" s="16">
        <v>75476</v>
      </c>
    </row>
    <row r="3916" spans="1:17" ht="230.4" x14ac:dyDescent="0.3">
      <c r="A3916" s="16" t="s">
        <v>7755</v>
      </c>
      <c r="B3916" s="16" t="s">
        <v>7757</v>
      </c>
      <c r="C3916" s="16" t="s">
        <v>7747</v>
      </c>
      <c r="D3916" s="16" t="s">
        <v>7597</v>
      </c>
      <c r="E3916" s="16" t="s">
        <v>7584</v>
      </c>
      <c r="F3916" s="16" t="s">
        <v>7585</v>
      </c>
      <c r="G3916" s="16" t="s">
        <v>9347</v>
      </c>
      <c r="H3916" s="16"/>
      <c r="I3916" s="16"/>
      <c r="J3916" s="16"/>
      <c r="K3916" s="16"/>
      <c r="L3916" s="16"/>
      <c r="M3916" s="19" t="s">
        <v>7586</v>
      </c>
      <c r="N3916" s="16"/>
      <c r="O3916" s="16" t="s">
        <v>7587</v>
      </c>
      <c r="P3916" s="16" t="str">
        <f>HYPERLINK("https://ceds.ed.gov/cedselementdetails.aspx?termid=27969")</f>
        <v>https://ceds.ed.gov/cedselementdetails.aspx?termid=27969</v>
      </c>
      <c r="Q3916" s="16">
        <v>75477</v>
      </c>
    </row>
    <row r="3917" spans="1:17" ht="100.8" x14ac:dyDescent="0.3">
      <c r="A3917" s="16" t="s">
        <v>7755</v>
      </c>
      <c r="B3917" s="16" t="s">
        <v>7757</v>
      </c>
      <c r="C3917" s="16" t="s">
        <v>7747</v>
      </c>
      <c r="D3917" s="16" t="s">
        <v>7597</v>
      </c>
      <c r="E3917" s="16" t="s">
        <v>7588</v>
      </c>
      <c r="F3917" s="16" t="s">
        <v>7589</v>
      </c>
      <c r="G3917" s="16" t="s">
        <v>2987</v>
      </c>
      <c r="H3917" s="16"/>
      <c r="I3917" s="16"/>
      <c r="J3917" s="16"/>
      <c r="K3917" s="16"/>
      <c r="L3917" s="16"/>
      <c r="M3917" s="19" t="s">
        <v>7590</v>
      </c>
      <c r="N3917" s="16"/>
      <c r="O3917" s="16" t="s">
        <v>7591</v>
      </c>
      <c r="P3917" s="16" t="str">
        <f>HYPERLINK("https://ceds.ed.gov/cedselementdetails.aspx?termid=27970")</f>
        <v>https://ceds.ed.gov/cedselementdetails.aspx?termid=27970</v>
      </c>
      <c r="Q3917" s="16">
        <v>75478</v>
      </c>
    </row>
    <row r="3918" spans="1:17" ht="273.60000000000002" x14ac:dyDescent="0.3">
      <c r="A3918" s="16" t="s">
        <v>7755</v>
      </c>
      <c r="B3918" s="16" t="s">
        <v>7757</v>
      </c>
      <c r="C3918" s="16" t="s">
        <v>7747</v>
      </c>
      <c r="D3918" s="16" t="s">
        <v>7597</v>
      </c>
      <c r="E3918" s="16" t="s">
        <v>7592</v>
      </c>
      <c r="F3918" s="16" t="s">
        <v>7593</v>
      </c>
      <c r="G3918" s="16" t="s">
        <v>2987</v>
      </c>
      <c r="H3918" s="16"/>
      <c r="I3918" s="16"/>
      <c r="J3918" s="16"/>
      <c r="K3918" s="16"/>
      <c r="L3918" s="16"/>
      <c r="M3918" s="19" t="s">
        <v>7594</v>
      </c>
      <c r="N3918" s="16"/>
      <c r="O3918" s="16" t="s">
        <v>7595</v>
      </c>
      <c r="P3918" s="16" t="str">
        <f>HYPERLINK("https://ceds.ed.gov/cedselementdetails.aspx?termid=27971")</f>
        <v>https://ceds.ed.gov/cedselementdetails.aspx?termid=27971</v>
      </c>
      <c r="Q3918" s="16">
        <v>75479</v>
      </c>
    </row>
    <row r="3919" spans="1:17" ht="100.8" x14ac:dyDescent="0.3">
      <c r="A3919" s="16" t="s">
        <v>7755</v>
      </c>
      <c r="B3919" s="16" t="s">
        <v>7757</v>
      </c>
      <c r="C3919" s="16" t="s">
        <v>7640</v>
      </c>
      <c r="D3919" s="16" t="s">
        <v>7597</v>
      </c>
      <c r="E3919" s="16" t="s">
        <v>4849</v>
      </c>
      <c r="F3919" s="16" t="s">
        <v>13082</v>
      </c>
      <c r="G3919" s="16" t="s">
        <v>7313</v>
      </c>
      <c r="H3919" s="16" t="s">
        <v>4851</v>
      </c>
      <c r="I3919" s="16" t="s">
        <v>160</v>
      </c>
      <c r="J3919" s="16"/>
      <c r="K3919" s="16" t="s">
        <v>12946</v>
      </c>
      <c r="L3919" s="16"/>
      <c r="M3919" s="19" t="s">
        <v>4850</v>
      </c>
      <c r="N3919" s="16"/>
      <c r="O3919" s="16"/>
      <c r="P3919" s="16" t="str">
        <f>HYPERLINK("https://ceds.ed.gov/cedselementdetails.aspx?termid=26317")</f>
        <v>https://ceds.ed.gov/cedselementdetails.aspx?termid=26317</v>
      </c>
      <c r="Q3919" s="16">
        <v>75223</v>
      </c>
    </row>
    <row r="3920" spans="1:17" ht="129.6" x14ac:dyDescent="0.3">
      <c r="A3920" s="16" t="s">
        <v>7755</v>
      </c>
      <c r="B3920" s="16" t="s">
        <v>7757</v>
      </c>
      <c r="C3920" s="16" t="s">
        <v>7640</v>
      </c>
      <c r="D3920" s="16" t="s">
        <v>7597</v>
      </c>
      <c r="E3920" s="16" t="s">
        <v>4852</v>
      </c>
      <c r="F3920" s="16" t="s">
        <v>13083</v>
      </c>
      <c r="G3920" s="16" t="s">
        <v>7313</v>
      </c>
      <c r="H3920" s="16"/>
      <c r="I3920" s="16" t="s">
        <v>160</v>
      </c>
      <c r="J3920" s="16"/>
      <c r="K3920" s="16" t="s">
        <v>12947</v>
      </c>
      <c r="L3920" s="16" t="s">
        <v>13084</v>
      </c>
      <c r="M3920" s="19" t="s">
        <v>4853</v>
      </c>
      <c r="N3920" s="16"/>
      <c r="O3920" s="16"/>
      <c r="P3920" s="16" t="str">
        <f>HYPERLINK("https://ceds.ed.gov/cedselementdetails.aspx?termid=27618")</f>
        <v>https://ceds.ed.gov/cedselementdetails.aspx?termid=27618</v>
      </c>
      <c r="Q3920" s="16">
        <v>75224</v>
      </c>
    </row>
    <row r="3921" spans="1:17" ht="409.6" x14ac:dyDescent="0.3">
      <c r="A3921" s="16" t="s">
        <v>7755</v>
      </c>
      <c r="B3921" s="16" t="s">
        <v>7757</v>
      </c>
      <c r="C3921" s="16" t="s">
        <v>7640</v>
      </c>
      <c r="D3921" s="16" t="s">
        <v>7597</v>
      </c>
      <c r="E3921" s="16" t="s">
        <v>4854</v>
      </c>
      <c r="F3921" s="16" t="s">
        <v>13085</v>
      </c>
      <c r="G3921" s="16" t="s">
        <v>8683</v>
      </c>
      <c r="H3921" s="16"/>
      <c r="I3921" s="16" t="s">
        <v>160</v>
      </c>
      <c r="J3921" s="16"/>
      <c r="K3921" s="16" t="s">
        <v>12948</v>
      </c>
      <c r="L3921" s="16" t="s">
        <v>13086</v>
      </c>
      <c r="M3921" s="19" t="s">
        <v>4855</v>
      </c>
      <c r="N3921" s="16"/>
      <c r="O3921" s="16"/>
      <c r="P3921" s="16" t="str">
        <f>HYPERLINK("https://ceds.ed.gov/cedselementdetails.aspx?termid=27619")</f>
        <v>https://ceds.ed.gov/cedselementdetails.aspx?termid=27619</v>
      </c>
      <c r="Q3921" s="16">
        <v>75225</v>
      </c>
    </row>
    <row r="3922" spans="1:17" ht="43.2" x14ac:dyDescent="0.3">
      <c r="A3922" s="16" t="s">
        <v>7755</v>
      </c>
      <c r="B3922" s="16" t="s">
        <v>7757</v>
      </c>
      <c r="C3922" s="16" t="s">
        <v>7640</v>
      </c>
      <c r="D3922" s="16" t="s">
        <v>7597</v>
      </c>
      <c r="E3922" s="16" t="s">
        <v>4886</v>
      </c>
      <c r="F3922" s="16" t="s">
        <v>4887</v>
      </c>
      <c r="G3922" s="16" t="s">
        <v>13005</v>
      </c>
      <c r="H3922" s="16"/>
      <c r="I3922" s="16"/>
      <c r="J3922" s="16"/>
      <c r="K3922" s="16"/>
      <c r="L3922" s="16"/>
      <c r="M3922" s="19"/>
      <c r="N3922" s="16"/>
      <c r="O3922" s="16"/>
      <c r="P3922" s="16"/>
      <c r="Q3922" s="16"/>
    </row>
    <row r="3923" spans="1:17" x14ac:dyDescent="0.3">
      <c r="A3923" s="16"/>
      <c r="B3923" s="16"/>
      <c r="C3923" s="16"/>
      <c r="D3923" s="16"/>
      <c r="E3923" s="16"/>
      <c r="F3923" s="16"/>
      <c r="G3923" s="16"/>
      <c r="H3923" s="16"/>
      <c r="I3923" s="16"/>
      <c r="J3923" s="16"/>
      <c r="K3923" s="16"/>
      <c r="L3923" s="16"/>
      <c r="M3923" s="19"/>
      <c r="N3923" s="16"/>
      <c r="O3923" s="16"/>
      <c r="P3923" s="16"/>
      <c r="Q3923" s="16"/>
    </row>
    <row r="3924" spans="1:17" ht="144" x14ac:dyDescent="0.3">
      <c r="A3924" s="16"/>
      <c r="B3924" s="16" t="s">
        <v>13051</v>
      </c>
      <c r="C3924" s="16" t="s">
        <v>4851</v>
      </c>
      <c r="D3924" s="16"/>
      <c r="E3924" s="16"/>
      <c r="F3924" s="16"/>
      <c r="G3924" s="16"/>
      <c r="H3924" s="16">
        <v>316</v>
      </c>
      <c r="I3924" s="16"/>
      <c r="J3924" s="16" t="s">
        <v>4888</v>
      </c>
      <c r="K3924" s="16" t="str">
        <f>HYPERLINK("https://ceds.ed.gov/cedselementdetails.aspx?termid=26316")</f>
        <v>https://ceds.ed.gov/cedselementdetails.aspx?termid=26316</v>
      </c>
      <c r="L3924" s="16">
        <v>75226</v>
      </c>
      <c r="M3924" s="19"/>
      <c r="N3924" s="16"/>
      <c r="O3924" s="16"/>
      <c r="P3924" s="16"/>
      <c r="Q3924" s="16"/>
    </row>
    <row r="3925" spans="1:17" ht="409.6" x14ac:dyDescent="0.3">
      <c r="A3925" s="16" t="s">
        <v>7755</v>
      </c>
      <c r="B3925" s="16" t="s">
        <v>7757</v>
      </c>
      <c r="C3925" s="16" t="s">
        <v>7652</v>
      </c>
      <c r="D3925" s="16" t="s">
        <v>7597</v>
      </c>
      <c r="E3925" s="16" t="s">
        <v>5751</v>
      </c>
      <c r="F3925" s="16" t="s">
        <v>5752</v>
      </c>
      <c r="G3925" s="16" t="s">
        <v>8753</v>
      </c>
      <c r="H3925" s="16" t="s">
        <v>1516</v>
      </c>
      <c r="I3925" s="16"/>
      <c r="J3925" s="16"/>
      <c r="K3925" s="16"/>
      <c r="L3925" s="16" t="s">
        <v>5753</v>
      </c>
      <c r="M3925" s="19" t="s">
        <v>5754</v>
      </c>
      <c r="N3925" s="16"/>
      <c r="O3925" s="16" t="s">
        <v>5755</v>
      </c>
      <c r="P3925" s="16" t="str">
        <f>HYPERLINK("https://ceds.ed.gov/cedselementdetails.aspx?termid=26415")</f>
        <v>https://ceds.ed.gov/cedselementdetails.aspx?termid=26415</v>
      </c>
      <c r="Q3925" s="16">
        <v>75228</v>
      </c>
    </row>
    <row r="3926" spans="1:17" ht="57.6" x14ac:dyDescent="0.3">
      <c r="A3926" s="16" t="s">
        <v>7755</v>
      </c>
      <c r="B3926" s="16" t="s">
        <v>7757</v>
      </c>
      <c r="C3926" s="16" t="s">
        <v>7653</v>
      </c>
      <c r="D3926" s="16" t="s">
        <v>7597</v>
      </c>
      <c r="E3926" s="16" t="s">
        <v>7446</v>
      </c>
      <c r="F3926" s="16" t="s">
        <v>7447</v>
      </c>
      <c r="G3926" s="16" t="s">
        <v>32</v>
      </c>
      <c r="H3926" s="16"/>
      <c r="I3926" s="16"/>
      <c r="J3926" s="16" t="s">
        <v>136</v>
      </c>
      <c r="K3926" s="16"/>
      <c r="L3926" s="16" t="s">
        <v>7448</v>
      </c>
      <c r="M3926" s="19" t="s">
        <v>7449</v>
      </c>
      <c r="N3926" s="16"/>
      <c r="O3926" s="16" t="s">
        <v>7450</v>
      </c>
      <c r="P3926" s="16" t="str">
        <f>HYPERLINK("https://ceds.ed.gov/cedselementdetails.aspx?termid=27938")</f>
        <v>https://ceds.ed.gov/cedselementdetails.aspx?termid=27938</v>
      </c>
      <c r="Q3926" s="16">
        <v>75466</v>
      </c>
    </row>
    <row r="3927" spans="1:17" ht="43.2" x14ac:dyDescent="0.3">
      <c r="A3927" s="16" t="s">
        <v>7755</v>
      </c>
      <c r="B3927" s="16" t="s">
        <v>7757</v>
      </c>
      <c r="C3927" s="16" t="s">
        <v>7653</v>
      </c>
      <c r="D3927" s="16" t="s">
        <v>7597</v>
      </c>
      <c r="E3927" s="16" t="s">
        <v>7456</v>
      </c>
      <c r="F3927" s="16" t="s">
        <v>7457</v>
      </c>
      <c r="G3927" s="16" t="s">
        <v>32</v>
      </c>
      <c r="H3927" s="16"/>
      <c r="I3927" s="16"/>
      <c r="J3927" s="16" t="s">
        <v>812</v>
      </c>
      <c r="K3927" s="16"/>
      <c r="L3927" s="16" t="s">
        <v>7458</v>
      </c>
      <c r="M3927" s="19" t="s">
        <v>7459</v>
      </c>
      <c r="N3927" s="16"/>
      <c r="O3927" s="16" t="s">
        <v>7460</v>
      </c>
      <c r="P3927" s="16" t="str">
        <f>HYPERLINK("https://ceds.ed.gov/cedselementdetails.aspx?termid=27940")</f>
        <v>https://ceds.ed.gov/cedselementdetails.aspx?termid=27940</v>
      </c>
      <c r="Q3927" s="16">
        <v>75467</v>
      </c>
    </row>
    <row r="3928" spans="1:17" ht="57.6" x14ac:dyDescent="0.3">
      <c r="A3928" s="16" t="s">
        <v>7755</v>
      </c>
      <c r="B3928" s="16" t="s">
        <v>7757</v>
      </c>
      <c r="C3928" s="16" t="s">
        <v>7653</v>
      </c>
      <c r="D3928" s="16" t="s">
        <v>7597</v>
      </c>
      <c r="E3928" s="16" t="s">
        <v>7461</v>
      </c>
      <c r="F3928" s="16" t="s">
        <v>7462</v>
      </c>
      <c r="G3928" s="16" t="s">
        <v>32</v>
      </c>
      <c r="H3928" s="16"/>
      <c r="I3928" s="16"/>
      <c r="J3928" s="16" t="s">
        <v>136</v>
      </c>
      <c r="K3928" s="16"/>
      <c r="L3928" s="16" t="s">
        <v>7463</v>
      </c>
      <c r="M3928" s="19" t="s">
        <v>7464</v>
      </c>
      <c r="N3928" s="16"/>
      <c r="O3928" s="16" t="s">
        <v>7465</v>
      </c>
      <c r="P3928" s="16" t="str">
        <f>HYPERLINK("https://ceds.ed.gov/cedselementdetails.aspx?termid=27941")</f>
        <v>https://ceds.ed.gov/cedselementdetails.aspx?termid=27941</v>
      </c>
      <c r="Q3928" s="16">
        <v>75468</v>
      </c>
    </row>
    <row r="3929" spans="1:17" ht="72" x14ac:dyDescent="0.3">
      <c r="A3929" s="16" t="s">
        <v>7755</v>
      </c>
      <c r="B3929" s="16" t="s">
        <v>7757</v>
      </c>
      <c r="C3929" s="16" t="s">
        <v>9412</v>
      </c>
      <c r="D3929" s="16" t="s">
        <v>7597</v>
      </c>
      <c r="E3929" s="16" t="s">
        <v>9312</v>
      </c>
      <c r="F3929" s="16" t="s">
        <v>9313</v>
      </c>
      <c r="G3929" s="16" t="s">
        <v>9325</v>
      </c>
      <c r="H3929" s="16"/>
      <c r="I3929" s="16"/>
      <c r="J3929" s="16"/>
      <c r="K3929" s="16"/>
      <c r="L3929" s="16"/>
      <c r="M3929" s="19" t="s">
        <v>5394</v>
      </c>
      <c r="N3929" s="16"/>
      <c r="O3929" s="16" t="s">
        <v>9314</v>
      </c>
      <c r="P3929" s="16" t="str">
        <f>HYPERLINK("https://ceds.ed.gov/cedselementdetails.aspx?termid=27556")</f>
        <v>https://ceds.ed.gov/cedselementdetails.aspx?termid=27556</v>
      </c>
      <c r="Q3929" s="16">
        <v>75984</v>
      </c>
    </row>
    <row r="3930" spans="1:17" ht="144" x14ac:dyDescent="0.3">
      <c r="A3930" s="16" t="s">
        <v>7755</v>
      </c>
      <c r="B3930" s="16" t="s">
        <v>7757</v>
      </c>
      <c r="C3930" s="16" t="s">
        <v>9412</v>
      </c>
      <c r="D3930" s="16" t="s">
        <v>7597</v>
      </c>
      <c r="E3930" s="16" t="s">
        <v>9087</v>
      </c>
      <c r="F3930" s="16" t="s">
        <v>9088</v>
      </c>
      <c r="G3930" s="16" t="s">
        <v>9298</v>
      </c>
      <c r="H3930" s="16"/>
      <c r="I3930" s="16"/>
      <c r="J3930" s="16" t="s">
        <v>2</v>
      </c>
      <c r="K3930" s="16"/>
      <c r="L3930" s="16" t="s">
        <v>9089</v>
      </c>
      <c r="M3930" s="19" t="s">
        <v>9090</v>
      </c>
      <c r="N3930" s="16"/>
      <c r="O3930" s="16" t="s">
        <v>9091</v>
      </c>
      <c r="P3930" s="16" t="str">
        <f>HYPERLINK("https://ceds.ed.gov/cedselementdetails.aspx?termid=28047")</f>
        <v>https://ceds.ed.gov/cedselementdetails.aspx?termid=28047</v>
      </c>
      <c r="Q3930" s="16">
        <v>75985</v>
      </c>
    </row>
    <row r="3931" spans="1:17" ht="409.6" x14ac:dyDescent="0.3">
      <c r="A3931" s="16" t="s">
        <v>7755</v>
      </c>
      <c r="B3931" s="16" t="s">
        <v>7757</v>
      </c>
      <c r="C3931" s="16" t="s">
        <v>9412</v>
      </c>
      <c r="D3931" s="16" t="s">
        <v>7597</v>
      </c>
      <c r="E3931" s="16" t="s">
        <v>9092</v>
      </c>
      <c r="F3931" s="16" t="s">
        <v>9093</v>
      </c>
      <c r="G3931" s="16" t="s">
        <v>9299</v>
      </c>
      <c r="H3931" s="16"/>
      <c r="I3931" s="16"/>
      <c r="J3931" s="16" t="s">
        <v>2</v>
      </c>
      <c r="K3931" s="16"/>
      <c r="L3931" s="16" t="s">
        <v>9094</v>
      </c>
      <c r="M3931" s="19" t="s">
        <v>9095</v>
      </c>
      <c r="N3931" s="16"/>
      <c r="O3931" s="16" t="s">
        <v>9096</v>
      </c>
      <c r="P3931" s="16" t="str">
        <f>HYPERLINK("https://ceds.ed.gov/cedselementdetails.aspx?termid=28048")</f>
        <v>https://ceds.ed.gov/cedselementdetails.aspx?termid=28048</v>
      </c>
      <c r="Q3931" s="16">
        <v>75986</v>
      </c>
    </row>
    <row r="3932" spans="1:17" ht="100.8" x14ac:dyDescent="0.3">
      <c r="A3932" s="16" t="s">
        <v>7755</v>
      </c>
      <c r="B3932" s="16" t="s">
        <v>7757</v>
      </c>
      <c r="C3932" s="16" t="s">
        <v>9412</v>
      </c>
      <c r="D3932" s="16" t="s">
        <v>7597</v>
      </c>
      <c r="E3932" s="16" t="s">
        <v>9097</v>
      </c>
      <c r="F3932" s="16" t="s">
        <v>9098</v>
      </c>
      <c r="G3932" s="16" t="s">
        <v>32</v>
      </c>
      <c r="H3932" s="16"/>
      <c r="I3932" s="16"/>
      <c r="J3932" s="16" t="s">
        <v>120</v>
      </c>
      <c r="K3932" s="16"/>
      <c r="L3932" s="16" t="s">
        <v>9089</v>
      </c>
      <c r="M3932" s="19" t="s">
        <v>9099</v>
      </c>
      <c r="N3932" s="16"/>
      <c r="O3932" s="16" t="s">
        <v>9100</v>
      </c>
      <c r="P3932" s="16" t="str">
        <f>HYPERLINK("https://ceds.ed.gov/cedselementdetails.aspx?termid=28049")</f>
        <v>https://ceds.ed.gov/cedselementdetails.aspx?termid=28049</v>
      </c>
      <c r="Q3932" s="16">
        <v>75987</v>
      </c>
    </row>
    <row r="3933" spans="1:17" ht="100.8" x14ac:dyDescent="0.3">
      <c r="A3933" s="16" t="s">
        <v>7755</v>
      </c>
      <c r="B3933" s="16" t="s">
        <v>7757</v>
      </c>
      <c r="C3933" s="16" t="s">
        <v>9412</v>
      </c>
      <c r="D3933" s="16" t="s">
        <v>7597</v>
      </c>
      <c r="E3933" s="16" t="s">
        <v>9101</v>
      </c>
      <c r="F3933" s="16" t="s">
        <v>9102</v>
      </c>
      <c r="G3933" s="16" t="s">
        <v>32</v>
      </c>
      <c r="H3933" s="16"/>
      <c r="I3933" s="16"/>
      <c r="J3933" s="16" t="s">
        <v>9103</v>
      </c>
      <c r="K3933" s="16"/>
      <c r="L3933" s="16" t="s">
        <v>9089</v>
      </c>
      <c r="M3933" s="19" t="s">
        <v>9104</v>
      </c>
      <c r="N3933" s="16"/>
      <c r="O3933" s="16" t="s">
        <v>9105</v>
      </c>
      <c r="P3933" s="16" t="str">
        <f>HYPERLINK("https://ceds.ed.gov/cedselementdetails.aspx?termid=28050")</f>
        <v>https://ceds.ed.gov/cedselementdetails.aspx?termid=28050</v>
      </c>
      <c r="Q3933" s="16">
        <v>75988</v>
      </c>
    </row>
    <row r="3934" spans="1:17" ht="100.8" x14ac:dyDescent="0.3">
      <c r="A3934" s="16" t="s">
        <v>7755</v>
      </c>
      <c r="B3934" s="16" t="s">
        <v>7757</v>
      </c>
      <c r="C3934" s="16" t="s">
        <v>9412</v>
      </c>
      <c r="D3934" s="16" t="s">
        <v>7597</v>
      </c>
      <c r="E3934" s="16" t="s">
        <v>9106</v>
      </c>
      <c r="F3934" s="16" t="s">
        <v>9107</v>
      </c>
      <c r="G3934" s="16" t="s">
        <v>32</v>
      </c>
      <c r="H3934" s="16"/>
      <c r="I3934" s="16"/>
      <c r="J3934" s="16" t="s">
        <v>9108</v>
      </c>
      <c r="K3934" s="16"/>
      <c r="L3934" s="16" t="s">
        <v>9089</v>
      </c>
      <c r="M3934" s="19" t="s">
        <v>9109</v>
      </c>
      <c r="N3934" s="16"/>
      <c r="O3934" s="16" t="s">
        <v>9110</v>
      </c>
      <c r="P3934" s="16" t="str">
        <f>HYPERLINK("https://ceds.ed.gov/cedselementdetails.aspx?termid=28051")</f>
        <v>https://ceds.ed.gov/cedselementdetails.aspx?termid=28051</v>
      </c>
      <c r="Q3934" s="16">
        <v>75989</v>
      </c>
    </row>
    <row r="3935" spans="1:17" ht="100.8" x14ac:dyDescent="0.3">
      <c r="A3935" s="16" t="s">
        <v>7755</v>
      </c>
      <c r="B3935" s="16" t="s">
        <v>7757</v>
      </c>
      <c r="C3935" s="16" t="s">
        <v>9412</v>
      </c>
      <c r="D3935" s="16" t="s">
        <v>7597</v>
      </c>
      <c r="E3935" s="16" t="s">
        <v>9111</v>
      </c>
      <c r="F3935" s="16" t="s">
        <v>9112</v>
      </c>
      <c r="G3935" s="16" t="s">
        <v>32</v>
      </c>
      <c r="H3935" s="16"/>
      <c r="I3935" s="16"/>
      <c r="J3935" s="16" t="s">
        <v>9103</v>
      </c>
      <c r="K3935" s="16"/>
      <c r="L3935" s="16" t="s">
        <v>9089</v>
      </c>
      <c r="M3935" s="19" t="s">
        <v>9113</v>
      </c>
      <c r="N3935" s="16"/>
      <c r="O3935" s="16" t="s">
        <v>9114</v>
      </c>
      <c r="P3935" s="16" t="str">
        <f>HYPERLINK("https://ceds.ed.gov/cedselementdetails.aspx?termid=28052")</f>
        <v>https://ceds.ed.gov/cedselementdetails.aspx?termid=28052</v>
      </c>
      <c r="Q3935" s="16">
        <v>75990</v>
      </c>
    </row>
    <row r="3936" spans="1:17" ht="100.8" x14ac:dyDescent="0.3">
      <c r="A3936" s="16" t="s">
        <v>7755</v>
      </c>
      <c r="B3936" s="16" t="s">
        <v>7757</v>
      </c>
      <c r="C3936" s="16" t="s">
        <v>9412</v>
      </c>
      <c r="D3936" s="16" t="s">
        <v>7597</v>
      </c>
      <c r="E3936" s="16" t="s">
        <v>9115</v>
      </c>
      <c r="F3936" s="16" t="s">
        <v>9116</v>
      </c>
      <c r="G3936" s="16" t="s">
        <v>32</v>
      </c>
      <c r="H3936" s="16"/>
      <c r="I3936" s="16"/>
      <c r="J3936" s="16" t="s">
        <v>34</v>
      </c>
      <c r="K3936" s="16"/>
      <c r="L3936" s="16" t="s">
        <v>9089</v>
      </c>
      <c r="M3936" s="19" t="s">
        <v>9117</v>
      </c>
      <c r="N3936" s="16"/>
      <c r="O3936" s="16" t="s">
        <v>9118</v>
      </c>
      <c r="P3936" s="16" t="str">
        <f>HYPERLINK("https://ceds.ed.gov/cedselementdetails.aspx?termid=28053")</f>
        <v>https://ceds.ed.gov/cedselementdetails.aspx?termid=28053</v>
      </c>
      <c r="Q3936" s="16">
        <v>75991</v>
      </c>
    </row>
    <row r="3937" spans="1:17" ht="100.8" x14ac:dyDescent="0.3">
      <c r="A3937" s="16" t="s">
        <v>7755</v>
      </c>
      <c r="B3937" s="16" t="s">
        <v>7757</v>
      </c>
      <c r="C3937" s="16" t="s">
        <v>9412</v>
      </c>
      <c r="D3937" s="16" t="s">
        <v>7597</v>
      </c>
      <c r="E3937" s="16" t="s">
        <v>9119</v>
      </c>
      <c r="F3937" s="16" t="s">
        <v>9120</v>
      </c>
      <c r="G3937" s="16" t="s">
        <v>32</v>
      </c>
      <c r="H3937" s="16"/>
      <c r="I3937" s="16"/>
      <c r="J3937" s="16" t="s">
        <v>9103</v>
      </c>
      <c r="K3937" s="16"/>
      <c r="L3937" s="16" t="s">
        <v>9089</v>
      </c>
      <c r="M3937" s="19" t="s">
        <v>9121</v>
      </c>
      <c r="N3937" s="16"/>
      <c r="O3937" s="16" t="s">
        <v>9122</v>
      </c>
      <c r="P3937" s="16" t="str">
        <f>HYPERLINK("https://ceds.ed.gov/cedselementdetails.aspx?termid=28054")</f>
        <v>https://ceds.ed.gov/cedselementdetails.aspx?termid=28054</v>
      </c>
      <c r="Q3937" s="16">
        <v>75992</v>
      </c>
    </row>
    <row r="3938" spans="1:17" ht="100.8" x14ac:dyDescent="0.3">
      <c r="A3938" s="16" t="s">
        <v>7755</v>
      </c>
      <c r="B3938" s="16" t="s">
        <v>7757</v>
      </c>
      <c r="C3938" s="16" t="s">
        <v>9412</v>
      </c>
      <c r="D3938" s="16" t="s">
        <v>7597</v>
      </c>
      <c r="E3938" s="16" t="s">
        <v>9123</v>
      </c>
      <c r="F3938" s="16" t="s">
        <v>9124</v>
      </c>
      <c r="G3938" s="16" t="s">
        <v>32</v>
      </c>
      <c r="H3938" s="16"/>
      <c r="I3938" s="16"/>
      <c r="J3938" s="16" t="s">
        <v>747</v>
      </c>
      <c r="K3938" s="16"/>
      <c r="L3938" s="16" t="s">
        <v>9089</v>
      </c>
      <c r="M3938" s="19" t="s">
        <v>9125</v>
      </c>
      <c r="N3938" s="16"/>
      <c r="O3938" s="16" t="s">
        <v>9126</v>
      </c>
      <c r="P3938" s="16" t="str">
        <f>HYPERLINK("https://ceds.ed.gov/cedselementdetails.aspx?termid=28055")</f>
        <v>https://ceds.ed.gov/cedselementdetails.aspx?termid=28055</v>
      </c>
      <c r="Q3938" s="16">
        <v>75993</v>
      </c>
    </row>
    <row r="3939" spans="1:17" ht="100.8" x14ac:dyDescent="0.3">
      <c r="A3939" s="16" t="s">
        <v>7755</v>
      </c>
      <c r="B3939" s="16" t="s">
        <v>7757</v>
      </c>
      <c r="C3939" s="16" t="s">
        <v>9412</v>
      </c>
      <c r="D3939" s="16" t="s">
        <v>7597</v>
      </c>
      <c r="E3939" s="16" t="s">
        <v>9127</v>
      </c>
      <c r="F3939" s="16" t="s">
        <v>9128</v>
      </c>
      <c r="G3939" s="16" t="s">
        <v>32</v>
      </c>
      <c r="H3939" s="16"/>
      <c r="I3939" s="16"/>
      <c r="J3939" s="16" t="s">
        <v>34</v>
      </c>
      <c r="K3939" s="16"/>
      <c r="L3939" s="16" t="s">
        <v>9089</v>
      </c>
      <c r="M3939" s="19" t="s">
        <v>9129</v>
      </c>
      <c r="N3939" s="16"/>
      <c r="O3939" s="16" t="s">
        <v>9130</v>
      </c>
      <c r="P3939" s="16" t="str">
        <f>HYPERLINK("https://ceds.ed.gov/cedselementdetails.aspx?termid=28056")</f>
        <v>https://ceds.ed.gov/cedselementdetails.aspx?termid=28056</v>
      </c>
      <c r="Q3939" s="16">
        <v>75994</v>
      </c>
    </row>
    <row r="3940" spans="1:17" ht="144" x14ac:dyDescent="0.3">
      <c r="A3940" s="16" t="s">
        <v>7755</v>
      </c>
      <c r="B3940" s="16" t="s">
        <v>7757</v>
      </c>
      <c r="C3940" s="16" t="s">
        <v>9412</v>
      </c>
      <c r="D3940" s="16" t="s">
        <v>7597</v>
      </c>
      <c r="E3940" s="16" t="s">
        <v>9131</v>
      </c>
      <c r="F3940" s="16" t="s">
        <v>9132</v>
      </c>
      <c r="G3940" s="16" t="s">
        <v>9300</v>
      </c>
      <c r="H3940" s="16"/>
      <c r="I3940" s="16"/>
      <c r="J3940" s="16" t="s">
        <v>2</v>
      </c>
      <c r="K3940" s="16"/>
      <c r="L3940" s="16" t="s">
        <v>9089</v>
      </c>
      <c r="M3940" s="19" t="s">
        <v>9133</v>
      </c>
      <c r="N3940" s="16"/>
      <c r="O3940" s="16" t="s">
        <v>9134</v>
      </c>
      <c r="P3940" s="16" t="str">
        <f>HYPERLINK("https://ceds.ed.gov/cedselementdetails.aspx?termid=28057")</f>
        <v>https://ceds.ed.gov/cedselementdetails.aspx?termid=28057</v>
      </c>
      <c r="Q3940" s="16">
        <v>75995</v>
      </c>
    </row>
    <row r="3941" spans="1:17" ht="158.4" x14ac:dyDescent="0.3">
      <c r="A3941" s="16" t="s">
        <v>7755</v>
      </c>
      <c r="B3941" s="16" t="s">
        <v>7757</v>
      </c>
      <c r="C3941" s="16" t="s">
        <v>9412</v>
      </c>
      <c r="D3941" s="16" t="s">
        <v>7597</v>
      </c>
      <c r="E3941" s="16" t="s">
        <v>9135</v>
      </c>
      <c r="F3941" s="16" t="s">
        <v>9136</v>
      </c>
      <c r="G3941" s="16" t="s">
        <v>9301</v>
      </c>
      <c r="H3941" s="16"/>
      <c r="I3941" s="16"/>
      <c r="J3941" s="16" t="s">
        <v>2</v>
      </c>
      <c r="K3941" s="16"/>
      <c r="L3941" s="16" t="s">
        <v>9089</v>
      </c>
      <c r="M3941" s="19" t="s">
        <v>9137</v>
      </c>
      <c r="N3941" s="16"/>
      <c r="O3941" s="16" t="s">
        <v>9138</v>
      </c>
      <c r="P3941" s="16" t="str">
        <f>HYPERLINK("https://ceds.ed.gov/cedselementdetails.aspx?termid=28058")</f>
        <v>https://ceds.ed.gov/cedselementdetails.aspx?termid=28058</v>
      </c>
      <c r="Q3941" s="16">
        <v>75996</v>
      </c>
    </row>
    <row r="3942" spans="1:17" ht="100.8" x14ac:dyDescent="0.3">
      <c r="A3942" s="16" t="s">
        <v>7755</v>
      </c>
      <c r="B3942" s="16" t="s">
        <v>7757</v>
      </c>
      <c r="C3942" s="16" t="s">
        <v>9412</v>
      </c>
      <c r="D3942" s="16" t="s">
        <v>7597</v>
      </c>
      <c r="E3942" s="16" t="s">
        <v>9139</v>
      </c>
      <c r="F3942" s="16" t="s">
        <v>9140</v>
      </c>
      <c r="G3942" s="16" t="s">
        <v>32</v>
      </c>
      <c r="H3942" s="16"/>
      <c r="I3942" s="16"/>
      <c r="J3942" s="16" t="s">
        <v>34</v>
      </c>
      <c r="K3942" s="16"/>
      <c r="L3942" s="16" t="s">
        <v>9089</v>
      </c>
      <c r="M3942" s="19" t="s">
        <v>9141</v>
      </c>
      <c r="N3942" s="16"/>
      <c r="O3942" s="16" t="s">
        <v>9142</v>
      </c>
      <c r="P3942" s="16" t="str">
        <f>HYPERLINK("https://ceds.ed.gov/cedselementdetails.aspx?termid=28059")</f>
        <v>https://ceds.ed.gov/cedselementdetails.aspx?termid=28059</v>
      </c>
      <c r="Q3942" s="16">
        <v>75997</v>
      </c>
    </row>
    <row r="3943" spans="1:17" ht="100.8" x14ac:dyDescent="0.3">
      <c r="A3943" s="16" t="s">
        <v>7755</v>
      </c>
      <c r="B3943" s="16" t="s">
        <v>7757</v>
      </c>
      <c r="C3943" s="16" t="s">
        <v>9412</v>
      </c>
      <c r="D3943" s="16" t="s">
        <v>7597</v>
      </c>
      <c r="E3943" s="16" t="s">
        <v>9143</v>
      </c>
      <c r="F3943" s="16" t="s">
        <v>9144</v>
      </c>
      <c r="G3943" s="16" t="s">
        <v>32</v>
      </c>
      <c r="H3943" s="16"/>
      <c r="I3943" s="16"/>
      <c r="J3943" s="16" t="s">
        <v>120</v>
      </c>
      <c r="K3943" s="16"/>
      <c r="L3943" s="16" t="s">
        <v>9089</v>
      </c>
      <c r="M3943" s="19" t="s">
        <v>9145</v>
      </c>
      <c r="N3943" s="16"/>
      <c r="O3943" s="16" t="s">
        <v>9146</v>
      </c>
      <c r="P3943" s="16" t="str">
        <f>HYPERLINK("https://ceds.ed.gov/cedselementdetails.aspx?termid=28060")</f>
        <v>https://ceds.ed.gov/cedselementdetails.aspx?termid=28060</v>
      </c>
      <c r="Q3943" s="16">
        <v>75998</v>
      </c>
    </row>
    <row r="3944" spans="1:17" ht="129.6" x14ac:dyDescent="0.3">
      <c r="A3944" s="16" t="s">
        <v>7755</v>
      </c>
      <c r="B3944" s="16" t="s">
        <v>7757</v>
      </c>
      <c r="C3944" s="16" t="s">
        <v>9412</v>
      </c>
      <c r="D3944" s="16" t="s">
        <v>7597</v>
      </c>
      <c r="E3944" s="16" t="s">
        <v>9147</v>
      </c>
      <c r="F3944" s="16" t="s">
        <v>9148</v>
      </c>
      <c r="G3944" s="16" t="s">
        <v>9302</v>
      </c>
      <c r="H3944" s="16"/>
      <c r="I3944" s="16"/>
      <c r="J3944" s="16" t="s">
        <v>2</v>
      </c>
      <c r="K3944" s="16"/>
      <c r="L3944" s="16" t="s">
        <v>9089</v>
      </c>
      <c r="M3944" s="19" t="s">
        <v>9149</v>
      </c>
      <c r="N3944" s="16"/>
      <c r="O3944" s="16" t="s">
        <v>9150</v>
      </c>
      <c r="P3944" s="16" t="str">
        <f>HYPERLINK("https://ceds.ed.gov/cedselementdetails.aspx?termid=28061")</f>
        <v>https://ceds.ed.gov/cedselementdetails.aspx?termid=28061</v>
      </c>
      <c r="Q3944" s="16">
        <v>75999</v>
      </c>
    </row>
    <row r="3945" spans="1:17" ht="115.2" x14ac:dyDescent="0.3">
      <c r="A3945" s="16" t="s">
        <v>7755</v>
      </c>
      <c r="B3945" s="16" t="s">
        <v>7757</v>
      </c>
      <c r="C3945" s="16" t="s">
        <v>9412</v>
      </c>
      <c r="D3945" s="16" t="s">
        <v>7597</v>
      </c>
      <c r="E3945" s="16" t="s">
        <v>9151</v>
      </c>
      <c r="F3945" s="16" t="s">
        <v>9152</v>
      </c>
      <c r="G3945" s="16" t="s">
        <v>9303</v>
      </c>
      <c r="H3945" s="16"/>
      <c r="I3945" s="16"/>
      <c r="J3945" s="16" t="s">
        <v>2</v>
      </c>
      <c r="K3945" s="16"/>
      <c r="L3945" s="16" t="s">
        <v>9089</v>
      </c>
      <c r="M3945" s="19" t="s">
        <v>9153</v>
      </c>
      <c r="N3945" s="16"/>
      <c r="O3945" s="16" t="s">
        <v>9154</v>
      </c>
      <c r="P3945" s="16" t="str">
        <f>HYPERLINK("https://ceds.ed.gov/cedselementdetails.aspx?termid=28062")</f>
        <v>https://ceds.ed.gov/cedselementdetails.aspx?termid=28062</v>
      </c>
      <c r="Q3945" s="16">
        <v>76000</v>
      </c>
    </row>
    <row r="3946" spans="1:17" ht="100.8" x14ac:dyDescent="0.3">
      <c r="A3946" s="16" t="s">
        <v>7755</v>
      </c>
      <c r="B3946" s="16" t="s">
        <v>7757</v>
      </c>
      <c r="C3946" s="16" t="s">
        <v>9412</v>
      </c>
      <c r="D3946" s="16" t="s">
        <v>7597</v>
      </c>
      <c r="E3946" s="16" t="s">
        <v>9155</v>
      </c>
      <c r="F3946" s="16" t="s">
        <v>9156</v>
      </c>
      <c r="G3946" s="16" t="s">
        <v>32</v>
      </c>
      <c r="H3946" s="16"/>
      <c r="I3946" s="16"/>
      <c r="J3946" s="16" t="s">
        <v>120</v>
      </c>
      <c r="K3946" s="16"/>
      <c r="L3946" s="16" t="s">
        <v>9089</v>
      </c>
      <c r="M3946" s="19" t="s">
        <v>9157</v>
      </c>
      <c r="N3946" s="16"/>
      <c r="O3946" s="16" t="s">
        <v>9158</v>
      </c>
      <c r="P3946" s="16" t="str">
        <f>HYPERLINK("https://ceds.ed.gov/cedselementdetails.aspx?termid=28063")</f>
        <v>https://ceds.ed.gov/cedselementdetails.aspx?termid=28063</v>
      </c>
      <c r="Q3946" s="16">
        <v>76001</v>
      </c>
    </row>
    <row r="3947" spans="1:17" ht="100.8" x14ac:dyDescent="0.3">
      <c r="A3947" s="16" t="s">
        <v>7755</v>
      </c>
      <c r="B3947" s="16" t="s">
        <v>7757</v>
      </c>
      <c r="C3947" s="16" t="s">
        <v>9412</v>
      </c>
      <c r="D3947" s="16" t="s">
        <v>7597</v>
      </c>
      <c r="E3947" s="16" t="s">
        <v>9159</v>
      </c>
      <c r="F3947" s="16" t="s">
        <v>9160</v>
      </c>
      <c r="G3947" s="16" t="s">
        <v>32</v>
      </c>
      <c r="H3947" s="16"/>
      <c r="I3947" s="16"/>
      <c r="J3947" s="16" t="s">
        <v>120</v>
      </c>
      <c r="K3947" s="16"/>
      <c r="L3947" s="16" t="s">
        <v>9089</v>
      </c>
      <c r="M3947" s="19" t="s">
        <v>9161</v>
      </c>
      <c r="N3947" s="16"/>
      <c r="O3947" s="16" t="s">
        <v>9162</v>
      </c>
      <c r="P3947" s="16" t="str">
        <f>HYPERLINK("https://ceds.ed.gov/cedselementdetails.aspx?termid=28064")</f>
        <v>https://ceds.ed.gov/cedselementdetails.aspx?termid=28064</v>
      </c>
      <c r="Q3947" s="16">
        <v>76002</v>
      </c>
    </row>
    <row r="3948" spans="1:17" ht="100.8" x14ac:dyDescent="0.3">
      <c r="A3948" s="16" t="s">
        <v>7755</v>
      </c>
      <c r="B3948" s="16" t="s">
        <v>7757</v>
      </c>
      <c r="C3948" s="16" t="s">
        <v>9412</v>
      </c>
      <c r="D3948" s="16" t="s">
        <v>7597</v>
      </c>
      <c r="E3948" s="16" t="s">
        <v>9163</v>
      </c>
      <c r="F3948" s="16" t="s">
        <v>9164</v>
      </c>
      <c r="G3948" s="16" t="s">
        <v>32</v>
      </c>
      <c r="H3948" s="16"/>
      <c r="I3948" s="16"/>
      <c r="J3948" s="16" t="s">
        <v>34</v>
      </c>
      <c r="K3948" s="16"/>
      <c r="L3948" s="16" t="s">
        <v>9089</v>
      </c>
      <c r="M3948" s="19" t="s">
        <v>9165</v>
      </c>
      <c r="N3948" s="16"/>
      <c r="O3948" s="16" t="s">
        <v>9166</v>
      </c>
      <c r="P3948" s="16" t="str">
        <f>HYPERLINK("https://ceds.ed.gov/cedselementdetails.aspx?termid=28065")</f>
        <v>https://ceds.ed.gov/cedselementdetails.aspx?termid=28065</v>
      </c>
      <c r="Q3948" s="16">
        <v>76003</v>
      </c>
    </row>
    <row r="3949" spans="1:17" ht="100.8" x14ac:dyDescent="0.3">
      <c r="A3949" s="16" t="s">
        <v>7755</v>
      </c>
      <c r="B3949" s="16" t="s">
        <v>7757</v>
      </c>
      <c r="C3949" s="16" t="s">
        <v>9412</v>
      </c>
      <c r="D3949" s="16" t="s">
        <v>7597</v>
      </c>
      <c r="E3949" s="16" t="s">
        <v>9167</v>
      </c>
      <c r="F3949" s="16" t="s">
        <v>9168</v>
      </c>
      <c r="G3949" s="16" t="s">
        <v>32</v>
      </c>
      <c r="H3949" s="16"/>
      <c r="I3949" s="16"/>
      <c r="J3949" s="16" t="s">
        <v>120</v>
      </c>
      <c r="K3949" s="16"/>
      <c r="L3949" s="16" t="s">
        <v>9089</v>
      </c>
      <c r="M3949" s="19" t="s">
        <v>9169</v>
      </c>
      <c r="N3949" s="16"/>
      <c r="O3949" s="16" t="s">
        <v>9170</v>
      </c>
      <c r="P3949" s="16" t="str">
        <f>HYPERLINK("https://ceds.ed.gov/cedselementdetails.aspx?termid=28066")</f>
        <v>https://ceds.ed.gov/cedselementdetails.aspx?termid=28066</v>
      </c>
      <c r="Q3949" s="16">
        <v>76004</v>
      </c>
    </row>
    <row r="3950" spans="1:17" ht="259.2" x14ac:dyDescent="0.3">
      <c r="A3950" s="16" t="s">
        <v>7755</v>
      </c>
      <c r="B3950" s="16" t="s">
        <v>7757</v>
      </c>
      <c r="C3950" s="16" t="s">
        <v>9412</v>
      </c>
      <c r="D3950" s="16" t="s">
        <v>7597</v>
      </c>
      <c r="E3950" s="16" t="s">
        <v>9171</v>
      </c>
      <c r="F3950" s="16" t="s">
        <v>9172</v>
      </c>
      <c r="G3950" s="16" t="s">
        <v>32</v>
      </c>
      <c r="H3950" s="16"/>
      <c r="I3950" s="16"/>
      <c r="J3950" s="16" t="s">
        <v>9103</v>
      </c>
      <c r="K3950" s="16"/>
      <c r="L3950" s="16" t="s">
        <v>9173</v>
      </c>
      <c r="M3950" s="19" t="s">
        <v>9174</v>
      </c>
      <c r="N3950" s="16"/>
      <c r="O3950" s="16" t="s">
        <v>9175</v>
      </c>
      <c r="P3950" s="16" t="str">
        <f>HYPERLINK("https://ceds.ed.gov/cedselementdetails.aspx?termid=28067")</f>
        <v>https://ceds.ed.gov/cedselementdetails.aspx?termid=28067</v>
      </c>
      <c r="Q3950" s="16">
        <v>76005</v>
      </c>
    </row>
    <row r="3951" spans="1:17" ht="100.8" x14ac:dyDescent="0.3">
      <c r="A3951" s="16" t="s">
        <v>7755</v>
      </c>
      <c r="B3951" s="16" t="s">
        <v>7757</v>
      </c>
      <c r="C3951" s="16" t="s">
        <v>9412</v>
      </c>
      <c r="D3951" s="16" t="s">
        <v>7597</v>
      </c>
      <c r="E3951" s="16" t="s">
        <v>9176</v>
      </c>
      <c r="F3951" s="16" t="s">
        <v>9177</v>
      </c>
      <c r="G3951" s="16" t="s">
        <v>32</v>
      </c>
      <c r="H3951" s="16"/>
      <c r="I3951" s="16"/>
      <c r="J3951" s="16" t="s">
        <v>34</v>
      </c>
      <c r="K3951" s="16"/>
      <c r="L3951" s="16" t="s">
        <v>9089</v>
      </c>
      <c r="M3951" s="19" t="s">
        <v>9178</v>
      </c>
      <c r="N3951" s="16"/>
      <c r="O3951" s="16" t="s">
        <v>9179</v>
      </c>
      <c r="P3951" s="16" t="str">
        <f>HYPERLINK("https://ceds.ed.gov/cedselementdetails.aspx?termid=28068")</f>
        <v>https://ceds.ed.gov/cedselementdetails.aspx?termid=28068</v>
      </c>
      <c r="Q3951" s="16">
        <v>76006</v>
      </c>
    </row>
    <row r="3952" spans="1:17" ht="100.8" x14ac:dyDescent="0.3">
      <c r="A3952" s="16" t="s">
        <v>7755</v>
      </c>
      <c r="B3952" s="16" t="s">
        <v>7757</v>
      </c>
      <c r="C3952" s="16" t="s">
        <v>9412</v>
      </c>
      <c r="D3952" s="16" t="s">
        <v>7597</v>
      </c>
      <c r="E3952" s="16" t="s">
        <v>9180</v>
      </c>
      <c r="F3952" s="16" t="s">
        <v>9181</v>
      </c>
      <c r="G3952" s="16" t="s">
        <v>32</v>
      </c>
      <c r="H3952" s="16"/>
      <c r="I3952" s="16"/>
      <c r="J3952" s="16" t="s">
        <v>316</v>
      </c>
      <c r="K3952" s="16"/>
      <c r="L3952" s="16" t="s">
        <v>9089</v>
      </c>
      <c r="M3952" s="19" t="s">
        <v>9182</v>
      </c>
      <c r="N3952" s="16"/>
      <c r="O3952" s="16" t="s">
        <v>9183</v>
      </c>
      <c r="P3952" s="16" t="str">
        <f>HYPERLINK("https://ceds.ed.gov/cedselementdetails.aspx?termid=28069")</f>
        <v>https://ceds.ed.gov/cedselementdetails.aspx?termid=28069</v>
      </c>
      <c r="Q3952" s="16">
        <v>76007</v>
      </c>
    </row>
    <row r="3953" spans="1:17" ht="100.8" x14ac:dyDescent="0.3">
      <c r="A3953" s="16" t="s">
        <v>7755</v>
      </c>
      <c r="B3953" s="16" t="s">
        <v>7757</v>
      </c>
      <c r="C3953" s="16" t="s">
        <v>9412</v>
      </c>
      <c r="D3953" s="16" t="s">
        <v>7597</v>
      </c>
      <c r="E3953" s="16" t="s">
        <v>9184</v>
      </c>
      <c r="F3953" s="16" t="s">
        <v>9185</v>
      </c>
      <c r="G3953" s="16" t="s">
        <v>32</v>
      </c>
      <c r="H3953" s="16"/>
      <c r="I3953" s="16"/>
      <c r="J3953" s="16" t="s">
        <v>120</v>
      </c>
      <c r="K3953" s="16"/>
      <c r="L3953" s="16" t="s">
        <v>9186</v>
      </c>
      <c r="M3953" s="19" t="s">
        <v>9187</v>
      </c>
      <c r="N3953" s="16"/>
      <c r="O3953" s="16" t="s">
        <v>9188</v>
      </c>
      <c r="P3953" s="16" t="str">
        <f>HYPERLINK("https://ceds.ed.gov/cedselementdetails.aspx?termid=28070")</f>
        <v>https://ceds.ed.gov/cedselementdetails.aspx?termid=28070</v>
      </c>
      <c r="Q3953" s="16">
        <v>76008</v>
      </c>
    </row>
    <row r="3954" spans="1:17" ht="57.6" x14ac:dyDescent="0.3">
      <c r="A3954" s="16" t="s">
        <v>7755</v>
      </c>
      <c r="B3954" s="16" t="s">
        <v>7757</v>
      </c>
      <c r="C3954" s="16" t="s">
        <v>9412</v>
      </c>
      <c r="D3954" s="16" t="s">
        <v>7597</v>
      </c>
      <c r="E3954" s="16" t="s">
        <v>9320</v>
      </c>
      <c r="F3954" s="16" t="s">
        <v>9321</v>
      </c>
      <c r="G3954" s="16" t="s">
        <v>8730</v>
      </c>
      <c r="H3954" s="16"/>
      <c r="I3954" s="16"/>
      <c r="J3954" s="16"/>
      <c r="K3954" s="16"/>
      <c r="L3954" s="16"/>
      <c r="M3954" s="19" t="s">
        <v>5406</v>
      </c>
      <c r="N3954" s="16"/>
      <c r="O3954" s="16" t="s">
        <v>9322</v>
      </c>
      <c r="P3954" s="16" t="str">
        <f>HYPERLINK("https://ceds.ed.gov/cedselementdetails.aspx?termid=27557")</f>
        <v>https://ceds.ed.gov/cedselementdetails.aspx?termid=27557</v>
      </c>
      <c r="Q3954" s="16">
        <v>76009</v>
      </c>
    </row>
    <row r="3955" spans="1:17" ht="100.8" x14ac:dyDescent="0.3">
      <c r="A3955" s="16" t="s">
        <v>7755</v>
      </c>
      <c r="B3955" s="16" t="s">
        <v>7757</v>
      </c>
      <c r="C3955" s="16" t="s">
        <v>9412</v>
      </c>
      <c r="D3955" s="16" t="s">
        <v>7597</v>
      </c>
      <c r="E3955" s="16" t="s">
        <v>9193</v>
      </c>
      <c r="F3955" s="16" t="s">
        <v>9194</v>
      </c>
      <c r="G3955" s="16" t="s">
        <v>2987</v>
      </c>
      <c r="H3955" s="16"/>
      <c r="I3955" s="16"/>
      <c r="J3955" s="16" t="s">
        <v>2</v>
      </c>
      <c r="K3955" s="16"/>
      <c r="L3955" s="16" t="s">
        <v>9089</v>
      </c>
      <c r="M3955" s="19" t="s">
        <v>9195</v>
      </c>
      <c r="N3955" s="16"/>
      <c r="O3955" s="16" t="s">
        <v>9196</v>
      </c>
      <c r="P3955" s="16" t="str">
        <f>HYPERLINK("https://ceds.ed.gov/cedselementdetails.aspx?termid=28072")</f>
        <v>https://ceds.ed.gov/cedselementdetails.aspx?termid=28072</v>
      </c>
      <c r="Q3955" s="16">
        <v>76010</v>
      </c>
    </row>
    <row r="3956" spans="1:17" ht="158.4" x14ac:dyDescent="0.3">
      <c r="A3956" s="16" t="s">
        <v>7755</v>
      </c>
      <c r="B3956" s="16" t="s">
        <v>7758</v>
      </c>
      <c r="C3956" s="16" t="s">
        <v>7625</v>
      </c>
      <c r="D3956" s="16" t="s">
        <v>7597</v>
      </c>
      <c r="E3956" s="16" t="s">
        <v>3990</v>
      </c>
      <c r="F3956" s="16" t="s">
        <v>3991</v>
      </c>
      <c r="G3956" s="16" t="s">
        <v>32</v>
      </c>
      <c r="H3956" s="16" t="s">
        <v>3994</v>
      </c>
      <c r="I3956" s="16"/>
      <c r="J3956" s="16" t="s">
        <v>7426</v>
      </c>
      <c r="K3956" s="16"/>
      <c r="L3956" s="16" t="s">
        <v>8047</v>
      </c>
      <c r="M3956" s="19" t="s">
        <v>3992</v>
      </c>
      <c r="N3956" s="16"/>
      <c r="O3956" s="16" t="s">
        <v>3993</v>
      </c>
      <c r="P3956" s="16" t="str">
        <f>HYPERLINK("https://ceds.ed.gov/cedselementdetails.aspx?termid=26115")</f>
        <v>https://ceds.ed.gov/cedselementdetails.aspx?termid=26115</v>
      </c>
      <c r="Q3956" s="16">
        <v>71299</v>
      </c>
    </row>
    <row r="3957" spans="1:17" ht="158.4" x14ac:dyDescent="0.3">
      <c r="A3957" s="16" t="s">
        <v>7755</v>
      </c>
      <c r="B3957" s="16" t="s">
        <v>7758</v>
      </c>
      <c r="C3957" s="16" t="s">
        <v>7625</v>
      </c>
      <c r="D3957" s="16" t="s">
        <v>7597</v>
      </c>
      <c r="E3957" s="16" t="s">
        <v>5328</v>
      </c>
      <c r="F3957" s="16" t="s">
        <v>5329</v>
      </c>
      <c r="G3957" s="16" t="s">
        <v>32</v>
      </c>
      <c r="H3957" s="16" t="s">
        <v>3994</v>
      </c>
      <c r="I3957" s="16"/>
      <c r="J3957" s="16" t="s">
        <v>7426</v>
      </c>
      <c r="K3957" s="16"/>
      <c r="L3957" s="16" t="s">
        <v>8053</v>
      </c>
      <c r="M3957" s="19" t="s">
        <v>5330</v>
      </c>
      <c r="N3957" s="16"/>
      <c r="O3957" s="16" t="s">
        <v>5331</v>
      </c>
      <c r="P3957" s="16" t="str">
        <f>HYPERLINK("https://ceds.ed.gov/cedselementdetails.aspx?termid=26184")</f>
        <v>https://ceds.ed.gov/cedselementdetails.aspx?termid=26184</v>
      </c>
      <c r="Q3957" s="16">
        <v>71301</v>
      </c>
    </row>
    <row r="3958" spans="1:17" ht="158.4" x14ac:dyDescent="0.3">
      <c r="A3958" s="16" t="s">
        <v>7755</v>
      </c>
      <c r="B3958" s="16" t="s">
        <v>7758</v>
      </c>
      <c r="C3958" s="16" t="s">
        <v>7625</v>
      </c>
      <c r="D3958" s="16" t="s">
        <v>7597</v>
      </c>
      <c r="E3958" s="16" t="s">
        <v>4893</v>
      </c>
      <c r="F3958" s="16" t="s">
        <v>4894</v>
      </c>
      <c r="G3958" s="16" t="s">
        <v>32</v>
      </c>
      <c r="H3958" s="16" t="s">
        <v>3994</v>
      </c>
      <c r="I3958" s="16"/>
      <c r="J3958" s="16" t="s">
        <v>7426</v>
      </c>
      <c r="K3958" s="16"/>
      <c r="L3958" s="16" t="s">
        <v>8053</v>
      </c>
      <c r="M3958" s="19" t="s">
        <v>4895</v>
      </c>
      <c r="N3958" s="16" t="s">
        <v>4896</v>
      </c>
      <c r="O3958" s="16" t="s">
        <v>4897</v>
      </c>
      <c r="P3958" s="16" t="str">
        <f>HYPERLINK("https://ceds.ed.gov/cedselementdetails.aspx?termid=26172")</f>
        <v>https://ceds.ed.gov/cedselementdetails.aspx?termid=26172</v>
      </c>
      <c r="Q3958" s="16">
        <v>71303</v>
      </c>
    </row>
    <row r="3959" spans="1:17" ht="129.6" x14ac:dyDescent="0.3">
      <c r="A3959" s="16" t="s">
        <v>7755</v>
      </c>
      <c r="B3959" s="16" t="s">
        <v>7758</v>
      </c>
      <c r="C3959" s="16" t="s">
        <v>7625</v>
      </c>
      <c r="D3959" s="16" t="s">
        <v>7597</v>
      </c>
      <c r="E3959" s="16" t="s">
        <v>4054</v>
      </c>
      <c r="F3959" s="16" t="s">
        <v>4055</v>
      </c>
      <c r="G3959" s="16" t="s">
        <v>32</v>
      </c>
      <c r="H3959" s="16" t="s">
        <v>4059</v>
      </c>
      <c r="I3959" s="16"/>
      <c r="J3959" s="16" t="s">
        <v>2697</v>
      </c>
      <c r="K3959" s="16"/>
      <c r="L3959" s="16" t="s">
        <v>8053</v>
      </c>
      <c r="M3959" s="19" t="s">
        <v>4057</v>
      </c>
      <c r="N3959" s="16"/>
      <c r="O3959" s="16" t="s">
        <v>4058</v>
      </c>
      <c r="P3959" s="16" t="str">
        <f>HYPERLINK("https://ceds.ed.gov/cedselementdetails.aspx?termid=26121")</f>
        <v>https://ceds.ed.gov/cedselementdetails.aspx?termid=26121</v>
      </c>
      <c r="Q3959" s="16">
        <v>72039</v>
      </c>
    </row>
    <row r="3960" spans="1:17" ht="86.4" x14ac:dyDescent="0.3">
      <c r="A3960" s="16" t="s">
        <v>7755</v>
      </c>
      <c r="B3960" s="16" t="s">
        <v>7758</v>
      </c>
      <c r="C3960" s="16" t="s">
        <v>7625</v>
      </c>
      <c r="D3960" s="16" t="s">
        <v>7597</v>
      </c>
      <c r="E3960" s="16" t="s">
        <v>5760</v>
      </c>
      <c r="F3960" s="16" t="s">
        <v>5761</v>
      </c>
      <c r="G3960" s="16" t="s">
        <v>32</v>
      </c>
      <c r="H3960" s="16" t="s">
        <v>5765</v>
      </c>
      <c r="I3960" s="16"/>
      <c r="J3960" s="16" t="s">
        <v>81</v>
      </c>
      <c r="K3960" s="16"/>
      <c r="L3960" s="16"/>
      <c r="M3960" s="19" t="s">
        <v>5762</v>
      </c>
      <c r="N3960" s="16" t="s">
        <v>5763</v>
      </c>
      <c r="O3960" s="16" t="s">
        <v>5764</v>
      </c>
      <c r="P3960" s="16" t="str">
        <f>HYPERLINK("https://ceds.ed.gov/cedselementdetails.aspx?termid=26212")</f>
        <v>https://ceds.ed.gov/cedselementdetails.aspx?termid=26212</v>
      </c>
      <c r="Q3960" s="16">
        <v>72040</v>
      </c>
    </row>
    <row r="3961" spans="1:17" ht="28.8" x14ac:dyDescent="0.3">
      <c r="A3961" s="16" t="s">
        <v>7755</v>
      </c>
      <c r="B3961" s="16" t="s">
        <v>7758</v>
      </c>
      <c r="C3961" s="16" t="s">
        <v>7626</v>
      </c>
      <c r="D3961" s="16" t="s">
        <v>7597</v>
      </c>
      <c r="E3961" s="16" t="s">
        <v>5631</v>
      </c>
      <c r="F3961" s="16" t="s">
        <v>5632</v>
      </c>
      <c r="G3961" s="16" t="s">
        <v>32</v>
      </c>
      <c r="H3961" s="16"/>
      <c r="I3961" s="16"/>
      <c r="J3961" s="16" t="s">
        <v>1266</v>
      </c>
      <c r="K3961" s="16"/>
      <c r="L3961" s="16" t="s">
        <v>5633</v>
      </c>
      <c r="M3961" s="19" t="s">
        <v>5634</v>
      </c>
      <c r="N3961" s="16"/>
      <c r="O3961" s="16" t="s">
        <v>5635</v>
      </c>
      <c r="P3961" s="16" t="str">
        <f>HYPERLINK("https://ceds.ed.gov/cedselementdetails.aspx?termid=27486")</f>
        <v>https://ceds.ed.gov/cedselementdetails.aspx?termid=27486</v>
      </c>
      <c r="Q3961" s="16">
        <v>73638</v>
      </c>
    </row>
    <row r="3962" spans="1:17" ht="28.8" x14ac:dyDescent="0.3">
      <c r="A3962" s="16" t="s">
        <v>7755</v>
      </c>
      <c r="B3962" s="16" t="s">
        <v>7758</v>
      </c>
      <c r="C3962" s="16" t="s">
        <v>7626</v>
      </c>
      <c r="D3962" s="16" t="s">
        <v>7597</v>
      </c>
      <c r="E3962" s="16" t="s">
        <v>5641</v>
      </c>
      <c r="F3962" s="16" t="s">
        <v>5642</v>
      </c>
      <c r="G3962" s="16" t="s">
        <v>32</v>
      </c>
      <c r="H3962" s="16"/>
      <c r="I3962" s="16"/>
      <c r="J3962" s="16" t="s">
        <v>1266</v>
      </c>
      <c r="K3962" s="16"/>
      <c r="L3962" s="16" t="s">
        <v>5643</v>
      </c>
      <c r="M3962" s="19" t="s">
        <v>5644</v>
      </c>
      <c r="N3962" s="16"/>
      <c r="O3962" s="16" t="s">
        <v>5645</v>
      </c>
      <c r="P3962" s="16" t="str">
        <f>HYPERLINK("https://ceds.ed.gov/cedselementdetails.aspx?termid=27487")</f>
        <v>https://ceds.ed.gov/cedselementdetails.aspx?termid=27487</v>
      </c>
      <c r="Q3962" s="16">
        <v>73654</v>
      </c>
    </row>
    <row r="3963" spans="1:17" ht="28.8" x14ac:dyDescent="0.3">
      <c r="A3963" s="16" t="s">
        <v>7755</v>
      </c>
      <c r="B3963" s="16" t="s">
        <v>7758</v>
      </c>
      <c r="C3963" s="16" t="s">
        <v>7626</v>
      </c>
      <c r="D3963" s="16" t="s">
        <v>7597</v>
      </c>
      <c r="E3963" s="16" t="s">
        <v>5636</v>
      </c>
      <c r="F3963" s="16" t="s">
        <v>5637</v>
      </c>
      <c r="G3963" s="16" t="s">
        <v>32</v>
      </c>
      <c r="H3963" s="16"/>
      <c r="I3963" s="16"/>
      <c r="J3963" s="16" t="s">
        <v>1266</v>
      </c>
      <c r="K3963" s="16"/>
      <c r="L3963" s="16" t="s">
        <v>5638</v>
      </c>
      <c r="M3963" s="19" t="s">
        <v>5639</v>
      </c>
      <c r="N3963" s="16"/>
      <c r="O3963" s="16" t="s">
        <v>5640</v>
      </c>
      <c r="P3963" s="16" t="str">
        <f>HYPERLINK("https://ceds.ed.gov/cedselementdetails.aspx?termid=27485")</f>
        <v>https://ceds.ed.gov/cedselementdetails.aspx?termid=27485</v>
      </c>
      <c r="Q3963" s="16">
        <v>73622</v>
      </c>
    </row>
    <row r="3964" spans="1:17" ht="129.6" x14ac:dyDescent="0.3">
      <c r="A3964" s="16" t="s">
        <v>7755</v>
      </c>
      <c r="B3964" s="16" t="s">
        <v>7758</v>
      </c>
      <c r="C3964" s="16" t="s">
        <v>7626</v>
      </c>
      <c r="D3964" s="16" t="s">
        <v>7597</v>
      </c>
      <c r="E3964" s="16" t="s">
        <v>5646</v>
      </c>
      <c r="F3964" s="16" t="s">
        <v>5647</v>
      </c>
      <c r="G3964" s="16" t="s">
        <v>32</v>
      </c>
      <c r="H3964" s="16" t="s">
        <v>4059</v>
      </c>
      <c r="I3964" s="16"/>
      <c r="J3964" s="16" t="s">
        <v>120</v>
      </c>
      <c r="K3964" s="16"/>
      <c r="L3964" s="16"/>
      <c r="M3964" s="19" t="s">
        <v>5648</v>
      </c>
      <c r="N3964" s="16"/>
      <c r="O3964" s="16" t="s">
        <v>5649</v>
      </c>
      <c r="P3964" s="16" t="str">
        <f>HYPERLINK("https://ceds.ed.gov/cedselementdetails.aspx?termid=26206")</f>
        <v>https://ceds.ed.gov/cedselementdetails.aspx?termid=26206</v>
      </c>
      <c r="Q3964" s="16">
        <v>72041</v>
      </c>
    </row>
    <row r="3965" spans="1:17" ht="115.2" x14ac:dyDescent="0.3">
      <c r="A3965" s="16" t="s">
        <v>7755</v>
      </c>
      <c r="B3965" s="16" t="s">
        <v>7758</v>
      </c>
      <c r="C3965" s="16" t="s">
        <v>7626</v>
      </c>
      <c r="D3965" s="16" t="s">
        <v>7597</v>
      </c>
      <c r="E3965" s="16" t="s">
        <v>5650</v>
      </c>
      <c r="F3965" s="16" t="s">
        <v>5651</v>
      </c>
      <c r="G3965" s="16" t="s">
        <v>8746</v>
      </c>
      <c r="H3965" s="16" t="s">
        <v>5654</v>
      </c>
      <c r="I3965" s="16"/>
      <c r="J3965" s="16" t="s">
        <v>81</v>
      </c>
      <c r="K3965" s="16"/>
      <c r="L3965" s="16"/>
      <c r="M3965" s="19" t="s">
        <v>5652</v>
      </c>
      <c r="N3965" s="16"/>
      <c r="O3965" s="16" t="s">
        <v>5653</v>
      </c>
      <c r="P3965" s="16" t="str">
        <f>HYPERLINK("https://ceds.ed.gov/cedselementdetails.aspx?termid=26627")</f>
        <v>https://ceds.ed.gov/cedselementdetails.aspx?termid=26627</v>
      </c>
      <c r="Q3965" s="16">
        <v>72042</v>
      </c>
    </row>
    <row r="3966" spans="1:17" ht="172.8" x14ac:dyDescent="0.3">
      <c r="A3966" s="16" t="s">
        <v>7755</v>
      </c>
      <c r="B3966" s="16" t="s">
        <v>7758</v>
      </c>
      <c r="C3966" s="16" t="s">
        <v>7627</v>
      </c>
      <c r="D3966" s="16" t="s">
        <v>7597</v>
      </c>
      <c r="E3966" s="16" t="s">
        <v>6810</v>
      </c>
      <c r="F3966" s="16" t="s">
        <v>6811</v>
      </c>
      <c r="G3966" s="16" t="s">
        <v>32</v>
      </c>
      <c r="H3966" s="16" t="s">
        <v>6814</v>
      </c>
      <c r="I3966" s="16"/>
      <c r="J3966" s="16" t="s">
        <v>120</v>
      </c>
      <c r="K3966" s="16"/>
      <c r="L3966" s="16" t="s">
        <v>7817</v>
      </c>
      <c r="M3966" s="19" t="s">
        <v>6812</v>
      </c>
      <c r="N3966" s="16"/>
      <c r="O3966" s="16" t="s">
        <v>6813</v>
      </c>
      <c r="P3966" s="16" t="str">
        <f>HYPERLINK("https://ceds.ed.gov/cedselementdetails.aspx?termid=26156")</f>
        <v>https://ceds.ed.gov/cedselementdetails.aspx?termid=26156</v>
      </c>
      <c r="Q3966" s="16">
        <v>71337</v>
      </c>
    </row>
    <row r="3967" spans="1:17" ht="259.2" x14ac:dyDescent="0.3">
      <c r="A3967" s="16" t="s">
        <v>7755</v>
      </c>
      <c r="B3967" s="16" t="s">
        <v>7758</v>
      </c>
      <c r="C3967" s="16" t="s">
        <v>7627</v>
      </c>
      <c r="D3967" s="16" t="s">
        <v>7597</v>
      </c>
      <c r="E3967" s="16" t="s">
        <v>6805</v>
      </c>
      <c r="F3967" s="16" t="s">
        <v>6806</v>
      </c>
      <c r="G3967" s="16" t="s">
        <v>9342</v>
      </c>
      <c r="H3967" s="16" t="s">
        <v>6809</v>
      </c>
      <c r="I3967" s="16"/>
      <c r="J3967" s="16"/>
      <c r="K3967" s="16"/>
      <c r="L3967" s="16"/>
      <c r="M3967" s="19" t="s">
        <v>6807</v>
      </c>
      <c r="N3967" s="16"/>
      <c r="O3967" s="16" t="s">
        <v>6808</v>
      </c>
      <c r="P3967" s="16" t="str">
        <f>HYPERLINK("https://ceds.ed.gov/cedselementdetails.aspx?termid=26162")</f>
        <v>https://ceds.ed.gov/cedselementdetails.aspx?termid=26162</v>
      </c>
      <c r="Q3967" s="16">
        <v>71338</v>
      </c>
    </row>
    <row r="3968" spans="1:17" ht="403.2" x14ac:dyDescent="0.3">
      <c r="A3968" s="16" t="s">
        <v>7755</v>
      </c>
      <c r="B3968" s="16" t="s">
        <v>7758</v>
      </c>
      <c r="C3968" s="16" t="s">
        <v>7627</v>
      </c>
      <c r="D3968" s="16" t="s">
        <v>7597</v>
      </c>
      <c r="E3968" s="16" t="s">
        <v>5756</v>
      </c>
      <c r="F3968" s="16" t="s">
        <v>5757</v>
      </c>
      <c r="G3968" s="16" t="s">
        <v>8252</v>
      </c>
      <c r="H3968" s="16"/>
      <c r="I3968" s="16"/>
      <c r="J3968" s="16"/>
      <c r="K3968" s="16"/>
      <c r="L3968" s="16"/>
      <c r="M3968" s="19" t="s">
        <v>5758</v>
      </c>
      <c r="N3968" s="16"/>
      <c r="O3968" s="16" t="s">
        <v>5759</v>
      </c>
      <c r="P3968" s="16" t="str">
        <f>HYPERLINK("https://ceds.ed.gov/cedselementdetails.aspx?termid=26611")</f>
        <v>https://ceds.ed.gov/cedselementdetails.aspx?termid=26611</v>
      </c>
      <c r="Q3968" s="16">
        <v>72222</v>
      </c>
    </row>
    <row r="3969" spans="1:17" ht="72" x14ac:dyDescent="0.3">
      <c r="A3969" s="16" t="s">
        <v>7755</v>
      </c>
      <c r="B3969" s="16" t="s">
        <v>7758</v>
      </c>
      <c r="C3969" s="16" t="s">
        <v>7627</v>
      </c>
      <c r="D3969" s="16" t="s">
        <v>7597</v>
      </c>
      <c r="E3969" s="16" t="s">
        <v>7508</v>
      </c>
      <c r="F3969" s="16" t="s">
        <v>7509</v>
      </c>
      <c r="G3969" s="16" t="s">
        <v>8251</v>
      </c>
      <c r="H3969" s="16"/>
      <c r="I3969" s="16"/>
      <c r="J3969" s="16"/>
      <c r="K3969" s="16"/>
      <c r="L3969" s="16"/>
      <c r="M3969" s="19" t="s">
        <v>7510</v>
      </c>
      <c r="N3969" s="16"/>
      <c r="O3969" s="16" t="s">
        <v>7511</v>
      </c>
      <c r="P3969" s="16" t="str">
        <f>HYPERLINK("https://ceds.ed.gov/cedselementdetails.aspx?termid=27951")</f>
        <v>https://ceds.ed.gov/cedselementdetails.aspx?termid=27951</v>
      </c>
      <c r="Q3969" s="16">
        <v>75462</v>
      </c>
    </row>
    <row r="3970" spans="1:17" ht="100.8" x14ac:dyDescent="0.3">
      <c r="A3970" s="16" t="s">
        <v>7755</v>
      </c>
      <c r="B3970" s="16" t="s">
        <v>7758</v>
      </c>
      <c r="C3970" s="16" t="s">
        <v>7603</v>
      </c>
      <c r="D3970" s="16" t="s">
        <v>7597</v>
      </c>
      <c r="E3970" s="16" t="s">
        <v>191</v>
      </c>
      <c r="F3970" s="16" t="s">
        <v>192</v>
      </c>
      <c r="G3970" s="16" t="s">
        <v>8295</v>
      </c>
      <c r="H3970" s="16" t="s">
        <v>195</v>
      </c>
      <c r="I3970" s="16"/>
      <c r="J3970" s="16" t="s">
        <v>81</v>
      </c>
      <c r="K3970" s="16"/>
      <c r="L3970" s="16"/>
      <c r="M3970" s="19" t="s">
        <v>193</v>
      </c>
      <c r="N3970" s="16"/>
      <c r="O3970" s="16" t="s">
        <v>194</v>
      </c>
      <c r="P3970" s="16" t="str">
        <f>HYPERLINK("https://ceds.ed.gov/cedselementdetails.aspx?termid=26698")</f>
        <v>https://ceds.ed.gov/cedselementdetails.aspx?termid=26698</v>
      </c>
      <c r="Q3970" s="16">
        <v>72043</v>
      </c>
    </row>
    <row r="3971" spans="1:17" ht="187.2" x14ac:dyDescent="0.3">
      <c r="A3971" s="16" t="s">
        <v>7755</v>
      </c>
      <c r="B3971" s="16" t="s">
        <v>7758</v>
      </c>
      <c r="C3971" s="16" t="s">
        <v>7603</v>
      </c>
      <c r="D3971" s="16" t="s">
        <v>7597</v>
      </c>
      <c r="E3971" s="16" t="s">
        <v>177</v>
      </c>
      <c r="F3971" s="16" t="s">
        <v>178</v>
      </c>
      <c r="G3971" s="16" t="s">
        <v>32</v>
      </c>
      <c r="H3971" s="16" t="s">
        <v>163</v>
      </c>
      <c r="I3971" s="16"/>
      <c r="J3971" s="16" t="s">
        <v>179</v>
      </c>
      <c r="K3971" s="16"/>
      <c r="L3971" s="16"/>
      <c r="M3971" s="19" t="s">
        <v>180</v>
      </c>
      <c r="N3971" s="16"/>
      <c r="O3971" s="16" t="s">
        <v>181</v>
      </c>
      <c r="P3971" s="16" t="str">
        <f>HYPERLINK("https://ceds.ed.gov/cedselementdetails.aspx?termid=26269")</f>
        <v>https://ceds.ed.gov/cedselementdetails.aspx?termid=26269</v>
      </c>
      <c r="Q3971" s="16">
        <v>71305</v>
      </c>
    </row>
    <row r="3972" spans="1:17" ht="187.2" x14ac:dyDescent="0.3">
      <c r="A3972" s="16" t="s">
        <v>7755</v>
      </c>
      <c r="B3972" s="16" t="s">
        <v>7758</v>
      </c>
      <c r="C3972" s="16" t="s">
        <v>7603</v>
      </c>
      <c r="D3972" s="16" t="s">
        <v>7597</v>
      </c>
      <c r="E3972" s="16" t="s">
        <v>158</v>
      </c>
      <c r="F3972" s="16" t="s">
        <v>159</v>
      </c>
      <c r="G3972" s="16" t="s">
        <v>32</v>
      </c>
      <c r="H3972" s="16" t="s">
        <v>163</v>
      </c>
      <c r="I3972" s="16"/>
      <c r="J3972" s="16" t="s">
        <v>145</v>
      </c>
      <c r="K3972" s="16"/>
      <c r="L3972" s="16"/>
      <c r="M3972" s="19" t="s">
        <v>161</v>
      </c>
      <c r="N3972" s="16"/>
      <c r="O3972" s="16" t="s">
        <v>162</v>
      </c>
      <c r="P3972" s="16" t="str">
        <f>HYPERLINK("https://ceds.ed.gov/cedselementdetails.aspx?termid=26019")</f>
        <v>https://ceds.ed.gov/cedselementdetails.aspx?termid=26019</v>
      </c>
      <c r="Q3972" s="16">
        <v>71307</v>
      </c>
    </row>
    <row r="3973" spans="1:17" ht="187.2" x14ac:dyDescent="0.3">
      <c r="A3973" s="16" t="s">
        <v>7755</v>
      </c>
      <c r="B3973" s="16" t="s">
        <v>7758</v>
      </c>
      <c r="C3973" s="16" t="s">
        <v>7603</v>
      </c>
      <c r="D3973" s="16" t="s">
        <v>7597</v>
      </c>
      <c r="E3973" s="16" t="s">
        <v>164</v>
      </c>
      <c r="F3973" s="16" t="s">
        <v>165</v>
      </c>
      <c r="G3973" s="16" t="s">
        <v>32</v>
      </c>
      <c r="H3973" s="16" t="s">
        <v>163</v>
      </c>
      <c r="I3973" s="16"/>
      <c r="J3973" s="16" t="s">
        <v>81</v>
      </c>
      <c r="K3973" s="16"/>
      <c r="L3973" s="16"/>
      <c r="M3973" s="19" t="s">
        <v>166</v>
      </c>
      <c r="N3973" s="16"/>
      <c r="O3973" s="16" t="s">
        <v>167</v>
      </c>
      <c r="P3973" s="16" t="str">
        <f>HYPERLINK("https://ceds.ed.gov/cedselementdetails.aspx?termid=26040")</f>
        <v>https://ceds.ed.gov/cedselementdetails.aspx?termid=26040</v>
      </c>
      <c r="Q3973" s="16">
        <v>71309</v>
      </c>
    </row>
    <row r="3974" spans="1:17" ht="409.6" x14ac:dyDescent="0.3">
      <c r="A3974" s="16" t="s">
        <v>7755</v>
      </c>
      <c r="B3974" s="16" t="s">
        <v>7758</v>
      </c>
      <c r="C3974" s="16" t="s">
        <v>7603</v>
      </c>
      <c r="D3974" s="16" t="s">
        <v>7597</v>
      </c>
      <c r="E3974" s="16" t="s">
        <v>6840</v>
      </c>
      <c r="F3974" s="16" t="s">
        <v>6841</v>
      </c>
      <c r="G3974" s="16" t="s">
        <v>8266</v>
      </c>
      <c r="H3974" s="16" t="s">
        <v>6844</v>
      </c>
      <c r="I3974" s="16"/>
      <c r="J3974" s="16"/>
      <c r="K3974" s="16"/>
      <c r="L3974" s="16"/>
      <c r="M3974" s="19" t="s">
        <v>6842</v>
      </c>
      <c r="N3974" s="16"/>
      <c r="O3974" s="16" t="s">
        <v>6843</v>
      </c>
      <c r="P3974" s="16" t="str">
        <f>HYPERLINK("https://ceds.ed.gov/cedselementdetails.aspx?termid=26267")</f>
        <v>https://ceds.ed.gov/cedselementdetails.aspx?termid=26267</v>
      </c>
      <c r="Q3974" s="16">
        <v>71313</v>
      </c>
    </row>
    <row r="3975" spans="1:17" ht="187.2" x14ac:dyDescent="0.3">
      <c r="A3975" s="16" t="s">
        <v>7755</v>
      </c>
      <c r="B3975" s="16" t="s">
        <v>7758</v>
      </c>
      <c r="C3975" s="16" t="s">
        <v>7603</v>
      </c>
      <c r="D3975" s="16" t="s">
        <v>7597</v>
      </c>
      <c r="E3975" s="16" t="s">
        <v>172</v>
      </c>
      <c r="F3975" s="16" t="s">
        <v>173</v>
      </c>
      <c r="G3975" s="16" t="s">
        <v>32</v>
      </c>
      <c r="H3975" s="16" t="s">
        <v>163</v>
      </c>
      <c r="I3975" s="16"/>
      <c r="J3975" s="16" t="s">
        <v>174</v>
      </c>
      <c r="K3975" s="16"/>
      <c r="L3975" s="16"/>
      <c r="M3975" s="19" t="s">
        <v>175</v>
      </c>
      <c r="N3975" s="16"/>
      <c r="O3975" s="16" t="s">
        <v>176</v>
      </c>
      <c r="P3975" s="16" t="str">
        <f>HYPERLINK("https://ceds.ed.gov/cedselementdetails.aspx?termid=26214")</f>
        <v>https://ceds.ed.gov/cedselementdetails.aspx?termid=26214</v>
      </c>
      <c r="Q3975" s="16">
        <v>71439</v>
      </c>
    </row>
    <row r="3976" spans="1:17" ht="187.2" x14ac:dyDescent="0.3">
      <c r="A3976" s="16" t="s">
        <v>7755</v>
      </c>
      <c r="B3976" s="16" t="s">
        <v>7758</v>
      </c>
      <c r="C3976" s="16" t="s">
        <v>7603</v>
      </c>
      <c r="D3976" s="16" t="s">
        <v>7597</v>
      </c>
      <c r="E3976" s="16" t="s">
        <v>168</v>
      </c>
      <c r="F3976" s="16" t="s">
        <v>169</v>
      </c>
      <c r="G3976" s="16" t="s">
        <v>32</v>
      </c>
      <c r="H3976" s="16" t="s">
        <v>163</v>
      </c>
      <c r="I3976" s="16"/>
      <c r="J3976" s="16" t="s">
        <v>81</v>
      </c>
      <c r="K3976" s="16"/>
      <c r="L3976" s="16"/>
      <c r="M3976" s="19" t="s">
        <v>170</v>
      </c>
      <c r="N3976" s="16"/>
      <c r="O3976" s="16" t="s">
        <v>171</v>
      </c>
      <c r="P3976" s="16" t="str">
        <f>HYPERLINK("https://ceds.ed.gov/cedselementdetails.aspx?termid=26190")</f>
        <v>https://ceds.ed.gov/cedselementdetails.aspx?termid=26190</v>
      </c>
      <c r="Q3976" s="16">
        <v>71311</v>
      </c>
    </row>
    <row r="3977" spans="1:17" ht="409.6" x14ac:dyDescent="0.3">
      <c r="A3977" s="16" t="s">
        <v>7755</v>
      </c>
      <c r="B3977" s="16" t="s">
        <v>7758</v>
      </c>
      <c r="C3977" s="16" t="s">
        <v>7603</v>
      </c>
      <c r="D3977" s="16" t="s">
        <v>7597</v>
      </c>
      <c r="E3977" s="16" t="s">
        <v>2483</v>
      </c>
      <c r="F3977" s="16" t="s">
        <v>2484</v>
      </c>
      <c r="G3977" s="16" t="s">
        <v>8454</v>
      </c>
      <c r="H3977" s="16" t="s">
        <v>2487</v>
      </c>
      <c r="I3977" s="16"/>
      <c r="J3977" s="16"/>
      <c r="K3977" s="16"/>
      <c r="L3977" s="16" t="s">
        <v>7915</v>
      </c>
      <c r="M3977" s="19" t="s">
        <v>2485</v>
      </c>
      <c r="N3977" s="16"/>
      <c r="O3977" s="16" t="s">
        <v>2486</v>
      </c>
      <c r="P3977" s="16" t="str">
        <f>HYPERLINK("https://ceds.ed.gov/cedselementdetails.aspx?termid=26050")</f>
        <v>https://ceds.ed.gov/cedselementdetails.aspx?termid=26050</v>
      </c>
      <c r="Q3977" s="16">
        <v>72139</v>
      </c>
    </row>
    <row r="3978" spans="1:17" ht="57.6" x14ac:dyDescent="0.3">
      <c r="A3978" s="16" t="s">
        <v>7755</v>
      </c>
      <c r="B3978" s="16" t="s">
        <v>7758</v>
      </c>
      <c r="C3978" s="16" t="s">
        <v>7603</v>
      </c>
      <c r="D3978" s="16" t="s">
        <v>7597</v>
      </c>
      <c r="E3978" s="16" t="s">
        <v>4902</v>
      </c>
      <c r="F3978" s="16" t="s">
        <v>4903</v>
      </c>
      <c r="G3978" s="16" t="s">
        <v>32</v>
      </c>
      <c r="H3978" s="16"/>
      <c r="I3978" s="16"/>
      <c r="J3978" s="16" t="s">
        <v>1130</v>
      </c>
      <c r="K3978" s="16"/>
      <c r="L3978" s="16"/>
      <c r="M3978" s="19" t="s">
        <v>4904</v>
      </c>
      <c r="N3978" s="16"/>
      <c r="O3978" s="16" t="s">
        <v>4902</v>
      </c>
      <c r="P3978" s="16" t="str">
        <f>HYPERLINK("https://ceds.ed.gov/cedselementdetails.aspx?termid=26599")</f>
        <v>https://ceds.ed.gov/cedselementdetails.aspx?termid=26599</v>
      </c>
      <c r="Q3978" s="16">
        <v>74267</v>
      </c>
    </row>
    <row r="3979" spans="1:17" ht="57.6" x14ac:dyDescent="0.3">
      <c r="A3979" s="16" t="s">
        <v>7755</v>
      </c>
      <c r="B3979" s="16" t="s">
        <v>7758</v>
      </c>
      <c r="C3979" s="16" t="s">
        <v>7603</v>
      </c>
      <c r="D3979" s="16" t="s">
        <v>7597</v>
      </c>
      <c r="E3979" s="16" t="s">
        <v>5285</v>
      </c>
      <c r="F3979" s="16" t="s">
        <v>5286</v>
      </c>
      <c r="G3979" s="16" t="s">
        <v>32</v>
      </c>
      <c r="H3979" s="16"/>
      <c r="I3979" s="16"/>
      <c r="J3979" s="16" t="s">
        <v>1130</v>
      </c>
      <c r="K3979" s="16"/>
      <c r="L3979" s="16"/>
      <c r="M3979" s="19" t="s">
        <v>5287</v>
      </c>
      <c r="N3979" s="16"/>
      <c r="O3979" s="16" t="s">
        <v>5285</v>
      </c>
      <c r="P3979" s="16" t="str">
        <f>HYPERLINK("https://ceds.ed.gov/cedselementdetails.aspx?termid=26600")</f>
        <v>https://ceds.ed.gov/cedselementdetails.aspx?termid=26600</v>
      </c>
      <c r="Q3979" s="16">
        <v>74290</v>
      </c>
    </row>
    <row r="3980" spans="1:17" ht="158.4" x14ac:dyDescent="0.3">
      <c r="A3980" s="16" t="s">
        <v>7755</v>
      </c>
      <c r="B3980" s="16" t="s">
        <v>7758</v>
      </c>
      <c r="C3980" s="16" t="s">
        <v>7603</v>
      </c>
      <c r="D3980" s="16" t="s">
        <v>7597</v>
      </c>
      <c r="E3980" s="16" t="s">
        <v>2493</v>
      </c>
      <c r="F3980" s="16" t="s">
        <v>2494</v>
      </c>
      <c r="G3980" s="16" t="s">
        <v>32</v>
      </c>
      <c r="H3980" s="16"/>
      <c r="I3980" s="16"/>
      <c r="J3980" s="16" t="s">
        <v>2495</v>
      </c>
      <c r="K3980" s="16"/>
      <c r="L3980" s="16"/>
      <c r="M3980" s="19" t="s">
        <v>2496</v>
      </c>
      <c r="N3980" s="16"/>
      <c r="O3980" s="16" t="s">
        <v>2497</v>
      </c>
      <c r="P3980" s="16" t="str">
        <f>HYPERLINK("https://ceds.ed.gov/cedselementdetails.aspx?termid=27176")</f>
        <v>https://ceds.ed.gov/cedselementdetails.aspx?termid=27176</v>
      </c>
      <c r="Q3980" s="16">
        <v>75201</v>
      </c>
    </row>
    <row r="3981" spans="1:17" ht="57.6" x14ac:dyDescent="0.3">
      <c r="A3981" s="16" t="s">
        <v>7755</v>
      </c>
      <c r="B3981" s="16" t="s">
        <v>7758</v>
      </c>
      <c r="C3981" s="16" t="s">
        <v>7603</v>
      </c>
      <c r="D3981" s="16" t="s">
        <v>7597</v>
      </c>
      <c r="E3981" s="16" t="s">
        <v>3175</v>
      </c>
      <c r="F3981" s="16" t="s">
        <v>3176</v>
      </c>
      <c r="G3981" s="16" t="s">
        <v>2987</v>
      </c>
      <c r="H3981" s="16"/>
      <c r="I3981" s="16"/>
      <c r="J3981" s="16"/>
      <c r="K3981" s="16"/>
      <c r="L3981" s="16"/>
      <c r="M3981" s="19" t="s">
        <v>3177</v>
      </c>
      <c r="N3981" s="16"/>
      <c r="O3981" s="16" t="s">
        <v>3178</v>
      </c>
      <c r="P3981" s="16" t="str">
        <f>HYPERLINK("https://ceds.ed.gov/cedselementdetails.aspx?termid=27905")</f>
        <v>https://ceds.ed.gov/cedselementdetails.aspx?termid=27905</v>
      </c>
      <c r="Q3981" s="16">
        <v>75202</v>
      </c>
    </row>
    <row r="3982" spans="1:17" ht="86.4" x14ac:dyDescent="0.3">
      <c r="A3982" s="16" t="s">
        <v>7755</v>
      </c>
      <c r="B3982" s="16" t="s">
        <v>7758</v>
      </c>
      <c r="C3982" s="16" t="s">
        <v>7604</v>
      </c>
      <c r="D3982" s="16" t="s">
        <v>7597</v>
      </c>
      <c r="E3982" s="16" t="s">
        <v>7062</v>
      </c>
      <c r="F3982" s="16" t="s">
        <v>7063</v>
      </c>
      <c r="G3982" s="16" t="s">
        <v>8849</v>
      </c>
      <c r="H3982" s="16" t="s">
        <v>64</v>
      </c>
      <c r="I3982" s="16"/>
      <c r="J3982" s="16" t="s">
        <v>2500</v>
      </c>
      <c r="K3982" s="16"/>
      <c r="L3982" s="16"/>
      <c r="M3982" s="19" t="s">
        <v>7064</v>
      </c>
      <c r="N3982" s="16"/>
      <c r="O3982" s="16" t="s">
        <v>7065</v>
      </c>
      <c r="P3982" s="16" t="str">
        <f>HYPERLINK("https://ceds.ed.gov/cedselementdetails.aspx?termid=26280")</f>
        <v>https://ceds.ed.gov/cedselementdetails.aspx?termid=26280</v>
      </c>
      <c r="Q3982" s="16">
        <v>72044</v>
      </c>
    </row>
    <row r="3983" spans="1:17" ht="72" x14ac:dyDescent="0.3">
      <c r="A3983" s="16" t="s">
        <v>7755</v>
      </c>
      <c r="B3983" s="16" t="s">
        <v>7758</v>
      </c>
      <c r="C3983" s="16" t="s">
        <v>7604</v>
      </c>
      <c r="D3983" s="16" t="s">
        <v>7597</v>
      </c>
      <c r="E3983" s="16" t="s">
        <v>5865</v>
      </c>
      <c r="F3983" s="16" t="s">
        <v>5866</v>
      </c>
      <c r="G3983" s="16" t="s">
        <v>22</v>
      </c>
      <c r="H3983" s="16" t="s">
        <v>64</v>
      </c>
      <c r="I3983" s="16"/>
      <c r="J3983" s="16"/>
      <c r="K3983" s="16"/>
      <c r="L3983" s="16"/>
      <c r="M3983" s="19" t="s">
        <v>5867</v>
      </c>
      <c r="N3983" s="16"/>
      <c r="O3983" s="16" t="s">
        <v>5868</v>
      </c>
      <c r="P3983" s="16" t="str">
        <f>HYPERLINK("https://ceds.ed.gov/cedselementdetails.aspx?termid=26219")</f>
        <v>https://ceds.ed.gov/cedselementdetails.aspx?termid=26219</v>
      </c>
      <c r="Q3983" s="16">
        <v>72045</v>
      </c>
    </row>
    <row r="3984" spans="1:17" ht="72" x14ac:dyDescent="0.3">
      <c r="A3984" s="16" t="s">
        <v>7755</v>
      </c>
      <c r="B3984" s="16" t="s">
        <v>7758</v>
      </c>
      <c r="C3984" s="16" t="s">
        <v>7604</v>
      </c>
      <c r="D3984" s="16" t="s">
        <v>7597</v>
      </c>
      <c r="E3984" s="16" t="s">
        <v>7053</v>
      </c>
      <c r="F3984" s="16" t="s">
        <v>7054</v>
      </c>
      <c r="G3984" s="16" t="s">
        <v>32</v>
      </c>
      <c r="H3984" s="16" t="s">
        <v>64</v>
      </c>
      <c r="I3984" s="16"/>
      <c r="J3984" s="16" t="s">
        <v>7055</v>
      </c>
      <c r="K3984" s="16"/>
      <c r="L3984" s="16"/>
      <c r="M3984" s="19" t="s">
        <v>7056</v>
      </c>
      <c r="N3984" s="16"/>
      <c r="O3984" s="16" t="s">
        <v>7057</v>
      </c>
      <c r="P3984" s="16" t="str">
        <f>HYPERLINK("https://ceds.ed.gov/cedselementdetails.aspx?termid=26279")</f>
        <v>https://ceds.ed.gov/cedselementdetails.aspx?termid=26279</v>
      </c>
      <c r="Q3984" s="16">
        <v>72046</v>
      </c>
    </row>
    <row r="3985" spans="1:17" ht="57.6" x14ac:dyDescent="0.3">
      <c r="A3985" s="16" t="s">
        <v>7755</v>
      </c>
      <c r="B3985" s="16" t="s">
        <v>7758</v>
      </c>
      <c r="C3985" s="16" t="s">
        <v>7604</v>
      </c>
      <c r="D3985" s="16" t="s">
        <v>7597</v>
      </c>
      <c r="E3985" s="16" t="s">
        <v>3175</v>
      </c>
      <c r="F3985" s="16" t="s">
        <v>3176</v>
      </c>
      <c r="G3985" s="16" t="s">
        <v>2987</v>
      </c>
      <c r="H3985" s="16"/>
      <c r="I3985" s="16"/>
      <c r="J3985" s="16"/>
      <c r="K3985" s="16"/>
      <c r="L3985" s="16"/>
      <c r="M3985" s="19" t="s">
        <v>3177</v>
      </c>
      <c r="N3985" s="16"/>
      <c r="O3985" s="16" t="s">
        <v>3178</v>
      </c>
      <c r="P3985" s="16" t="str">
        <f>HYPERLINK("https://ceds.ed.gov/cedselementdetails.aspx?termid=27905")</f>
        <v>https://ceds.ed.gov/cedselementdetails.aspx?termid=27905</v>
      </c>
      <c r="Q3985" s="16">
        <v>75204</v>
      </c>
    </row>
    <row r="3986" spans="1:17" ht="57.6" x14ac:dyDescent="0.3">
      <c r="A3986" s="16" t="s">
        <v>7755</v>
      </c>
      <c r="B3986" s="16" t="s">
        <v>7758</v>
      </c>
      <c r="C3986" s="16" t="s">
        <v>7604</v>
      </c>
      <c r="D3986" s="16" t="s">
        <v>7597</v>
      </c>
      <c r="E3986" s="16" t="s">
        <v>7058</v>
      </c>
      <c r="F3986" s="16" t="s">
        <v>7059</v>
      </c>
      <c r="G3986" s="16" t="s">
        <v>8848</v>
      </c>
      <c r="H3986" s="16"/>
      <c r="I3986" s="16"/>
      <c r="J3986" s="16"/>
      <c r="K3986" s="16"/>
      <c r="L3986" s="16"/>
      <c r="M3986" s="19" t="s">
        <v>7060</v>
      </c>
      <c r="N3986" s="16"/>
      <c r="O3986" s="16" t="s">
        <v>7061</v>
      </c>
      <c r="P3986" s="16" t="str">
        <f>HYPERLINK("https://ceds.ed.gov/cedselementdetails.aspx?termid=27911")</f>
        <v>https://ceds.ed.gov/cedselementdetails.aspx?termid=27911</v>
      </c>
      <c r="Q3986" s="16">
        <v>75205</v>
      </c>
    </row>
    <row r="3987" spans="1:17" ht="72" x14ac:dyDescent="0.3">
      <c r="A3987" s="16" t="s">
        <v>7755</v>
      </c>
      <c r="B3987" s="16" t="s">
        <v>7758</v>
      </c>
      <c r="C3987" s="16" t="s">
        <v>7605</v>
      </c>
      <c r="D3987" s="16" t="s">
        <v>7597</v>
      </c>
      <c r="E3987" s="16" t="s">
        <v>3412</v>
      </c>
      <c r="F3987" s="16" t="s">
        <v>3413</v>
      </c>
      <c r="G3987" s="16" t="s">
        <v>9330</v>
      </c>
      <c r="H3987" s="16" t="s">
        <v>64</v>
      </c>
      <c r="I3987" s="16"/>
      <c r="J3987" s="16"/>
      <c r="K3987" s="16"/>
      <c r="L3987" s="16"/>
      <c r="M3987" s="19" t="s">
        <v>3414</v>
      </c>
      <c r="N3987" s="16" t="s">
        <v>3415</v>
      </c>
      <c r="O3987" s="16" t="s">
        <v>3416</v>
      </c>
      <c r="P3987" s="16" t="str">
        <f>HYPERLINK("https://ceds.ed.gov/cedselementdetails.aspx?termid=26089")</f>
        <v>https://ceds.ed.gov/cedselementdetails.aspx?termid=26089</v>
      </c>
      <c r="Q3987" s="16">
        <v>71318</v>
      </c>
    </row>
    <row r="3988" spans="1:17" ht="72" x14ac:dyDescent="0.3">
      <c r="A3988" s="16" t="s">
        <v>7755</v>
      </c>
      <c r="B3988" s="16" t="s">
        <v>7758</v>
      </c>
      <c r="C3988" s="16" t="s">
        <v>7605</v>
      </c>
      <c r="D3988" s="16" t="s">
        <v>7597</v>
      </c>
      <c r="E3988" s="16" t="s">
        <v>3406</v>
      </c>
      <c r="F3988" s="16" t="s">
        <v>3407</v>
      </c>
      <c r="G3988" s="16" t="s">
        <v>32</v>
      </c>
      <c r="H3988" s="16" t="s">
        <v>64</v>
      </c>
      <c r="I3988" s="16"/>
      <c r="J3988" s="16" t="s">
        <v>3408</v>
      </c>
      <c r="K3988" s="16"/>
      <c r="L3988" s="16"/>
      <c r="M3988" s="19" t="s">
        <v>3409</v>
      </c>
      <c r="N3988" s="16" t="s">
        <v>3410</v>
      </c>
      <c r="O3988" s="16" t="s">
        <v>3411</v>
      </c>
      <c r="P3988" s="16" t="str">
        <f>HYPERLINK("https://ceds.ed.gov/cedselementdetails.aspx?termid=26088")</f>
        <v>https://ceds.ed.gov/cedselementdetails.aspx?termid=26088</v>
      </c>
      <c r="Q3988" s="16">
        <v>71316</v>
      </c>
    </row>
    <row r="3989" spans="1:17" ht="57.6" x14ac:dyDescent="0.3">
      <c r="A3989" s="16" t="s">
        <v>7755</v>
      </c>
      <c r="B3989" s="16" t="s">
        <v>7758</v>
      </c>
      <c r="C3989" s="16" t="s">
        <v>7605</v>
      </c>
      <c r="D3989" s="16" t="s">
        <v>7597</v>
      </c>
      <c r="E3989" s="16" t="s">
        <v>3175</v>
      </c>
      <c r="F3989" s="16" t="s">
        <v>3176</v>
      </c>
      <c r="G3989" s="16" t="s">
        <v>2987</v>
      </c>
      <c r="H3989" s="16"/>
      <c r="I3989" s="16"/>
      <c r="J3989" s="16"/>
      <c r="K3989" s="16"/>
      <c r="L3989" s="16"/>
      <c r="M3989" s="19" t="s">
        <v>3177</v>
      </c>
      <c r="N3989" s="16"/>
      <c r="O3989" s="16" t="s">
        <v>3178</v>
      </c>
      <c r="P3989" s="16" t="str">
        <f>HYPERLINK("https://ceds.ed.gov/cedselementdetails.aspx?termid=27905")</f>
        <v>https://ceds.ed.gov/cedselementdetails.aspx?termid=27905</v>
      </c>
      <c r="Q3989" s="16">
        <v>75203</v>
      </c>
    </row>
    <row r="3990" spans="1:17" ht="100.8" x14ac:dyDescent="0.3">
      <c r="A3990" s="16" t="s">
        <v>7755</v>
      </c>
      <c r="B3990" s="16" t="s">
        <v>7758</v>
      </c>
      <c r="C3990" s="16" t="s">
        <v>7749</v>
      </c>
      <c r="D3990" s="16" t="s">
        <v>7597</v>
      </c>
      <c r="E3990" s="16" t="s">
        <v>241</v>
      </c>
      <c r="F3990" s="16" t="s">
        <v>7314</v>
      </c>
      <c r="G3990" s="16" t="s">
        <v>8302</v>
      </c>
      <c r="H3990" s="16"/>
      <c r="I3990" s="16"/>
      <c r="J3990" s="16"/>
      <c r="K3990" s="16"/>
      <c r="L3990" s="16"/>
      <c r="M3990" s="19" t="s">
        <v>242</v>
      </c>
      <c r="N3990" s="16"/>
      <c r="O3990" s="16" t="s">
        <v>243</v>
      </c>
      <c r="P3990" s="16" t="str">
        <f>HYPERLINK("https://ceds.ed.gov/cedselementdetails.aspx?termid=26775")</f>
        <v>https://ceds.ed.gov/cedselementdetails.aspx?termid=26775</v>
      </c>
      <c r="Q3990" s="16">
        <v>71293</v>
      </c>
    </row>
    <row r="3991" spans="1:17" ht="409.6" x14ac:dyDescent="0.3">
      <c r="A3991" s="16" t="s">
        <v>7755</v>
      </c>
      <c r="B3991" s="16" t="s">
        <v>7758</v>
      </c>
      <c r="C3991" s="16" t="s">
        <v>7759</v>
      </c>
      <c r="D3991" s="16" t="s">
        <v>7597</v>
      </c>
      <c r="E3991" s="16" t="s">
        <v>4268</v>
      </c>
      <c r="F3991" s="16" t="s">
        <v>4269</v>
      </c>
      <c r="G3991" s="16" t="s">
        <v>8445</v>
      </c>
      <c r="H3991" s="16" t="s">
        <v>4272</v>
      </c>
      <c r="I3991" s="16"/>
      <c r="J3991" s="16"/>
      <c r="K3991" s="16"/>
      <c r="L3991" s="16"/>
      <c r="M3991" s="19" t="s">
        <v>4270</v>
      </c>
      <c r="N3991" s="16"/>
      <c r="O3991" s="16" t="s">
        <v>4271</v>
      </c>
      <c r="P3991" s="16" t="str">
        <f>HYPERLINK("https://ceds.ed.gov/cedselementdetails.aspx?termid=26141")</f>
        <v>https://ceds.ed.gov/cedselementdetails.aspx?termid=26141</v>
      </c>
      <c r="Q3991" s="16">
        <v>73212</v>
      </c>
    </row>
    <row r="3992" spans="1:17" ht="43.2" x14ac:dyDescent="0.3">
      <c r="A3992" s="16" t="s">
        <v>7755</v>
      </c>
      <c r="B3992" s="16" t="s">
        <v>7758</v>
      </c>
      <c r="C3992" s="16" t="s">
        <v>7759</v>
      </c>
      <c r="D3992" s="16" t="s">
        <v>7597</v>
      </c>
      <c r="E3992" s="16" t="s">
        <v>2871</v>
      </c>
      <c r="F3992" s="16" t="s">
        <v>2872</v>
      </c>
      <c r="G3992" s="16" t="s">
        <v>32</v>
      </c>
      <c r="H3992" s="16" t="s">
        <v>195</v>
      </c>
      <c r="I3992" s="16"/>
      <c r="J3992" s="16" t="s">
        <v>106</v>
      </c>
      <c r="K3992" s="16"/>
      <c r="L3992" s="16"/>
      <c r="M3992" s="19" t="s">
        <v>2873</v>
      </c>
      <c r="N3992" s="16"/>
      <c r="O3992" s="16" t="s">
        <v>2874</v>
      </c>
      <c r="P3992" s="16" t="str">
        <f>HYPERLINK("https://ceds.ed.gov/cedselementdetails.aspx?termid=26069")</f>
        <v>https://ceds.ed.gov/cedselementdetails.aspx?termid=26069</v>
      </c>
      <c r="Q3992" s="16">
        <v>75457</v>
      </c>
    </row>
    <row r="3993" spans="1:17" ht="43.2" x14ac:dyDescent="0.3">
      <c r="A3993" s="16" t="s">
        <v>7755</v>
      </c>
      <c r="B3993" s="16" t="s">
        <v>7758</v>
      </c>
      <c r="C3993" s="16" t="s">
        <v>7760</v>
      </c>
      <c r="D3993" s="16" t="s">
        <v>7597</v>
      </c>
      <c r="E3993" s="16" t="s">
        <v>7303</v>
      </c>
      <c r="F3993" s="16" t="s">
        <v>7304</v>
      </c>
      <c r="G3993" s="16" t="s">
        <v>32</v>
      </c>
      <c r="H3993" s="16"/>
      <c r="I3993" s="16"/>
      <c r="J3993" s="16" t="s">
        <v>1481</v>
      </c>
      <c r="K3993" s="16"/>
      <c r="L3993" s="16"/>
      <c r="M3993" s="19" t="s">
        <v>7305</v>
      </c>
      <c r="N3993" s="16"/>
      <c r="O3993" s="16" t="s">
        <v>7306</v>
      </c>
      <c r="P3993" s="16" t="str">
        <f>HYPERLINK("https://ceds.ed.gov/cedselementdetails.aspx?termid=26774")</f>
        <v>https://ceds.ed.gov/cedselementdetails.aspx?termid=26774</v>
      </c>
      <c r="Q3993" s="16">
        <v>71292</v>
      </c>
    </row>
    <row r="3994" spans="1:17" ht="129.6" x14ac:dyDescent="0.3">
      <c r="A3994" s="16" t="s">
        <v>7755</v>
      </c>
      <c r="B3994" s="16" t="s">
        <v>7758</v>
      </c>
      <c r="C3994" s="16" t="s">
        <v>7658</v>
      </c>
      <c r="D3994" s="16" t="s">
        <v>7597</v>
      </c>
      <c r="E3994" s="16" t="s">
        <v>276</v>
      </c>
      <c r="F3994" s="16" t="s">
        <v>277</v>
      </c>
      <c r="G3994" s="16" t="s">
        <v>8310</v>
      </c>
      <c r="H3994" s="16"/>
      <c r="I3994" s="16"/>
      <c r="J3994" s="16"/>
      <c r="K3994" s="16"/>
      <c r="L3994" s="16"/>
      <c r="M3994" s="19" t="s">
        <v>279</v>
      </c>
      <c r="N3994" s="16"/>
      <c r="O3994" s="16" t="s">
        <v>280</v>
      </c>
      <c r="P3994" s="16" t="str">
        <f>HYPERLINK("https://ceds.ed.gov/cedselementdetails.aspx?termid=26770")</f>
        <v>https://ceds.ed.gov/cedselementdetails.aspx?termid=26770</v>
      </c>
      <c r="Q3994" s="16">
        <v>71290</v>
      </c>
    </row>
    <row r="3995" spans="1:17" ht="72" x14ac:dyDescent="0.3">
      <c r="A3995" s="16" t="s">
        <v>7755</v>
      </c>
      <c r="B3995" s="16" t="s">
        <v>7758</v>
      </c>
      <c r="C3995" s="16" t="s">
        <v>7658</v>
      </c>
      <c r="D3995" s="16" t="s">
        <v>7597</v>
      </c>
      <c r="E3995" s="16" t="s">
        <v>281</v>
      </c>
      <c r="F3995" s="16" t="s">
        <v>282</v>
      </c>
      <c r="G3995" s="16" t="s">
        <v>8311</v>
      </c>
      <c r="H3995" s="16"/>
      <c r="I3995" s="16"/>
      <c r="J3995" s="16"/>
      <c r="K3995" s="16"/>
      <c r="L3995" s="16"/>
      <c r="M3995" s="19" t="s">
        <v>283</v>
      </c>
      <c r="N3995" s="16"/>
      <c r="O3995" s="16" t="s">
        <v>284</v>
      </c>
      <c r="P3995" s="16" t="str">
        <f>HYPERLINK("https://ceds.ed.gov/cedselementdetails.aspx?termid=26771")</f>
        <v>https://ceds.ed.gov/cedselementdetails.aspx?termid=26771</v>
      </c>
      <c r="Q3995" s="16">
        <v>71291</v>
      </c>
    </row>
    <row r="3996" spans="1:17" ht="57.6" x14ac:dyDescent="0.3">
      <c r="A3996" s="16" t="s">
        <v>7755</v>
      </c>
      <c r="B3996" s="16" t="s">
        <v>7758</v>
      </c>
      <c r="C3996" s="16" t="s">
        <v>7658</v>
      </c>
      <c r="D3996" s="16" t="s">
        <v>7597</v>
      </c>
      <c r="E3996" s="16" t="s">
        <v>3498</v>
      </c>
      <c r="F3996" s="16" t="s">
        <v>3499</v>
      </c>
      <c r="G3996" s="16" t="s">
        <v>32</v>
      </c>
      <c r="H3996" s="16" t="s">
        <v>3502</v>
      </c>
      <c r="I3996" s="16"/>
      <c r="J3996" s="16" t="s">
        <v>106</v>
      </c>
      <c r="K3996" s="16"/>
      <c r="L3996" s="16"/>
      <c r="M3996" s="19" t="s">
        <v>3500</v>
      </c>
      <c r="N3996" s="16"/>
      <c r="O3996" s="16" t="s">
        <v>3501</v>
      </c>
      <c r="P3996" s="16" t="str">
        <f>HYPERLINK("https://ceds.ed.gov/cedselementdetails.aspx?termid=26345")</f>
        <v>https://ceds.ed.gov/cedselementdetails.aspx?termid=26345</v>
      </c>
      <c r="Q3996" s="16">
        <v>73155</v>
      </c>
    </row>
    <row r="3997" spans="1:17" ht="57.6" x14ac:dyDescent="0.3">
      <c r="A3997" s="16" t="s">
        <v>7755</v>
      </c>
      <c r="B3997" s="16" t="s">
        <v>7758</v>
      </c>
      <c r="C3997" s="16" t="s">
        <v>7658</v>
      </c>
      <c r="D3997" s="16" t="s">
        <v>7597</v>
      </c>
      <c r="E3997" s="16" t="s">
        <v>3462</v>
      </c>
      <c r="F3997" s="16" t="s">
        <v>3463</v>
      </c>
      <c r="G3997" s="16" t="s">
        <v>32</v>
      </c>
      <c r="H3997" s="16" t="s">
        <v>195</v>
      </c>
      <c r="I3997" s="16"/>
      <c r="J3997" s="16" t="s">
        <v>106</v>
      </c>
      <c r="K3997" s="16"/>
      <c r="L3997" s="16" t="s">
        <v>131</v>
      </c>
      <c r="M3997" s="19" t="s">
        <v>3464</v>
      </c>
      <c r="N3997" s="16"/>
      <c r="O3997" s="16" t="s">
        <v>3465</v>
      </c>
      <c r="P3997" s="16" t="str">
        <f>HYPERLINK("https://ceds.ed.gov/cedselementdetails.aspx?termid=26794")</f>
        <v>https://ceds.ed.gov/cedselementdetails.aspx?termid=26794</v>
      </c>
      <c r="Q3997" s="16">
        <v>73153</v>
      </c>
    </row>
    <row r="3998" spans="1:17" ht="158.4" x14ac:dyDescent="0.3">
      <c r="A3998" s="16" t="s">
        <v>7755</v>
      </c>
      <c r="B3998" s="16" t="s">
        <v>7758</v>
      </c>
      <c r="C3998" s="16" t="s">
        <v>7658</v>
      </c>
      <c r="D3998" s="16" t="s">
        <v>7597</v>
      </c>
      <c r="E3998" s="16" t="s">
        <v>4278</v>
      </c>
      <c r="F3998" s="16" t="s">
        <v>4279</v>
      </c>
      <c r="G3998" s="16" t="s">
        <v>32</v>
      </c>
      <c r="H3998" s="16" t="s">
        <v>4282</v>
      </c>
      <c r="I3998" s="16"/>
      <c r="J3998" s="16" t="s">
        <v>106</v>
      </c>
      <c r="K3998" s="16"/>
      <c r="L3998" s="16" t="s">
        <v>8057</v>
      </c>
      <c r="M3998" s="19" t="s">
        <v>4280</v>
      </c>
      <c r="N3998" s="16"/>
      <c r="O3998" s="16" t="s">
        <v>4281</v>
      </c>
      <c r="P3998" s="16" t="str">
        <f>HYPERLINK("https://ceds.ed.gov/cedselementdetails.aspx?termid=26143")</f>
        <v>https://ceds.ed.gov/cedselementdetails.aspx?termid=26143</v>
      </c>
      <c r="Q3998" s="16">
        <v>73213</v>
      </c>
    </row>
    <row r="3999" spans="1:17" ht="409.6" x14ac:dyDescent="0.3">
      <c r="A3999" s="16" t="s">
        <v>7755</v>
      </c>
      <c r="B3999" s="16" t="s">
        <v>7758</v>
      </c>
      <c r="C3999" s="16" t="s">
        <v>7658</v>
      </c>
      <c r="D3999" s="16" t="s">
        <v>7597</v>
      </c>
      <c r="E3999" s="16" t="s">
        <v>3491</v>
      </c>
      <c r="F3999" s="16" t="s">
        <v>3267</v>
      </c>
      <c r="G3999" s="16" t="s">
        <v>8552</v>
      </c>
      <c r="H3999" s="16"/>
      <c r="I3999" s="16"/>
      <c r="J3999" s="16"/>
      <c r="K3999" s="16"/>
      <c r="L3999" s="16"/>
      <c r="M3999" s="19" t="s">
        <v>3492</v>
      </c>
      <c r="N3999" s="16"/>
      <c r="O3999" s="16" t="s">
        <v>3493</v>
      </c>
      <c r="P3999" s="16" t="str">
        <f>HYPERLINK("https://ceds.ed.gov/cedselementdetails.aspx?termid=26613")</f>
        <v>https://ceds.ed.gov/cedselementdetails.aspx?termid=26613</v>
      </c>
      <c r="Q3999" s="16">
        <v>75209</v>
      </c>
    </row>
    <row r="4000" spans="1:17" ht="230.4" x14ac:dyDescent="0.3">
      <c r="A4000" s="16" t="s">
        <v>7755</v>
      </c>
      <c r="B4000" s="16" t="s">
        <v>7758</v>
      </c>
      <c r="C4000" s="16" t="s">
        <v>7658</v>
      </c>
      <c r="D4000" s="16" t="s">
        <v>7597</v>
      </c>
      <c r="E4000" s="16" t="s">
        <v>7543</v>
      </c>
      <c r="F4000" s="16" t="s">
        <v>7544</v>
      </c>
      <c r="G4000" s="16" t="s">
        <v>13093</v>
      </c>
      <c r="H4000" s="16"/>
      <c r="I4000" s="16" t="s">
        <v>160</v>
      </c>
      <c r="J4000" s="16"/>
      <c r="K4000" s="16" t="s">
        <v>12951</v>
      </c>
      <c r="L4000" s="16"/>
      <c r="M4000" s="19" t="s">
        <v>7545</v>
      </c>
      <c r="N4000" s="16"/>
      <c r="O4000" s="16" t="s">
        <v>7543</v>
      </c>
      <c r="P4000" s="16" t="str">
        <f>HYPERLINK("https://ceds.ed.gov/cedselementdetails.aspx?termid=27959")</f>
        <v>https://ceds.ed.gov/cedselementdetails.aspx?termid=27959</v>
      </c>
      <c r="Q4000" s="16">
        <v>75461</v>
      </c>
    </row>
    <row r="4001" spans="1:17" ht="172.8" x14ac:dyDescent="0.3">
      <c r="A4001" s="16" t="s">
        <v>7755</v>
      </c>
      <c r="B4001" s="16" t="s">
        <v>7758</v>
      </c>
      <c r="C4001" s="16" t="s">
        <v>7713</v>
      </c>
      <c r="D4001" s="16" t="s">
        <v>7597</v>
      </c>
      <c r="E4001" s="16" t="s">
        <v>267</v>
      </c>
      <c r="F4001" s="16" t="s">
        <v>268</v>
      </c>
      <c r="G4001" s="16" t="s">
        <v>32</v>
      </c>
      <c r="H4001" s="16"/>
      <c r="I4001" s="16"/>
      <c r="J4001" s="16" t="s">
        <v>120</v>
      </c>
      <c r="K4001" s="16"/>
      <c r="L4001" s="16" t="s">
        <v>7817</v>
      </c>
      <c r="M4001" s="19" t="s">
        <v>269</v>
      </c>
      <c r="N4001" s="16"/>
      <c r="O4001" s="16" t="s">
        <v>270</v>
      </c>
      <c r="P4001" s="16" t="str">
        <f>HYPERLINK("https://ceds.ed.gov/cedselementdetails.aspx?termid=26777")</f>
        <v>https://ceds.ed.gov/cedselementdetails.aspx?termid=26777</v>
      </c>
      <c r="Q4001" s="16">
        <v>73059</v>
      </c>
    </row>
    <row r="4002" spans="1:17" ht="172.8" x14ac:dyDescent="0.3">
      <c r="A4002" s="16" t="s">
        <v>7755</v>
      </c>
      <c r="B4002" s="16" t="s">
        <v>7758</v>
      </c>
      <c r="C4002" s="16" t="s">
        <v>7713</v>
      </c>
      <c r="D4002" s="16" t="s">
        <v>7597</v>
      </c>
      <c r="E4002" s="16" t="s">
        <v>262</v>
      </c>
      <c r="F4002" s="16" t="s">
        <v>263</v>
      </c>
      <c r="G4002" s="16" t="s">
        <v>8308</v>
      </c>
      <c r="H4002" s="16"/>
      <c r="I4002" s="16"/>
      <c r="J4002" s="16"/>
      <c r="K4002" s="16"/>
      <c r="L4002" s="16"/>
      <c r="M4002" s="19" t="s">
        <v>265</v>
      </c>
      <c r="N4002" s="16"/>
      <c r="O4002" s="16" t="s">
        <v>266</v>
      </c>
      <c r="P4002" s="16" t="str">
        <f>HYPERLINK("https://ceds.ed.gov/cedselementdetails.aspx?termid=26778")</f>
        <v>https://ceds.ed.gov/cedselementdetails.aspx?termid=26778</v>
      </c>
      <c r="Q4002" s="16">
        <v>73060</v>
      </c>
    </row>
    <row r="4003" spans="1:17" ht="409.6" x14ac:dyDescent="0.3">
      <c r="A4003" s="16" t="s">
        <v>7755</v>
      </c>
      <c r="B4003" s="16" t="s">
        <v>7758</v>
      </c>
      <c r="C4003" s="16" t="s">
        <v>7655</v>
      </c>
      <c r="D4003" s="16" t="s">
        <v>7597</v>
      </c>
      <c r="E4003" s="16" t="s">
        <v>4268</v>
      </c>
      <c r="F4003" s="16" t="s">
        <v>4269</v>
      </c>
      <c r="G4003" s="16" t="s">
        <v>8445</v>
      </c>
      <c r="H4003" s="16" t="s">
        <v>4272</v>
      </c>
      <c r="I4003" s="16"/>
      <c r="J4003" s="16"/>
      <c r="K4003" s="16"/>
      <c r="L4003" s="16"/>
      <c r="M4003" s="19" t="s">
        <v>4270</v>
      </c>
      <c r="N4003" s="16"/>
      <c r="O4003" s="16" t="s">
        <v>4271</v>
      </c>
      <c r="P4003" s="16" t="str">
        <f>HYPERLINK("https://ceds.ed.gov/cedselementdetails.aspx?termid=26141")</f>
        <v>https://ceds.ed.gov/cedselementdetails.aspx?termid=26141</v>
      </c>
      <c r="Q4003" s="16">
        <v>74748</v>
      </c>
    </row>
    <row r="4004" spans="1:17" ht="187.2" x14ac:dyDescent="0.3">
      <c r="A4004" s="16" t="s">
        <v>7755</v>
      </c>
      <c r="B4004" s="16" t="s">
        <v>7758</v>
      </c>
      <c r="C4004" s="16" t="s">
        <v>7655</v>
      </c>
      <c r="D4004" s="16" t="s">
        <v>7597</v>
      </c>
      <c r="E4004" s="16" t="s">
        <v>5431</v>
      </c>
      <c r="F4004" s="16" t="s">
        <v>5432</v>
      </c>
      <c r="G4004" s="16" t="s">
        <v>32</v>
      </c>
      <c r="H4004" s="16" t="s">
        <v>5435</v>
      </c>
      <c r="I4004" s="16"/>
      <c r="J4004" s="16" t="s">
        <v>145</v>
      </c>
      <c r="K4004" s="16"/>
      <c r="L4004" s="16"/>
      <c r="M4004" s="19" t="s">
        <v>5433</v>
      </c>
      <c r="N4004" s="16"/>
      <c r="O4004" s="16" t="s">
        <v>5434</v>
      </c>
      <c r="P4004" s="16" t="str">
        <f>HYPERLINK("https://ceds.ed.gov/cedselementdetails.aspx?termid=26191")</f>
        <v>https://ceds.ed.gov/cedselementdetails.aspx?termid=26191</v>
      </c>
      <c r="Q4004" s="16">
        <v>74734</v>
      </c>
    </row>
    <row r="4005" spans="1:17" ht="86.4" x14ac:dyDescent="0.3">
      <c r="A4005" s="16" t="s">
        <v>7755</v>
      </c>
      <c r="B4005" s="16" t="s">
        <v>7758</v>
      </c>
      <c r="C4005" s="16" t="s">
        <v>7655</v>
      </c>
      <c r="D4005" s="16" t="s">
        <v>7597</v>
      </c>
      <c r="E4005" s="16" t="s">
        <v>8142</v>
      </c>
      <c r="F4005" s="16" t="s">
        <v>8143</v>
      </c>
      <c r="G4005" s="16" t="s">
        <v>32</v>
      </c>
      <c r="H4005" s="16"/>
      <c r="I4005" s="16"/>
      <c r="J4005" s="16" t="s">
        <v>81</v>
      </c>
      <c r="K4005" s="16"/>
      <c r="L4005" s="16" t="s">
        <v>6671</v>
      </c>
      <c r="M4005" s="19" t="s">
        <v>6672</v>
      </c>
      <c r="N4005" s="16"/>
      <c r="O4005" s="16" t="s">
        <v>8144</v>
      </c>
      <c r="P4005" s="16" t="str">
        <f>HYPERLINK("https://ceds.ed.gov/cedselementdetails.aspx?termid=27459")</f>
        <v>https://ceds.ed.gov/cedselementdetails.aspx?termid=27459</v>
      </c>
      <c r="Q4005" s="16">
        <v>74752</v>
      </c>
    </row>
    <row r="4006" spans="1:17" ht="100.8" x14ac:dyDescent="0.3">
      <c r="A4006" s="16" t="s">
        <v>7755</v>
      </c>
      <c r="B4006" s="16" t="s">
        <v>7758</v>
      </c>
      <c r="C4006" s="16" t="s">
        <v>7655</v>
      </c>
      <c r="D4006" s="16" t="s">
        <v>7597</v>
      </c>
      <c r="E4006" s="16" t="s">
        <v>4264</v>
      </c>
      <c r="F4006" s="16" t="s">
        <v>4265</v>
      </c>
      <c r="G4006" s="16" t="s">
        <v>8621</v>
      </c>
      <c r="H4006" s="16" t="s">
        <v>195</v>
      </c>
      <c r="I4006" s="16"/>
      <c r="J4006" s="16"/>
      <c r="K4006" s="16"/>
      <c r="L4006" s="16"/>
      <c r="M4006" s="19" t="s">
        <v>4266</v>
      </c>
      <c r="N4006" s="16"/>
      <c r="O4006" s="16" t="s">
        <v>4267</v>
      </c>
      <c r="P4006" s="16" t="str">
        <f>HYPERLINK("https://ceds.ed.gov/cedselementdetails.aspx?termid=26817")</f>
        <v>https://ceds.ed.gov/cedselementdetails.aspx?termid=26817</v>
      </c>
      <c r="Q4006" s="16">
        <v>74750</v>
      </c>
    </row>
    <row r="4007" spans="1:17" ht="43.2" x14ac:dyDescent="0.3">
      <c r="A4007" s="16" t="s">
        <v>7755</v>
      </c>
      <c r="B4007" s="16" t="s">
        <v>7758</v>
      </c>
      <c r="C4007" s="16" t="s">
        <v>7655</v>
      </c>
      <c r="D4007" s="16" t="s">
        <v>7597</v>
      </c>
      <c r="E4007" s="16" t="s">
        <v>3030</v>
      </c>
      <c r="F4007" s="16" t="s">
        <v>3031</v>
      </c>
      <c r="G4007" s="16" t="s">
        <v>32</v>
      </c>
      <c r="H4007" s="16" t="s">
        <v>3025</v>
      </c>
      <c r="I4007" s="16"/>
      <c r="J4007" s="16" t="s">
        <v>1304</v>
      </c>
      <c r="K4007" s="16"/>
      <c r="L4007" s="16"/>
      <c r="M4007" s="19" t="s">
        <v>3032</v>
      </c>
      <c r="N4007" s="16"/>
      <c r="O4007" s="16" t="s">
        <v>3033</v>
      </c>
      <c r="P4007" s="16" t="str">
        <f>HYPERLINK("https://ceds.ed.gov/cedselementdetails.aspx?termid=26341")</f>
        <v>https://ceds.ed.gov/cedselementdetails.aspx?termid=26341</v>
      </c>
      <c r="Q4007" s="16">
        <v>74736</v>
      </c>
    </row>
    <row r="4008" spans="1:17" ht="273.60000000000002" x14ac:dyDescent="0.3">
      <c r="A4008" s="16" t="s">
        <v>7755</v>
      </c>
      <c r="B4008" s="16" t="s">
        <v>7758</v>
      </c>
      <c r="C4008" s="16" t="s">
        <v>7655</v>
      </c>
      <c r="D4008" s="16" t="s">
        <v>7597</v>
      </c>
      <c r="E4008" s="16" t="s">
        <v>3034</v>
      </c>
      <c r="F4008" s="16" t="s">
        <v>3035</v>
      </c>
      <c r="G4008" s="16" t="s">
        <v>8493</v>
      </c>
      <c r="H4008" s="16" t="s">
        <v>3025</v>
      </c>
      <c r="I4008" s="16"/>
      <c r="J4008" s="16"/>
      <c r="K4008" s="16"/>
      <c r="L4008" s="16"/>
      <c r="M4008" s="19" t="s">
        <v>3036</v>
      </c>
      <c r="N4008" s="16"/>
      <c r="O4008" s="16" t="s">
        <v>3037</v>
      </c>
      <c r="P4008" s="16" t="str">
        <f>HYPERLINK("https://ceds.ed.gov/cedselementdetails.aspx?termid=26342")</f>
        <v>https://ceds.ed.gov/cedselementdetails.aspx?termid=26342</v>
      </c>
      <c r="Q4008" s="16">
        <v>74738</v>
      </c>
    </row>
    <row r="4009" spans="1:17" ht="43.2" x14ac:dyDescent="0.3">
      <c r="A4009" s="16" t="s">
        <v>7755</v>
      </c>
      <c r="B4009" s="16" t="s">
        <v>7758</v>
      </c>
      <c r="C4009" s="16" t="s">
        <v>7655</v>
      </c>
      <c r="D4009" s="16" t="s">
        <v>7597</v>
      </c>
      <c r="E4009" s="16" t="s">
        <v>3021</v>
      </c>
      <c r="F4009" s="16" t="s">
        <v>3022</v>
      </c>
      <c r="G4009" s="16" t="s">
        <v>32</v>
      </c>
      <c r="H4009" s="16" t="s">
        <v>3025</v>
      </c>
      <c r="I4009" s="16"/>
      <c r="J4009" s="16" t="s">
        <v>106</v>
      </c>
      <c r="K4009" s="16"/>
      <c r="L4009" s="16"/>
      <c r="M4009" s="19" t="s">
        <v>3023</v>
      </c>
      <c r="N4009" s="16"/>
      <c r="O4009" s="16" t="s">
        <v>3024</v>
      </c>
      <c r="P4009" s="16" t="str">
        <f>HYPERLINK("https://ceds.ed.gov/cedselementdetails.aspx?termid=26343")</f>
        <v>https://ceds.ed.gov/cedselementdetails.aspx?termid=26343</v>
      </c>
      <c r="Q4009" s="16">
        <v>74740</v>
      </c>
    </row>
    <row r="4010" spans="1:17" ht="57.6" x14ac:dyDescent="0.3">
      <c r="A4010" s="16" t="s">
        <v>7755</v>
      </c>
      <c r="B4010" s="16" t="s">
        <v>7758</v>
      </c>
      <c r="C4010" s="16" t="s">
        <v>7655</v>
      </c>
      <c r="D4010" s="16" t="s">
        <v>7597</v>
      </c>
      <c r="E4010" s="16" t="s">
        <v>5547</v>
      </c>
      <c r="F4010" s="16" t="s">
        <v>5548</v>
      </c>
      <c r="G4010" s="16" t="s">
        <v>32</v>
      </c>
      <c r="H4010" s="16" t="s">
        <v>195</v>
      </c>
      <c r="I4010" s="16"/>
      <c r="J4010" s="16" t="s">
        <v>1481</v>
      </c>
      <c r="K4010" s="16"/>
      <c r="L4010" s="16"/>
      <c r="M4010" s="19" t="s">
        <v>5549</v>
      </c>
      <c r="N4010" s="16"/>
      <c r="O4010" s="16" t="s">
        <v>5550</v>
      </c>
      <c r="P4010" s="16" t="str">
        <f>HYPERLINK("https://ceds.ed.gov/cedselementdetails.aspx?termid=26815")</f>
        <v>https://ceds.ed.gov/cedselementdetails.aspx?termid=26815</v>
      </c>
      <c r="Q4010" s="16">
        <v>74742</v>
      </c>
    </row>
    <row r="4011" spans="1:17" ht="72" x14ac:dyDescent="0.3">
      <c r="A4011" s="16" t="s">
        <v>7755</v>
      </c>
      <c r="B4011" s="16" t="s">
        <v>7758</v>
      </c>
      <c r="C4011" s="16" t="s">
        <v>7655</v>
      </c>
      <c r="D4011" s="16" t="s">
        <v>7597</v>
      </c>
      <c r="E4011" s="16" t="s">
        <v>6777</v>
      </c>
      <c r="F4011" s="16" t="s">
        <v>6778</v>
      </c>
      <c r="G4011" s="16" t="s">
        <v>32</v>
      </c>
      <c r="H4011" s="16" t="s">
        <v>195</v>
      </c>
      <c r="I4011" s="16"/>
      <c r="J4011" s="16" t="s">
        <v>106</v>
      </c>
      <c r="K4011" s="16"/>
      <c r="L4011" s="16"/>
      <c r="M4011" s="19" t="s">
        <v>6779</v>
      </c>
      <c r="N4011" s="16"/>
      <c r="O4011" s="16" t="s">
        <v>6780</v>
      </c>
      <c r="P4011" s="16" t="str">
        <f>HYPERLINK("https://ceds.ed.gov/cedselementdetails.aspx?termid=26792")</f>
        <v>https://ceds.ed.gov/cedselementdetails.aspx?termid=26792</v>
      </c>
      <c r="Q4011" s="16">
        <v>74744</v>
      </c>
    </row>
    <row r="4012" spans="1:17" ht="72" x14ac:dyDescent="0.3">
      <c r="A4012" s="16" t="s">
        <v>7755</v>
      </c>
      <c r="B4012" s="16" t="s">
        <v>7758</v>
      </c>
      <c r="C4012" s="16" t="s">
        <v>7655</v>
      </c>
      <c r="D4012" s="16" t="s">
        <v>7597</v>
      </c>
      <c r="E4012" s="16" t="s">
        <v>6781</v>
      </c>
      <c r="F4012" s="16" t="s">
        <v>6782</v>
      </c>
      <c r="G4012" s="16" t="s">
        <v>32</v>
      </c>
      <c r="H4012" s="16" t="s">
        <v>195</v>
      </c>
      <c r="I4012" s="16"/>
      <c r="J4012" s="16" t="s">
        <v>106</v>
      </c>
      <c r="K4012" s="16"/>
      <c r="L4012" s="16"/>
      <c r="M4012" s="19" t="s">
        <v>6783</v>
      </c>
      <c r="N4012" s="16"/>
      <c r="O4012" s="16" t="s">
        <v>6784</v>
      </c>
      <c r="P4012" s="16" t="str">
        <f>HYPERLINK("https://ceds.ed.gov/cedselementdetails.aspx?termid=26793")</f>
        <v>https://ceds.ed.gov/cedselementdetails.aspx?termid=26793</v>
      </c>
      <c r="Q4012" s="16">
        <v>74746</v>
      </c>
    </row>
    <row r="4013" spans="1:17" ht="86.4" x14ac:dyDescent="0.3">
      <c r="A4013" s="16" t="s">
        <v>7755</v>
      </c>
      <c r="B4013" s="16" t="s">
        <v>7758</v>
      </c>
      <c r="C4013" s="16" t="s">
        <v>7655</v>
      </c>
      <c r="D4013" s="16" t="s">
        <v>7597</v>
      </c>
      <c r="E4013" s="16" t="s">
        <v>3398</v>
      </c>
      <c r="F4013" s="16" t="s">
        <v>3399</v>
      </c>
      <c r="G4013" s="16" t="s">
        <v>8545</v>
      </c>
      <c r="H4013" s="16"/>
      <c r="I4013" s="16"/>
      <c r="J4013" s="16"/>
      <c r="K4013" s="16"/>
      <c r="L4013" s="16"/>
      <c r="M4013" s="19" t="s">
        <v>3400</v>
      </c>
      <c r="N4013" s="16"/>
      <c r="O4013" s="16" t="s">
        <v>3401</v>
      </c>
      <c r="P4013" s="16" t="str">
        <f>HYPERLINK("https://ceds.ed.gov/cedselementdetails.aspx?termid=27586")</f>
        <v>https://ceds.ed.gov/cedselementdetails.aspx?termid=27586</v>
      </c>
      <c r="Q4013" s="16">
        <v>74754</v>
      </c>
    </row>
    <row r="4014" spans="1:17" ht="409.6" x14ac:dyDescent="0.3">
      <c r="A4014" s="16" t="s">
        <v>7755</v>
      </c>
      <c r="B4014" s="16" t="s">
        <v>7758</v>
      </c>
      <c r="C4014" s="16" t="s">
        <v>7628</v>
      </c>
      <c r="D4014" s="16" t="s">
        <v>7597</v>
      </c>
      <c r="E4014" s="16" t="s">
        <v>2488</v>
      </c>
      <c r="F4014" s="16" t="s">
        <v>2489</v>
      </c>
      <c r="G4014" s="16" t="s">
        <v>8454</v>
      </c>
      <c r="H4014" s="16" t="s">
        <v>2492</v>
      </c>
      <c r="I4014" s="16"/>
      <c r="J4014" s="16"/>
      <c r="K4014" s="16"/>
      <c r="L4014" s="16" t="s">
        <v>7915</v>
      </c>
      <c r="M4014" s="19" t="s">
        <v>2490</v>
      </c>
      <c r="N4014" s="16"/>
      <c r="O4014" s="16" t="s">
        <v>2491</v>
      </c>
      <c r="P4014" s="16" t="str">
        <f>HYPERLINK("https://ceds.ed.gov/cedselementdetails.aspx?termid=26051")</f>
        <v>https://ceds.ed.gov/cedselementdetails.aspx?termid=26051</v>
      </c>
      <c r="Q4014" s="16">
        <v>75206</v>
      </c>
    </row>
    <row r="4015" spans="1:17" ht="100.8" x14ac:dyDescent="0.3">
      <c r="A4015" s="16" t="s">
        <v>7755</v>
      </c>
      <c r="B4015" s="16" t="s">
        <v>7758</v>
      </c>
      <c r="C4015" s="16" t="s">
        <v>7628</v>
      </c>
      <c r="D4015" s="16" t="s">
        <v>7597</v>
      </c>
      <c r="E4015" s="16" t="s">
        <v>5395</v>
      </c>
      <c r="F4015" s="16" t="s">
        <v>8092</v>
      </c>
      <c r="G4015" s="16" t="s">
        <v>8728</v>
      </c>
      <c r="H4015" s="16"/>
      <c r="I4015" s="16"/>
      <c r="J4015" s="16"/>
      <c r="K4015" s="16"/>
      <c r="L4015" s="16"/>
      <c r="M4015" s="19" t="s">
        <v>5396</v>
      </c>
      <c r="N4015" s="16"/>
      <c r="O4015" s="16" t="s">
        <v>5397</v>
      </c>
      <c r="P4015" s="16" t="str">
        <f>HYPERLINK("https://ceds.ed.gov/cedselementdetails.aspx?termid=27621")</f>
        <v>https://ceds.ed.gov/cedselementdetails.aspx?termid=27621</v>
      </c>
      <c r="Q4015" s="16">
        <v>75207</v>
      </c>
    </row>
    <row r="4016" spans="1:17" ht="57.6" x14ac:dyDescent="0.3">
      <c r="A4016" s="16" t="s">
        <v>7755</v>
      </c>
      <c r="B4016" s="16" t="s">
        <v>7758</v>
      </c>
      <c r="C4016" s="16" t="s">
        <v>7628</v>
      </c>
      <c r="D4016" s="16" t="s">
        <v>7597</v>
      </c>
      <c r="E4016" s="16" t="s">
        <v>7181</v>
      </c>
      <c r="F4016" s="16" t="s">
        <v>7182</v>
      </c>
      <c r="G4016" s="16" t="s">
        <v>7313</v>
      </c>
      <c r="H4016" s="16"/>
      <c r="I4016" s="16"/>
      <c r="J4016" s="16"/>
      <c r="K4016" s="16"/>
      <c r="L4016" s="16"/>
      <c r="M4016" s="19" t="s">
        <v>7183</v>
      </c>
      <c r="N4016" s="16"/>
      <c r="O4016" s="16" t="s">
        <v>7184</v>
      </c>
      <c r="P4016" s="16" t="str">
        <f>HYPERLINK("https://ceds.ed.gov/cedselementdetails.aspx?termid=27638")</f>
        <v>https://ceds.ed.gov/cedselementdetails.aspx?termid=27638</v>
      </c>
      <c r="Q4016" s="16">
        <v>75208</v>
      </c>
    </row>
    <row r="4017" spans="1:17" ht="201.6" x14ac:dyDescent="0.3">
      <c r="A4017" s="16" t="s">
        <v>7755</v>
      </c>
      <c r="B4017" s="16" t="s">
        <v>7758</v>
      </c>
      <c r="C4017" s="16" t="s">
        <v>7628</v>
      </c>
      <c r="D4017" s="16" t="s">
        <v>7597</v>
      </c>
      <c r="E4017" s="16" t="s">
        <v>1507</v>
      </c>
      <c r="F4017" s="16" t="s">
        <v>1508</v>
      </c>
      <c r="G4017" s="16" t="s">
        <v>32</v>
      </c>
      <c r="H4017" s="16" t="s">
        <v>1510</v>
      </c>
      <c r="I4017" s="16"/>
      <c r="J4017" s="16" t="s">
        <v>106</v>
      </c>
      <c r="K4017" s="16"/>
      <c r="L4017" s="16"/>
      <c r="M4017" s="19" t="s">
        <v>1509</v>
      </c>
      <c r="N4017" s="16"/>
      <c r="O4017" s="16" t="s">
        <v>1507</v>
      </c>
      <c r="P4017" s="16" t="str">
        <f>HYPERLINK("https://ceds.ed.gov/cedselementdetails.aspx?termid=26033")</f>
        <v>https://ceds.ed.gov/cedselementdetails.aspx?termid=26033</v>
      </c>
      <c r="Q4017" s="16">
        <v>75458</v>
      </c>
    </row>
    <row r="4018" spans="1:17" ht="115.2" x14ac:dyDescent="0.3">
      <c r="A4018" s="16" t="s">
        <v>7755</v>
      </c>
      <c r="B4018" s="16" t="s">
        <v>7758</v>
      </c>
      <c r="C4018" s="16" t="s">
        <v>7628</v>
      </c>
      <c r="D4018" s="16" t="s">
        <v>7597</v>
      </c>
      <c r="E4018" s="16" t="s">
        <v>7422</v>
      </c>
      <c r="F4018" s="16" t="s">
        <v>7423</v>
      </c>
      <c r="G4018" s="16" t="s">
        <v>2987</v>
      </c>
      <c r="H4018" s="16"/>
      <c r="I4018" s="16"/>
      <c r="J4018" s="16"/>
      <c r="K4018" s="16"/>
      <c r="L4018" s="16"/>
      <c r="M4018" s="19" t="s">
        <v>7424</v>
      </c>
      <c r="N4018" s="16"/>
      <c r="O4018" s="16" t="s">
        <v>7425</v>
      </c>
      <c r="P4018" s="16" t="str">
        <f>HYPERLINK("https://ceds.ed.gov/cedselementdetails.aspx?termid=27933")</f>
        <v>https://ceds.ed.gov/cedselementdetails.aspx?termid=27933</v>
      </c>
      <c r="Q4018" s="16">
        <v>75459</v>
      </c>
    </row>
    <row r="4019" spans="1:17" ht="144" x14ac:dyDescent="0.3">
      <c r="A4019" s="16" t="s">
        <v>7755</v>
      </c>
      <c r="B4019" s="16" t="s">
        <v>7758</v>
      </c>
      <c r="C4019" s="16" t="s">
        <v>7628</v>
      </c>
      <c r="D4019" s="16" t="s">
        <v>7597</v>
      </c>
      <c r="E4019" s="16" t="s">
        <v>7527</v>
      </c>
      <c r="F4019" s="16" t="s">
        <v>7528</v>
      </c>
      <c r="G4019" s="16" t="s">
        <v>8811</v>
      </c>
      <c r="H4019" s="16"/>
      <c r="I4019" s="16"/>
      <c r="J4019" s="16"/>
      <c r="K4019" s="16"/>
      <c r="L4019" s="16" t="s">
        <v>7529</v>
      </c>
      <c r="M4019" s="19" t="s">
        <v>7530</v>
      </c>
      <c r="N4019" s="16"/>
      <c r="O4019" s="16" t="s">
        <v>7527</v>
      </c>
      <c r="P4019" s="16" t="str">
        <f>HYPERLINK("https://ceds.ed.gov/cedselementdetails.aspx?termid=27955")</f>
        <v>https://ceds.ed.gov/cedselementdetails.aspx?termid=27955</v>
      </c>
      <c r="Q4019" s="16">
        <v>75460</v>
      </c>
    </row>
    <row r="4020" spans="1:17" ht="100.8" x14ac:dyDescent="0.3">
      <c r="A4020" s="16" t="s">
        <v>7755</v>
      </c>
      <c r="B4020" s="16" t="s">
        <v>7758</v>
      </c>
      <c r="C4020" s="16" t="s">
        <v>7640</v>
      </c>
      <c r="D4020" s="16" t="s">
        <v>7597</v>
      </c>
      <c r="E4020" s="16" t="s">
        <v>4849</v>
      </c>
      <c r="F4020" s="16" t="s">
        <v>13082</v>
      </c>
      <c r="G4020" s="16" t="s">
        <v>7313</v>
      </c>
      <c r="H4020" s="16" t="s">
        <v>4851</v>
      </c>
      <c r="I4020" s="16" t="s">
        <v>160</v>
      </c>
      <c r="J4020" s="16"/>
      <c r="K4020" s="16" t="s">
        <v>12946</v>
      </c>
      <c r="L4020" s="16"/>
      <c r="M4020" s="19" t="s">
        <v>4850</v>
      </c>
      <c r="N4020" s="16"/>
      <c r="O4020" s="16"/>
      <c r="P4020" s="16" t="str">
        <f>HYPERLINK("https://ceds.ed.gov/cedselementdetails.aspx?termid=26317")</f>
        <v>https://ceds.ed.gov/cedselementdetails.aspx?termid=26317</v>
      </c>
      <c r="Q4020" s="16">
        <v>75210</v>
      </c>
    </row>
    <row r="4021" spans="1:17" ht="129.6" x14ac:dyDescent="0.3">
      <c r="A4021" s="16" t="s">
        <v>7755</v>
      </c>
      <c r="B4021" s="16" t="s">
        <v>7758</v>
      </c>
      <c r="C4021" s="16" t="s">
        <v>7640</v>
      </c>
      <c r="D4021" s="16" t="s">
        <v>7597</v>
      </c>
      <c r="E4021" s="16" t="s">
        <v>4852</v>
      </c>
      <c r="F4021" s="16" t="s">
        <v>13083</v>
      </c>
      <c r="G4021" s="16" t="s">
        <v>7313</v>
      </c>
      <c r="H4021" s="16"/>
      <c r="I4021" s="16" t="s">
        <v>160</v>
      </c>
      <c r="J4021" s="16"/>
      <c r="K4021" s="16" t="s">
        <v>12947</v>
      </c>
      <c r="L4021" s="16" t="s">
        <v>13084</v>
      </c>
      <c r="M4021" s="19" t="s">
        <v>4853</v>
      </c>
      <c r="N4021" s="16"/>
      <c r="O4021" s="16"/>
      <c r="P4021" s="16" t="str">
        <f>HYPERLINK("https://ceds.ed.gov/cedselementdetails.aspx?termid=27618")</f>
        <v>https://ceds.ed.gov/cedselementdetails.aspx?termid=27618</v>
      </c>
      <c r="Q4021" s="16">
        <v>75211</v>
      </c>
    </row>
    <row r="4022" spans="1:17" ht="409.6" x14ac:dyDescent="0.3">
      <c r="A4022" s="16" t="s">
        <v>7755</v>
      </c>
      <c r="B4022" s="16" t="s">
        <v>7758</v>
      </c>
      <c r="C4022" s="16" t="s">
        <v>7640</v>
      </c>
      <c r="D4022" s="16" t="s">
        <v>7597</v>
      </c>
      <c r="E4022" s="16" t="s">
        <v>4854</v>
      </c>
      <c r="F4022" s="16" t="s">
        <v>13085</v>
      </c>
      <c r="G4022" s="16" t="s">
        <v>8683</v>
      </c>
      <c r="H4022" s="16"/>
      <c r="I4022" s="16" t="s">
        <v>160</v>
      </c>
      <c r="J4022" s="16"/>
      <c r="K4022" s="16" t="s">
        <v>12948</v>
      </c>
      <c r="L4022" s="16" t="s">
        <v>13086</v>
      </c>
      <c r="M4022" s="19" t="s">
        <v>4855</v>
      </c>
      <c r="N4022" s="16"/>
      <c r="O4022" s="16"/>
      <c r="P4022" s="16" t="str">
        <f>HYPERLINK("https://ceds.ed.gov/cedselementdetails.aspx?termid=27619")</f>
        <v>https://ceds.ed.gov/cedselementdetails.aspx?termid=27619</v>
      </c>
      <c r="Q4022" s="16">
        <v>75212</v>
      </c>
    </row>
    <row r="4023" spans="1:17" ht="43.2" x14ac:dyDescent="0.3">
      <c r="A4023" s="16" t="s">
        <v>7755</v>
      </c>
      <c r="B4023" s="16" t="s">
        <v>7758</v>
      </c>
      <c r="C4023" s="16" t="s">
        <v>7640</v>
      </c>
      <c r="D4023" s="16" t="s">
        <v>7597</v>
      </c>
      <c r="E4023" s="16" t="s">
        <v>4886</v>
      </c>
      <c r="F4023" s="16" t="s">
        <v>4887</v>
      </c>
      <c r="G4023" s="16" t="s">
        <v>13005</v>
      </c>
      <c r="H4023" s="16"/>
      <c r="I4023" s="16"/>
      <c r="J4023" s="16"/>
      <c r="K4023" s="16"/>
      <c r="L4023" s="16"/>
      <c r="M4023" s="19"/>
      <c r="N4023" s="16"/>
      <c r="O4023" s="16"/>
      <c r="P4023" s="16"/>
      <c r="Q4023" s="16"/>
    </row>
    <row r="4024" spans="1:17" x14ac:dyDescent="0.3">
      <c r="A4024" s="16"/>
      <c r="B4024" s="16"/>
      <c r="C4024" s="16"/>
      <c r="D4024" s="16"/>
      <c r="E4024" s="16"/>
      <c r="F4024" s="16"/>
      <c r="G4024" s="16"/>
      <c r="H4024" s="16"/>
      <c r="I4024" s="16"/>
      <c r="J4024" s="16"/>
      <c r="K4024" s="16"/>
      <c r="L4024" s="16"/>
      <c r="M4024" s="19"/>
      <c r="N4024" s="16"/>
      <c r="O4024" s="16"/>
      <c r="P4024" s="16"/>
      <c r="Q4024" s="16"/>
    </row>
    <row r="4025" spans="1:17" ht="144" x14ac:dyDescent="0.3">
      <c r="A4025" s="16"/>
      <c r="B4025" s="16" t="s">
        <v>13051</v>
      </c>
      <c r="C4025" s="16" t="s">
        <v>4851</v>
      </c>
      <c r="D4025" s="16"/>
      <c r="E4025" s="16"/>
      <c r="F4025" s="16"/>
      <c r="G4025" s="16"/>
      <c r="H4025" s="16">
        <v>316</v>
      </c>
      <c r="I4025" s="16"/>
      <c r="J4025" s="16" t="s">
        <v>4888</v>
      </c>
      <c r="K4025" s="16" t="str">
        <f>HYPERLINK("https://ceds.ed.gov/cedselementdetails.aspx?termid=26316")</f>
        <v>https://ceds.ed.gov/cedselementdetails.aspx?termid=26316</v>
      </c>
      <c r="L4025" s="16">
        <v>75213</v>
      </c>
      <c r="M4025" s="19"/>
      <c r="N4025" s="16"/>
      <c r="O4025" s="16"/>
      <c r="P4025" s="16"/>
      <c r="Q4025" s="16"/>
    </row>
    <row r="4026" spans="1:17" ht="409.6" x14ac:dyDescent="0.3">
      <c r="A4026" s="16" t="s">
        <v>7755</v>
      </c>
      <c r="B4026" s="16" t="s">
        <v>7758</v>
      </c>
      <c r="C4026" s="16" t="s">
        <v>7652</v>
      </c>
      <c r="D4026" s="16" t="s">
        <v>7597</v>
      </c>
      <c r="E4026" s="16" t="s">
        <v>5751</v>
      </c>
      <c r="F4026" s="16" t="s">
        <v>5752</v>
      </c>
      <c r="G4026" s="16" t="s">
        <v>8753</v>
      </c>
      <c r="H4026" s="16" t="s">
        <v>1516</v>
      </c>
      <c r="I4026" s="16"/>
      <c r="J4026" s="16"/>
      <c r="K4026" s="16"/>
      <c r="L4026" s="16" t="s">
        <v>5753</v>
      </c>
      <c r="M4026" s="19" t="s">
        <v>5754</v>
      </c>
      <c r="N4026" s="16"/>
      <c r="O4026" s="16" t="s">
        <v>5755</v>
      </c>
      <c r="P4026" s="16" t="str">
        <f>HYPERLINK("https://ceds.ed.gov/cedselementdetails.aspx?termid=26415")</f>
        <v>https://ceds.ed.gov/cedselementdetails.aspx?termid=26415</v>
      </c>
      <c r="Q4026" s="16">
        <v>75214</v>
      </c>
    </row>
    <row r="4027" spans="1:17" ht="57.6" x14ac:dyDescent="0.3">
      <c r="A4027" s="16" t="s">
        <v>7755</v>
      </c>
      <c r="B4027" s="16" t="s">
        <v>7758</v>
      </c>
      <c r="C4027" s="16" t="s">
        <v>4</v>
      </c>
      <c r="D4027" s="16" t="s">
        <v>7597</v>
      </c>
      <c r="E4027" s="16" t="s">
        <v>6162</v>
      </c>
      <c r="F4027" s="16" t="s">
        <v>6163</v>
      </c>
      <c r="G4027" s="16" t="s">
        <v>22</v>
      </c>
      <c r="H4027" s="16"/>
      <c r="I4027" s="16"/>
      <c r="J4027" s="16"/>
      <c r="K4027" s="16"/>
      <c r="L4027" s="16"/>
      <c r="M4027" s="19" t="s">
        <v>6164</v>
      </c>
      <c r="N4027" s="16"/>
      <c r="O4027" s="16" t="s">
        <v>6165</v>
      </c>
      <c r="P4027" s="16" t="str">
        <f>HYPERLINK("https://ceds.ed.gov/cedselementdetails.aspx?termid=26760")</f>
        <v>https://ceds.ed.gov/cedselementdetails.aspx?termid=26760</v>
      </c>
      <c r="Q4027" s="16">
        <v>75215</v>
      </c>
    </row>
    <row r="4028" spans="1:17" ht="72" x14ac:dyDescent="0.3">
      <c r="A4028" s="16" t="s">
        <v>7755</v>
      </c>
      <c r="B4028" s="16" t="s">
        <v>7758</v>
      </c>
      <c r="C4028" s="16" t="s">
        <v>9412</v>
      </c>
      <c r="D4028" s="16" t="s">
        <v>7597</v>
      </c>
      <c r="E4028" s="16" t="s">
        <v>9312</v>
      </c>
      <c r="F4028" s="16" t="s">
        <v>9313</v>
      </c>
      <c r="G4028" s="16" t="s">
        <v>9325</v>
      </c>
      <c r="H4028" s="16"/>
      <c r="I4028" s="16"/>
      <c r="J4028" s="16"/>
      <c r="K4028" s="16"/>
      <c r="L4028" s="16"/>
      <c r="M4028" s="19" t="s">
        <v>5394</v>
      </c>
      <c r="N4028" s="16"/>
      <c r="O4028" s="16" t="s">
        <v>9314</v>
      </c>
      <c r="P4028" s="16" t="str">
        <f>HYPERLINK("https://ceds.ed.gov/cedselementdetails.aspx?termid=27556")</f>
        <v>https://ceds.ed.gov/cedselementdetails.aspx?termid=27556</v>
      </c>
      <c r="Q4028" s="16">
        <v>75956</v>
      </c>
    </row>
    <row r="4029" spans="1:17" ht="144" x14ac:dyDescent="0.3">
      <c r="A4029" s="16" t="s">
        <v>7755</v>
      </c>
      <c r="B4029" s="16" t="s">
        <v>7758</v>
      </c>
      <c r="C4029" s="16" t="s">
        <v>9412</v>
      </c>
      <c r="D4029" s="16" t="s">
        <v>7597</v>
      </c>
      <c r="E4029" s="16" t="s">
        <v>9087</v>
      </c>
      <c r="F4029" s="16" t="s">
        <v>9088</v>
      </c>
      <c r="G4029" s="16" t="s">
        <v>9298</v>
      </c>
      <c r="H4029" s="16"/>
      <c r="I4029" s="16"/>
      <c r="J4029" s="16" t="s">
        <v>2</v>
      </c>
      <c r="K4029" s="16"/>
      <c r="L4029" s="16" t="s">
        <v>9089</v>
      </c>
      <c r="M4029" s="19" t="s">
        <v>9090</v>
      </c>
      <c r="N4029" s="16"/>
      <c r="O4029" s="16" t="s">
        <v>9091</v>
      </c>
      <c r="P4029" s="16" t="str">
        <f>HYPERLINK("https://ceds.ed.gov/cedselementdetails.aspx?termid=28047")</f>
        <v>https://ceds.ed.gov/cedselementdetails.aspx?termid=28047</v>
      </c>
      <c r="Q4029" s="16">
        <v>75957</v>
      </c>
    </row>
    <row r="4030" spans="1:17" ht="409.6" x14ac:dyDescent="0.3">
      <c r="A4030" s="16" t="s">
        <v>7755</v>
      </c>
      <c r="B4030" s="16" t="s">
        <v>7758</v>
      </c>
      <c r="C4030" s="16" t="s">
        <v>9412</v>
      </c>
      <c r="D4030" s="16" t="s">
        <v>7597</v>
      </c>
      <c r="E4030" s="16" t="s">
        <v>9092</v>
      </c>
      <c r="F4030" s="16" t="s">
        <v>9093</v>
      </c>
      <c r="G4030" s="16" t="s">
        <v>9299</v>
      </c>
      <c r="H4030" s="16"/>
      <c r="I4030" s="16"/>
      <c r="J4030" s="16" t="s">
        <v>2</v>
      </c>
      <c r="K4030" s="16"/>
      <c r="L4030" s="16" t="s">
        <v>9094</v>
      </c>
      <c r="M4030" s="19" t="s">
        <v>9095</v>
      </c>
      <c r="N4030" s="16"/>
      <c r="O4030" s="16" t="s">
        <v>9096</v>
      </c>
      <c r="P4030" s="16" t="str">
        <f>HYPERLINK("https://ceds.ed.gov/cedselementdetails.aspx?termid=28048")</f>
        <v>https://ceds.ed.gov/cedselementdetails.aspx?termid=28048</v>
      </c>
      <c r="Q4030" s="16">
        <v>75958</v>
      </c>
    </row>
    <row r="4031" spans="1:17" ht="100.8" x14ac:dyDescent="0.3">
      <c r="A4031" s="16" t="s">
        <v>7755</v>
      </c>
      <c r="B4031" s="16" t="s">
        <v>7758</v>
      </c>
      <c r="C4031" s="16" t="s">
        <v>9412</v>
      </c>
      <c r="D4031" s="16" t="s">
        <v>7597</v>
      </c>
      <c r="E4031" s="16" t="s">
        <v>9097</v>
      </c>
      <c r="F4031" s="16" t="s">
        <v>9098</v>
      </c>
      <c r="G4031" s="16" t="s">
        <v>32</v>
      </c>
      <c r="H4031" s="16"/>
      <c r="I4031" s="16"/>
      <c r="J4031" s="16" t="s">
        <v>120</v>
      </c>
      <c r="K4031" s="16"/>
      <c r="L4031" s="16" t="s">
        <v>9089</v>
      </c>
      <c r="M4031" s="19" t="s">
        <v>9099</v>
      </c>
      <c r="N4031" s="16"/>
      <c r="O4031" s="16" t="s">
        <v>9100</v>
      </c>
      <c r="P4031" s="16" t="str">
        <f>HYPERLINK("https://ceds.ed.gov/cedselementdetails.aspx?termid=28049")</f>
        <v>https://ceds.ed.gov/cedselementdetails.aspx?termid=28049</v>
      </c>
      <c r="Q4031" s="16">
        <v>75959</v>
      </c>
    </row>
    <row r="4032" spans="1:17" ht="100.8" x14ac:dyDescent="0.3">
      <c r="A4032" s="16" t="s">
        <v>7755</v>
      </c>
      <c r="B4032" s="16" t="s">
        <v>7758</v>
      </c>
      <c r="C4032" s="16" t="s">
        <v>9412</v>
      </c>
      <c r="D4032" s="16" t="s">
        <v>7597</v>
      </c>
      <c r="E4032" s="16" t="s">
        <v>9101</v>
      </c>
      <c r="F4032" s="16" t="s">
        <v>9102</v>
      </c>
      <c r="G4032" s="16" t="s">
        <v>32</v>
      </c>
      <c r="H4032" s="16"/>
      <c r="I4032" s="16"/>
      <c r="J4032" s="16" t="s">
        <v>9103</v>
      </c>
      <c r="K4032" s="16"/>
      <c r="L4032" s="16" t="s">
        <v>9089</v>
      </c>
      <c r="M4032" s="19" t="s">
        <v>9104</v>
      </c>
      <c r="N4032" s="16"/>
      <c r="O4032" s="16" t="s">
        <v>9105</v>
      </c>
      <c r="P4032" s="16" t="str">
        <f>HYPERLINK("https://ceds.ed.gov/cedselementdetails.aspx?termid=28050")</f>
        <v>https://ceds.ed.gov/cedselementdetails.aspx?termid=28050</v>
      </c>
      <c r="Q4032" s="16">
        <v>75960</v>
      </c>
    </row>
    <row r="4033" spans="1:17" ht="100.8" x14ac:dyDescent="0.3">
      <c r="A4033" s="16" t="s">
        <v>7755</v>
      </c>
      <c r="B4033" s="16" t="s">
        <v>7758</v>
      </c>
      <c r="C4033" s="16" t="s">
        <v>9412</v>
      </c>
      <c r="D4033" s="16" t="s">
        <v>7597</v>
      </c>
      <c r="E4033" s="16" t="s">
        <v>9106</v>
      </c>
      <c r="F4033" s="16" t="s">
        <v>9107</v>
      </c>
      <c r="G4033" s="16" t="s">
        <v>32</v>
      </c>
      <c r="H4033" s="16"/>
      <c r="I4033" s="16"/>
      <c r="J4033" s="16" t="s">
        <v>9108</v>
      </c>
      <c r="K4033" s="16"/>
      <c r="L4033" s="16" t="s">
        <v>9089</v>
      </c>
      <c r="M4033" s="19" t="s">
        <v>9109</v>
      </c>
      <c r="N4033" s="16"/>
      <c r="O4033" s="16" t="s">
        <v>9110</v>
      </c>
      <c r="P4033" s="16" t="str">
        <f>HYPERLINK("https://ceds.ed.gov/cedselementdetails.aspx?termid=28051")</f>
        <v>https://ceds.ed.gov/cedselementdetails.aspx?termid=28051</v>
      </c>
      <c r="Q4033" s="16">
        <v>75961</v>
      </c>
    </row>
    <row r="4034" spans="1:17" ht="100.8" x14ac:dyDescent="0.3">
      <c r="A4034" s="16" t="s">
        <v>7755</v>
      </c>
      <c r="B4034" s="16" t="s">
        <v>7758</v>
      </c>
      <c r="C4034" s="16" t="s">
        <v>9412</v>
      </c>
      <c r="D4034" s="16" t="s">
        <v>7597</v>
      </c>
      <c r="E4034" s="16" t="s">
        <v>9111</v>
      </c>
      <c r="F4034" s="16" t="s">
        <v>9112</v>
      </c>
      <c r="G4034" s="16" t="s">
        <v>32</v>
      </c>
      <c r="H4034" s="16"/>
      <c r="I4034" s="16"/>
      <c r="J4034" s="16" t="s">
        <v>9103</v>
      </c>
      <c r="K4034" s="16"/>
      <c r="L4034" s="16" t="s">
        <v>9089</v>
      </c>
      <c r="M4034" s="19" t="s">
        <v>9113</v>
      </c>
      <c r="N4034" s="16"/>
      <c r="O4034" s="16" t="s">
        <v>9114</v>
      </c>
      <c r="P4034" s="16" t="str">
        <f>HYPERLINK("https://ceds.ed.gov/cedselementdetails.aspx?termid=28052")</f>
        <v>https://ceds.ed.gov/cedselementdetails.aspx?termid=28052</v>
      </c>
      <c r="Q4034" s="16">
        <v>75962</v>
      </c>
    </row>
    <row r="4035" spans="1:17" ht="100.8" x14ac:dyDescent="0.3">
      <c r="A4035" s="16" t="s">
        <v>7755</v>
      </c>
      <c r="B4035" s="16" t="s">
        <v>7758</v>
      </c>
      <c r="C4035" s="16" t="s">
        <v>9412</v>
      </c>
      <c r="D4035" s="16" t="s">
        <v>7597</v>
      </c>
      <c r="E4035" s="16" t="s">
        <v>9115</v>
      </c>
      <c r="F4035" s="16" t="s">
        <v>9116</v>
      </c>
      <c r="G4035" s="16" t="s">
        <v>32</v>
      </c>
      <c r="H4035" s="16"/>
      <c r="I4035" s="16"/>
      <c r="J4035" s="16" t="s">
        <v>34</v>
      </c>
      <c r="K4035" s="16"/>
      <c r="L4035" s="16" t="s">
        <v>9089</v>
      </c>
      <c r="M4035" s="19" t="s">
        <v>9117</v>
      </c>
      <c r="N4035" s="16"/>
      <c r="O4035" s="16" t="s">
        <v>9118</v>
      </c>
      <c r="P4035" s="16" t="str">
        <f>HYPERLINK("https://ceds.ed.gov/cedselementdetails.aspx?termid=28053")</f>
        <v>https://ceds.ed.gov/cedselementdetails.aspx?termid=28053</v>
      </c>
      <c r="Q4035" s="16">
        <v>75963</v>
      </c>
    </row>
    <row r="4036" spans="1:17" ht="100.8" x14ac:dyDescent="0.3">
      <c r="A4036" s="16" t="s">
        <v>7755</v>
      </c>
      <c r="B4036" s="16" t="s">
        <v>7758</v>
      </c>
      <c r="C4036" s="16" t="s">
        <v>9412</v>
      </c>
      <c r="D4036" s="16" t="s">
        <v>7597</v>
      </c>
      <c r="E4036" s="16" t="s">
        <v>9119</v>
      </c>
      <c r="F4036" s="16" t="s">
        <v>9120</v>
      </c>
      <c r="G4036" s="16" t="s">
        <v>32</v>
      </c>
      <c r="H4036" s="16"/>
      <c r="I4036" s="16"/>
      <c r="J4036" s="16" t="s">
        <v>9103</v>
      </c>
      <c r="K4036" s="16"/>
      <c r="L4036" s="16" t="s">
        <v>9089</v>
      </c>
      <c r="M4036" s="19" t="s">
        <v>9121</v>
      </c>
      <c r="N4036" s="16"/>
      <c r="O4036" s="16" t="s">
        <v>9122</v>
      </c>
      <c r="P4036" s="16" t="str">
        <f>HYPERLINK("https://ceds.ed.gov/cedselementdetails.aspx?termid=28054")</f>
        <v>https://ceds.ed.gov/cedselementdetails.aspx?termid=28054</v>
      </c>
      <c r="Q4036" s="16">
        <v>75964</v>
      </c>
    </row>
    <row r="4037" spans="1:17" ht="100.8" x14ac:dyDescent="0.3">
      <c r="A4037" s="16" t="s">
        <v>7755</v>
      </c>
      <c r="B4037" s="16" t="s">
        <v>7758</v>
      </c>
      <c r="C4037" s="16" t="s">
        <v>9412</v>
      </c>
      <c r="D4037" s="16" t="s">
        <v>7597</v>
      </c>
      <c r="E4037" s="16" t="s">
        <v>9123</v>
      </c>
      <c r="F4037" s="16" t="s">
        <v>9124</v>
      </c>
      <c r="G4037" s="16" t="s">
        <v>32</v>
      </c>
      <c r="H4037" s="16"/>
      <c r="I4037" s="16"/>
      <c r="J4037" s="16" t="s">
        <v>747</v>
      </c>
      <c r="K4037" s="16"/>
      <c r="L4037" s="16" t="s">
        <v>9089</v>
      </c>
      <c r="M4037" s="19" t="s">
        <v>9125</v>
      </c>
      <c r="N4037" s="16"/>
      <c r="O4037" s="16" t="s">
        <v>9126</v>
      </c>
      <c r="P4037" s="16" t="str">
        <f>HYPERLINK("https://ceds.ed.gov/cedselementdetails.aspx?termid=28055")</f>
        <v>https://ceds.ed.gov/cedselementdetails.aspx?termid=28055</v>
      </c>
      <c r="Q4037" s="16">
        <v>75965</v>
      </c>
    </row>
    <row r="4038" spans="1:17" ht="100.8" x14ac:dyDescent="0.3">
      <c r="A4038" s="16" t="s">
        <v>7755</v>
      </c>
      <c r="B4038" s="16" t="s">
        <v>7758</v>
      </c>
      <c r="C4038" s="16" t="s">
        <v>9412</v>
      </c>
      <c r="D4038" s="16" t="s">
        <v>7597</v>
      </c>
      <c r="E4038" s="16" t="s">
        <v>9127</v>
      </c>
      <c r="F4038" s="16" t="s">
        <v>9128</v>
      </c>
      <c r="G4038" s="16" t="s">
        <v>32</v>
      </c>
      <c r="H4038" s="16"/>
      <c r="I4038" s="16"/>
      <c r="J4038" s="16" t="s">
        <v>34</v>
      </c>
      <c r="K4038" s="16"/>
      <c r="L4038" s="16" t="s">
        <v>9089</v>
      </c>
      <c r="M4038" s="19" t="s">
        <v>9129</v>
      </c>
      <c r="N4038" s="16"/>
      <c r="O4038" s="16" t="s">
        <v>9130</v>
      </c>
      <c r="P4038" s="16" t="str">
        <f>HYPERLINK("https://ceds.ed.gov/cedselementdetails.aspx?termid=28056")</f>
        <v>https://ceds.ed.gov/cedselementdetails.aspx?termid=28056</v>
      </c>
      <c r="Q4038" s="16">
        <v>75966</v>
      </c>
    </row>
    <row r="4039" spans="1:17" ht="144" x14ac:dyDescent="0.3">
      <c r="A4039" s="16" t="s">
        <v>7755</v>
      </c>
      <c r="B4039" s="16" t="s">
        <v>7758</v>
      </c>
      <c r="C4039" s="16" t="s">
        <v>9412</v>
      </c>
      <c r="D4039" s="16" t="s">
        <v>7597</v>
      </c>
      <c r="E4039" s="16" t="s">
        <v>9131</v>
      </c>
      <c r="F4039" s="16" t="s">
        <v>9132</v>
      </c>
      <c r="G4039" s="16" t="s">
        <v>9300</v>
      </c>
      <c r="H4039" s="16"/>
      <c r="I4039" s="16"/>
      <c r="J4039" s="16" t="s">
        <v>2</v>
      </c>
      <c r="K4039" s="16"/>
      <c r="L4039" s="16" t="s">
        <v>9089</v>
      </c>
      <c r="M4039" s="19" t="s">
        <v>9133</v>
      </c>
      <c r="N4039" s="16"/>
      <c r="O4039" s="16" t="s">
        <v>9134</v>
      </c>
      <c r="P4039" s="16" t="str">
        <f>HYPERLINK("https://ceds.ed.gov/cedselementdetails.aspx?termid=28057")</f>
        <v>https://ceds.ed.gov/cedselementdetails.aspx?termid=28057</v>
      </c>
      <c r="Q4039" s="16">
        <v>75967</v>
      </c>
    </row>
    <row r="4040" spans="1:17" ht="158.4" x14ac:dyDescent="0.3">
      <c r="A4040" s="16" t="s">
        <v>7755</v>
      </c>
      <c r="B4040" s="16" t="s">
        <v>7758</v>
      </c>
      <c r="C4040" s="16" t="s">
        <v>9412</v>
      </c>
      <c r="D4040" s="16" t="s">
        <v>7597</v>
      </c>
      <c r="E4040" s="16" t="s">
        <v>9135</v>
      </c>
      <c r="F4040" s="16" t="s">
        <v>9136</v>
      </c>
      <c r="G4040" s="16" t="s">
        <v>9301</v>
      </c>
      <c r="H4040" s="16"/>
      <c r="I4040" s="16"/>
      <c r="J4040" s="16" t="s">
        <v>2</v>
      </c>
      <c r="K4040" s="16"/>
      <c r="L4040" s="16" t="s">
        <v>9089</v>
      </c>
      <c r="M4040" s="19" t="s">
        <v>9137</v>
      </c>
      <c r="N4040" s="16"/>
      <c r="O4040" s="16" t="s">
        <v>9138</v>
      </c>
      <c r="P4040" s="16" t="str">
        <f>HYPERLINK("https://ceds.ed.gov/cedselementdetails.aspx?termid=28058")</f>
        <v>https://ceds.ed.gov/cedselementdetails.aspx?termid=28058</v>
      </c>
      <c r="Q4040" s="16">
        <v>75968</v>
      </c>
    </row>
    <row r="4041" spans="1:17" ht="100.8" x14ac:dyDescent="0.3">
      <c r="A4041" s="16" t="s">
        <v>7755</v>
      </c>
      <c r="B4041" s="16" t="s">
        <v>7758</v>
      </c>
      <c r="C4041" s="16" t="s">
        <v>9412</v>
      </c>
      <c r="D4041" s="16" t="s">
        <v>7597</v>
      </c>
      <c r="E4041" s="16" t="s">
        <v>9139</v>
      </c>
      <c r="F4041" s="16" t="s">
        <v>9140</v>
      </c>
      <c r="G4041" s="16" t="s">
        <v>32</v>
      </c>
      <c r="H4041" s="16"/>
      <c r="I4041" s="16"/>
      <c r="J4041" s="16" t="s">
        <v>34</v>
      </c>
      <c r="K4041" s="16"/>
      <c r="L4041" s="16" t="s">
        <v>9089</v>
      </c>
      <c r="M4041" s="19" t="s">
        <v>9141</v>
      </c>
      <c r="N4041" s="16"/>
      <c r="O4041" s="16" t="s">
        <v>9142</v>
      </c>
      <c r="P4041" s="16" t="str">
        <f>HYPERLINK("https://ceds.ed.gov/cedselementdetails.aspx?termid=28059")</f>
        <v>https://ceds.ed.gov/cedselementdetails.aspx?termid=28059</v>
      </c>
      <c r="Q4041" s="16">
        <v>75969</v>
      </c>
    </row>
    <row r="4042" spans="1:17" ht="100.8" x14ac:dyDescent="0.3">
      <c r="A4042" s="16" t="s">
        <v>7755</v>
      </c>
      <c r="B4042" s="16" t="s">
        <v>7758</v>
      </c>
      <c r="C4042" s="16" t="s">
        <v>9412</v>
      </c>
      <c r="D4042" s="16" t="s">
        <v>7597</v>
      </c>
      <c r="E4042" s="16" t="s">
        <v>9143</v>
      </c>
      <c r="F4042" s="16" t="s">
        <v>9144</v>
      </c>
      <c r="G4042" s="16" t="s">
        <v>32</v>
      </c>
      <c r="H4042" s="16"/>
      <c r="I4042" s="16"/>
      <c r="J4042" s="16" t="s">
        <v>120</v>
      </c>
      <c r="K4042" s="16"/>
      <c r="L4042" s="16" t="s">
        <v>9089</v>
      </c>
      <c r="M4042" s="19" t="s">
        <v>9145</v>
      </c>
      <c r="N4042" s="16"/>
      <c r="O4042" s="16" t="s">
        <v>9146</v>
      </c>
      <c r="P4042" s="16" t="str">
        <f>HYPERLINK("https://ceds.ed.gov/cedselementdetails.aspx?termid=28060")</f>
        <v>https://ceds.ed.gov/cedselementdetails.aspx?termid=28060</v>
      </c>
      <c r="Q4042" s="16">
        <v>75970</v>
      </c>
    </row>
    <row r="4043" spans="1:17" ht="129.6" x14ac:dyDescent="0.3">
      <c r="A4043" s="16" t="s">
        <v>7755</v>
      </c>
      <c r="B4043" s="16" t="s">
        <v>7758</v>
      </c>
      <c r="C4043" s="16" t="s">
        <v>9412</v>
      </c>
      <c r="D4043" s="16" t="s">
        <v>7597</v>
      </c>
      <c r="E4043" s="16" t="s">
        <v>9147</v>
      </c>
      <c r="F4043" s="16" t="s">
        <v>9148</v>
      </c>
      <c r="G4043" s="16" t="s">
        <v>9302</v>
      </c>
      <c r="H4043" s="16"/>
      <c r="I4043" s="16"/>
      <c r="J4043" s="16" t="s">
        <v>2</v>
      </c>
      <c r="K4043" s="16"/>
      <c r="L4043" s="16" t="s">
        <v>9089</v>
      </c>
      <c r="M4043" s="19" t="s">
        <v>9149</v>
      </c>
      <c r="N4043" s="16"/>
      <c r="O4043" s="16" t="s">
        <v>9150</v>
      </c>
      <c r="P4043" s="16" t="str">
        <f>HYPERLINK("https://ceds.ed.gov/cedselementdetails.aspx?termid=28061")</f>
        <v>https://ceds.ed.gov/cedselementdetails.aspx?termid=28061</v>
      </c>
      <c r="Q4043" s="16">
        <v>75971</v>
      </c>
    </row>
    <row r="4044" spans="1:17" ht="115.2" x14ac:dyDescent="0.3">
      <c r="A4044" s="16" t="s">
        <v>7755</v>
      </c>
      <c r="B4044" s="16" t="s">
        <v>7758</v>
      </c>
      <c r="C4044" s="16" t="s">
        <v>9412</v>
      </c>
      <c r="D4044" s="16" t="s">
        <v>7597</v>
      </c>
      <c r="E4044" s="16" t="s">
        <v>9151</v>
      </c>
      <c r="F4044" s="16" t="s">
        <v>9152</v>
      </c>
      <c r="G4044" s="16" t="s">
        <v>9303</v>
      </c>
      <c r="H4044" s="16"/>
      <c r="I4044" s="16"/>
      <c r="J4044" s="16" t="s">
        <v>2</v>
      </c>
      <c r="K4044" s="16"/>
      <c r="L4044" s="16" t="s">
        <v>9089</v>
      </c>
      <c r="M4044" s="19" t="s">
        <v>9153</v>
      </c>
      <c r="N4044" s="16"/>
      <c r="O4044" s="16" t="s">
        <v>9154</v>
      </c>
      <c r="P4044" s="16" t="str">
        <f>HYPERLINK("https://ceds.ed.gov/cedselementdetails.aspx?termid=28062")</f>
        <v>https://ceds.ed.gov/cedselementdetails.aspx?termid=28062</v>
      </c>
      <c r="Q4044" s="16">
        <v>75972</v>
      </c>
    </row>
    <row r="4045" spans="1:17" ht="100.8" x14ac:dyDescent="0.3">
      <c r="A4045" s="16" t="s">
        <v>7755</v>
      </c>
      <c r="B4045" s="16" t="s">
        <v>7758</v>
      </c>
      <c r="C4045" s="16" t="s">
        <v>9412</v>
      </c>
      <c r="D4045" s="16" t="s">
        <v>7597</v>
      </c>
      <c r="E4045" s="16" t="s">
        <v>9155</v>
      </c>
      <c r="F4045" s="16" t="s">
        <v>9156</v>
      </c>
      <c r="G4045" s="16" t="s">
        <v>32</v>
      </c>
      <c r="H4045" s="16"/>
      <c r="I4045" s="16"/>
      <c r="J4045" s="16" t="s">
        <v>120</v>
      </c>
      <c r="K4045" s="16"/>
      <c r="L4045" s="16" t="s">
        <v>9089</v>
      </c>
      <c r="M4045" s="19" t="s">
        <v>9157</v>
      </c>
      <c r="N4045" s="16"/>
      <c r="O4045" s="16" t="s">
        <v>9158</v>
      </c>
      <c r="P4045" s="16" t="str">
        <f>HYPERLINK("https://ceds.ed.gov/cedselementdetails.aspx?termid=28063")</f>
        <v>https://ceds.ed.gov/cedselementdetails.aspx?termid=28063</v>
      </c>
      <c r="Q4045" s="16">
        <v>75973</v>
      </c>
    </row>
    <row r="4046" spans="1:17" ht="100.8" x14ac:dyDescent="0.3">
      <c r="A4046" s="16" t="s">
        <v>7755</v>
      </c>
      <c r="B4046" s="16" t="s">
        <v>7758</v>
      </c>
      <c r="C4046" s="16" t="s">
        <v>9412</v>
      </c>
      <c r="D4046" s="16" t="s">
        <v>7597</v>
      </c>
      <c r="E4046" s="16" t="s">
        <v>9159</v>
      </c>
      <c r="F4046" s="16" t="s">
        <v>9160</v>
      </c>
      <c r="G4046" s="16" t="s">
        <v>32</v>
      </c>
      <c r="H4046" s="16"/>
      <c r="I4046" s="16"/>
      <c r="J4046" s="16" t="s">
        <v>120</v>
      </c>
      <c r="K4046" s="16"/>
      <c r="L4046" s="16" t="s">
        <v>9089</v>
      </c>
      <c r="M4046" s="19" t="s">
        <v>9161</v>
      </c>
      <c r="N4046" s="16"/>
      <c r="O4046" s="16" t="s">
        <v>9162</v>
      </c>
      <c r="P4046" s="16" t="str">
        <f>HYPERLINK("https://ceds.ed.gov/cedselementdetails.aspx?termid=28064")</f>
        <v>https://ceds.ed.gov/cedselementdetails.aspx?termid=28064</v>
      </c>
      <c r="Q4046" s="16">
        <v>75974</v>
      </c>
    </row>
    <row r="4047" spans="1:17" ht="100.8" x14ac:dyDescent="0.3">
      <c r="A4047" s="16" t="s">
        <v>7755</v>
      </c>
      <c r="B4047" s="16" t="s">
        <v>7758</v>
      </c>
      <c r="C4047" s="16" t="s">
        <v>9412</v>
      </c>
      <c r="D4047" s="16" t="s">
        <v>7597</v>
      </c>
      <c r="E4047" s="16" t="s">
        <v>9163</v>
      </c>
      <c r="F4047" s="16" t="s">
        <v>9164</v>
      </c>
      <c r="G4047" s="16" t="s">
        <v>32</v>
      </c>
      <c r="H4047" s="16"/>
      <c r="I4047" s="16"/>
      <c r="J4047" s="16" t="s">
        <v>34</v>
      </c>
      <c r="K4047" s="16"/>
      <c r="L4047" s="16" t="s">
        <v>9089</v>
      </c>
      <c r="M4047" s="19" t="s">
        <v>9165</v>
      </c>
      <c r="N4047" s="16"/>
      <c r="O4047" s="16" t="s">
        <v>9166</v>
      </c>
      <c r="P4047" s="16" t="str">
        <f>HYPERLINK("https://ceds.ed.gov/cedselementdetails.aspx?termid=28065")</f>
        <v>https://ceds.ed.gov/cedselementdetails.aspx?termid=28065</v>
      </c>
      <c r="Q4047" s="16">
        <v>75975</v>
      </c>
    </row>
    <row r="4048" spans="1:17" ht="100.8" x14ac:dyDescent="0.3">
      <c r="A4048" s="16" t="s">
        <v>7755</v>
      </c>
      <c r="B4048" s="16" t="s">
        <v>7758</v>
      </c>
      <c r="C4048" s="16" t="s">
        <v>9412</v>
      </c>
      <c r="D4048" s="16" t="s">
        <v>7597</v>
      </c>
      <c r="E4048" s="16" t="s">
        <v>9167</v>
      </c>
      <c r="F4048" s="16" t="s">
        <v>9168</v>
      </c>
      <c r="G4048" s="16" t="s">
        <v>32</v>
      </c>
      <c r="H4048" s="16"/>
      <c r="I4048" s="16"/>
      <c r="J4048" s="16" t="s">
        <v>120</v>
      </c>
      <c r="K4048" s="16"/>
      <c r="L4048" s="16" t="s">
        <v>9089</v>
      </c>
      <c r="M4048" s="19" t="s">
        <v>9169</v>
      </c>
      <c r="N4048" s="16"/>
      <c r="O4048" s="16" t="s">
        <v>9170</v>
      </c>
      <c r="P4048" s="16" t="str">
        <f>HYPERLINK("https://ceds.ed.gov/cedselementdetails.aspx?termid=28066")</f>
        <v>https://ceds.ed.gov/cedselementdetails.aspx?termid=28066</v>
      </c>
      <c r="Q4048" s="16">
        <v>75976</v>
      </c>
    </row>
    <row r="4049" spans="1:17" ht="259.2" x14ac:dyDescent="0.3">
      <c r="A4049" s="16" t="s">
        <v>7755</v>
      </c>
      <c r="B4049" s="16" t="s">
        <v>7758</v>
      </c>
      <c r="C4049" s="16" t="s">
        <v>9412</v>
      </c>
      <c r="D4049" s="16" t="s">
        <v>7597</v>
      </c>
      <c r="E4049" s="16" t="s">
        <v>9171</v>
      </c>
      <c r="F4049" s="16" t="s">
        <v>9172</v>
      </c>
      <c r="G4049" s="16" t="s">
        <v>32</v>
      </c>
      <c r="H4049" s="16"/>
      <c r="I4049" s="16"/>
      <c r="J4049" s="16" t="s">
        <v>9103</v>
      </c>
      <c r="K4049" s="16"/>
      <c r="L4049" s="16" t="s">
        <v>9173</v>
      </c>
      <c r="M4049" s="19" t="s">
        <v>9174</v>
      </c>
      <c r="N4049" s="16"/>
      <c r="O4049" s="16" t="s">
        <v>9175</v>
      </c>
      <c r="P4049" s="16" t="str">
        <f>HYPERLINK("https://ceds.ed.gov/cedselementdetails.aspx?termid=28067")</f>
        <v>https://ceds.ed.gov/cedselementdetails.aspx?termid=28067</v>
      </c>
      <c r="Q4049" s="16">
        <v>75977</v>
      </c>
    </row>
    <row r="4050" spans="1:17" ht="100.8" x14ac:dyDescent="0.3">
      <c r="A4050" s="16" t="s">
        <v>7755</v>
      </c>
      <c r="B4050" s="16" t="s">
        <v>7758</v>
      </c>
      <c r="C4050" s="16" t="s">
        <v>9412</v>
      </c>
      <c r="D4050" s="16" t="s">
        <v>7597</v>
      </c>
      <c r="E4050" s="16" t="s">
        <v>9176</v>
      </c>
      <c r="F4050" s="16" t="s">
        <v>9177</v>
      </c>
      <c r="G4050" s="16" t="s">
        <v>32</v>
      </c>
      <c r="H4050" s="16"/>
      <c r="I4050" s="16"/>
      <c r="J4050" s="16" t="s">
        <v>34</v>
      </c>
      <c r="K4050" s="16"/>
      <c r="L4050" s="16" t="s">
        <v>9089</v>
      </c>
      <c r="M4050" s="19" t="s">
        <v>9178</v>
      </c>
      <c r="N4050" s="16"/>
      <c r="O4050" s="16" t="s">
        <v>9179</v>
      </c>
      <c r="P4050" s="16" t="str">
        <f>HYPERLINK("https://ceds.ed.gov/cedselementdetails.aspx?termid=28068")</f>
        <v>https://ceds.ed.gov/cedselementdetails.aspx?termid=28068</v>
      </c>
      <c r="Q4050" s="16">
        <v>75978</v>
      </c>
    </row>
    <row r="4051" spans="1:17" ht="100.8" x14ac:dyDescent="0.3">
      <c r="A4051" s="16" t="s">
        <v>7755</v>
      </c>
      <c r="B4051" s="16" t="s">
        <v>7758</v>
      </c>
      <c r="C4051" s="16" t="s">
        <v>9412</v>
      </c>
      <c r="D4051" s="16" t="s">
        <v>7597</v>
      </c>
      <c r="E4051" s="16" t="s">
        <v>9180</v>
      </c>
      <c r="F4051" s="16" t="s">
        <v>9181</v>
      </c>
      <c r="G4051" s="16" t="s">
        <v>32</v>
      </c>
      <c r="H4051" s="16"/>
      <c r="I4051" s="16"/>
      <c r="J4051" s="16" t="s">
        <v>316</v>
      </c>
      <c r="K4051" s="16"/>
      <c r="L4051" s="16" t="s">
        <v>9089</v>
      </c>
      <c r="M4051" s="19" t="s">
        <v>9182</v>
      </c>
      <c r="N4051" s="16"/>
      <c r="O4051" s="16" t="s">
        <v>9183</v>
      </c>
      <c r="P4051" s="16" t="str">
        <f>HYPERLINK("https://ceds.ed.gov/cedselementdetails.aspx?termid=28069")</f>
        <v>https://ceds.ed.gov/cedselementdetails.aspx?termid=28069</v>
      </c>
      <c r="Q4051" s="16">
        <v>75979</v>
      </c>
    </row>
    <row r="4052" spans="1:17" ht="100.8" x14ac:dyDescent="0.3">
      <c r="A4052" s="16" t="s">
        <v>7755</v>
      </c>
      <c r="B4052" s="16" t="s">
        <v>7758</v>
      </c>
      <c r="C4052" s="16" t="s">
        <v>9412</v>
      </c>
      <c r="D4052" s="16" t="s">
        <v>7597</v>
      </c>
      <c r="E4052" s="16" t="s">
        <v>9184</v>
      </c>
      <c r="F4052" s="16" t="s">
        <v>9185</v>
      </c>
      <c r="G4052" s="16" t="s">
        <v>32</v>
      </c>
      <c r="H4052" s="16"/>
      <c r="I4052" s="16"/>
      <c r="J4052" s="16" t="s">
        <v>120</v>
      </c>
      <c r="K4052" s="16"/>
      <c r="L4052" s="16" t="s">
        <v>9186</v>
      </c>
      <c r="M4052" s="19" t="s">
        <v>9187</v>
      </c>
      <c r="N4052" s="16"/>
      <c r="O4052" s="16" t="s">
        <v>9188</v>
      </c>
      <c r="P4052" s="16" t="str">
        <f>HYPERLINK("https://ceds.ed.gov/cedselementdetails.aspx?termid=28070")</f>
        <v>https://ceds.ed.gov/cedselementdetails.aspx?termid=28070</v>
      </c>
      <c r="Q4052" s="16">
        <v>75980</v>
      </c>
    </row>
    <row r="4053" spans="1:17" ht="57.6" x14ac:dyDescent="0.3">
      <c r="A4053" s="16" t="s">
        <v>7755</v>
      </c>
      <c r="B4053" s="16" t="s">
        <v>7758</v>
      </c>
      <c r="C4053" s="16" t="s">
        <v>9412</v>
      </c>
      <c r="D4053" s="16" t="s">
        <v>7597</v>
      </c>
      <c r="E4053" s="16" t="s">
        <v>9320</v>
      </c>
      <c r="F4053" s="16" t="s">
        <v>9321</v>
      </c>
      <c r="G4053" s="16" t="s">
        <v>8730</v>
      </c>
      <c r="H4053" s="16"/>
      <c r="I4053" s="16"/>
      <c r="J4053" s="16"/>
      <c r="K4053" s="16"/>
      <c r="L4053" s="16"/>
      <c r="M4053" s="19" t="s">
        <v>5406</v>
      </c>
      <c r="N4053" s="16"/>
      <c r="O4053" s="16" t="s">
        <v>9322</v>
      </c>
      <c r="P4053" s="16" t="str">
        <f>HYPERLINK("https://ceds.ed.gov/cedselementdetails.aspx?termid=27557")</f>
        <v>https://ceds.ed.gov/cedselementdetails.aspx?termid=27557</v>
      </c>
      <c r="Q4053" s="16">
        <v>75981</v>
      </c>
    </row>
    <row r="4054" spans="1:17" ht="100.8" x14ac:dyDescent="0.3">
      <c r="A4054" s="16" t="s">
        <v>7755</v>
      </c>
      <c r="B4054" s="16" t="s">
        <v>7758</v>
      </c>
      <c r="C4054" s="16" t="s">
        <v>9412</v>
      </c>
      <c r="D4054" s="16" t="s">
        <v>7597</v>
      </c>
      <c r="E4054" s="16" t="s">
        <v>9193</v>
      </c>
      <c r="F4054" s="16" t="s">
        <v>9194</v>
      </c>
      <c r="G4054" s="16" t="s">
        <v>2987</v>
      </c>
      <c r="H4054" s="16"/>
      <c r="I4054" s="16"/>
      <c r="J4054" s="16" t="s">
        <v>2</v>
      </c>
      <c r="K4054" s="16"/>
      <c r="L4054" s="16" t="s">
        <v>9089</v>
      </c>
      <c r="M4054" s="19" t="s">
        <v>9195</v>
      </c>
      <c r="N4054" s="16"/>
      <c r="O4054" s="16" t="s">
        <v>9196</v>
      </c>
      <c r="P4054" s="16" t="str">
        <f>HYPERLINK("https://ceds.ed.gov/cedselementdetails.aspx?termid=28072")</f>
        <v>https://ceds.ed.gov/cedselementdetails.aspx?termid=28072</v>
      </c>
      <c r="Q4054" s="16">
        <v>75982</v>
      </c>
    </row>
    <row r="4055" spans="1:17" ht="172.8" x14ac:dyDescent="0.3">
      <c r="A4055" s="16" t="s">
        <v>7755</v>
      </c>
      <c r="B4055" s="16" t="s">
        <v>7715</v>
      </c>
      <c r="C4055" s="16"/>
      <c r="D4055" s="16" t="s">
        <v>7597</v>
      </c>
      <c r="E4055" s="16" t="s">
        <v>2670</v>
      </c>
      <c r="F4055" s="16" t="s">
        <v>2671</v>
      </c>
      <c r="G4055" s="16" t="s">
        <v>32</v>
      </c>
      <c r="H4055" s="16"/>
      <c r="I4055" s="16"/>
      <c r="J4055" s="16" t="s">
        <v>120</v>
      </c>
      <c r="K4055" s="16"/>
      <c r="L4055" s="16" t="s">
        <v>7817</v>
      </c>
      <c r="M4055" s="19" t="s">
        <v>2672</v>
      </c>
      <c r="N4055" s="16"/>
      <c r="O4055" s="16" t="s">
        <v>2673</v>
      </c>
      <c r="P4055" s="16" t="str">
        <f>HYPERLINK("https://ceds.ed.gov/cedselementdetails.aspx?termid=26979")</f>
        <v>https://ceds.ed.gov/cedselementdetails.aspx?termid=26979</v>
      </c>
      <c r="Q4055" s="16">
        <v>74665</v>
      </c>
    </row>
    <row r="4056" spans="1:17" ht="100.8" x14ac:dyDescent="0.3">
      <c r="A4056" s="16" t="s">
        <v>7755</v>
      </c>
      <c r="B4056" s="16" t="s">
        <v>7715</v>
      </c>
      <c r="C4056" s="16"/>
      <c r="D4056" s="16" t="s">
        <v>7597</v>
      </c>
      <c r="E4056" s="16" t="s">
        <v>6620</v>
      </c>
      <c r="F4056" s="16" t="s">
        <v>6621</v>
      </c>
      <c r="G4056" s="16" t="s">
        <v>32</v>
      </c>
      <c r="H4056" s="16" t="s">
        <v>1484</v>
      </c>
      <c r="I4056" s="16"/>
      <c r="J4056" s="16" t="s">
        <v>106</v>
      </c>
      <c r="K4056" s="16"/>
      <c r="L4056" s="16"/>
      <c r="M4056" s="19" t="s">
        <v>6622</v>
      </c>
      <c r="N4056" s="16"/>
      <c r="O4056" s="16" t="s">
        <v>6623</v>
      </c>
      <c r="P4056" s="16" t="str">
        <f>HYPERLINK("https://ceds.ed.gov/cedselementdetails.aspx?termid=26251")</f>
        <v>https://ceds.ed.gov/cedselementdetails.aspx?termid=26251</v>
      </c>
      <c r="Q4056" s="16">
        <v>74617</v>
      </c>
    </row>
    <row r="4057" spans="1:17" ht="100.8" x14ac:dyDescent="0.3">
      <c r="A4057" s="16" t="s">
        <v>7755</v>
      </c>
      <c r="B4057" s="16" t="s">
        <v>7715</v>
      </c>
      <c r="C4057" s="16"/>
      <c r="D4057" s="16" t="s">
        <v>7597</v>
      </c>
      <c r="E4057" s="16" t="s">
        <v>6637</v>
      </c>
      <c r="F4057" s="16" t="s">
        <v>6638</v>
      </c>
      <c r="G4057" s="16" t="s">
        <v>32</v>
      </c>
      <c r="H4057" s="16" t="s">
        <v>1484</v>
      </c>
      <c r="I4057" s="16"/>
      <c r="J4057" s="16" t="s">
        <v>106</v>
      </c>
      <c r="K4057" s="16"/>
      <c r="L4057" s="16" t="s">
        <v>131</v>
      </c>
      <c r="M4057" s="19" t="s">
        <v>6639</v>
      </c>
      <c r="N4057" s="16"/>
      <c r="O4057" s="16" t="s">
        <v>6640</v>
      </c>
      <c r="P4057" s="16" t="str">
        <f>HYPERLINK("https://ceds.ed.gov/cedselementdetails.aspx?termid=26253")</f>
        <v>https://ceds.ed.gov/cedselementdetails.aspx?termid=26253</v>
      </c>
      <c r="Q4057" s="16">
        <v>74619</v>
      </c>
    </row>
    <row r="4058" spans="1:17" ht="28.8" x14ac:dyDescent="0.3">
      <c r="A4058" s="16" t="s">
        <v>7755</v>
      </c>
      <c r="B4058" s="16" t="s">
        <v>7715</v>
      </c>
      <c r="C4058" s="16"/>
      <c r="D4058" s="16" t="s">
        <v>7597</v>
      </c>
      <c r="E4058" s="16" t="s">
        <v>6632</v>
      </c>
      <c r="F4058" s="16" t="s">
        <v>6633</v>
      </c>
      <c r="G4058" s="16" t="s">
        <v>32</v>
      </c>
      <c r="H4058" s="16" t="s">
        <v>1927</v>
      </c>
      <c r="I4058" s="16"/>
      <c r="J4058" s="16" t="s">
        <v>3093</v>
      </c>
      <c r="K4058" s="16"/>
      <c r="L4058" s="16"/>
      <c r="M4058" s="19" t="s">
        <v>6635</v>
      </c>
      <c r="N4058" s="16"/>
      <c r="O4058" s="16" t="s">
        <v>6636</v>
      </c>
      <c r="P4058" s="16" t="str">
        <f>HYPERLINK("https://ceds.ed.gov/cedselementdetails.aspx?termid=26252")</f>
        <v>https://ceds.ed.gov/cedselementdetails.aspx?termid=26252</v>
      </c>
      <c r="Q4058" s="16">
        <v>74618</v>
      </c>
    </row>
    <row r="4059" spans="1:17" ht="43.2" x14ac:dyDescent="0.3">
      <c r="A4059" s="16" t="s">
        <v>7755</v>
      </c>
      <c r="B4059" s="16" t="s">
        <v>7715</v>
      </c>
      <c r="C4059" s="16"/>
      <c r="D4059" s="16" t="s">
        <v>7597</v>
      </c>
      <c r="E4059" s="16" t="s">
        <v>6624</v>
      </c>
      <c r="F4059" s="16" t="s">
        <v>6625</v>
      </c>
      <c r="G4059" s="16" t="s">
        <v>32</v>
      </c>
      <c r="H4059" s="16"/>
      <c r="I4059" s="16"/>
      <c r="J4059" s="16" t="s">
        <v>81</v>
      </c>
      <c r="K4059" s="16"/>
      <c r="L4059" s="16"/>
      <c r="M4059" s="19" t="s">
        <v>6626</v>
      </c>
      <c r="N4059" s="16"/>
      <c r="O4059" s="16" t="s">
        <v>6627</v>
      </c>
      <c r="P4059" s="16" t="str">
        <f>HYPERLINK("https://ceds.ed.gov/cedselementdetails.aspx?termid=27236")</f>
        <v>https://ceds.ed.gov/cedselementdetails.aspx?termid=27236</v>
      </c>
      <c r="Q4059" s="16">
        <v>74659</v>
      </c>
    </row>
    <row r="4060" spans="1:17" ht="172.8" x14ac:dyDescent="0.3">
      <c r="A4060" s="16" t="s">
        <v>7755</v>
      </c>
      <c r="B4060" s="16" t="s">
        <v>7715</v>
      </c>
      <c r="C4060" s="16"/>
      <c r="D4060" s="16" t="s">
        <v>7597</v>
      </c>
      <c r="E4060" s="16" t="s">
        <v>6657</v>
      </c>
      <c r="F4060" s="16" t="s">
        <v>6658</v>
      </c>
      <c r="G4060" s="16" t="s">
        <v>8830</v>
      </c>
      <c r="H4060" s="16" t="s">
        <v>1484</v>
      </c>
      <c r="I4060" s="16"/>
      <c r="J4060" s="16"/>
      <c r="K4060" s="16"/>
      <c r="L4060" s="16"/>
      <c r="M4060" s="19" t="s">
        <v>6660</v>
      </c>
      <c r="N4060" s="16"/>
      <c r="O4060" s="16" t="s">
        <v>6661</v>
      </c>
      <c r="P4060" s="16" t="str">
        <f>HYPERLINK("https://ceds.ed.gov/cedselementdetails.aspx?termid=26254")</f>
        <v>https://ceds.ed.gov/cedselementdetails.aspx?termid=26254</v>
      </c>
      <c r="Q4060" s="16">
        <v>74620</v>
      </c>
    </row>
    <row r="4061" spans="1:17" x14ac:dyDescent="0.3">
      <c r="A4061" s="16" t="s">
        <v>7755</v>
      </c>
      <c r="B4061" s="16" t="s">
        <v>7715</v>
      </c>
      <c r="C4061" s="16"/>
      <c r="D4061" s="16" t="s">
        <v>7597</v>
      </c>
      <c r="E4061" s="16" t="s">
        <v>6628</v>
      </c>
      <c r="F4061" s="16" t="s">
        <v>6629</v>
      </c>
      <c r="G4061" s="16" t="s">
        <v>32</v>
      </c>
      <c r="H4061" s="16"/>
      <c r="I4061" s="16"/>
      <c r="J4061" s="16" t="s">
        <v>316</v>
      </c>
      <c r="K4061" s="16"/>
      <c r="L4061" s="16"/>
      <c r="M4061" s="19" t="s">
        <v>6630</v>
      </c>
      <c r="N4061" s="16"/>
      <c r="O4061" s="16" t="s">
        <v>6631</v>
      </c>
      <c r="P4061" s="16" t="str">
        <f>HYPERLINK("https://ceds.ed.gov/cedselementdetails.aspx?termid=27237")</f>
        <v>https://ceds.ed.gov/cedselementdetails.aspx?termid=27237</v>
      </c>
      <c r="Q4061" s="16">
        <v>74660</v>
      </c>
    </row>
    <row r="4062" spans="1:17" ht="409.6" x14ac:dyDescent="0.3">
      <c r="A4062" s="16" t="s">
        <v>7755</v>
      </c>
      <c r="B4062" s="16" t="s">
        <v>7715</v>
      </c>
      <c r="C4062" s="16"/>
      <c r="D4062" s="16" t="s">
        <v>7597</v>
      </c>
      <c r="E4062" s="16" t="s">
        <v>293</v>
      </c>
      <c r="F4062" s="16" t="s">
        <v>7826</v>
      </c>
      <c r="G4062" s="16" t="s">
        <v>8313</v>
      </c>
      <c r="H4062" s="16"/>
      <c r="I4062" s="16"/>
      <c r="J4062" s="16" t="s">
        <v>145</v>
      </c>
      <c r="K4062" s="16"/>
      <c r="L4062" s="16"/>
      <c r="M4062" s="19" t="s">
        <v>295</v>
      </c>
      <c r="N4062" s="16" t="s">
        <v>296</v>
      </c>
      <c r="O4062" s="16" t="s">
        <v>297</v>
      </c>
      <c r="P4062" s="16" t="str">
        <f>HYPERLINK("https://ceds.ed.gov/cedselementdetails.aspx?termid=27244")</f>
        <v>https://ceds.ed.gov/cedselementdetails.aspx?termid=27244</v>
      </c>
      <c r="Q4062" s="16">
        <v>74623</v>
      </c>
    </row>
    <row r="4063" spans="1:17" ht="43.2" x14ac:dyDescent="0.3">
      <c r="A4063" s="16" t="s">
        <v>7755</v>
      </c>
      <c r="B4063" s="16" t="s">
        <v>7715</v>
      </c>
      <c r="C4063" s="16"/>
      <c r="D4063" s="16" t="s">
        <v>7597</v>
      </c>
      <c r="E4063" s="16" t="s">
        <v>2556</v>
      </c>
      <c r="F4063" s="16" t="s">
        <v>2557</v>
      </c>
      <c r="G4063" s="16" t="s">
        <v>32</v>
      </c>
      <c r="H4063" s="16"/>
      <c r="I4063" s="16"/>
      <c r="J4063" s="16" t="s">
        <v>9316</v>
      </c>
      <c r="K4063" s="16"/>
      <c r="L4063" s="16"/>
      <c r="M4063" s="19" t="s">
        <v>2558</v>
      </c>
      <c r="N4063" s="16"/>
      <c r="O4063" s="16" t="s">
        <v>2559</v>
      </c>
      <c r="P4063" s="16" t="str">
        <f>HYPERLINK("https://ceds.ed.gov/cedselementdetails.aspx?termid=26508")</f>
        <v>https://ceds.ed.gov/cedselementdetails.aspx?termid=26508</v>
      </c>
      <c r="Q4063" s="16">
        <v>74647</v>
      </c>
    </row>
    <row r="4064" spans="1:17" ht="409.6" x14ac:dyDescent="0.3">
      <c r="A4064" s="16" t="s">
        <v>7755</v>
      </c>
      <c r="B4064" s="16" t="s">
        <v>7715</v>
      </c>
      <c r="C4064" s="16"/>
      <c r="D4064" s="16" t="s">
        <v>7597</v>
      </c>
      <c r="E4064" s="16" t="s">
        <v>2523</v>
      </c>
      <c r="F4064" s="16" t="s">
        <v>2524</v>
      </c>
      <c r="G4064" s="16" t="s">
        <v>8458</v>
      </c>
      <c r="H4064" s="16"/>
      <c r="I4064" s="16"/>
      <c r="J4064" s="16"/>
      <c r="K4064" s="16"/>
      <c r="L4064" s="16" t="s">
        <v>7917</v>
      </c>
      <c r="M4064" s="19" t="s">
        <v>2526</v>
      </c>
      <c r="N4064" s="16"/>
      <c r="O4064" s="16" t="s">
        <v>2527</v>
      </c>
      <c r="P4064" s="16" t="str">
        <f>HYPERLINK("https://ceds.ed.gov/cedselementdetails.aspx?termid=27267")</f>
        <v>https://ceds.ed.gov/cedselementdetails.aspx?termid=27267</v>
      </c>
      <c r="Q4064" s="16">
        <v>74652</v>
      </c>
    </row>
    <row r="4065" spans="1:17" ht="244.8" x14ac:dyDescent="0.3">
      <c r="A4065" s="16" t="s">
        <v>7755</v>
      </c>
      <c r="B4065" s="16" t="s">
        <v>7715</v>
      </c>
      <c r="C4065" s="16"/>
      <c r="D4065" s="16" t="s">
        <v>7597</v>
      </c>
      <c r="E4065" s="16" t="s">
        <v>1887</v>
      </c>
      <c r="F4065" s="16" t="s">
        <v>1888</v>
      </c>
      <c r="G4065" s="16" t="s">
        <v>8425</v>
      </c>
      <c r="H4065" s="16"/>
      <c r="I4065" s="16" t="s">
        <v>160</v>
      </c>
      <c r="J4065" s="16"/>
      <c r="K4065" s="16" t="s">
        <v>12935</v>
      </c>
      <c r="L4065" s="16" t="s">
        <v>7896</v>
      </c>
      <c r="M4065" s="19" t="s">
        <v>1889</v>
      </c>
      <c r="N4065" s="16"/>
      <c r="O4065" s="16" t="s">
        <v>1890</v>
      </c>
      <c r="P4065" s="16" t="str">
        <f>HYPERLINK("https://ceds.ed.gov/cedselementdetails.aspx?termid=27254")</f>
        <v>https://ceds.ed.gov/cedselementdetails.aspx?termid=27254</v>
      </c>
      <c r="Q4065" s="16">
        <v>74651</v>
      </c>
    </row>
    <row r="4066" spans="1:17" ht="43.2" x14ac:dyDescent="0.3">
      <c r="A4066" s="16" t="s">
        <v>7755</v>
      </c>
      <c r="B4066" s="16" t="s">
        <v>7715</v>
      </c>
      <c r="C4066" s="16"/>
      <c r="D4066" s="16" t="s">
        <v>7597</v>
      </c>
      <c r="E4066" s="16" t="s">
        <v>2519</v>
      </c>
      <c r="F4066" s="16" t="s">
        <v>2520</v>
      </c>
      <c r="G4066" s="16" t="s">
        <v>22</v>
      </c>
      <c r="H4066" s="16"/>
      <c r="I4066" s="16"/>
      <c r="J4066" s="16"/>
      <c r="K4066" s="16"/>
      <c r="L4066" s="16"/>
      <c r="M4066" s="19" t="s">
        <v>2521</v>
      </c>
      <c r="N4066" s="16"/>
      <c r="O4066" s="16" t="s">
        <v>2522</v>
      </c>
      <c r="P4066" s="16" t="str">
        <f>HYPERLINK("https://ceds.ed.gov/cedselementdetails.aspx?termid=26013")</f>
        <v>https://ceds.ed.gov/cedselementdetails.aspx?termid=26013</v>
      </c>
      <c r="Q4066" s="16">
        <v>74668</v>
      </c>
    </row>
    <row r="4067" spans="1:17" ht="43.2" x14ac:dyDescent="0.3">
      <c r="A4067" s="16" t="s">
        <v>7755</v>
      </c>
      <c r="B4067" s="16" t="s">
        <v>7715</v>
      </c>
      <c r="C4067" s="16"/>
      <c r="D4067" s="16" t="s">
        <v>7597</v>
      </c>
      <c r="E4067" s="16" t="s">
        <v>6645</v>
      </c>
      <c r="F4067" s="16" t="s">
        <v>6646</v>
      </c>
      <c r="G4067" s="16" t="s">
        <v>22</v>
      </c>
      <c r="H4067" s="16"/>
      <c r="I4067" s="16"/>
      <c r="J4067" s="16"/>
      <c r="K4067" s="16"/>
      <c r="L4067" s="16"/>
      <c r="M4067" s="19" t="s">
        <v>6647</v>
      </c>
      <c r="N4067" s="16"/>
      <c r="O4067" s="16" t="s">
        <v>6648</v>
      </c>
      <c r="P4067" s="16" t="str">
        <f>HYPERLINK("https://ceds.ed.gov/cedselementdetails.aspx?termid=27238")</f>
        <v>https://ceds.ed.gov/cedselementdetails.aspx?termid=27238</v>
      </c>
      <c r="Q4067" s="16">
        <v>74661</v>
      </c>
    </row>
    <row r="4068" spans="1:17" ht="43.2" x14ac:dyDescent="0.3">
      <c r="A4068" s="16" t="s">
        <v>7755</v>
      </c>
      <c r="B4068" s="16" t="s">
        <v>7715</v>
      </c>
      <c r="C4068" s="16"/>
      <c r="D4068" s="16" t="s">
        <v>7597</v>
      </c>
      <c r="E4068" s="16" t="s">
        <v>6649</v>
      </c>
      <c r="F4068" s="16" t="s">
        <v>6650</v>
      </c>
      <c r="G4068" s="16" t="s">
        <v>22</v>
      </c>
      <c r="H4068" s="16"/>
      <c r="I4068" s="16"/>
      <c r="J4068" s="16"/>
      <c r="K4068" s="16"/>
      <c r="L4068" s="16"/>
      <c r="M4068" s="19" t="s">
        <v>6651</v>
      </c>
      <c r="N4068" s="16"/>
      <c r="O4068" s="16" t="s">
        <v>6652</v>
      </c>
      <c r="P4068" s="16" t="str">
        <f>HYPERLINK("https://ceds.ed.gov/cedselementdetails.aspx?termid=27239")</f>
        <v>https://ceds.ed.gov/cedselementdetails.aspx?termid=27239</v>
      </c>
      <c r="Q4068" s="16">
        <v>74662</v>
      </c>
    </row>
    <row r="4069" spans="1:17" ht="43.2" x14ac:dyDescent="0.3">
      <c r="A4069" s="16" t="s">
        <v>7755</v>
      </c>
      <c r="B4069" s="16" t="s">
        <v>7715</v>
      </c>
      <c r="C4069" s="16"/>
      <c r="D4069" s="16" t="s">
        <v>7597</v>
      </c>
      <c r="E4069" s="16" t="s">
        <v>6615</v>
      </c>
      <c r="F4069" s="16" t="s">
        <v>6616</v>
      </c>
      <c r="G4069" s="16" t="s">
        <v>22</v>
      </c>
      <c r="H4069" s="16"/>
      <c r="I4069" s="16"/>
      <c r="J4069" s="16"/>
      <c r="K4069" s="16"/>
      <c r="L4069" s="16"/>
      <c r="M4069" s="19" t="s">
        <v>6618</v>
      </c>
      <c r="N4069" s="16"/>
      <c r="O4069" s="16" t="s">
        <v>6619</v>
      </c>
      <c r="P4069" s="16" t="str">
        <f>HYPERLINK("https://ceds.ed.gov/cedselementdetails.aspx?termid=27240")</f>
        <v>https://ceds.ed.gov/cedselementdetails.aspx?termid=27240</v>
      </c>
      <c r="Q4069" s="16">
        <v>74663</v>
      </c>
    </row>
    <row r="4070" spans="1:17" ht="129.6" x14ac:dyDescent="0.3">
      <c r="A4070" s="16" t="s">
        <v>7755</v>
      </c>
      <c r="B4070" s="16" t="s">
        <v>7715</v>
      </c>
      <c r="C4070" s="16"/>
      <c r="D4070" s="16" t="s">
        <v>7597</v>
      </c>
      <c r="E4070" s="16" t="s">
        <v>2503</v>
      </c>
      <c r="F4070" s="16" t="s">
        <v>2504</v>
      </c>
      <c r="G4070" s="16" t="s">
        <v>32</v>
      </c>
      <c r="H4070" s="16"/>
      <c r="I4070" s="16"/>
      <c r="J4070" s="16" t="s">
        <v>2506</v>
      </c>
      <c r="K4070" s="16"/>
      <c r="L4070" s="16" t="s">
        <v>2507</v>
      </c>
      <c r="M4070" s="19" t="s">
        <v>2508</v>
      </c>
      <c r="N4070" s="16"/>
      <c r="O4070" s="16" t="s">
        <v>2509</v>
      </c>
      <c r="P4070" s="16" t="str">
        <f>HYPERLINK("https://ceds.ed.gov/cedselementdetails.aspx?termid=27264")</f>
        <v>https://ceds.ed.gov/cedselementdetails.aspx?termid=27264</v>
      </c>
      <c r="Q4070" s="16">
        <v>74624</v>
      </c>
    </row>
    <row r="4071" spans="1:17" ht="72" x14ac:dyDescent="0.3">
      <c r="A4071" s="16" t="s">
        <v>7755</v>
      </c>
      <c r="B4071" s="16" t="s">
        <v>7715</v>
      </c>
      <c r="C4071" s="16"/>
      <c r="D4071" s="16" t="s">
        <v>7597</v>
      </c>
      <c r="E4071" s="16" t="s">
        <v>2682</v>
      </c>
      <c r="F4071" s="16" t="s">
        <v>2683</v>
      </c>
      <c r="G4071" s="16" t="s">
        <v>32</v>
      </c>
      <c r="H4071" s="16"/>
      <c r="I4071" s="16"/>
      <c r="J4071" s="16" t="s">
        <v>81</v>
      </c>
      <c r="K4071" s="16"/>
      <c r="L4071" s="16"/>
      <c r="M4071" s="19" t="s">
        <v>2684</v>
      </c>
      <c r="N4071" s="16"/>
      <c r="O4071" s="16" t="s">
        <v>2685</v>
      </c>
      <c r="P4071" s="16" t="str">
        <f>HYPERLINK("https://ceds.ed.gov/cedselementdetails.aspx?termid=27281")</f>
        <v>https://ceds.ed.gov/cedselementdetails.aspx?termid=27281</v>
      </c>
      <c r="Q4071" s="16">
        <v>74633</v>
      </c>
    </row>
    <row r="4072" spans="1:17" ht="129.6" x14ac:dyDescent="0.3">
      <c r="A4072" s="16" t="s">
        <v>7755</v>
      </c>
      <c r="B4072" s="16" t="s">
        <v>7715</v>
      </c>
      <c r="C4072" s="16"/>
      <c r="D4072" s="16" t="s">
        <v>7597</v>
      </c>
      <c r="E4072" s="16" t="s">
        <v>2691</v>
      </c>
      <c r="F4072" s="16" t="s">
        <v>2692</v>
      </c>
      <c r="G4072" s="16" t="s">
        <v>32</v>
      </c>
      <c r="H4072" s="16" t="s">
        <v>2695</v>
      </c>
      <c r="I4072" s="16"/>
      <c r="J4072" s="16" t="s">
        <v>305</v>
      </c>
      <c r="K4072" s="16"/>
      <c r="L4072" s="16"/>
      <c r="M4072" s="19" t="s">
        <v>2693</v>
      </c>
      <c r="N4072" s="16"/>
      <c r="O4072" s="16" t="s">
        <v>2694</v>
      </c>
      <c r="P4072" s="16" t="str">
        <f>HYPERLINK("https://ceds.ed.gov/cedselementdetails.aspx?termid=26101")</f>
        <v>https://ceds.ed.gov/cedselementdetails.aspx?termid=26101</v>
      </c>
      <c r="Q4072" s="16">
        <v>74669</v>
      </c>
    </row>
    <row r="4073" spans="1:17" ht="28.8" x14ac:dyDescent="0.3">
      <c r="A4073" s="16" t="s">
        <v>7755</v>
      </c>
      <c r="B4073" s="16" t="s">
        <v>7715</v>
      </c>
      <c r="C4073" s="16"/>
      <c r="D4073" s="16" t="s">
        <v>7597</v>
      </c>
      <c r="E4073" s="16" t="s">
        <v>2021</v>
      </c>
      <c r="F4073" s="16" t="s">
        <v>2022</v>
      </c>
      <c r="G4073" s="16" t="s">
        <v>32</v>
      </c>
      <c r="H4073" s="16" t="s">
        <v>2025</v>
      </c>
      <c r="I4073" s="16"/>
      <c r="J4073" s="16" t="s">
        <v>403</v>
      </c>
      <c r="K4073" s="16"/>
      <c r="L4073" s="16"/>
      <c r="M4073" s="19" t="s">
        <v>2023</v>
      </c>
      <c r="N4073" s="16"/>
      <c r="O4073" s="16" t="s">
        <v>2024</v>
      </c>
      <c r="P4073" s="16" t="str">
        <f>HYPERLINK("https://ceds.ed.gov/cedselementdetails.aspx?termid=26510")</f>
        <v>https://ceds.ed.gov/cedselementdetails.aspx?termid=26510</v>
      </c>
      <c r="Q4073" s="16">
        <v>74639</v>
      </c>
    </row>
    <row r="4074" spans="1:17" ht="28.8" x14ac:dyDescent="0.3">
      <c r="A4074" s="16" t="s">
        <v>7755</v>
      </c>
      <c r="B4074" s="16" t="s">
        <v>7715</v>
      </c>
      <c r="C4074" s="16"/>
      <c r="D4074" s="16" t="s">
        <v>7597</v>
      </c>
      <c r="E4074" s="16" t="s">
        <v>2026</v>
      </c>
      <c r="F4074" s="16" t="s">
        <v>2027</v>
      </c>
      <c r="G4074" s="16" t="s">
        <v>32</v>
      </c>
      <c r="H4074" s="16" t="s">
        <v>2025</v>
      </c>
      <c r="I4074" s="16"/>
      <c r="J4074" s="16" t="s">
        <v>403</v>
      </c>
      <c r="K4074" s="16"/>
      <c r="L4074" s="16"/>
      <c r="M4074" s="19" t="s">
        <v>2028</v>
      </c>
      <c r="N4074" s="16"/>
      <c r="O4074" s="16" t="s">
        <v>2029</v>
      </c>
      <c r="P4074" s="16" t="str">
        <f>HYPERLINK("https://ceds.ed.gov/cedselementdetails.aspx?termid=26511")</f>
        <v>https://ceds.ed.gov/cedselementdetails.aspx?termid=26511</v>
      </c>
      <c r="Q4074" s="16">
        <v>74640</v>
      </c>
    </row>
    <row r="4075" spans="1:17" ht="57.6" x14ac:dyDescent="0.3">
      <c r="A4075" s="16" t="s">
        <v>7755</v>
      </c>
      <c r="B4075" s="16" t="s">
        <v>7715</v>
      </c>
      <c r="C4075" s="16"/>
      <c r="D4075" s="16" t="s">
        <v>7597</v>
      </c>
      <c r="E4075" s="16" t="s">
        <v>2030</v>
      </c>
      <c r="F4075" s="16" t="s">
        <v>2031</v>
      </c>
      <c r="G4075" s="16" t="s">
        <v>32</v>
      </c>
      <c r="H4075" s="16"/>
      <c r="I4075" s="16"/>
      <c r="J4075" s="16" t="s">
        <v>145</v>
      </c>
      <c r="K4075" s="16"/>
      <c r="L4075" s="16"/>
      <c r="M4075" s="19" t="s">
        <v>2033</v>
      </c>
      <c r="N4075" s="16"/>
      <c r="O4075" s="16" t="s">
        <v>2034</v>
      </c>
      <c r="P4075" s="16" t="str">
        <f>HYPERLINK("https://ceds.ed.gov/cedselementdetails.aspx?termid=26512")</f>
        <v>https://ceds.ed.gov/cedselementdetails.aspx?termid=26512</v>
      </c>
      <c r="Q4075" s="16">
        <v>74641</v>
      </c>
    </row>
    <row r="4076" spans="1:17" ht="72" x14ac:dyDescent="0.3">
      <c r="A4076" s="16" t="s">
        <v>7755</v>
      </c>
      <c r="B4076" s="16" t="s">
        <v>7715</v>
      </c>
      <c r="C4076" s="16"/>
      <c r="D4076" s="16" t="s">
        <v>7597</v>
      </c>
      <c r="E4076" s="16" t="s">
        <v>2035</v>
      </c>
      <c r="F4076" s="16" t="s">
        <v>2036</v>
      </c>
      <c r="G4076" s="16" t="s">
        <v>32</v>
      </c>
      <c r="H4076" s="16"/>
      <c r="I4076" s="16"/>
      <c r="J4076" s="16" t="s">
        <v>81</v>
      </c>
      <c r="K4076" s="16"/>
      <c r="L4076" s="16"/>
      <c r="M4076" s="19" t="s">
        <v>2037</v>
      </c>
      <c r="N4076" s="16"/>
      <c r="O4076" s="16" t="s">
        <v>2038</v>
      </c>
      <c r="P4076" s="16" t="str">
        <f>HYPERLINK("https://ceds.ed.gov/cedselementdetails.aspx?termid=26513")</f>
        <v>https://ceds.ed.gov/cedselementdetails.aspx?termid=26513</v>
      </c>
      <c r="Q4076" s="16">
        <v>74642</v>
      </c>
    </row>
    <row r="4077" spans="1:17" ht="172.8" x14ac:dyDescent="0.3">
      <c r="A4077" s="16" t="s">
        <v>7755</v>
      </c>
      <c r="B4077" s="16" t="s">
        <v>7715</v>
      </c>
      <c r="C4077" s="16"/>
      <c r="D4077" s="16" t="s">
        <v>7597</v>
      </c>
      <c r="E4077" s="16" t="s">
        <v>7078</v>
      </c>
      <c r="F4077" s="16" t="s">
        <v>7079</v>
      </c>
      <c r="G4077" s="16" t="s">
        <v>32</v>
      </c>
      <c r="H4077" s="16"/>
      <c r="I4077" s="16"/>
      <c r="J4077" s="16" t="s">
        <v>120</v>
      </c>
      <c r="K4077" s="16"/>
      <c r="L4077" s="16" t="s">
        <v>7817</v>
      </c>
      <c r="M4077" s="19" t="s">
        <v>7080</v>
      </c>
      <c r="N4077" s="16"/>
      <c r="O4077" s="16" t="s">
        <v>7081</v>
      </c>
      <c r="P4077" s="16" t="str">
        <f>HYPERLINK("https://ceds.ed.gov/cedselementdetails.aspx?termid=26514")</f>
        <v>https://ceds.ed.gov/cedselementdetails.aspx?termid=26514</v>
      </c>
      <c r="Q4077" s="16">
        <v>74643</v>
      </c>
    </row>
    <row r="4078" spans="1:17" ht="28.8" x14ac:dyDescent="0.3">
      <c r="A4078" s="16" t="s">
        <v>7755</v>
      </c>
      <c r="B4078" s="16" t="s">
        <v>7715</v>
      </c>
      <c r="C4078" s="16"/>
      <c r="D4078" s="16" t="s">
        <v>7597</v>
      </c>
      <c r="E4078" s="16" t="s">
        <v>2678</v>
      </c>
      <c r="F4078" s="16" t="s">
        <v>2679</v>
      </c>
      <c r="G4078" s="16" t="s">
        <v>32</v>
      </c>
      <c r="H4078" s="16"/>
      <c r="I4078" s="16"/>
      <c r="J4078" s="16" t="s">
        <v>305</v>
      </c>
      <c r="K4078" s="16"/>
      <c r="L4078" s="16"/>
      <c r="M4078" s="19" t="s">
        <v>2680</v>
      </c>
      <c r="N4078" s="16"/>
      <c r="O4078" s="16" t="s">
        <v>2681</v>
      </c>
      <c r="P4078" s="16" t="str">
        <f>HYPERLINK("https://ceds.ed.gov/cedselementdetails.aspx?termid=27636")</f>
        <v>https://ceds.ed.gov/cedselementdetails.aspx?termid=27636</v>
      </c>
      <c r="Q4078" s="16">
        <v>74353</v>
      </c>
    </row>
    <row r="4079" spans="1:17" ht="115.2" x14ac:dyDescent="0.3">
      <c r="A4079" s="16" t="s">
        <v>7755</v>
      </c>
      <c r="B4079" s="16" t="s">
        <v>7715</v>
      </c>
      <c r="C4079" s="16"/>
      <c r="D4079" s="16" t="s">
        <v>7597</v>
      </c>
      <c r="E4079" s="16" t="s">
        <v>4715</v>
      </c>
      <c r="F4079" s="16" t="s">
        <v>4716</v>
      </c>
      <c r="G4079" s="16" t="s">
        <v>7313</v>
      </c>
      <c r="H4079" s="16" t="s">
        <v>202</v>
      </c>
      <c r="I4079" s="16"/>
      <c r="J4079" s="16"/>
      <c r="K4079" s="16"/>
      <c r="L4079" s="16" t="s">
        <v>7859</v>
      </c>
      <c r="M4079" s="19" t="s">
        <v>4717</v>
      </c>
      <c r="N4079" s="16"/>
      <c r="O4079" s="16" t="s">
        <v>4718</v>
      </c>
      <c r="P4079" s="16" t="str">
        <f>HYPERLINK("https://ceds.ed.gov/cedselementdetails.aspx?termid=26438")</f>
        <v>https://ceds.ed.gov/cedselementdetails.aspx?termid=26438</v>
      </c>
      <c r="Q4079" s="16">
        <v>74637</v>
      </c>
    </row>
    <row r="4080" spans="1:17" ht="172.8" x14ac:dyDescent="0.3">
      <c r="A4080" s="16" t="s">
        <v>7755</v>
      </c>
      <c r="B4080" s="16" t="s">
        <v>7715</v>
      </c>
      <c r="C4080" s="16"/>
      <c r="D4080" s="16" t="s">
        <v>7597</v>
      </c>
      <c r="E4080" s="16" t="s">
        <v>2060</v>
      </c>
      <c r="F4080" s="16" t="s">
        <v>2061</v>
      </c>
      <c r="G4080" s="16" t="s">
        <v>32</v>
      </c>
      <c r="H4080" s="16"/>
      <c r="I4080" s="16"/>
      <c r="J4080" s="16" t="s">
        <v>120</v>
      </c>
      <c r="K4080" s="16"/>
      <c r="L4080" s="16" t="s">
        <v>7817</v>
      </c>
      <c r="M4080" s="19" t="s">
        <v>2062</v>
      </c>
      <c r="N4080" s="16"/>
      <c r="O4080" s="16" t="s">
        <v>2063</v>
      </c>
      <c r="P4080" s="16" t="str">
        <f>HYPERLINK("https://ceds.ed.gov/cedselementdetails.aspx?termid=26507")</f>
        <v>https://ceds.ed.gov/cedselementdetails.aspx?termid=26507</v>
      </c>
      <c r="Q4080" s="16">
        <v>74638</v>
      </c>
    </row>
    <row r="4081" spans="1:17" ht="158.4" x14ac:dyDescent="0.3">
      <c r="A4081" s="16" t="s">
        <v>7755</v>
      </c>
      <c r="B4081" s="16" t="s">
        <v>7715</v>
      </c>
      <c r="C4081" s="16"/>
      <c r="D4081" s="16" t="s">
        <v>7597</v>
      </c>
      <c r="E4081" s="16" t="s">
        <v>6261</v>
      </c>
      <c r="F4081" s="16" t="s">
        <v>6262</v>
      </c>
      <c r="G4081" s="16" t="s">
        <v>8257</v>
      </c>
      <c r="H4081" s="16"/>
      <c r="I4081" s="16"/>
      <c r="J4081" s="16"/>
      <c r="K4081" s="16"/>
      <c r="L4081" s="16"/>
      <c r="M4081" s="19" t="s">
        <v>6263</v>
      </c>
      <c r="N4081" s="16"/>
      <c r="O4081" s="16" t="s">
        <v>6264</v>
      </c>
      <c r="P4081" s="16" t="str">
        <f>HYPERLINK("https://ceds.ed.gov/cedselementdetails.aspx?termid=26515")</f>
        <v>https://ceds.ed.gov/cedselementdetails.aspx?termid=26515</v>
      </c>
      <c r="Q4081" s="16">
        <v>74644</v>
      </c>
    </row>
    <row r="4082" spans="1:17" ht="244.8" x14ac:dyDescent="0.3">
      <c r="A4082" s="16" t="s">
        <v>7755</v>
      </c>
      <c r="B4082" s="16" t="s">
        <v>7715</v>
      </c>
      <c r="C4082" s="16"/>
      <c r="D4082" s="16" t="s">
        <v>7597</v>
      </c>
      <c r="E4082" s="16" t="s">
        <v>2064</v>
      </c>
      <c r="F4082" s="16" t="s">
        <v>2065</v>
      </c>
      <c r="G4082" s="16" t="s">
        <v>8213</v>
      </c>
      <c r="H4082" s="16"/>
      <c r="I4082" s="16"/>
      <c r="J4082" s="16"/>
      <c r="K4082" s="16"/>
      <c r="L4082" s="16"/>
      <c r="M4082" s="19" t="s">
        <v>2066</v>
      </c>
      <c r="N4082" s="16"/>
      <c r="O4082" s="16" t="s">
        <v>2067</v>
      </c>
      <c r="P4082" s="16" t="str">
        <f>HYPERLINK("https://ceds.ed.gov/cedselementdetails.aspx?termid=26615")</f>
        <v>https://ceds.ed.gov/cedselementdetails.aspx?termid=26615</v>
      </c>
      <c r="Q4082" s="16">
        <v>74649</v>
      </c>
    </row>
    <row r="4083" spans="1:17" ht="115.2" x14ac:dyDescent="0.3">
      <c r="A4083" s="16" t="s">
        <v>7755</v>
      </c>
      <c r="B4083" s="16" t="s">
        <v>7715</v>
      </c>
      <c r="C4083" s="16"/>
      <c r="D4083" s="16" t="s">
        <v>7597</v>
      </c>
      <c r="E4083" s="16" t="s">
        <v>7227</v>
      </c>
      <c r="F4083" s="16" t="s">
        <v>8171</v>
      </c>
      <c r="G4083" s="16" t="s">
        <v>22</v>
      </c>
      <c r="H4083" s="16"/>
      <c r="I4083" s="16"/>
      <c r="J4083" s="16"/>
      <c r="K4083" s="16"/>
      <c r="L4083" s="16"/>
      <c r="M4083" s="19" t="s">
        <v>7228</v>
      </c>
      <c r="N4083" s="16"/>
      <c r="O4083" s="16" t="s">
        <v>7229</v>
      </c>
      <c r="P4083" s="16" t="str">
        <f>HYPERLINK("https://ceds.ed.gov/cedselementdetails.aspx?termid=27167")</f>
        <v>https://ceds.ed.gov/cedselementdetails.aspx?termid=27167</v>
      </c>
      <c r="Q4083" s="16">
        <v>74666</v>
      </c>
    </row>
    <row r="4084" spans="1:17" ht="129.6" x14ac:dyDescent="0.3">
      <c r="A4084" s="16" t="s">
        <v>7755</v>
      </c>
      <c r="B4084" s="16" t="s">
        <v>7715</v>
      </c>
      <c r="C4084" s="16"/>
      <c r="D4084" s="16" t="s">
        <v>7597</v>
      </c>
      <c r="E4084" s="16" t="s">
        <v>2674</v>
      </c>
      <c r="F4084" s="16" t="s">
        <v>2675</v>
      </c>
      <c r="G4084" s="16" t="s">
        <v>8473</v>
      </c>
      <c r="H4084" s="16"/>
      <c r="I4084" s="16"/>
      <c r="J4084" s="16"/>
      <c r="K4084" s="16"/>
      <c r="L4084" s="16"/>
      <c r="M4084" s="19" t="s">
        <v>2676</v>
      </c>
      <c r="N4084" s="16"/>
      <c r="O4084" s="16" t="s">
        <v>2677</v>
      </c>
      <c r="P4084" s="16" t="str">
        <f>HYPERLINK("https://ceds.ed.gov/cedselementdetails.aspx?termid=27168")</f>
        <v>https://ceds.ed.gov/cedselementdetails.aspx?termid=27168</v>
      </c>
      <c r="Q4084" s="16">
        <v>74667</v>
      </c>
    </row>
    <row r="4085" spans="1:17" ht="144" x14ac:dyDescent="0.3">
      <c r="A4085" s="16" t="s">
        <v>7755</v>
      </c>
      <c r="B4085" s="16" t="s">
        <v>7715</v>
      </c>
      <c r="C4085" s="16"/>
      <c r="D4085" s="16" t="s">
        <v>7597</v>
      </c>
      <c r="E4085" s="16" t="s">
        <v>1522</v>
      </c>
      <c r="F4085" s="16" t="s">
        <v>1523</v>
      </c>
      <c r="G4085" s="16" t="s">
        <v>8212</v>
      </c>
      <c r="H4085" s="16"/>
      <c r="I4085" s="16"/>
      <c r="J4085" s="16"/>
      <c r="K4085" s="16"/>
      <c r="L4085" s="16" t="s">
        <v>1524</v>
      </c>
      <c r="M4085" s="19" t="s">
        <v>1525</v>
      </c>
      <c r="N4085" s="16"/>
      <c r="O4085" s="16" t="s">
        <v>1526</v>
      </c>
      <c r="P4085" s="16" t="str">
        <f>HYPERLINK("https://ceds.ed.gov/cedselementdetails.aspx?termid=27253")</f>
        <v>https://ceds.ed.gov/cedselementdetails.aspx?termid=27253</v>
      </c>
      <c r="Q4085" s="16">
        <v>74650</v>
      </c>
    </row>
    <row r="4086" spans="1:17" ht="43.2" x14ac:dyDescent="0.3">
      <c r="A4086" s="16" t="s">
        <v>7755</v>
      </c>
      <c r="B4086" s="16" t="s">
        <v>7715</v>
      </c>
      <c r="C4086" s="16"/>
      <c r="D4086" s="16" t="s">
        <v>7597</v>
      </c>
      <c r="E4086" s="16" t="s">
        <v>2601</v>
      </c>
      <c r="F4086" s="16" t="s">
        <v>2602</v>
      </c>
      <c r="G4086" s="16" t="s">
        <v>8467</v>
      </c>
      <c r="H4086" s="16"/>
      <c r="I4086" s="16"/>
      <c r="J4086" s="16"/>
      <c r="K4086" s="16"/>
      <c r="L4086" s="16" t="s">
        <v>2603</v>
      </c>
      <c r="M4086" s="19" t="s">
        <v>2604</v>
      </c>
      <c r="N4086" s="16"/>
      <c r="O4086" s="16" t="s">
        <v>2605</v>
      </c>
      <c r="P4086" s="16" t="str">
        <f>HYPERLINK("https://ceds.ed.gov/cedselementdetails.aspx?termid=27277")</f>
        <v>https://ceds.ed.gov/cedselementdetails.aspx?termid=27277</v>
      </c>
      <c r="Q4086" s="16">
        <v>74655</v>
      </c>
    </row>
    <row r="4087" spans="1:17" ht="57.6" x14ac:dyDescent="0.3">
      <c r="A4087" s="16" t="s">
        <v>7755</v>
      </c>
      <c r="B4087" s="16" t="s">
        <v>7715</v>
      </c>
      <c r="C4087" s="16"/>
      <c r="D4087" s="16" t="s">
        <v>7597</v>
      </c>
      <c r="E4087" s="16" t="s">
        <v>2686</v>
      </c>
      <c r="F4087" s="16" t="s">
        <v>2687</v>
      </c>
      <c r="G4087" s="16" t="s">
        <v>8474</v>
      </c>
      <c r="H4087" s="16" t="s">
        <v>2690</v>
      </c>
      <c r="I4087" s="16"/>
      <c r="J4087" s="16"/>
      <c r="K4087" s="16"/>
      <c r="L4087" s="16"/>
      <c r="M4087" s="19" t="s">
        <v>2688</v>
      </c>
      <c r="N4087" s="16"/>
      <c r="O4087" s="16" t="s">
        <v>2689</v>
      </c>
      <c r="P4087" s="16" t="str">
        <f>HYPERLINK("https://ceds.ed.gov/cedselementdetails.aspx?termid=26258")</f>
        <v>https://ceds.ed.gov/cedselementdetails.aspx?termid=26258</v>
      </c>
      <c r="Q4087" s="16">
        <v>74621</v>
      </c>
    </row>
    <row r="4088" spans="1:17" ht="57.6" x14ac:dyDescent="0.3">
      <c r="A4088" s="16" t="s">
        <v>7755</v>
      </c>
      <c r="B4088" s="16" t="s">
        <v>7715</v>
      </c>
      <c r="C4088" s="16"/>
      <c r="D4088" s="16" t="s">
        <v>7597</v>
      </c>
      <c r="E4088" s="16" t="s">
        <v>20</v>
      </c>
      <c r="F4088" s="16" t="s">
        <v>21</v>
      </c>
      <c r="G4088" s="16" t="s">
        <v>22</v>
      </c>
      <c r="H4088" s="16" t="s">
        <v>25</v>
      </c>
      <c r="I4088" s="16"/>
      <c r="J4088" s="16"/>
      <c r="K4088" s="16"/>
      <c r="L4088" s="16"/>
      <c r="M4088" s="19" t="s">
        <v>23</v>
      </c>
      <c r="N4088" s="16"/>
      <c r="O4088" s="16" t="s">
        <v>24</v>
      </c>
      <c r="P4088" s="16" t="str">
        <f>HYPERLINK("https://ceds.ed.gov/cedselementdetails.aspx?termid=26000")</f>
        <v>https://ceds.ed.gov/cedselementdetails.aspx?termid=26000</v>
      </c>
      <c r="Q4088" s="16">
        <v>74664</v>
      </c>
    </row>
    <row r="4089" spans="1:17" ht="100.8" x14ac:dyDescent="0.3">
      <c r="A4089" s="16" t="s">
        <v>7755</v>
      </c>
      <c r="B4089" s="16" t="s">
        <v>7715</v>
      </c>
      <c r="C4089" s="16"/>
      <c r="D4089" s="16" t="s">
        <v>7597</v>
      </c>
      <c r="E4089" s="16" t="s">
        <v>2574</v>
      </c>
      <c r="F4089" s="16" t="s">
        <v>2575</v>
      </c>
      <c r="G4089" s="16" t="s">
        <v>8463</v>
      </c>
      <c r="H4089" s="16" t="s">
        <v>1484</v>
      </c>
      <c r="I4089" s="16"/>
      <c r="J4089" s="16"/>
      <c r="K4089" s="16"/>
      <c r="L4089" s="16"/>
      <c r="M4089" s="19" t="s">
        <v>2577</v>
      </c>
      <c r="N4089" s="16" t="s">
        <v>2578</v>
      </c>
      <c r="O4089" s="16" t="s">
        <v>2579</v>
      </c>
      <c r="P4089" s="16" t="str">
        <f>HYPERLINK("https://ceds.ed.gov/cedselementdetails.aspx?termid=26060")</f>
        <v>https://ceds.ed.gov/cedselementdetails.aspx?termid=26060</v>
      </c>
      <c r="Q4089" s="16">
        <v>74616</v>
      </c>
    </row>
    <row r="4090" spans="1:17" ht="158.4" x14ac:dyDescent="0.3">
      <c r="A4090" s="16" t="s">
        <v>7755</v>
      </c>
      <c r="B4090" s="16" t="s">
        <v>7715</v>
      </c>
      <c r="C4090" s="16"/>
      <c r="D4090" s="16" t="s">
        <v>7597</v>
      </c>
      <c r="E4090" s="16" t="s">
        <v>148</v>
      </c>
      <c r="F4090" s="16" t="s">
        <v>149</v>
      </c>
      <c r="G4090" s="16" t="s">
        <v>8291</v>
      </c>
      <c r="H4090" s="16"/>
      <c r="I4090" s="16"/>
      <c r="J4090" s="16"/>
      <c r="K4090" s="16"/>
      <c r="L4090" s="16"/>
      <c r="M4090" s="19" t="s">
        <v>151</v>
      </c>
      <c r="N4090" s="16"/>
      <c r="O4090" s="16" t="s">
        <v>152</v>
      </c>
      <c r="P4090" s="16" t="str">
        <f>HYPERLINK("https://ceds.ed.gov/cedselementdetails.aspx?termid=26589")</f>
        <v>https://ceds.ed.gov/cedselementdetails.aspx?termid=26589</v>
      </c>
      <c r="Q4090" s="16">
        <v>74648</v>
      </c>
    </row>
    <row r="4091" spans="1:17" ht="43.2" x14ac:dyDescent="0.3">
      <c r="A4091" s="16" t="s">
        <v>7755</v>
      </c>
      <c r="B4091" s="16" t="s">
        <v>7715</v>
      </c>
      <c r="C4091" s="16"/>
      <c r="D4091" s="16" t="s">
        <v>7597</v>
      </c>
      <c r="E4091" s="16" t="s">
        <v>2532</v>
      </c>
      <c r="F4091" s="16" t="s">
        <v>2533</v>
      </c>
      <c r="G4091" s="16" t="s">
        <v>32</v>
      </c>
      <c r="H4091" s="16"/>
      <c r="I4091" s="16"/>
      <c r="J4091" s="16" t="s">
        <v>101</v>
      </c>
      <c r="K4091" s="16"/>
      <c r="L4091" s="16"/>
      <c r="M4091" s="19" t="s">
        <v>2534</v>
      </c>
      <c r="N4091" s="16"/>
      <c r="O4091" s="16" t="s">
        <v>2535</v>
      </c>
      <c r="P4091" s="16" t="str">
        <f>HYPERLINK("https://ceds.ed.gov/cedselementdetails.aspx?termid=27268")</f>
        <v>https://ceds.ed.gov/cedselementdetails.aspx?termid=27268</v>
      </c>
      <c r="Q4091" s="16">
        <v>74653</v>
      </c>
    </row>
    <row r="4092" spans="1:17" ht="43.2" x14ac:dyDescent="0.3">
      <c r="A4092" s="16" t="s">
        <v>7755</v>
      </c>
      <c r="B4092" s="16" t="s">
        <v>7715</v>
      </c>
      <c r="C4092" s="16"/>
      <c r="D4092" s="16" t="s">
        <v>7597</v>
      </c>
      <c r="E4092" s="16" t="s">
        <v>3843</v>
      </c>
      <c r="F4092" s="16" t="s">
        <v>3844</v>
      </c>
      <c r="G4092" s="16" t="s">
        <v>22</v>
      </c>
      <c r="H4092" s="16"/>
      <c r="I4092" s="16"/>
      <c r="J4092" s="16"/>
      <c r="K4092" s="16"/>
      <c r="L4092" s="16"/>
      <c r="M4092" s="19" t="s">
        <v>3845</v>
      </c>
      <c r="N4092" s="16"/>
      <c r="O4092" s="16" t="s">
        <v>3846</v>
      </c>
      <c r="P4092" s="16" t="str">
        <f>HYPERLINK("https://ceds.ed.gov/cedselementdetails.aspx?termid=27311")</f>
        <v>https://ceds.ed.gov/cedselementdetails.aspx?termid=27311</v>
      </c>
      <c r="Q4092" s="16">
        <v>74656</v>
      </c>
    </row>
    <row r="4093" spans="1:17" ht="43.2" x14ac:dyDescent="0.3">
      <c r="A4093" s="16" t="s">
        <v>7755</v>
      </c>
      <c r="B4093" s="16" t="s">
        <v>7715</v>
      </c>
      <c r="C4093" s="16"/>
      <c r="D4093" s="16" t="s">
        <v>7597</v>
      </c>
      <c r="E4093" s="16" t="s">
        <v>5440</v>
      </c>
      <c r="F4093" s="16" t="s">
        <v>5441</v>
      </c>
      <c r="G4093" s="16" t="s">
        <v>22</v>
      </c>
      <c r="H4093" s="16"/>
      <c r="I4093" s="16"/>
      <c r="J4093" s="16"/>
      <c r="K4093" s="16"/>
      <c r="L4093" s="16"/>
      <c r="M4093" s="19" t="s">
        <v>5442</v>
      </c>
      <c r="N4093" s="16" t="s">
        <v>5443</v>
      </c>
      <c r="O4093" s="16" t="s">
        <v>5444</v>
      </c>
      <c r="P4093" s="16" t="str">
        <f>HYPERLINK("https://ceds.ed.gov/cedselementdetails.aspx?termid=27382")</f>
        <v>https://ceds.ed.gov/cedselementdetails.aspx?termid=27382</v>
      </c>
      <c r="Q4093" s="16">
        <v>74657</v>
      </c>
    </row>
    <row r="4094" spans="1:17" ht="230.4" x14ac:dyDescent="0.3">
      <c r="A4094" s="16" t="s">
        <v>7755</v>
      </c>
      <c r="B4094" s="16" t="s">
        <v>7715</v>
      </c>
      <c r="C4094" s="16"/>
      <c r="D4094" s="16" t="s">
        <v>7597</v>
      </c>
      <c r="E4094" s="16" t="s">
        <v>7286</v>
      </c>
      <c r="F4094" s="16" t="s">
        <v>7287</v>
      </c>
      <c r="G4094" s="16" t="s">
        <v>9348</v>
      </c>
      <c r="H4094" s="16"/>
      <c r="I4094" s="16"/>
      <c r="J4094" s="16"/>
      <c r="K4094" s="16"/>
      <c r="L4094" s="16"/>
      <c r="M4094" s="19" t="s">
        <v>7288</v>
      </c>
      <c r="N4094" s="16"/>
      <c r="O4094" s="16" t="s">
        <v>7289</v>
      </c>
      <c r="P4094" s="16" t="str">
        <f>HYPERLINK("https://ceds.ed.gov/cedselementdetails.aspx?termid=27471")</f>
        <v>https://ceds.ed.gov/cedselementdetails.aspx?termid=27471</v>
      </c>
      <c r="Q4094" s="16">
        <v>74636</v>
      </c>
    </row>
    <row r="4095" spans="1:17" ht="86.4" x14ac:dyDescent="0.3">
      <c r="A4095" s="16" t="s">
        <v>7755</v>
      </c>
      <c r="B4095" s="16" t="s">
        <v>7715</v>
      </c>
      <c r="C4095" s="16"/>
      <c r="D4095" s="16" t="s">
        <v>7597</v>
      </c>
      <c r="E4095" s="16" t="s">
        <v>3073</v>
      </c>
      <c r="F4095" s="16" t="s">
        <v>3074</v>
      </c>
      <c r="G4095" s="16" t="s">
        <v>8500</v>
      </c>
      <c r="H4095" s="16" t="s">
        <v>3072</v>
      </c>
      <c r="I4095" s="16"/>
      <c r="J4095" s="16"/>
      <c r="K4095" s="16"/>
      <c r="L4095" s="16"/>
      <c r="M4095" s="19" t="s">
        <v>3076</v>
      </c>
      <c r="N4095" s="16"/>
      <c r="O4095" s="16" t="s">
        <v>3077</v>
      </c>
      <c r="P4095" s="16" t="str">
        <f>HYPERLINK("https://ceds.ed.gov/cedselementdetails.aspx?termid=27568")</f>
        <v>https://ceds.ed.gov/cedselementdetails.aspx?termid=27568</v>
      </c>
      <c r="Q4095" s="16">
        <v>74645</v>
      </c>
    </row>
    <row r="4096" spans="1:17" ht="72" x14ac:dyDescent="0.3">
      <c r="A4096" s="16" t="s">
        <v>7755</v>
      </c>
      <c r="B4096" s="16" t="s">
        <v>7715</v>
      </c>
      <c r="C4096" s="16"/>
      <c r="D4096" s="16" t="s">
        <v>7597</v>
      </c>
      <c r="E4096" s="16" t="s">
        <v>2569</v>
      </c>
      <c r="F4096" s="16" t="s">
        <v>2570</v>
      </c>
      <c r="G4096" s="16" t="s">
        <v>32</v>
      </c>
      <c r="H4096" s="16"/>
      <c r="I4096" s="16"/>
      <c r="J4096" s="16" t="s">
        <v>81</v>
      </c>
      <c r="K4096" s="16"/>
      <c r="L4096" s="16" t="s">
        <v>2571</v>
      </c>
      <c r="M4096" s="19" t="s">
        <v>2572</v>
      </c>
      <c r="N4096" s="16"/>
      <c r="O4096" s="16" t="s">
        <v>2573</v>
      </c>
      <c r="P4096" s="16" t="str">
        <f>HYPERLINK("https://ceds.ed.gov/cedselementdetails.aspx?termid=27272")</f>
        <v>https://ceds.ed.gov/cedselementdetails.aspx?termid=27272</v>
      </c>
      <c r="Q4096" s="16">
        <v>74654</v>
      </c>
    </row>
    <row r="4097" spans="1:17" ht="57.6" x14ac:dyDescent="0.3">
      <c r="A4097" s="16" t="s">
        <v>7755</v>
      </c>
      <c r="B4097" s="16" t="s">
        <v>7715</v>
      </c>
      <c r="C4097" s="16"/>
      <c r="D4097" s="16" t="s">
        <v>7597</v>
      </c>
      <c r="E4097" s="16" t="s">
        <v>7197</v>
      </c>
      <c r="F4097" s="16" t="s">
        <v>7198</v>
      </c>
      <c r="G4097" s="16" t="s">
        <v>22</v>
      </c>
      <c r="H4097" s="16"/>
      <c r="I4097" s="16"/>
      <c r="J4097" s="16"/>
      <c r="K4097" s="16"/>
      <c r="L4097" s="16" t="s">
        <v>7199</v>
      </c>
      <c r="M4097" s="19" t="s">
        <v>7200</v>
      </c>
      <c r="N4097" s="16"/>
      <c r="O4097" s="16" t="s">
        <v>7201</v>
      </c>
      <c r="P4097" s="16" t="str">
        <f>HYPERLINK("https://ceds.ed.gov/cedselementdetails.aspx?termid=27554")</f>
        <v>https://ceds.ed.gov/cedselementdetails.aspx?termid=27554</v>
      </c>
      <c r="Q4097" s="16">
        <v>74658</v>
      </c>
    </row>
    <row r="4098" spans="1:17" ht="72" x14ac:dyDescent="0.3">
      <c r="A4098" s="16" t="s">
        <v>7755</v>
      </c>
      <c r="B4098" s="16" t="s">
        <v>7715</v>
      </c>
      <c r="C4098" s="16"/>
      <c r="D4098" s="16" t="s">
        <v>7597</v>
      </c>
      <c r="E4098" s="16" t="s">
        <v>2618</v>
      </c>
      <c r="F4098" s="16" t="s">
        <v>7923</v>
      </c>
      <c r="G4098" s="16" t="s">
        <v>32</v>
      </c>
      <c r="H4098" s="16"/>
      <c r="I4098" s="16"/>
      <c r="J4098" s="16" t="s">
        <v>81</v>
      </c>
      <c r="K4098" s="16"/>
      <c r="L4098" s="16"/>
      <c r="M4098" s="19" t="s">
        <v>2620</v>
      </c>
      <c r="N4098" s="16"/>
      <c r="O4098" s="16" t="s">
        <v>2621</v>
      </c>
      <c r="P4098" s="16" t="str">
        <f>HYPERLINK("https://ceds.ed.gov/cedselementdetails.aspx?termid=27280")</f>
        <v>https://ceds.ed.gov/cedselementdetails.aspx?termid=27280</v>
      </c>
      <c r="Q4098" s="16">
        <v>74632</v>
      </c>
    </row>
    <row r="4099" spans="1:17" ht="302.39999999999998" x14ac:dyDescent="0.3">
      <c r="A4099" s="16" t="s">
        <v>7755</v>
      </c>
      <c r="B4099" s="16" t="s">
        <v>7715</v>
      </c>
      <c r="C4099" s="16"/>
      <c r="D4099" s="16" t="s">
        <v>7597</v>
      </c>
      <c r="E4099" s="16" t="s">
        <v>2610</v>
      </c>
      <c r="F4099" s="16" t="s">
        <v>2611</v>
      </c>
      <c r="G4099" s="16" t="s">
        <v>8218</v>
      </c>
      <c r="H4099" s="16"/>
      <c r="I4099" s="16"/>
      <c r="J4099" s="16"/>
      <c r="K4099" s="16"/>
      <c r="L4099" s="16"/>
      <c r="M4099" s="19" t="s">
        <v>2612</v>
      </c>
      <c r="N4099" s="16"/>
      <c r="O4099" s="16" t="s">
        <v>2613</v>
      </c>
      <c r="P4099" s="16" t="str">
        <f>HYPERLINK("https://ceds.ed.gov/cedselementdetails.aspx?termid=27278")</f>
        <v>https://ceds.ed.gov/cedselementdetails.aspx?termid=27278</v>
      </c>
      <c r="Q4099" s="16">
        <v>73513</v>
      </c>
    </row>
    <row r="4100" spans="1:17" ht="345.6" x14ac:dyDescent="0.3">
      <c r="A4100" s="16" t="s">
        <v>7755</v>
      </c>
      <c r="B4100" s="16" t="s">
        <v>7715</v>
      </c>
      <c r="C4100" s="16"/>
      <c r="D4100" s="16" t="s">
        <v>7597</v>
      </c>
      <c r="E4100" s="16" t="s">
        <v>2540</v>
      </c>
      <c r="F4100" s="16" t="s">
        <v>2541</v>
      </c>
      <c r="G4100" s="16" t="s">
        <v>8459</v>
      </c>
      <c r="H4100" s="16"/>
      <c r="I4100" s="16"/>
      <c r="J4100" s="16"/>
      <c r="K4100" s="16"/>
      <c r="L4100" s="16"/>
      <c r="M4100" s="19" t="s">
        <v>2542</v>
      </c>
      <c r="N4100" s="16"/>
      <c r="O4100" s="16" t="s">
        <v>2543</v>
      </c>
      <c r="P4100" s="16" t="str">
        <f>HYPERLINK("https://ceds.ed.gov/cedselementdetails.aspx?termid=27269")</f>
        <v>https://ceds.ed.gov/cedselementdetails.aspx?termid=27269</v>
      </c>
      <c r="Q4100" s="16">
        <v>74625</v>
      </c>
    </row>
    <row r="4101" spans="1:17" ht="187.2" x14ac:dyDescent="0.3">
      <c r="A4101" s="16" t="s">
        <v>7755</v>
      </c>
      <c r="B4101" s="16" t="s">
        <v>7715</v>
      </c>
      <c r="C4101" s="16"/>
      <c r="D4101" s="16" t="s">
        <v>7597</v>
      </c>
      <c r="E4101" s="16" t="s">
        <v>2544</v>
      </c>
      <c r="F4101" s="16" t="s">
        <v>2545</v>
      </c>
      <c r="G4101" s="16" t="s">
        <v>8460</v>
      </c>
      <c r="H4101" s="16"/>
      <c r="I4101" s="16"/>
      <c r="J4101" s="16"/>
      <c r="K4101" s="16"/>
      <c r="L4101" s="16"/>
      <c r="M4101" s="19" t="s">
        <v>2546</v>
      </c>
      <c r="N4101" s="16"/>
      <c r="O4101" s="16" t="s">
        <v>2547</v>
      </c>
      <c r="P4101" s="16" t="str">
        <f>HYPERLINK("https://ceds.ed.gov/cedselementdetails.aspx?termid=27270")</f>
        <v>https://ceds.ed.gov/cedselementdetails.aspx?termid=27270</v>
      </c>
      <c r="Q4101" s="16">
        <v>74626</v>
      </c>
    </row>
    <row r="4102" spans="1:17" ht="43.2" x14ac:dyDescent="0.3">
      <c r="A4102" s="16" t="s">
        <v>7755</v>
      </c>
      <c r="B4102" s="16" t="s">
        <v>7715</v>
      </c>
      <c r="C4102" s="16"/>
      <c r="D4102" s="16" t="s">
        <v>7597</v>
      </c>
      <c r="E4102" s="16" t="s">
        <v>2580</v>
      </c>
      <c r="F4102" s="16" t="s">
        <v>2581</v>
      </c>
      <c r="G4102" s="16" t="s">
        <v>8464</v>
      </c>
      <c r="H4102" s="16"/>
      <c r="I4102" s="16"/>
      <c r="J4102" s="16"/>
      <c r="K4102" s="16"/>
      <c r="L4102" s="16"/>
      <c r="M4102" s="19" t="s">
        <v>2582</v>
      </c>
      <c r="N4102" s="16"/>
      <c r="O4102" s="16" t="s">
        <v>2583</v>
      </c>
      <c r="P4102" s="16" t="str">
        <f>HYPERLINK("https://ceds.ed.gov/cedselementdetails.aspx?termid=27273")</f>
        <v>https://ceds.ed.gov/cedselementdetails.aspx?termid=27273</v>
      </c>
      <c r="Q4102" s="16">
        <v>74627</v>
      </c>
    </row>
    <row r="4103" spans="1:17" ht="86.4" x14ac:dyDescent="0.3">
      <c r="A4103" s="16" t="s">
        <v>7755</v>
      </c>
      <c r="B4103" s="16" t="s">
        <v>7715</v>
      </c>
      <c r="C4103" s="16"/>
      <c r="D4103" s="16" t="s">
        <v>7597</v>
      </c>
      <c r="E4103" s="16" t="s">
        <v>2614</v>
      </c>
      <c r="F4103" s="16" t="s">
        <v>2615</v>
      </c>
      <c r="G4103" s="16" t="s">
        <v>32</v>
      </c>
      <c r="H4103" s="16"/>
      <c r="I4103" s="16"/>
      <c r="J4103" s="16" t="s">
        <v>316</v>
      </c>
      <c r="K4103" s="16"/>
      <c r="L4103" s="16"/>
      <c r="M4103" s="19" t="s">
        <v>2616</v>
      </c>
      <c r="N4103" s="16"/>
      <c r="O4103" s="16" t="s">
        <v>2617</v>
      </c>
      <c r="P4103" s="16" t="str">
        <f>HYPERLINK("https://ceds.ed.gov/cedselementdetails.aspx?termid=27279")</f>
        <v>https://ceds.ed.gov/cedselementdetails.aspx?termid=27279</v>
      </c>
      <c r="Q4103" s="16">
        <v>74631</v>
      </c>
    </row>
    <row r="4104" spans="1:17" ht="129.6" x14ac:dyDescent="0.3">
      <c r="A4104" s="16" t="s">
        <v>7755</v>
      </c>
      <c r="B4104" s="16" t="s">
        <v>7715</v>
      </c>
      <c r="C4104" s="16"/>
      <c r="D4104" s="16" t="s">
        <v>7597</v>
      </c>
      <c r="E4104" s="16" t="s">
        <v>2628</v>
      </c>
      <c r="F4104" s="16" t="s">
        <v>2629</v>
      </c>
      <c r="G4104" s="16" t="s">
        <v>8469</v>
      </c>
      <c r="H4104" s="16" t="s">
        <v>64</v>
      </c>
      <c r="I4104" s="16"/>
      <c r="J4104" s="16"/>
      <c r="K4104" s="16"/>
      <c r="L4104" s="16"/>
      <c r="M4104" s="19" t="s">
        <v>2630</v>
      </c>
      <c r="N4104" s="16"/>
      <c r="O4104" s="16" t="s">
        <v>2631</v>
      </c>
      <c r="P4104" s="16" t="str">
        <f>HYPERLINK("https://ceds.ed.gov/cedselementdetails.aspx?termid=26065")</f>
        <v>https://ceds.ed.gov/cedselementdetails.aspx?termid=26065</v>
      </c>
      <c r="Q4104" s="16">
        <v>74622</v>
      </c>
    </row>
    <row r="4105" spans="1:17" ht="374.4" x14ac:dyDescent="0.3">
      <c r="A4105" s="16" t="s">
        <v>7755</v>
      </c>
      <c r="B4105" s="16" t="s">
        <v>7715</v>
      </c>
      <c r="C4105" s="16"/>
      <c r="D4105" s="16" t="s">
        <v>7597</v>
      </c>
      <c r="E4105" s="16" t="s">
        <v>2589</v>
      </c>
      <c r="F4105" s="16" t="s">
        <v>2590</v>
      </c>
      <c r="G4105" s="16" t="s">
        <v>8465</v>
      </c>
      <c r="H4105" s="16"/>
      <c r="I4105" s="16"/>
      <c r="J4105" s="16"/>
      <c r="K4105" s="16"/>
      <c r="L4105" s="16"/>
      <c r="M4105" s="19" t="s">
        <v>2591</v>
      </c>
      <c r="N4105" s="16"/>
      <c r="O4105" s="16" t="s">
        <v>2592</v>
      </c>
      <c r="P4105" s="16" t="str">
        <f>HYPERLINK("https://ceds.ed.gov/cedselementdetails.aspx?termid=27274")</f>
        <v>https://ceds.ed.gov/cedselementdetails.aspx?termid=27274</v>
      </c>
      <c r="Q4105" s="16">
        <v>74628</v>
      </c>
    </row>
    <row r="4106" spans="1:17" ht="28.8" x14ac:dyDescent="0.3">
      <c r="A4106" s="16" t="s">
        <v>7755</v>
      </c>
      <c r="B4106" s="16" t="s">
        <v>7715</v>
      </c>
      <c r="C4106" s="16"/>
      <c r="D4106" s="16" t="s">
        <v>7597</v>
      </c>
      <c r="E4106" s="16" t="s">
        <v>2593</v>
      </c>
      <c r="F4106" s="16" t="s">
        <v>2594</v>
      </c>
      <c r="G4106" s="16" t="s">
        <v>32</v>
      </c>
      <c r="H4106" s="16"/>
      <c r="I4106" s="16"/>
      <c r="J4106" s="16" t="s">
        <v>145</v>
      </c>
      <c r="K4106" s="16"/>
      <c r="L4106" s="16"/>
      <c r="M4106" s="19" t="s">
        <v>2595</v>
      </c>
      <c r="N4106" s="16"/>
      <c r="O4106" s="16" t="s">
        <v>2596</v>
      </c>
      <c r="P4106" s="16" t="str">
        <f>HYPERLINK("https://ceds.ed.gov/cedselementdetails.aspx?termid=27275")</f>
        <v>https://ceds.ed.gov/cedselementdetails.aspx?termid=27275</v>
      </c>
      <c r="Q4106" s="16">
        <v>74629</v>
      </c>
    </row>
    <row r="4107" spans="1:17" ht="144" x14ac:dyDescent="0.3">
      <c r="A4107" s="16" t="s">
        <v>7755</v>
      </c>
      <c r="B4107" s="16" t="s">
        <v>7715</v>
      </c>
      <c r="C4107" s="16"/>
      <c r="D4107" s="16" t="s">
        <v>7597</v>
      </c>
      <c r="E4107" s="16" t="s">
        <v>2597</v>
      </c>
      <c r="F4107" s="16" t="s">
        <v>2598</v>
      </c>
      <c r="G4107" s="16" t="s">
        <v>8466</v>
      </c>
      <c r="H4107" s="16"/>
      <c r="I4107" s="16"/>
      <c r="J4107" s="16"/>
      <c r="K4107" s="16"/>
      <c r="L4107" s="16"/>
      <c r="M4107" s="19" t="s">
        <v>2599</v>
      </c>
      <c r="N4107" s="16"/>
      <c r="O4107" s="16" t="s">
        <v>2600</v>
      </c>
      <c r="P4107" s="16" t="str">
        <f>HYPERLINK("https://ceds.ed.gov/cedselementdetails.aspx?termid=27276")</f>
        <v>https://ceds.ed.gov/cedselementdetails.aspx?termid=27276</v>
      </c>
      <c r="Q4107" s="16">
        <v>74630</v>
      </c>
    </row>
    <row r="4108" spans="1:17" ht="172.8" x14ac:dyDescent="0.3">
      <c r="A4108" s="16" t="s">
        <v>7755</v>
      </c>
      <c r="B4108" s="16" t="s">
        <v>7715</v>
      </c>
      <c r="C4108" s="16"/>
      <c r="D4108" s="16" t="s">
        <v>7597</v>
      </c>
      <c r="E4108" s="16" t="s">
        <v>5627</v>
      </c>
      <c r="F4108" s="16" t="s">
        <v>5628</v>
      </c>
      <c r="G4108" s="16" t="s">
        <v>32</v>
      </c>
      <c r="H4108" s="16"/>
      <c r="I4108" s="16"/>
      <c r="J4108" s="16" t="s">
        <v>120</v>
      </c>
      <c r="K4108" s="16"/>
      <c r="L4108" s="16" t="s">
        <v>7817</v>
      </c>
      <c r="M4108" s="19" t="s">
        <v>5629</v>
      </c>
      <c r="N4108" s="16"/>
      <c r="O4108" s="16" t="s">
        <v>5630</v>
      </c>
      <c r="P4108" s="16" t="str">
        <f>HYPERLINK("https://ceds.ed.gov/cedselementdetails.aspx?termid=27389")</f>
        <v>https://ceds.ed.gov/cedselementdetails.aspx?termid=27389</v>
      </c>
      <c r="Q4108" s="16">
        <v>74634</v>
      </c>
    </row>
    <row r="4109" spans="1:17" ht="43.2" x14ac:dyDescent="0.3">
      <c r="A4109" s="16" t="s">
        <v>7755</v>
      </c>
      <c r="B4109" s="16" t="s">
        <v>7715</v>
      </c>
      <c r="C4109" s="16"/>
      <c r="D4109" s="16" t="s">
        <v>7597</v>
      </c>
      <c r="E4109" s="16" t="s">
        <v>5668</v>
      </c>
      <c r="F4109" s="16" t="s">
        <v>5669</v>
      </c>
      <c r="G4109" s="16" t="s">
        <v>32</v>
      </c>
      <c r="H4109" s="16"/>
      <c r="I4109" s="16"/>
      <c r="J4109" s="16" t="s">
        <v>81</v>
      </c>
      <c r="K4109" s="16"/>
      <c r="L4109" s="16"/>
      <c r="M4109" s="19" t="s">
        <v>5670</v>
      </c>
      <c r="N4109" s="16"/>
      <c r="O4109" s="16" t="s">
        <v>5671</v>
      </c>
      <c r="P4109" s="16" t="str">
        <f>HYPERLINK("https://ceds.ed.gov/cedselementdetails.aspx?termid=27391")</f>
        <v>https://ceds.ed.gov/cedselementdetails.aspx?termid=27391</v>
      </c>
      <c r="Q4109" s="16">
        <v>74635</v>
      </c>
    </row>
    <row r="4110" spans="1:17" ht="28.8" x14ac:dyDescent="0.3">
      <c r="A4110" s="16" t="s">
        <v>7755</v>
      </c>
      <c r="B4110" s="16" t="s">
        <v>7715</v>
      </c>
      <c r="C4110" s="16"/>
      <c r="D4110" s="16" t="s">
        <v>7597</v>
      </c>
      <c r="E4110" s="16" t="s">
        <v>7818</v>
      </c>
      <c r="F4110" s="16" t="s">
        <v>7819</v>
      </c>
      <c r="G4110" s="16" t="s">
        <v>32</v>
      </c>
      <c r="H4110" s="16"/>
      <c r="I4110" s="16"/>
      <c r="J4110" s="16" t="s">
        <v>136</v>
      </c>
      <c r="K4110" s="16"/>
      <c r="L4110" s="16"/>
      <c r="M4110" s="19" t="s">
        <v>8174</v>
      </c>
      <c r="N4110" s="16"/>
      <c r="O4110" s="16" t="s">
        <v>7820</v>
      </c>
      <c r="P4110" s="16" t="str">
        <f>HYPERLINK("https://ceds.ed.gov/cedselementdetails.aspx?termid=27972")</f>
        <v>https://ceds.ed.gov/cedselementdetails.aspx?termid=27972</v>
      </c>
      <c r="Q4110" s="16">
        <v>75692</v>
      </c>
    </row>
    <row r="4111" spans="1:17" ht="43.2" x14ac:dyDescent="0.3">
      <c r="A4111" s="16" t="s">
        <v>7755</v>
      </c>
      <c r="B4111" s="16" t="s">
        <v>7715</v>
      </c>
      <c r="C4111" s="16"/>
      <c r="D4111" s="16" t="s">
        <v>7597</v>
      </c>
      <c r="E4111" s="16" t="s">
        <v>7821</v>
      </c>
      <c r="F4111" s="16" t="s">
        <v>7822</v>
      </c>
      <c r="G4111" s="16" t="s">
        <v>8197</v>
      </c>
      <c r="H4111" s="16"/>
      <c r="I4111" s="16"/>
      <c r="J4111" s="16" t="s">
        <v>2</v>
      </c>
      <c r="K4111" s="16"/>
      <c r="L4111" s="16"/>
      <c r="M4111" s="19" t="s">
        <v>8175</v>
      </c>
      <c r="N4111" s="16"/>
      <c r="O4111" s="16" t="s">
        <v>7823</v>
      </c>
      <c r="P4111" s="16" t="str">
        <f>HYPERLINK("https://ceds.ed.gov/cedselementdetails.aspx?termid=27973")</f>
        <v>https://ceds.ed.gov/cedselementdetails.aspx?termid=27973</v>
      </c>
      <c r="Q4111" s="16">
        <v>75693</v>
      </c>
    </row>
    <row r="4112" spans="1:17" ht="28.8" x14ac:dyDescent="0.3">
      <c r="A4112" s="16" t="s">
        <v>7755</v>
      </c>
      <c r="B4112" s="16" t="s">
        <v>7715</v>
      </c>
      <c r="C4112" s="16"/>
      <c r="D4112" s="16" t="s">
        <v>7597</v>
      </c>
      <c r="E4112" s="16" t="s">
        <v>9250</v>
      </c>
      <c r="F4112" s="16" t="s">
        <v>9251</v>
      </c>
      <c r="G4112" s="16" t="s">
        <v>32</v>
      </c>
      <c r="H4112" s="16"/>
      <c r="I4112" s="16"/>
      <c r="J4112" s="16" t="s">
        <v>136</v>
      </c>
      <c r="K4112" s="16"/>
      <c r="L4112" s="16"/>
      <c r="M4112" s="19" t="s">
        <v>9252</v>
      </c>
      <c r="N4112" s="16"/>
      <c r="O4112" s="16" t="s">
        <v>9253</v>
      </c>
      <c r="P4112" s="16" t="str">
        <f>HYPERLINK("https://ceds.ed.gov/cedselementdetails.aspx?termid=28086")</f>
        <v>https://ceds.ed.gov/cedselementdetails.aspx?termid=28086</v>
      </c>
      <c r="Q4112" s="16">
        <v>76011</v>
      </c>
    </row>
    <row r="4113" spans="1:17" ht="172.8" x14ac:dyDescent="0.3">
      <c r="A4113" s="16" t="s">
        <v>7755</v>
      </c>
      <c r="B4113" s="16" t="s">
        <v>7715</v>
      </c>
      <c r="C4113" s="16" t="s">
        <v>7716</v>
      </c>
      <c r="D4113" s="16" t="s">
        <v>7597</v>
      </c>
      <c r="E4113" s="16" t="s">
        <v>2584</v>
      </c>
      <c r="F4113" s="16" t="s">
        <v>2585</v>
      </c>
      <c r="G4113" s="16" t="s">
        <v>32</v>
      </c>
      <c r="H4113" s="16" t="s">
        <v>2588</v>
      </c>
      <c r="I4113" s="16"/>
      <c r="J4113" s="16" t="s">
        <v>120</v>
      </c>
      <c r="K4113" s="16"/>
      <c r="L4113" s="16" t="s">
        <v>7817</v>
      </c>
      <c r="M4113" s="19" t="s">
        <v>2586</v>
      </c>
      <c r="N4113" s="16"/>
      <c r="O4113" s="16" t="s">
        <v>2587</v>
      </c>
      <c r="P4113" s="16" t="str">
        <f>HYPERLINK("https://ceds.ed.gov/cedselementdetails.aspx?termid=26055")</f>
        <v>https://ceds.ed.gov/cedselementdetails.aspx?termid=26055</v>
      </c>
      <c r="Q4113" s="16">
        <v>74595</v>
      </c>
    </row>
    <row r="4114" spans="1:17" ht="144" x14ac:dyDescent="0.3">
      <c r="A4114" s="16" t="s">
        <v>7755</v>
      </c>
      <c r="B4114" s="16" t="s">
        <v>7715</v>
      </c>
      <c r="C4114" s="16" t="s">
        <v>7716</v>
      </c>
      <c r="D4114" s="16" t="s">
        <v>7597</v>
      </c>
      <c r="E4114" s="16" t="s">
        <v>2536</v>
      </c>
      <c r="F4114" s="16" t="s">
        <v>2537</v>
      </c>
      <c r="G4114" s="16" t="s">
        <v>8217</v>
      </c>
      <c r="H4114" s="16" t="s">
        <v>1484</v>
      </c>
      <c r="I4114" s="16"/>
      <c r="J4114" s="16"/>
      <c r="K4114" s="16"/>
      <c r="L4114" s="16"/>
      <c r="M4114" s="19" t="s">
        <v>2538</v>
      </c>
      <c r="N4114" s="16"/>
      <c r="O4114" s="16" t="s">
        <v>2539</v>
      </c>
      <c r="P4114" s="16" t="str">
        <f>HYPERLINK("https://ceds.ed.gov/cedselementdetails.aspx?termid=26056")</f>
        <v>https://ceds.ed.gov/cedselementdetails.aspx?termid=26056</v>
      </c>
      <c r="Q4114" s="16">
        <v>74596</v>
      </c>
    </row>
    <row r="4115" spans="1:17" ht="100.8" x14ac:dyDescent="0.3">
      <c r="A4115" s="16" t="s">
        <v>7755</v>
      </c>
      <c r="B4115" s="16" t="s">
        <v>7715</v>
      </c>
      <c r="C4115" s="16" t="s">
        <v>7716</v>
      </c>
      <c r="D4115" s="16" t="s">
        <v>7597</v>
      </c>
      <c r="E4115" s="16" t="s">
        <v>2700</v>
      </c>
      <c r="F4115" s="16"/>
      <c r="G4115" s="16" t="s">
        <v>32</v>
      </c>
      <c r="H4115" s="16" t="s">
        <v>1484</v>
      </c>
      <c r="I4115" s="16" t="s">
        <v>160</v>
      </c>
      <c r="J4115" s="16" t="s">
        <v>13077</v>
      </c>
      <c r="K4115" s="16" t="s">
        <v>12939</v>
      </c>
      <c r="L4115" s="16"/>
      <c r="M4115" s="19" t="s">
        <v>2701</v>
      </c>
      <c r="N4115" s="16"/>
      <c r="O4115" s="16"/>
      <c r="P4115" s="16" t="str">
        <f>HYPERLINK("https://ceds.ed.gov/cedselementdetails.aspx?termid=26067")</f>
        <v>https://ceds.ed.gov/cedselementdetails.aspx?termid=26067</v>
      </c>
      <c r="Q4115" s="16">
        <v>74598</v>
      </c>
    </row>
    <row r="4116" spans="1:17" ht="28.8" x14ac:dyDescent="0.3">
      <c r="A4116" s="16" t="s">
        <v>7755</v>
      </c>
      <c r="B4116" s="16" t="s">
        <v>7715</v>
      </c>
      <c r="C4116" s="16" t="s">
        <v>7716</v>
      </c>
      <c r="D4116" s="16" t="s">
        <v>7597</v>
      </c>
      <c r="E4116" s="16" t="s">
        <v>2551</v>
      </c>
      <c r="F4116" s="16" t="s">
        <v>2552</v>
      </c>
      <c r="G4116" s="16" t="s">
        <v>32</v>
      </c>
      <c r="H4116" s="16"/>
      <c r="I4116" s="16"/>
      <c r="J4116" s="16" t="s">
        <v>145</v>
      </c>
      <c r="K4116" s="16"/>
      <c r="L4116" s="16"/>
      <c r="M4116" s="19" t="s">
        <v>2554</v>
      </c>
      <c r="N4116" s="16"/>
      <c r="O4116" s="16" t="s">
        <v>2555</v>
      </c>
      <c r="P4116" s="16" t="str">
        <f>HYPERLINK("https://ceds.ed.gov/cedselementdetails.aspx?termid=27525")</f>
        <v>https://ceds.ed.gov/cedselementdetails.aspx?termid=27525</v>
      </c>
      <c r="Q4116" s="16">
        <v>74612</v>
      </c>
    </row>
    <row r="4117" spans="1:17" ht="28.8" x14ac:dyDescent="0.3">
      <c r="A4117" s="16" t="s">
        <v>7755</v>
      </c>
      <c r="B4117" s="16" t="s">
        <v>7715</v>
      </c>
      <c r="C4117" s="16" t="s">
        <v>7716</v>
      </c>
      <c r="D4117" s="16" t="s">
        <v>7597</v>
      </c>
      <c r="E4117" s="16" t="s">
        <v>2528</v>
      </c>
      <c r="F4117" s="16" t="s">
        <v>2529</v>
      </c>
      <c r="G4117" s="16" t="s">
        <v>32</v>
      </c>
      <c r="H4117" s="16" t="s">
        <v>1927</v>
      </c>
      <c r="I4117" s="16"/>
      <c r="J4117" s="16" t="s">
        <v>106</v>
      </c>
      <c r="K4117" s="16"/>
      <c r="L4117" s="16"/>
      <c r="M4117" s="19" t="s">
        <v>2530</v>
      </c>
      <c r="N4117" s="16"/>
      <c r="O4117" s="16" t="s">
        <v>2531</v>
      </c>
      <c r="P4117" s="16" t="str">
        <f>HYPERLINK("https://ceds.ed.gov/cedselementdetails.aspx?termid=26054")</f>
        <v>https://ceds.ed.gov/cedselementdetails.aspx?termid=26054</v>
      </c>
      <c r="Q4117" s="16">
        <v>74601</v>
      </c>
    </row>
    <row r="4118" spans="1:17" ht="57.6" x14ac:dyDescent="0.3">
      <c r="A4118" s="16" t="s">
        <v>7755</v>
      </c>
      <c r="B4118" s="16" t="s">
        <v>7715</v>
      </c>
      <c r="C4118" s="16" t="s">
        <v>7716</v>
      </c>
      <c r="D4118" s="16" t="s">
        <v>7597</v>
      </c>
      <c r="E4118" s="16" t="s">
        <v>2565</v>
      </c>
      <c r="F4118" s="16" t="s">
        <v>2566</v>
      </c>
      <c r="G4118" s="16" t="s">
        <v>32</v>
      </c>
      <c r="H4118" s="16" t="s">
        <v>1927</v>
      </c>
      <c r="I4118" s="16"/>
      <c r="J4118" s="16" t="s">
        <v>106</v>
      </c>
      <c r="K4118" s="16"/>
      <c r="L4118" s="16" t="s">
        <v>131</v>
      </c>
      <c r="M4118" s="19" t="s">
        <v>2567</v>
      </c>
      <c r="N4118" s="16"/>
      <c r="O4118" s="16" t="s">
        <v>2568</v>
      </c>
      <c r="P4118" s="16" t="str">
        <f>HYPERLINK("https://ceds.ed.gov/cedselementdetails.aspx?termid=26059")</f>
        <v>https://ceds.ed.gov/cedselementdetails.aspx?termid=26059</v>
      </c>
      <c r="Q4118" s="16">
        <v>74604</v>
      </c>
    </row>
    <row r="4119" spans="1:17" ht="144" x14ac:dyDescent="0.3">
      <c r="A4119" s="16" t="s">
        <v>7755</v>
      </c>
      <c r="B4119" s="16" t="s">
        <v>7715</v>
      </c>
      <c r="C4119" s="16" t="s">
        <v>7716</v>
      </c>
      <c r="D4119" s="16" t="s">
        <v>7597</v>
      </c>
      <c r="E4119" s="16" t="s">
        <v>2548</v>
      </c>
      <c r="F4119" s="16" t="s">
        <v>7918</v>
      </c>
      <c r="G4119" s="16" t="s">
        <v>8461</v>
      </c>
      <c r="H4119" s="16" t="s">
        <v>58</v>
      </c>
      <c r="I4119" s="16"/>
      <c r="J4119" s="16"/>
      <c r="K4119" s="16"/>
      <c r="L4119" s="16"/>
      <c r="M4119" s="19" t="s">
        <v>2549</v>
      </c>
      <c r="N4119" s="16"/>
      <c r="O4119" s="16" t="s">
        <v>2550</v>
      </c>
      <c r="P4119" s="16" t="str">
        <f>HYPERLINK("https://ceds.ed.gov/cedselementdetails.aspx?termid=26057")</f>
        <v>https://ceds.ed.gov/cedselementdetails.aspx?termid=26057</v>
      </c>
      <c r="Q4119" s="16">
        <v>74602</v>
      </c>
    </row>
    <row r="4120" spans="1:17" ht="100.8" x14ac:dyDescent="0.3">
      <c r="A4120" s="16" t="s">
        <v>7755</v>
      </c>
      <c r="B4120" s="16" t="s">
        <v>7715</v>
      </c>
      <c r="C4120" s="16" t="s">
        <v>7716</v>
      </c>
      <c r="D4120" s="16" t="s">
        <v>7597</v>
      </c>
      <c r="E4120" s="16" t="s">
        <v>2923</v>
      </c>
      <c r="F4120" s="16" t="s">
        <v>2924</v>
      </c>
      <c r="G4120" s="16" t="s">
        <v>32</v>
      </c>
      <c r="H4120" s="16" t="s">
        <v>58</v>
      </c>
      <c r="I4120" s="16"/>
      <c r="J4120" s="16" t="s">
        <v>1481</v>
      </c>
      <c r="K4120" s="16"/>
      <c r="L4120" s="16" t="s">
        <v>7931</v>
      </c>
      <c r="M4120" s="19" t="s">
        <v>2926</v>
      </c>
      <c r="N4120" s="16"/>
      <c r="O4120" s="16" t="s">
        <v>2927</v>
      </c>
      <c r="P4120" s="16" t="str">
        <f>HYPERLINK("https://ceds.ed.gov/cedselementdetails.aspx?termid=26058")</f>
        <v>https://ceds.ed.gov/cedselementdetails.aspx?termid=26058</v>
      </c>
      <c r="Q4120" s="16">
        <v>74603</v>
      </c>
    </row>
    <row r="4121" spans="1:17" ht="302.39999999999998" x14ac:dyDescent="0.3">
      <c r="A4121" s="16" t="s">
        <v>7755</v>
      </c>
      <c r="B4121" s="16" t="s">
        <v>7715</v>
      </c>
      <c r="C4121" s="16" t="s">
        <v>7716</v>
      </c>
      <c r="D4121" s="16" t="s">
        <v>7597</v>
      </c>
      <c r="E4121" s="16" t="s">
        <v>2919</v>
      </c>
      <c r="F4121" s="16" t="s">
        <v>2920</v>
      </c>
      <c r="G4121" s="16" t="s">
        <v>8486</v>
      </c>
      <c r="H4121" s="16" t="s">
        <v>64</v>
      </c>
      <c r="I4121" s="16"/>
      <c r="J4121" s="16"/>
      <c r="K4121" s="16"/>
      <c r="L4121" s="16"/>
      <c r="M4121" s="19" t="s">
        <v>2921</v>
      </c>
      <c r="N4121" s="16"/>
      <c r="O4121" s="16" t="s">
        <v>2922</v>
      </c>
      <c r="P4121" s="16" t="str">
        <f>HYPERLINK("https://ceds.ed.gov/cedselementdetails.aspx?termid=26072")</f>
        <v>https://ceds.ed.gov/cedselementdetails.aspx?termid=26072</v>
      </c>
      <c r="Q4121" s="16">
        <v>74611</v>
      </c>
    </row>
    <row r="4122" spans="1:17" ht="129.6" x14ac:dyDescent="0.3">
      <c r="A4122" s="16" t="s">
        <v>7755</v>
      </c>
      <c r="B4122" s="16" t="s">
        <v>7715</v>
      </c>
      <c r="C4122" s="16" t="s">
        <v>7716</v>
      </c>
      <c r="D4122" s="16" t="s">
        <v>7597</v>
      </c>
      <c r="E4122" s="16" t="s">
        <v>1478</v>
      </c>
      <c r="F4122" s="16" t="s">
        <v>1479</v>
      </c>
      <c r="G4122" s="16" t="s">
        <v>32</v>
      </c>
      <c r="H4122" s="16" t="s">
        <v>1484</v>
      </c>
      <c r="I4122" s="16"/>
      <c r="J4122" s="16" t="s">
        <v>1481</v>
      </c>
      <c r="K4122" s="16"/>
      <c r="L4122" s="16"/>
      <c r="M4122" s="19" t="s">
        <v>1482</v>
      </c>
      <c r="N4122" s="16"/>
      <c r="O4122" s="16" t="s">
        <v>1483</v>
      </c>
      <c r="P4122" s="16" t="str">
        <f>HYPERLINK("https://ceds.ed.gov/cedselementdetails.aspx?termid=26030")</f>
        <v>https://ceds.ed.gov/cedselementdetails.aspx?termid=26030</v>
      </c>
      <c r="Q4122" s="16">
        <v>74614</v>
      </c>
    </row>
    <row r="4123" spans="1:17" ht="302.39999999999998" x14ac:dyDescent="0.3">
      <c r="A4123" s="16" t="s">
        <v>7755</v>
      </c>
      <c r="B4123" s="16" t="s">
        <v>7715</v>
      </c>
      <c r="C4123" s="16" t="s">
        <v>7716</v>
      </c>
      <c r="D4123" s="16" t="s">
        <v>7597</v>
      </c>
      <c r="E4123" s="16" t="s">
        <v>2606</v>
      </c>
      <c r="F4123" s="16" t="s">
        <v>2607</v>
      </c>
      <c r="G4123" s="16" t="s">
        <v>8468</v>
      </c>
      <c r="H4123" s="16" t="s">
        <v>2588</v>
      </c>
      <c r="I4123" s="16"/>
      <c r="J4123" s="16"/>
      <c r="K4123" s="16"/>
      <c r="L4123" s="16"/>
      <c r="M4123" s="19" t="s">
        <v>2608</v>
      </c>
      <c r="N4123" s="16"/>
      <c r="O4123" s="16" t="s">
        <v>2609</v>
      </c>
      <c r="P4123" s="16" t="str">
        <f>HYPERLINK("https://ceds.ed.gov/cedselementdetails.aspx?termid=26061")</f>
        <v>https://ceds.ed.gov/cedselementdetails.aspx?termid=26061</v>
      </c>
      <c r="Q4123" s="16">
        <v>74597</v>
      </c>
    </row>
    <row r="4124" spans="1:17" ht="100.8" x14ac:dyDescent="0.3">
      <c r="A4124" s="16" t="s">
        <v>7755</v>
      </c>
      <c r="B4124" s="16" t="s">
        <v>7715</v>
      </c>
      <c r="C4124" s="16" t="s">
        <v>7716</v>
      </c>
      <c r="D4124" s="16" t="s">
        <v>7597</v>
      </c>
      <c r="E4124" s="16" t="s">
        <v>4233</v>
      </c>
      <c r="F4124" s="16" t="s">
        <v>4234</v>
      </c>
      <c r="G4124" s="16" t="s">
        <v>22</v>
      </c>
      <c r="H4124" s="16" t="s">
        <v>1484</v>
      </c>
      <c r="I4124" s="16"/>
      <c r="J4124" s="16"/>
      <c r="K4124" s="16"/>
      <c r="L4124" s="16"/>
      <c r="M4124" s="19" t="s">
        <v>4236</v>
      </c>
      <c r="N4124" s="16"/>
      <c r="O4124" s="16" t="s">
        <v>4237</v>
      </c>
      <c r="P4124" s="16" t="str">
        <f>HYPERLINK("https://ceds.ed.gov/cedselementdetails.aspx?termid=26137")</f>
        <v>https://ceds.ed.gov/cedselementdetails.aspx?termid=26137</v>
      </c>
      <c r="Q4124" s="16">
        <v>74615</v>
      </c>
    </row>
    <row r="4125" spans="1:17" ht="28.8" x14ac:dyDescent="0.3">
      <c r="A4125" s="16" t="s">
        <v>7755</v>
      </c>
      <c r="B4125" s="16" t="s">
        <v>7715</v>
      </c>
      <c r="C4125" s="16" t="s">
        <v>7716</v>
      </c>
      <c r="D4125" s="16" t="s">
        <v>7597</v>
      </c>
      <c r="E4125" s="16" t="s">
        <v>2632</v>
      </c>
      <c r="F4125" s="16" t="s">
        <v>2633</v>
      </c>
      <c r="G4125" s="16" t="s">
        <v>32</v>
      </c>
      <c r="H4125" s="16"/>
      <c r="I4125" s="16"/>
      <c r="J4125" s="16" t="s">
        <v>1662</v>
      </c>
      <c r="K4125" s="16"/>
      <c r="L4125" s="16"/>
      <c r="M4125" s="19" t="s">
        <v>2634</v>
      </c>
      <c r="N4125" s="16"/>
      <c r="O4125" s="16" t="s">
        <v>2635</v>
      </c>
      <c r="P4125" s="16" t="str">
        <f>HYPERLINK("https://ceds.ed.gov/cedselementdetails.aspx?termid=27648")</f>
        <v>https://ceds.ed.gov/cedselementdetails.aspx?termid=27648</v>
      </c>
      <c r="Q4125" s="16">
        <v>74878</v>
      </c>
    </row>
    <row r="4126" spans="1:17" ht="172.8" x14ac:dyDescent="0.3">
      <c r="A4126" s="16" t="s">
        <v>7755</v>
      </c>
      <c r="B4126" s="16" t="s">
        <v>7715</v>
      </c>
      <c r="C4126" s="16" t="s">
        <v>7716</v>
      </c>
      <c r="D4126" s="16" t="s">
        <v>7597</v>
      </c>
      <c r="E4126" s="16" t="s">
        <v>309</v>
      </c>
      <c r="F4126" s="16" t="s">
        <v>310</v>
      </c>
      <c r="G4126" s="16" t="s">
        <v>32</v>
      </c>
      <c r="H4126" s="16"/>
      <c r="I4126" s="16"/>
      <c r="J4126" s="16" t="s">
        <v>120</v>
      </c>
      <c r="K4126" s="16"/>
      <c r="L4126" s="16" t="s">
        <v>7817</v>
      </c>
      <c r="M4126" s="19" t="s">
        <v>312</v>
      </c>
      <c r="N4126" s="16"/>
      <c r="O4126" s="16" t="s">
        <v>313</v>
      </c>
      <c r="P4126" s="16" t="str">
        <f>HYPERLINK("https://ceds.ed.gov/cedselementdetails.aspx?termid=27246")</f>
        <v>https://ceds.ed.gov/cedselementdetails.aspx?termid=27246</v>
      </c>
      <c r="Q4126" s="16">
        <v>74607</v>
      </c>
    </row>
    <row r="4127" spans="1:17" ht="57.6" x14ac:dyDescent="0.3">
      <c r="A4127" s="16" t="s">
        <v>7755</v>
      </c>
      <c r="B4127" s="16" t="s">
        <v>7715</v>
      </c>
      <c r="C4127" s="16" t="s">
        <v>7716</v>
      </c>
      <c r="D4127" s="16" t="s">
        <v>7597</v>
      </c>
      <c r="E4127" s="16" t="s">
        <v>2696</v>
      </c>
      <c r="F4127" s="16" t="s">
        <v>7926</v>
      </c>
      <c r="G4127" s="16" t="s">
        <v>32</v>
      </c>
      <c r="H4127" s="16" t="s">
        <v>58</v>
      </c>
      <c r="I4127" s="16"/>
      <c r="J4127" s="16" t="s">
        <v>2697</v>
      </c>
      <c r="K4127" s="16"/>
      <c r="L4127" s="16"/>
      <c r="M4127" s="19" t="s">
        <v>2698</v>
      </c>
      <c r="N4127" s="16"/>
      <c r="O4127" s="16" t="s">
        <v>2699</v>
      </c>
      <c r="P4127" s="16" t="str">
        <f>HYPERLINK("https://ceds.ed.gov/cedselementdetails.aspx?termid=26066")</f>
        <v>https://ceds.ed.gov/cedselementdetails.aspx?termid=26066</v>
      </c>
      <c r="Q4127" s="16">
        <v>74605</v>
      </c>
    </row>
    <row r="4128" spans="1:17" ht="100.8" x14ac:dyDescent="0.3">
      <c r="A4128" s="16" t="s">
        <v>7755</v>
      </c>
      <c r="B4128" s="16" t="s">
        <v>7715</v>
      </c>
      <c r="C4128" s="16" t="s">
        <v>7716</v>
      </c>
      <c r="D4128" s="16" t="s">
        <v>7597</v>
      </c>
      <c r="E4128" s="16" t="s">
        <v>6510</v>
      </c>
      <c r="F4128" s="16" t="s">
        <v>6511</v>
      </c>
      <c r="G4128" s="16" t="s">
        <v>32</v>
      </c>
      <c r="H4128" s="16" t="s">
        <v>1484</v>
      </c>
      <c r="I4128" s="16"/>
      <c r="J4128" s="16" t="s">
        <v>2697</v>
      </c>
      <c r="K4128" s="16"/>
      <c r="L4128" s="16" t="s">
        <v>6512</v>
      </c>
      <c r="M4128" s="19" t="s">
        <v>6513</v>
      </c>
      <c r="N4128" s="16" t="s">
        <v>6514</v>
      </c>
      <c r="O4128" s="16" t="s">
        <v>6515</v>
      </c>
      <c r="P4128" s="16" t="str">
        <f>HYPERLINK("https://ceds.ed.gov/cedselementdetails.aspx?termid=26250")</f>
        <v>https://ceds.ed.gov/cedselementdetails.aspx?termid=26250</v>
      </c>
      <c r="Q4128" s="16">
        <v>74600</v>
      </c>
    </row>
    <row r="4129" spans="1:17" ht="43.2" x14ac:dyDescent="0.3">
      <c r="A4129" s="16" t="s">
        <v>7755</v>
      </c>
      <c r="B4129" s="16" t="s">
        <v>7715</v>
      </c>
      <c r="C4129" s="16" t="s">
        <v>7716</v>
      </c>
      <c r="D4129" s="16" t="s">
        <v>7597</v>
      </c>
      <c r="E4129" s="16" t="s">
        <v>6315</v>
      </c>
      <c r="F4129" s="16" t="s">
        <v>6316</v>
      </c>
      <c r="G4129" s="16" t="s">
        <v>32</v>
      </c>
      <c r="H4129" s="16"/>
      <c r="I4129" s="16"/>
      <c r="J4129" s="16" t="s">
        <v>145</v>
      </c>
      <c r="K4129" s="16"/>
      <c r="L4129" s="16"/>
      <c r="M4129" s="19" t="s">
        <v>6317</v>
      </c>
      <c r="N4129" s="16" t="s">
        <v>6318</v>
      </c>
      <c r="O4129" s="16" t="s">
        <v>6319</v>
      </c>
      <c r="P4129" s="16" t="str">
        <f>HYPERLINK("https://ceds.ed.gov/cedselementdetails.aspx?termid=26231")</f>
        <v>https://ceds.ed.gov/cedselementdetails.aspx?termid=26231</v>
      </c>
      <c r="Q4129" s="16">
        <v>74599</v>
      </c>
    </row>
    <row r="4130" spans="1:17" ht="409.6" x14ac:dyDescent="0.3">
      <c r="A4130" s="16" t="s">
        <v>7755</v>
      </c>
      <c r="B4130" s="16" t="s">
        <v>7715</v>
      </c>
      <c r="C4130" s="16" t="s">
        <v>7716</v>
      </c>
      <c r="D4130" s="16" t="s">
        <v>7597</v>
      </c>
      <c r="E4130" s="16" t="s">
        <v>2636</v>
      </c>
      <c r="F4130" s="16" t="s">
        <v>2637</v>
      </c>
      <c r="G4130" s="16" t="s">
        <v>9353</v>
      </c>
      <c r="H4130" s="16" t="s">
        <v>2641</v>
      </c>
      <c r="I4130" s="16"/>
      <c r="J4130" s="16"/>
      <c r="K4130" s="16"/>
      <c r="L4130" s="16"/>
      <c r="M4130" s="19" t="s">
        <v>2639</v>
      </c>
      <c r="N4130" s="16"/>
      <c r="O4130" s="16" t="s">
        <v>2640</v>
      </c>
      <c r="P4130" s="16" t="str">
        <f>HYPERLINK("https://ceds.ed.gov/cedselementdetails.aspx?termid=26027")</f>
        <v>https://ceds.ed.gov/cedselementdetails.aspx?termid=26027</v>
      </c>
      <c r="Q4130" s="16">
        <v>74613</v>
      </c>
    </row>
    <row r="4131" spans="1:17" ht="72" x14ac:dyDescent="0.3">
      <c r="A4131" s="16" t="s">
        <v>7755</v>
      </c>
      <c r="B4131" s="16" t="s">
        <v>7715</v>
      </c>
      <c r="C4131" s="16" t="s">
        <v>7716</v>
      </c>
      <c r="D4131" s="16" t="s">
        <v>7597</v>
      </c>
      <c r="E4131" s="16" t="s">
        <v>2044</v>
      </c>
      <c r="F4131" s="16" t="s">
        <v>2045</v>
      </c>
      <c r="G4131" s="16" t="s">
        <v>7312</v>
      </c>
      <c r="H4131" s="16" t="s">
        <v>42</v>
      </c>
      <c r="I4131" s="16" t="s">
        <v>160</v>
      </c>
      <c r="J4131" s="16" t="s">
        <v>2</v>
      </c>
      <c r="K4131" s="16" t="s">
        <v>12935</v>
      </c>
      <c r="L4131" s="16"/>
      <c r="M4131" s="19" t="s">
        <v>2046</v>
      </c>
      <c r="N4131" s="16" t="s">
        <v>2047</v>
      </c>
      <c r="O4131" s="16" t="s">
        <v>2048</v>
      </c>
      <c r="P4131" s="16" t="str">
        <f>HYPERLINK("https://ceds.ed.gov/cedselementdetails.aspx?termid=26043")</f>
        <v>https://ceds.ed.gov/cedselementdetails.aspx?termid=26043</v>
      </c>
      <c r="Q4131" s="16">
        <v>74609</v>
      </c>
    </row>
    <row r="4132" spans="1:17" ht="100.8" x14ac:dyDescent="0.3">
      <c r="A4132" s="16" t="s">
        <v>7755</v>
      </c>
      <c r="B4132" s="16" t="s">
        <v>7715</v>
      </c>
      <c r="C4132" s="16" t="s">
        <v>7716</v>
      </c>
      <c r="D4132" s="16" t="s">
        <v>7597</v>
      </c>
      <c r="E4132" s="16" t="s">
        <v>2055</v>
      </c>
      <c r="F4132" s="16" t="s">
        <v>2056</v>
      </c>
      <c r="G4132" s="16" t="s">
        <v>9328</v>
      </c>
      <c r="H4132" s="16" t="s">
        <v>186</v>
      </c>
      <c r="I4132" s="16"/>
      <c r="J4132" s="16"/>
      <c r="K4132" s="16"/>
      <c r="L4132" s="16"/>
      <c r="M4132" s="19" t="s">
        <v>2057</v>
      </c>
      <c r="N4132" s="16" t="s">
        <v>2058</v>
      </c>
      <c r="O4132" s="16" t="s">
        <v>2059</v>
      </c>
      <c r="P4132" s="16" t="str">
        <f>HYPERLINK("https://ceds.ed.gov/cedselementdetails.aspx?termid=26045")</f>
        <v>https://ceds.ed.gov/cedselementdetails.aspx?termid=26045</v>
      </c>
      <c r="Q4132" s="16">
        <v>74610</v>
      </c>
    </row>
    <row r="4133" spans="1:17" ht="28.8" x14ac:dyDescent="0.3">
      <c r="A4133" s="16" t="s">
        <v>7755</v>
      </c>
      <c r="B4133" s="16" t="s">
        <v>7715</v>
      </c>
      <c r="C4133" s="16" t="s">
        <v>7716</v>
      </c>
      <c r="D4133" s="16" t="s">
        <v>7597</v>
      </c>
      <c r="E4133" s="16" t="s">
        <v>5782</v>
      </c>
      <c r="F4133" s="16" t="s">
        <v>5783</v>
      </c>
      <c r="G4133" s="16" t="s">
        <v>32</v>
      </c>
      <c r="H4133" s="16" t="s">
        <v>58</v>
      </c>
      <c r="I4133" s="16"/>
      <c r="J4133" s="16" t="s">
        <v>145</v>
      </c>
      <c r="K4133" s="16"/>
      <c r="L4133" s="16"/>
      <c r="M4133" s="19" t="s">
        <v>5784</v>
      </c>
      <c r="N4133" s="16"/>
      <c r="O4133" s="16" t="s">
        <v>5785</v>
      </c>
      <c r="P4133" s="16" t="str">
        <f>HYPERLINK("https://ceds.ed.gov/cedselementdetails.aspx?termid=26068")</f>
        <v>https://ceds.ed.gov/cedselementdetails.aspx?termid=26068</v>
      </c>
      <c r="Q4133" s="16">
        <v>74606</v>
      </c>
    </row>
    <row r="4134" spans="1:17" ht="43.2" x14ac:dyDescent="0.3">
      <c r="A4134" s="16" t="s">
        <v>7755</v>
      </c>
      <c r="B4134" s="16" t="s">
        <v>7715</v>
      </c>
      <c r="C4134" s="16" t="s">
        <v>7716</v>
      </c>
      <c r="D4134" s="16" t="s">
        <v>7597</v>
      </c>
      <c r="E4134" s="16" t="s">
        <v>5459</v>
      </c>
      <c r="F4134" s="16" t="s">
        <v>5460</v>
      </c>
      <c r="G4134" s="16" t="s">
        <v>5461</v>
      </c>
      <c r="H4134" s="16"/>
      <c r="I4134" s="16"/>
      <c r="J4134" s="16"/>
      <c r="K4134" s="16"/>
      <c r="L4134" s="16"/>
      <c r="M4134" s="19" t="s">
        <v>5462</v>
      </c>
      <c r="N4134" s="16"/>
      <c r="O4134" s="16" t="s">
        <v>5463</v>
      </c>
      <c r="P4134" s="16" t="str">
        <f>HYPERLINK("https://ceds.ed.gov/cedselementdetails.aspx?termid=27383")</f>
        <v>https://ceds.ed.gov/cedselementdetails.aspx?termid=27383</v>
      </c>
      <c r="Q4134" s="16">
        <v>74608</v>
      </c>
    </row>
    <row r="4135" spans="1:17" ht="43.2" x14ac:dyDescent="0.3">
      <c r="A4135" s="16" t="s">
        <v>7755</v>
      </c>
      <c r="B4135" s="16" t="s">
        <v>7715</v>
      </c>
      <c r="C4135" s="16" t="s">
        <v>7716</v>
      </c>
      <c r="D4135" s="16" t="s">
        <v>7597</v>
      </c>
      <c r="E4135" s="16" t="s">
        <v>7919</v>
      </c>
      <c r="F4135" s="16" t="s">
        <v>7920</v>
      </c>
      <c r="G4135" s="16" t="s">
        <v>22</v>
      </c>
      <c r="H4135" s="16"/>
      <c r="I4135" s="16"/>
      <c r="J4135" s="16" t="s">
        <v>2</v>
      </c>
      <c r="K4135" s="16"/>
      <c r="L4135" s="16" t="s">
        <v>7921</v>
      </c>
      <c r="M4135" s="19" t="s">
        <v>8177</v>
      </c>
      <c r="N4135" s="16"/>
      <c r="O4135" s="16" t="s">
        <v>7922</v>
      </c>
      <c r="P4135" s="16" t="str">
        <f>HYPERLINK("https://ceds.ed.gov/cedselementdetails.aspx?termid=27975")</f>
        <v>https://ceds.ed.gov/cedselementdetails.aspx?termid=27975</v>
      </c>
      <c r="Q4135" s="16">
        <v>75694</v>
      </c>
    </row>
    <row r="4136" spans="1:17" ht="331.2" x14ac:dyDescent="0.3">
      <c r="A4136" s="16" t="s">
        <v>7755</v>
      </c>
      <c r="B4136" s="16" t="s">
        <v>7715</v>
      </c>
      <c r="C4136" s="16" t="s">
        <v>7716</v>
      </c>
      <c r="D4136" s="16" t="s">
        <v>7597</v>
      </c>
      <c r="E4136" s="16" t="s">
        <v>12826</v>
      </c>
      <c r="F4136" s="16" t="s">
        <v>12827</v>
      </c>
      <c r="G4136" s="16" t="s">
        <v>12917</v>
      </c>
      <c r="H4136" s="16"/>
      <c r="I4136" s="16" t="s">
        <v>155</v>
      </c>
      <c r="J4136" s="16" t="s">
        <v>2</v>
      </c>
      <c r="K4136" s="16" t="s">
        <v>12636</v>
      </c>
      <c r="L4136" s="16" t="s">
        <v>12828</v>
      </c>
      <c r="M4136" s="19" t="s">
        <v>12829</v>
      </c>
      <c r="N4136" s="16"/>
      <c r="O4136" s="16" t="s">
        <v>12830</v>
      </c>
      <c r="P4136" s="16" t="str">
        <f>HYPERLINK("https://ceds.ed.gov/cedselementdetails.aspx?termid=28096")</f>
        <v>https://ceds.ed.gov/cedselementdetails.aspx?termid=28096</v>
      </c>
      <c r="Q4136" s="16">
        <v>76561</v>
      </c>
    </row>
    <row r="4137" spans="1:17" ht="172.8" x14ac:dyDescent="0.3">
      <c r="A4137" s="16" t="s">
        <v>7755</v>
      </c>
      <c r="B4137" s="16" t="s">
        <v>7715</v>
      </c>
      <c r="C4137" s="16" t="s">
        <v>7641</v>
      </c>
      <c r="D4137" s="16" t="s">
        <v>7597</v>
      </c>
      <c r="E4137" s="16" t="s">
        <v>6937</v>
      </c>
      <c r="F4137" s="16" t="s">
        <v>6938</v>
      </c>
      <c r="G4137" s="16" t="s">
        <v>32</v>
      </c>
      <c r="H4137" s="16" t="s">
        <v>6936</v>
      </c>
      <c r="I4137" s="16"/>
      <c r="J4137" s="16" t="s">
        <v>120</v>
      </c>
      <c r="K4137" s="16"/>
      <c r="L4137" s="16" t="s">
        <v>7817</v>
      </c>
      <c r="M4137" s="19" t="s">
        <v>6939</v>
      </c>
      <c r="N4137" s="16"/>
      <c r="O4137" s="16" t="s">
        <v>6940</v>
      </c>
      <c r="P4137" s="16" t="str">
        <f>HYPERLINK("https://ceds.ed.gov/cedselementdetails.aspx?termid=26157")</f>
        <v>https://ceds.ed.gov/cedselementdetails.aspx?termid=26157</v>
      </c>
      <c r="Q4137" s="16">
        <v>74581</v>
      </c>
    </row>
    <row r="4138" spans="1:17" ht="158.4" x14ac:dyDescent="0.3">
      <c r="A4138" s="16" t="s">
        <v>7755</v>
      </c>
      <c r="B4138" s="16" t="s">
        <v>7715</v>
      </c>
      <c r="C4138" s="16" t="s">
        <v>7641</v>
      </c>
      <c r="D4138" s="16" t="s">
        <v>7597</v>
      </c>
      <c r="E4138" s="16" t="s">
        <v>6932</v>
      </c>
      <c r="F4138" s="16" t="s">
        <v>6933</v>
      </c>
      <c r="G4138" s="16" t="s">
        <v>9344</v>
      </c>
      <c r="H4138" s="16" t="s">
        <v>6936</v>
      </c>
      <c r="I4138" s="16"/>
      <c r="J4138" s="16"/>
      <c r="K4138" s="16"/>
      <c r="L4138" s="16"/>
      <c r="M4138" s="19" t="s">
        <v>6934</v>
      </c>
      <c r="N4138" s="16"/>
      <c r="O4138" s="16" t="s">
        <v>6935</v>
      </c>
      <c r="P4138" s="16" t="str">
        <f>HYPERLINK("https://ceds.ed.gov/cedselementdetails.aspx?termid=26163")</f>
        <v>https://ceds.ed.gov/cedselementdetails.aspx?termid=26163</v>
      </c>
      <c r="Q4138" s="16">
        <v>74582</v>
      </c>
    </row>
    <row r="4139" spans="1:17" ht="28.8" x14ac:dyDescent="0.3">
      <c r="A4139" s="16" t="s">
        <v>7755</v>
      </c>
      <c r="B4139" s="16" t="s">
        <v>7715</v>
      </c>
      <c r="C4139" s="16" t="s">
        <v>7641</v>
      </c>
      <c r="D4139" s="16" t="s">
        <v>7597</v>
      </c>
      <c r="E4139" s="16" t="s">
        <v>2622</v>
      </c>
      <c r="F4139" s="16" t="s">
        <v>7924</v>
      </c>
      <c r="G4139" s="16" t="s">
        <v>32</v>
      </c>
      <c r="H4139" s="16" t="s">
        <v>58</v>
      </c>
      <c r="I4139" s="16"/>
      <c r="J4139" s="16" t="s">
        <v>55</v>
      </c>
      <c r="K4139" s="16"/>
      <c r="L4139" s="16"/>
      <c r="M4139" s="19" t="s">
        <v>2623</v>
      </c>
      <c r="N4139" s="16"/>
      <c r="O4139" s="16" t="s">
        <v>2624</v>
      </c>
      <c r="P4139" s="16" t="str">
        <f>HYPERLINK("https://ceds.ed.gov/cedselementdetails.aspx?termid=26063")</f>
        <v>https://ceds.ed.gov/cedselementdetails.aspx?termid=26063</v>
      </c>
      <c r="Q4139" s="16">
        <v>74573</v>
      </c>
    </row>
    <row r="4140" spans="1:17" ht="43.2" x14ac:dyDescent="0.3">
      <c r="A4140" s="16" t="s">
        <v>7755</v>
      </c>
      <c r="B4140" s="16" t="s">
        <v>7715</v>
      </c>
      <c r="C4140" s="16" t="s">
        <v>7641</v>
      </c>
      <c r="D4140" s="16" t="s">
        <v>7597</v>
      </c>
      <c r="E4140" s="16" t="s">
        <v>3018</v>
      </c>
      <c r="F4140" s="16" t="s">
        <v>7935</v>
      </c>
      <c r="G4140" s="16" t="s">
        <v>22</v>
      </c>
      <c r="H4140" s="16" t="s">
        <v>58</v>
      </c>
      <c r="I4140" s="16"/>
      <c r="J4140" s="16"/>
      <c r="K4140" s="16"/>
      <c r="L4140" s="16"/>
      <c r="M4140" s="19" t="s">
        <v>3019</v>
      </c>
      <c r="N4140" s="16"/>
      <c r="O4140" s="16" t="s">
        <v>3020</v>
      </c>
      <c r="P4140" s="16" t="str">
        <f>HYPERLINK("https://ceds.ed.gov/cedselementdetails.aspx?termid=26077")</f>
        <v>https://ceds.ed.gov/cedselementdetails.aspx?termid=26077</v>
      </c>
      <c r="Q4140" s="16">
        <v>74576</v>
      </c>
    </row>
    <row r="4141" spans="1:17" ht="28.8" x14ac:dyDescent="0.3">
      <c r="A4141" s="16" t="s">
        <v>7755</v>
      </c>
      <c r="B4141" s="16" t="s">
        <v>7715</v>
      </c>
      <c r="C4141" s="16" t="s">
        <v>7641</v>
      </c>
      <c r="D4141" s="16" t="s">
        <v>7597</v>
      </c>
      <c r="E4141" s="16" t="s">
        <v>2498</v>
      </c>
      <c r="F4141" s="16" t="s">
        <v>7916</v>
      </c>
      <c r="G4141" s="16" t="s">
        <v>32</v>
      </c>
      <c r="H4141" s="16" t="s">
        <v>1927</v>
      </c>
      <c r="I4141" s="16"/>
      <c r="J4141" s="16" t="s">
        <v>2500</v>
      </c>
      <c r="K4141" s="16"/>
      <c r="L4141" s="16"/>
      <c r="M4141" s="19" t="s">
        <v>2501</v>
      </c>
      <c r="N4141" s="16"/>
      <c r="O4141" s="16" t="s">
        <v>2502</v>
      </c>
      <c r="P4141" s="16" t="str">
        <f>HYPERLINK("https://ceds.ed.gov/cedselementdetails.aspx?termid=26053")</f>
        <v>https://ceds.ed.gov/cedselementdetails.aspx?termid=26053</v>
      </c>
      <c r="Q4141" s="16">
        <v>74572</v>
      </c>
    </row>
    <row r="4142" spans="1:17" ht="100.8" x14ac:dyDescent="0.3">
      <c r="A4142" s="16" t="s">
        <v>7755</v>
      </c>
      <c r="B4142" s="16" t="s">
        <v>7715</v>
      </c>
      <c r="C4142" s="16" t="s">
        <v>7641</v>
      </c>
      <c r="D4142" s="16" t="s">
        <v>7597</v>
      </c>
      <c r="E4142" s="16" t="s">
        <v>5503</v>
      </c>
      <c r="F4142" s="16" t="s">
        <v>5504</v>
      </c>
      <c r="G4142" s="16" t="s">
        <v>32</v>
      </c>
      <c r="H4142" s="16" t="s">
        <v>5256</v>
      </c>
      <c r="I4142" s="16"/>
      <c r="J4142" s="16" t="s">
        <v>1481</v>
      </c>
      <c r="K4142" s="16"/>
      <c r="L4142" s="16"/>
      <c r="M4142" s="19" t="s">
        <v>5505</v>
      </c>
      <c r="N4142" s="16"/>
      <c r="O4142" s="16" t="s">
        <v>5506</v>
      </c>
      <c r="P4142" s="16" t="str">
        <f>HYPERLINK("https://ceds.ed.gov/cedselementdetails.aspx?termid=26200")</f>
        <v>https://ceds.ed.gov/cedselementdetails.aspx?termid=26200</v>
      </c>
      <c r="Q4142" s="16">
        <v>74583</v>
      </c>
    </row>
    <row r="4143" spans="1:17" ht="43.2" x14ac:dyDescent="0.3">
      <c r="A4143" s="16" t="s">
        <v>7755</v>
      </c>
      <c r="B4143" s="16" t="s">
        <v>7715</v>
      </c>
      <c r="C4143" s="16" t="s">
        <v>7641</v>
      </c>
      <c r="D4143" s="16" t="s">
        <v>7597</v>
      </c>
      <c r="E4143" s="16" t="s">
        <v>2625</v>
      </c>
      <c r="F4143" s="16" t="s">
        <v>7925</v>
      </c>
      <c r="G4143" s="16" t="s">
        <v>32</v>
      </c>
      <c r="H4143" s="16" t="s">
        <v>58</v>
      </c>
      <c r="I4143" s="16"/>
      <c r="J4143" s="16" t="s">
        <v>1481</v>
      </c>
      <c r="K4143" s="16"/>
      <c r="L4143" s="16"/>
      <c r="M4143" s="19" t="s">
        <v>2626</v>
      </c>
      <c r="N4143" s="16"/>
      <c r="O4143" s="16" t="s">
        <v>2627</v>
      </c>
      <c r="P4143" s="16" t="str">
        <f>HYPERLINK("https://ceds.ed.gov/cedselementdetails.aspx?termid=26064")</f>
        <v>https://ceds.ed.gov/cedselementdetails.aspx?termid=26064</v>
      </c>
      <c r="Q4143" s="16">
        <v>74574</v>
      </c>
    </row>
    <row r="4144" spans="1:17" ht="28.8" x14ac:dyDescent="0.3">
      <c r="A4144" s="16" t="s">
        <v>7755</v>
      </c>
      <c r="B4144" s="16" t="s">
        <v>7715</v>
      </c>
      <c r="C4144" s="16" t="s">
        <v>7641</v>
      </c>
      <c r="D4144" s="16" t="s">
        <v>7597</v>
      </c>
      <c r="E4144" s="16" t="s">
        <v>2515</v>
      </c>
      <c r="F4144" s="16" t="s">
        <v>2516</v>
      </c>
      <c r="G4144" s="16" t="s">
        <v>32</v>
      </c>
      <c r="H4144" s="16"/>
      <c r="I4144" s="16"/>
      <c r="J4144" s="16" t="s">
        <v>106</v>
      </c>
      <c r="K4144" s="16"/>
      <c r="L4144" s="16"/>
      <c r="M4144" s="19" t="s">
        <v>2517</v>
      </c>
      <c r="N4144" s="16"/>
      <c r="O4144" s="16" t="s">
        <v>2518</v>
      </c>
      <c r="P4144" s="16" t="str">
        <f>HYPERLINK("https://ceds.ed.gov/cedselementdetails.aspx?termid=27266")</f>
        <v>https://ceds.ed.gov/cedselementdetails.aspx?termid=27266</v>
      </c>
      <c r="Q4144" s="16">
        <v>74577</v>
      </c>
    </row>
    <row r="4145" spans="1:17" ht="28.8" x14ac:dyDescent="0.3">
      <c r="A4145" s="16" t="s">
        <v>7755</v>
      </c>
      <c r="B4145" s="16" t="s">
        <v>7715</v>
      </c>
      <c r="C4145" s="16" t="s">
        <v>7641</v>
      </c>
      <c r="D4145" s="16" t="s">
        <v>7597</v>
      </c>
      <c r="E4145" s="16" t="s">
        <v>2560</v>
      </c>
      <c r="F4145" s="16" t="s">
        <v>2561</v>
      </c>
      <c r="G4145" s="16" t="s">
        <v>32</v>
      </c>
      <c r="H4145" s="16" t="s">
        <v>2564</v>
      </c>
      <c r="I4145" s="16"/>
      <c r="J4145" s="16" t="s">
        <v>106</v>
      </c>
      <c r="K4145" s="16"/>
      <c r="L4145" s="16"/>
      <c r="M4145" s="19" t="s">
        <v>2562</v>
      </c>
      <c r="N4145" s="16"/>
      <c r="O4145" s="16" t="s">
        <v>2563</v>
      </c>
      <c r="P4145" s="16" t="str">
        <f>HYPERLINK("https://ceds.ed.gov/cedselementdetails.aspx?termid=27271")</f>
        <v>https://ceds.ed.gov/cedselementdetails.aspx?termid=27271</v>
      </c>
      <c r="Q4145" s="16">
        <v>74578</v>
      </c>
    </row>
    <row r="4146" spans="1:17" ht="72" x14ac:dyDescent="0.3">
      <c r="A4146" s="16" t="s">
        <v>7755</v>
      </c>
      <c r="B4146" s="16" t="s">
        <v>7715</v>
      </c>
      <c r="C4146" s="16" t="s">
        <v>7641</v>
      </c>
      <c r="D4146" s="16" t="s">
        <v>7597</v>
      </c>
      <c r="E4146" s="16" t="s">
        <v>6914</v>
      </c>
      <c r="F4146" s="16" t="s">
        <v>6915</v>
      </c>
      <c r="G4146" s="16" t="s">
        <v>32</v>
      </c>
      <c r="H4146" s="16" t="s">
        <v>64</v>
      </c>
      <c r="I4146" s="16"/>
      <c r="J4146" s="16" t="s">
        <v>2500</v>
      </c>
      <c r="K4146" s="16"/>
      <c r="L4146" s="16"/>
      <c r="M4146" s="19" t="s">
        <v>6917</v>
      </c>
      <c r="N4146" s="16"/>
      <c r="O4146" s="16" t="s">
        <v>6918</v>
      </c>
      <c r="P4146" s="16" t="str">
        <f>HYPERLINK("https://ceds.ed.gov/cedselementdetails.aspx?termid=26124")</f>
        <v>https://ceds.ed.gov/cedselementdetails.aspx?termid=26124</v>
      </c>
      <c r="Q4146" s="16">
        <v>74579</v>
      </c>
    </row>
    <row r="4147" spans="1:17" ht="43.2" x14ac:dyDescent="0.3">
      <c r="A4147" s="16" t="s">
        <v>7755</v>
      </c>
      <c r="B4147" s="16" t="s">
        <v>7715</v>
      </c>
      <c r="C4147" s="16" t="s">
        <v>7641</v>
      </c>
      <c r="D4147" s="16" t="s">
        <v>7597</v>
      </c>
      <c r="E4147" s="16" t="s">
        <v>6919</v>
      </c>
      <c r="F4147" s="16" t="s">
        <v>6920</v>
      </c>
      <c r="G4147" s="16" t="s">
        <v>32</v>
      </c>
      <c r="H4147" s="16"/>
      <c r="I4147" s="16"/>
      <c r="J4147" s="16" t="s">
        <v>101</v>
      </c>
      <c r="K4147" s="16"/>
      <c r="L4147" s="16"/>
      <c r="M4147" s="19" t="s">
        <v>6922</v>
      </c>
      <c r="N4147" s="16"/>
      <c r="O4147" s="16" t="s">
        <v>6923</v>
      </c>
      <c r="P4147" s="16" t="str">
        <f>HYPERLINK("https://ceds.ed.gov/cedselementdetails.aspx?termid=27552")</f>
        <v>https://ceds.ed.gov/cedselementdetails.aspx?termid=27552</v>
      </c>
      <c r="Q4147" s="16">
        <v>74580</v>
      </c>
    </row>
    <row r="4148" spans="1:17" ht="43.2" x14ac:dyDescent="0.3">
      <c r="A4148" s="16" t="s">
        <v>7755</v>
      </c>
      <c r="B4148" s="16" t="s">
        <v>7715</v>
      </c>
      <c r="C4148" s="16" t="s">
        <v>7641</v>
      </c>
      <c r="D4148" s="16" t="s">
        <v>7597</v>
      </c>
      <c r="E4148" s="16" t="s">
        <v>7966</v>
      </c>
      <c r="F4148" s="16" t="s">
        <v>7967</v>
      </c>
      <c r="G4148" s="16" t="s">
        <v>32</v>
      </c>
      <c r="H4148" s="16"/>
      <c r="I4148" s="16"/>
      <c r="J4148" s="16" t="s">
        <v>1662</v>
      </c>
      <c r="K4148" s="16"/>
      <c r="L4148" s="16" t="s">
        <v>7968</v>
      </c>
      <c r="M4148" s="19" t="s">
        <v>8181</v>
      </c>
      <c r="N4148" s="16"/>
      <c r="O4148" s="16" t="s">
        <v>7969</v>
      </c>
      <c r="P4148" s="16" t="str">
        <f>HYPERLINK("https://ceds.ed.gov/cedselementdetails.aspx?termid=27979")</f>
        <v>https://ceds.ed.gov/cedselementdetails.aspx?termid=27979</v>
      </c>
      <c r="Q4148" s="16">
        <v>75695</v>
      </c>
    </row>
    <row r="4149" spans="1:17" ht="72" x14ac:dyDescent="0.3">
      <c r="A4149" s="16" t="s">
        <v>7755</v>
      </c>
      <c r="B4149" s="16" t="s">
        <v>7715</v>
      </c>
      <c r="C4149" s="16" t="s">
        <v>7717</v>
      </c>
      <c r="D4149" s="16" t="s">
        <v>7597</v>
      </c>
      <c r="E4149" s="16" t="s">
        <v>5296</v>
      </c>
      <c r="F4149" s="16" t="s">
        <v>5297</v>
      </c>
      <c r="G4149" s="16" t="s">
        <v>32</v>
      </c>
      <c r="H4149" s="16" t="s">
        <v>64</v>
      </c>
      <c r="I4149" s="16"/>
      <c r="J4149" s="16" t="s">
        <v>81</v>
      </c>
      <c r="K4149" s="16"/>
      <c r="L4149" s="16"/>
      <c r="M4149" s="19" t="s">
        <v>5299</v>
      </c>
      <c r="N4149" s="16"/>
      <c r="O4149" s="16" t="s">
        <v>5300</v>
      </c>
      <c r="P4149" s="16" t="str">
        <f>HYPERLINK("https://ceds.ed.gov/cedselementdetails.aspx?termid=26182")</f>
        <v>https://ceds.ed.gov/cedselementdetails.aspx?termid=26182</v>
      </c>
      <c r="Q4149" s="16">
        <v>74567</v>
      </c>
    </row>
    <row r="4150" spans="1:17" ht="43.2" x14ac:dyDescent="0.3">
      <c r="A4150" s="16" t="s">
        <v>7755</v>
      </c>
      <c r="B4150" s="16" t="s">
        <v>7715</v>
      </c>
      <c r="C4150" s="16" t="s">
        <v>7717</v>
      </c>
      <c r="D4150" s="16" t="s">
        <v>7597</v>
      </c>
      <c r="E4150" s="16" t="s">
        <v>6924</v>
      </c>
      <c r="F4150" s="16" t="s">
        <v>6925</v>
      </c>
      <c r="G4150" s="16" t="s">
        <v>22</v>
      </c>
      <c r="H4150" s="16"/>
      <c r="I4150" s="16"/>
      <c r="J4150" s="16"/>
      <c r="K4150" s="16"/>
      <c r="L4150" s="16"/>
      <c r="M4150" s="19" t="s">
        <v>6926</v>
      </c>
      <c r="N4150" s="16"/>
      <c r="O4150" s="16" t="s">
        <v>6927</v>
      </c>
      <c r="P4150" s="16" t="str">
        <f>HYPERLINK("https://ceds.ed.gov/cedselementdetails.aspx?termid=27191")</f>
        <v>https://ceds.ed.gov/cedselementdetails.aspx?termid=27191</v>
      </c>
      <c r="Q4150" s="16">
        <v>74568</v>
      </c>
    </row>
    <row r="4151" spans="1:17" ht="72" x14ac:dyDescent="0.3">
      <c r="A4151" s="16" t="s">
        <v>7755</v>
      </c>
      <c r="B4151" s="16" t="s">
        <v>7715</v>
      </c>
      <c r="C4151" s="16" t="s">
        <v>7717</v>
      </c>
      <c r="D4151" s="16" t="s">
        <v>7597</v>
      </c>
      <c r="E4151" s="16" t="s">
        <v>5324</v>
      </c>
      <c r="F4151" s="16" t="s">
        <v>5325</v>
      </c>
      <c r="G4151" s="16" t="s">
        <v>32</v>
      </c>
      <c r="H4151" s="16" t="s">
        <v>64</v>
      </c>
      <c r="I4151" s="16"/>
      <c r="J4151" s="16" t="s">
        <v>2500</v>
      </c>
      <c r="K4151" s="16"/>
      <c r="L4151" s="16"/>
      <c r="M4151" s="19" t="s">
        <v>5326</v>
      </c>
      <c r="N4151" s="16"/>
      <c r="O4151" s="16" t="s">
        <v>5327</v>
      </c>
      <c r="P4151" s="16" t="str">
        <f>HYPERLINK("https://ceds.ed.gov/cedselementdetails.aspx?termid=26183")</f>
        <v>https://ceds.ed.gov/cedselementdetails.aspx?termid=26183</v>
      </c>
      <c r="Q4151" s="16">
        <v>74570</v>
      </c>
    </row>
    <row r="4152" spans="1:17" ht="72" x14ac:dyDescent="0.3">
      <c r="A4152" s="16" t="s">
        <v>7755</v>
      </c>
      <c r="B4152" s="16" t="s">
        <v>7715</v>
      </c>
      <c r="C4152" s="16" t="s">
        <v>7717</v>
      </c>
      <c r="D4152" s="16" t="s">
        <v>7597</v>
      </c>
      <c r="E4152" s="16" t="s">
        <v>6914</v>
      </c>
      <c r="F4152" s="16" t="s">
        <v>6915</v>
      </c>
      <c r="G4152" s="16" t="s">
        <v>32</v>
      </c>
      <c r="H4152" s="16" t="s">
        <v>64</v>
      </c>
      <c r="I4152" s="16"/>
      <c r="J4152" s="16" t="s">
        <v>2500</v>
      </c>
      <c r="K4152" s="16"/>
      <c r="L4152" s="16"/>
      <c r="M4152" s="19" t="s">
        <v>6917</v>
      </c>
      <c r="N4152" s="16"/>
      <c r="O4152" s="16" t="s">
        <v>6918</v>
      </c>
      <c r="P4152" s="16" t="str">
        <f>HYPERLINK("https://ceds.ed.gov/cedselementdetails.aspx?termid=26124")</f>
        <v>https://ceds.ed.gov/cedselementdetails.aspx?termid=26124</v>
      </c>
      <c r="Q4152" s="16">
        <v>74569</v>
      </c>
    </row>
    <row r="4153" spans="1:17" ht="28.8" x14ac:dyDescent="0.3">
      <c r="A4153" s="16" t="s">
        <v>7755</v>
      </c>
      <c r="B4153" s="16" t="s">
        <v>7715</v>
      </c>
      <c r="C4153" s="16" t="s">
        <v>7717</v>
      </c>
      <c r="D4153" s="16" t="s">
        <v>7597</v>
      </c>
      <c r="E4153" s="16" t="s">
        <v>4174</v>
      </c>
      <c r="F4153" s="16"/>
      <c r="G4153" s="16" t="s">
        <v>32</v>
      </c>
      <c r="H4153" s="16"/>
      <c r="I4153" s="16" t="s">
        <v>160</v>
      </c>
      <c r="J4153" s="16" t="s">
        <v>13079</v>
      </c>
      <c r="K4153" s="16" t="s">
        <v>12939</v>
      </c>
      <c r="L4153" s="16"/>
      <c r="M4153" s="19" t="s">
        <v>4176</v>
      </c>
      <c r="N4153" s="16"/>
      <c r="O4153" s="16"/>
      <c r="P4153" s="16" t="str">
        <f>HYPERLINK("https://ceds.ed.gov/cedselementdetails.aspx?termid=26609")</f>
        <v>https://ceds.ed.gov/cedselementdetails.aspx?termid=26609</v>
      </c>
      <c r="Q4153" s="16">
        <v>74571</v>
      </c>
    </row>
    <row r="4154" spans="1:17" ht="230.4" x14ac:dyDescent="0.3">
      <c r="A4154" s="16" t="s">
        <v>7755</v>
      </c>
      <c r="B4154" s="16" t="s">
        <v>7715</v>
      </c>
      <c r="C4154" s="16" t="s">
        <v>7717</v>
      </c>
      <c r="D4154" s="16" t="s">
        <v>7597</v>
      </c>
      <c r="E4154" s="16" t="s">
        <v>2510</v>
      </c>
      <c r="F4154" s="16" t="s">
        <v>2511</v>
      </c>
      <c r="G4154" s="16" t="s">
        <v>8457</v>
      </c>
      <c r="H4154" s="16"/>
      <c r="I4154" s="16"/>
      <c r="J4154" s="16"/>
      <c r="K4154" s="16"/>
      <c r="L4154" s="16"/>
      <c r="M4154" s="19" t="s">
        <v>2513</v>
      </c>
      <c r="N4154" s="16"/>
      <c r="O4154" s="16" t="s">
        <v>2514</v>
      </c>
      <c r="P4154" s="16" t="str">
        <f>HYPERLINK("https://ceds.ed.gov/cedselementdetails.aspx?termid=27265")</f>
        <v>https://ceds.ed.gov/cedselementdetails.aspx?termid=27265</v>
      </c>
      <c r="Q4154" s="16">
        <v>74566</v>
      </c>
    </row>
    <row r="4155" spans="1:17" ht="172.8" x14ac:dyDescent="0.3">
      <c r="A4155" s="16" t="s">
        <v>7755</v>
      </c>
      <c r="B4155" s="16" t="s">
        <v>7715</v>
      </c>
      <c r="C4155" s="16" t="s">
        <v>7718</v>
      </c>
      <c r="D4155" s="16" t="s">
        <v>7597</v>
      </c>
      <c r="E4155" s="16" t="s">
        <v>6810</v>
      </c>
      <c r="F4155" s="16" t="s">
        <v>6811</v>
      </c>
      <c r="G4155" s="16" t="s">
        <v>32</v>
      </c>
      <c r="H4155" s="16" t="s">
        <v>6814</v>
      </c>
      <c r="I4155" s="16"/>
      <c r="J4155" s="16" t="s">
        <v>120</v>
      </c>
      <c r="K4155" s="16"/>
      <c r="L4155" s="16" t="s">
        <v>7817</v>
      </c>
      <c r="M4155" s="19" t="s">
        <v>6812</v>
      </c>
      <c r="N4155" s="16"/>
      <c r="O4155" s="16" t="s">
        <v>6813</v>
      </c>
      <c r="P4155" s="16" t="str">
        <f>HYPERLINK("https://ceds.ed.gov/cedselementdetails.aspx?termid=26156")</f>
        <v>https://ceds.ed.gov/cedselementdetails.aspx?termid=26156</v>
      </c>
      <c r="Q4155" s="16">
        <v>74586</v>
      </c>
    </row>
    <row r="4156" spans="1:17" ht="259.2" x14ac:dyDescent="0.3">
      <c r="A4156" s="16" t="s">
        <v>7755</v>
      </c>
      <c r="B4156" s="16" t="s">
        <v>7715</v>
      </c>
      <c r="C4156" s="16" t="s">
        <v>7718</v>
      </c>
      <c r="D4156" s="16" t="s">
        <v>7597</v>
      </c>
      <c r="E4156" s="16" t="s">
        <v>6805</v>
      </c>
      <c r="F4156" s="16" t="s">
        <v>6806</v>
      </c>
      <c r="G4156" s="16" t="s">
        <v>9342</v>
      </c>
      <c r="H4156" s="16" t="s">
        <v>6809</v>
      </c>
      <c r="I4156" s="16"/>
      <c r="J4156" s="16"/>
      <c r="K4156" s="16"/>
      <c r="L4156" s="16"/>
      <c r="M4156" s="19" t="s">
        <v>6807</v>
      </c>
      <c r="N4156" s="16"/>
      <c r="O4156" s="16" t="s">
        <v>6808</v>
      </c>
      <c r="P4156" s="16" t="str">
        <f>HYPERLINK("https://ceds.ed.gov/cedselementdetails.aspx?termid=26162")</f>
        <v>https://ceds.ed.gov/cedselementdetails.aspx?termid=26162</v>
      </c>
      <c r="Q4156" s="16">
        <v>74587</v>
      </c>
    </row>
    <row r="4157" spans="1:17" ht="28.8" x14ac:dyDescent="0.3">
      <c r="A4157" s="16" t="s">
        <v>7755</v>
      </c>
      <c r="B4157" s="16" t="s">
        <v>7715</v>
      </c>
      <c r="C4157" s="16" t="s">
        <v>7718</v>
      </c>
      <c r="D4157" s="16" t="s">
        <v>7597</v>
      </c>
      <c r="E4157" s="16" t="s">
        <v>1406</v>
      </c>
      <c r="F4157" s="16" t="s">
        <v>1407</v>
      </c>
      <c r="G4157" s="16" t="s">
        <v>32</v>
      </c>
      <c r="H4157" s="16"/>
      <c r="I4157" s="16"/>
      <c r="J4157" s="16" t="s">
        <v>106</v>
      </c>
      <c r="K4157" s="16"/>
      <c r="L4157" s="16"/>
      <c r="M4157" s="19" t="s">
        <v>1408</v>
      </c>
      <c r="N4157" s="16"/>
      <c r="O4157" s="16" t="s">
        <v>1409</v>
      </c>
      <c r="P4157" s="16" t="str">
        <f>HYPERLINK("https://ceds.ed.gov/cedselementdetails.aspx?termid=26517")</f>
        <v>https://ceds.ed.gov/cedselementdetails.aspx?termid=26517</v>
      </c>
      <c r="Q4157" s="16">
        <v>74584</v>
      </c>
    </row>
    <row r="4158" spans="1:17" ht="57.6" x14ac:dyDescent="0.3">
      <c r="A4158" s="16" t="s">
        <v>7755</v>
      </c>
      <c r="B4158" s="16" t="s">
        <v>7715</v>
      </c>
      <c r="C4158" s="16" t="s">
        <v>7718</v>
      </c>
      <c r="D4158" s="16" t="s">
        <v>7597</v>
      </c>
      <c r="E4158" s="16" t="s">
        <v>1402</v>
      </c>
      <c r="F4158" s="16" t="s">
        <v>1403</v>
      </c>
      <c r="G4158" s="16" t="s">
        <v>32</v>
      </c>
      <c r="H4158" s="16"/>
      <c r="I4158" s="16"/>
      <c r="J4158" s="16" t="s">
        <v>106</v>
      </c>
      <c r="K4158" s="16"/>
      <c r="L4158" s="16" t="s">
        <v>131</v>
      </c>
      <c r="M4158" s="19" t="s">
        <v>1404</v>
      </c>
      <c r="N4158" s="16"/>
      <c r="O4158" s="16" t="s">
        <v>1405</v>
      </c>
      <c r="P4158" s="16" t="str">
        <f>HYPERLINK("https://ceds.ed.gov/cedselementdetails.aspx?termid=26518")</f>
        <v>https://ceds.ed.gov/cedselementdetails.aspx?termid=26518</v>
      </c>
      <c r="Q4158" s="16">
        <v>74585</v>
      </c>
    </row>
    <row r="4159" spans="1:17" ht="57.6" x14ac:dyDescent="0.3">
      <c r="A4159" s="16" t="s">
        <v>7755</v>
      </c>
      <c r="B4159" s="16" t="s">
        <v>7715</v>
      </c>
      <c r="C4159" s="16" t="s">
        <v>7718</v>
      </c>
      <c r="D4159" s="16" t="s">
        <v>7597</v>
      </c>
      <c r="E4159" s="16" t="s">
        <v>6992</v>
      </c>
      <c r="F4159" s="16" t="s">
        <v>6993</v>
      </c>
      <c r="G4159" s="16" t="s">
        <v>22</v>
      </c>
      <c r="H4159" s="16" t="s">
        <v>6997</v>
      </c>
      <c r="I4159" s="16"/>
      <c r="J4159" s="16"/>
      <c r="K4159" s="16"/>
      <c r="L4159" s="16" t="s">
        <v>6994</v>
      </c>
      <c r="M4159" s="19" t="s">
        <v>6995</v>
      </c>
      <c r="N4159" s="16"/>
      <c r="O4159" s="16" t="s">
        <v>6996</v>
      </c>
      <c r="P4159" s="16" t="str">
        <f>HYPERLINK("https://ceds.ed.gov/cedselementdetails.aspx?termid=26649")</f>
        <v>https://ceds.ed.gov/cedselementdetails.aspx?termid=26649</v>
      </c>
      <c r="Q4159" s="16">
        <v>74589</v>
      </c>
    </row>
    <row r="4160" spans="1:17" ht="72" x14ac:dyDescent="0.3">
      <c r="A4160" s="16" t="s">
        <v>7755</v>
      </c>
      <c r="B4160" s="16" t="s">
        <v>7715</v>
      </c>
      <c r="C4160" s="16" t="s">
        <v>7718</v>
      </c>
      <c r="D4160" s="16" t="s">
        <v>7597</v>
      </c>
      <c r="E4160" s="16" t="s">
        <v>7018</v>
      </c>
      <c r="F4160" s="16" t="s">
        <v>8166</v>
      </c>
      <c r="G4160" s="16" t="s">
        <v>8273</v>
      </c>
      <c r="H4160" s="16" t="s">
        <v>6997</v>
      </c>
      <c r="I4160" s="16"/>
      <c r="J4160" s="16"/>
      <c r="K4160" s="16"/>
      <c r="L4160" s="16"/>
      <c r="M4160" s="19" t="s">
        <v>7019</v>
      </c>
      <c r="N4160" s="16"/>
      <c r="O4160" s="16" t="s">
        <v>7020</v>
      </c>
      <c r="P4160" s="16" t="str">
        <f>HYPERLINK("https://ceds.ed.gov/cedselementdetails.aspx?termid=26650")</f>
        <v>https://ceds.ed.gov/cedselementdetails.aspx?termid=26650</v>
      </c>
      <c r="Q4160" s="16">
        <v>74590</v>
      </c>
    </row>
    <row r="4161" spans="1:17" ht="72" x14ac:dyDescent="0.3">
      <c r="A4161" s="16" t="s">
        <v>7755</v>
      </c>
      <c r="B4161" s="16" t="s">
        <v>7715</v>
      </c>
      <c r="C4161" s="16" t="s">
        <v>7718</v>
      </c>
      <c r="D4161" s="16" t="s">
        <v>7597</v>
      </c>
      <c r="E4161" s="16" t="s">
        <v>7009</v>
      </c>
      <c r="F4161" s="16" t="s">
        <v>7010</v>
      </c>
      <c r="G4161" s="16" t="s">
        <v>32</v>
      </c>
      <c r="H4161" s="16" t="s">
        <v>6997</v>
      </c>
      <c r="I4161" s="16"/>
      <c r="J4161" s="16" t="s">
        <v>742</v>
      </c>
      <c r="K4161" s="16"/>
      <c r="L4161" s="16"/>
      <c r="M4161" s="19" t="s">
        <v>7011</v>
      </c>
      <c r="N4161" s="16"/>
      <c r="O4161" s="16" t="s">
        <v>7012</v>
      </c>
      <c r="P4161" s="16" t="str">
        <f>HYPERLINK("https://ceds.ed.gov/cedselementdetails.aspx?termid=26651")</f>
        <v>https://ceds.ed.gov/cedselementdetails.aspx?termid=26651</v>
      </c>
      <c r="Q4161" s="16">
        <v>74591</v>
      </c>
    </row>
    <row r="4162" spans="1:17" ht="244.8" x14ac:dyDescent="0.3">
      <c r="A4162" s="16" t="s">
        <v>7755</v>
      </c>
      <c r="B4162" s="16" t="s">
        <v>7715</v>
      </c>
      <c r="C4162" s="16" t="s">
        <v>7718</v>
      </c>
      <c r="D4162" s="16" t="s">
        <v>7597</v>
      </c>
      <c r="E4162" s="16" t="s">
        <v>2064</v>
      </c>
      <c r="F4162" s="16" t="s">
        <v>2065</v>
      </c>
      <c r="G4162" s="16" t="s">
        <v>8213</v>
      </c>
      <c r="H4162" s="16"/>
      <c r="I4162" s="16"/>
      <c r="J4162" s="16"/>
      <c r="K4162" s="16"/>
      <c r="L4162" s="16"/>
      <c r="M4162" s="19" t="s">
        <v>2066</v>
      </c>
      <c r="N4162" s="16"/>
      <c r="O4162" s="16" t="s">
        <v>2067</v>
      </c>
      <c r="P4162" s="16" t="str">
        <f>HYPERLINK("https://ceds.ed.gov/cedselementdetails.aspx?termid=26615")</f>
        <v>https://ceds.ed.gov/cedselementdetails.aspx?termid=26615</v>
      </c>
      <c r="Q4162" s="16">
        <v>74588</v>
      </c>
    </row>
    <row r="4163" spans="1:17" ht="28.8" x14ac:dyDescent="0.3">
      <c r="A4163" s="16" t="s">
        <v>7755</v>
      </c>
      <c r="B4163" s="16" t="s">
        <v>7715</v>
      </c>
      <c r="C4163" s="16" t="s">
        <v>7682</v>
      </c>
      <c r="D4163" s="16" t="s">
        <v>7597</v>
      </c>
      <c r="E4163" s="16" t="s">
        <v>1410</v>
      </c>
      <c r="F4163" s="16" t="s">
        <v>1411</v>
      </c>
      <c r="G4163" s="16" t="s">
        <v>32</v>
      </c>
      <c r="H4163" s="16"/>
      <c r="I4163" s="16"/>
      <c r="J4163" s="16" t="s">
        <v>106</v>
      </c>
      <c r="K4163" s="16"/>
      <c r="L4163" s="16"/>
      <c r="M4163" s="19" t="s">
        <v>1412</v>
      </c>
      <c r="N4163" s="16"/>
      <c r="O4163" s="16" t="s">
        <v>1413</v>
      </c>
      <c r="P4163" s="16" t="str">
        <f>HYPERLINK("https://ceds.ed.gov/cedselementdetails.aspx?termid=27630")</f>
        <v>https://ceds.ed.gov/cedselementdetails.aspx?termid=27630</v>
      </c>
      <c r="Q4163" s="16">
        <v>74594</v>
      </c>
    </row>
    <row r="4164" spans="1:17" ht="72" x14ac:dyDescent="0.3">
      <c r="A4164" s="16" t="s">
        <v>7755</v>
      </c>
      <c r="B4164" s="16" t="s">
        <v>7715</v>
      </c>
      <c r="C4164" s="16" t="s">
        <v>7682</v>
      </c>
      <c r="D4164" s="16" t="s">
        <v>7597</v>
      </c>
      <c r="E4164" s="16" t="s">
        <v>1414</v>
      </c>
      <c r="F4164" s="16" t="s">
        <v>1415</v>
      </c>
      <c r="G4164" s="16" t="s">
        <v>8365</v>
      </c>
      <c r="H4164" s="16"/>
      <c r="I4164" s="16"/>
      <c r="J4164" s="16"/>
      <c r="K4164" s="16"/>
      <c r="L4164" s="16"/>
      <c r="M4164" s="19" t="s">
        <v>1417</v>
      </c>
      <c r="N4164" s="16"/>
      <c r="O4164" s="16" t="s">
        <v>1418</v>
      </c>
      <c r="P4164" s="16" t="str">
        <f>HYPERLINK("https://ceds.ed.gov/cedselementdetails.aspx?termid=26594")</f>
        <v>https://ceds.ed.gov/cedselementdetails.aspx?termid=26594</v>
      </c>
      <c r="Q4164" s="16">
        <v>74593</v>
      </c>
    </row>
    <row r="4165" spans="1:17" ht="86.4" x14ac:dyDescent="0.3">
      <c r="A4165" s="16" t="s">
        <v>7755</v>
      </c>
      <c r="B4165" s="16" t="s">
        <v>7715</v>
      </c>
      <c r="C4165" s="16" t="s">
        <v>7682</v>
      </c>
      <c r="D4165" s="16" t="s">
        <v>7597</v>
      </c>
      <c r="E4165" s="16" t="s">
        <v>1419</v>
      </c>
      <c r="F4165" s="16" t="s">
        <v>1420</v>
      </c>
      <c r="G4165" s="16" t="s">
        <v>8211</v>
      </c>
      <c r="H4165" s="16"/>
      <c r="I4165" s="16"/>
      <c r="J4165" s="16"/>
      <c r="K4165" s="16"/>
      <c r="L4165" s="16"/>
      <c r="M4165" s="19" t="s">
        <v>1421</v>
      </c>
      <c r="N4165" s="16"/>
      <c r="O4165" s="16" t="s">
        <v>1422</v>
      </c>
      <c r="P4165" s="16" t="str">
        <f>HYPERLINK("https://ceds.ed.gov/cedselementdetails.aspx?termid=26076")</f>
        <v>https://ceds.ed.gov/cedselementdetails.aspx?termid=26076</v>
      </c>
      <c r="Q4165" s="16">
        <v>74592</v>
      </c>
    </row>
    <row r="4166" spans="1:17" ht="115.2" x14ac:dyDescent="0.3">
      <c r="A4166" s="16" t="s">
        <v>7755</v>
      </c>
      <c r="B4166" s="16" t="s">
        <v>7715</v>
      </c>
      <c r="C4166" s="16" t="s">
        <v>7682</v>
      </c>
      <c r="D4166" s="16" t="s">
        <v>7597</v>
      </c>
      <c r="E4166" s="16" t="s">
        <v>8896</v>
      </c>
      <c r="F4166" s="16" t="s">
        <v>8897</v>
      </c>
      <c r="G4166" s="16" t="s">
        <v>32</v>
      </c>
      <c r="H4166" s="16"/>
      <c r="I4166" s="16"/>
      <c r="J4166" s="16" t="s">
        <v>4030</v>
      </c>
      <c r="K4166" s="16"/>
      <c r="L4166" s="16" t="s">
        <v>8898</v>
      </c>
      <c r="M4166" s="19" t="s">
        <v>8899</v>
      </c>
      <c r="N4166" s="16"/>
      <c r="O4166" s="16" t="s">
        <v>8900</v>
      </c>
      <c r="P4166" s="16" t="str">
        <f>HYPERLINK("https://ceds.ed.gov/cedselementdetails.aspx?termid=28001")</f>
        <v>https://ceds.ed.gov/cedselementdetails.aspx?termid=28001</v>
      </c>
      <c r="Q4166" s="16">
        <v>76012</v>
      </c>
    </row>
    <row r="4167" spans="1:17" ht="28.8" x14ac:dyDescent="0.3">
      <c r="A4167" s="16" t="s">
        <v>7755</v>
      </c>
      <c r="B4167" s="16" t="s">
        <v>7715</v>
      </c>
      <c r="C4167" s="16" t="s">
        <v>7682</v>
      </c>
      <c r="D4167" s="16" t="s">
        <v>7597</v>
      </c>
      <c r="E4167" s="16" t="s">
        <v>8901</v>
      </c>
      <c r="F4167" s="16" t="s">
        <v>8902</v>
      </c>
      <c r="G4167" s="16" t="s">
        <v>32</v>
      </c>
      <c r="H4167" s="16"/>
      <c r="I4167" s="16"/>
      <c r="J4167" s="16" t="s">
        <v>4030</v>
      </c>
      <c r="K4167" s="16"/>
      <c r="L4167" s="16"/>
      <c r="M4167" s="19" t="s">
        <v>8903</v>
      </c>
      <c r="N4167" s="16"/>
      <c r="O4167" s="16" t="s">
        <v>8904</v>
      </c>
      <c r="P4167" s="16" t="str">
        <f>HYPERLINK("https://ceds.ed.gov/cedselementdetails.aspx?termid=28002")</f>
        <v>https://ceds.ed.gov/cedselementdetails.aspx?termid=28002</v>
      </c>
      <c r="Q4167" s="16">
        <v>76013</v>
      </c>
    </row>
    <row r="4168" spans="1:17" ht="28.8" x14ac:dyDescent="0.3">
      <c r="A4168" s="16" t="s">
        <v>7755</v>
      </c>
      <c r="B4168" s="16" t="s">
        <v>7715</v>
      </c>
      <c r="C4168" s="16" t="s">
        <v>7682</v>
      </c>
      <c r="D4168" s="16" t="s">
        <v>7597</v>
      </c>
      <c r="E4168" s="16" t="s">
        <v>8905</v>
      </c>
      <c r="F4168" s="16" t="s">
        <v>8906</v>
      </c>
      <c r="G4168" s="16" t="s">
        <v>32</v>
      </c>
      <c r="H4168" s="16"/>
      <c r="I4168" s="16"/>
      <c r="J4168" s="16" t="s">
        <v>4030</v>
      </c>
      <c r="K4168" s="16"/>
      <c r="L4168" s="16"/>
      <c r="M4168" s="19" t="s">
        <v>8907</v>
      </c>
      <c r="N4168" s="16"/>
      <c r="O4168" s="16" t="s">
        <v>8908</v>
      </c>
      <c r="P4168" s="16" t="str">
        <f>HYPERLINK("https://ceds.ed.gov/cedselementdetails.aspx?termid=28003")</f>
        <v>https://ceds.ed.gov/cedselementdetails.aspx?termid=28003</v>
      </c>
      <c r="Q4168" s="16">
        <v>76014</v>
      </c>
    </row>
    <row r="4169" spans="1:17" ht="244.8" x14ac:dyDescent="0.3">
      <c r="A4169" s="16" t="s">
        <v>7755</v>
      </c>
      <c r="B4169" s="16" t="s">
        <v>7650</v>
      </c>
      <c r="C4169" s="16"/>
      <c r="D4169" s="16" t="s">
        <v>7597</v>
      </c>
      <c r="E4169" s="16" t="s">
        <v>1887</v>
      </c>
      <c r="F4169" s="16" t="s">
        <v>1888</v>
      </c>
      <c r="G4169" s="16" t="s">
        <v>8425</v>
      </c>
      <c r="H4169" s="16"/>
      <c r="I4169" s="16" t="s">
        <v>160</v>
      </c>
      <c r="J4169" s="16"/>
      <c r="K4169" s="16" t="s">
        <v>12935</v>
      </c>
      <c r="L4169" s="16" t="s">
        <v>7896</v>
      </c>
      <c r="M4169" s="19" t="s">
        <v>1889</v>
      </c>
      <c r="N4169" s="16"/>
      <c r="O4169" s="16" t="s">
        <v>1890</v>
      </c>
      <c r="P4169" s="16" t="str">
        <f>HYPERLINK("https://ceds.ed.gov/cedselementdetails.aspx?termid=27254")</f>
        <v>https://ceds.ed.gov/cedselementdetails.aspx?termid=27254</v>
      </c>
      <c r="Q4169" s="16">
        <v>73076</v>
      </c>
    </row>
    <row r="4170" spans="1:17" ht="72" x14ac:dyDescent="0.3">
      <c r="A4170" s="16" t="s">
        <v>7755</v>
      </c>
      <c r="B4170" s="16" t="s">
        <v>9418</v>
      </c>
      <c r="C4170" s="16" t="s">
        <v>7658</v>
      </c>
      <c r="D4170" s="16" t="s">
        <v>7597</v>
      </c>
      <c r="E4170" s="16" t="s">
        <v>8974</v>
      </c>
      <c r="F4170" s="16" t="s">
        <v>8975</v>
      </c>
      <c r="G4170" s="16" t="s">
        <v>32</v>
      </c>
      <c r="H4170" s="16"/>
      <c r="I4170" s="16"/>
      <c r="J4170" s="16" t="s">
        <v>120</v>
      </c>
      <c r="K4170" s="16"/>
      <c r="L4170" s="16" t="s">
        <v>8976</v>
      </c>
      <c r="M4170" s="19" t="s">
        <v>8977</v>
      </c>
      <c r="N4170" s="16"/>
      <c r="O4170" s="16" t="s">
        <v>8978</v>
      </c>
      <c r="P4170" s="16" t="str">
        <f>HYPERLINK("https://ceds.ed.gov/cedselementdetails.aspx?termid=28020")</f>
        <v>https://ceds.ed.gov/cedselementdetails.aspx?termid=28020</v>
      </c>
      <c r="Q4170" s="16">
        <v>75954</v>
      </c>
    </row>
    <row r="4171" spans="1:17" ht="72" x14ac:dyDescent="0.3">
      <c r="A4171" s="16" t="s">
        <v>7755</v>
      </c>
      <c r="B4171" s="16" t="s">
        <v>9418</v>
      </c>
      <c r="C4171" s="16" t="s">
        <v>7658</v>
      </c>
      <c r="D4171" s="16" t="s">
        <v>7597</v>
      </c>
      <c r="E4171" s="16" t="s">
        <v>8979</v>
      </c>
      <c r="F4171" s="16" t="s">
        <v>8980</v>
      </c>
      <c r="G4171" s="16" t="s">
        <v>32</v>
      </c>
      <c r="H4171" s="16"/>
      <c r="I4171" s="16"/>
      <c r="J4171" s="16" t="s">
        <v>1481</v>
      </c>
      <c r="K4171" s="16"/>
      <c r="L4171" s="16" t="s">
        <v>8976</v>
      </c>
      <c r="M4171" s="19" t="s">
        <v>8981</v>
      </c>
      <c r="N4171" s="16"/>
      <c r="O4171" s="16" t="s">
        <v>8982</v>
      </c>
      <c r="P4171" s="16" t="str">
        <f>HYPERLINK("https://ceds.ed.gov/cedselementdetails.aspx?termid=28021")</f>
        <v>https://ceds.ed.gov/cedselementdetails.aspx?termid=28021</v>
      </c>
      <c r="Q4171" s="16">
        <v>75955</v>
      </c>
    </row>
    <row r="4172" spans="1:17" ht="409.6" x14ac:dyDescent="0.3">
      <c r="A4172" s="16" t="s">
        <v>4056</v>
      </c>
      <c r="B4172" s="16" t="s">
        <v>7761</v>
      </c>
      <c r="C4172" s="16"/>
      <c r="D4172" s="16" t="s">
        <v>7597</v>
      </c>
      <c r="E4172" s="16" t="s">
        <v>3569</v>
      </c>
      <c r="F4172" s="16" t="s">
        <v>3570</v>
      </c>
      <c r="G4172" s="16" t="s">
        <v>8561</v>
      </c>
      <c r="H4172" s="16"/>
      <c r="I4172" s="16" t="s">
        <v>160</v>
      </c>
      <c r="J4172" s="16"/>
      <c r="K4172" s="16" t="s">
        <v>12935</v>
      </c>
      <c r="L4172" s="16"/>
      <c r="M4172" s="19" t="s">
        <v>3571</v>
      </c>
      <c r="N4172" s="16"/>
      <c r="O4172" s="16" t="s">
        <v>3572</v>
      </c>
      <c r="P4172" s="16" t="str">
        <f>HYPERLINK("https://ceds.ed.gov/cedselementdetails.aspx?termid=26222")</f>
        <v>https://ceds.ed.gov/cedselementdetails.aspx?termid=26222</v>
      </c>
      <c r="Q4172" s="16">
        <v>76536</v>
      </c>
    </row>
    <row r="4173" spans="1:17" ht="158.4" x14ac:dyDescent="0.3">
      <c r="A4173" s="16" t="s">
        <v>4056</v>
      </c>
      <c r="B4173" s="16" t="s">
        <v>7761</v>
      </c>
      <c r="C4173" s="16" t="s">
        <v>7625</v>
      </c>
      <c r="D4173" s="16" t="s">
        <v>7597</v>
      </c>
      <c r="E4173" s="16" t="s">
        <v>3990</v>
      </c>
      <c r="F4173" s="16" t="s">
        <v>3991</v>
      </c>
      <c r="G4173" s="16" t="s">
        <v>32</v>
      </c>
      <c r="H4173" s="16" t="s">
        <v>3994</v>
      </c>
      <c r="I4173" s="16"/>
      <c r="J4173" s="16" t="s">
        <v>7426</v>
      </c>
      <c r="K4173" s="16"/>
      <c r="L4173" s="16" t="s">
        <v>8047</v>
      </c>
      <c r="M4173" s="19" t="s">
        <v>3992</v>
      </c>
      <c r="N4173" s="16"/>
      <c r="O4173" s="16" t="s">
        <v>3993</v>
      </c>
      <c r="P4173" s="16" t="str">
        <f>HYPERLINK("https://ceds.ed.gov/cedselementdetails.aspx?termid=26115")</f>
        <v>https://ceds.ed.gov/cedselementdetails.aspx?termid=26115</v>
      </c>
      <c r="Q4173" s="16">
        <v>72465</v>
      </c>
    </row>
    <row r="4174" spans="1:17" ht="158.4" x14ac:dyDescent="0.3">
      <c r="A4174" s="16" t="s">
        <v>4056</v>
      </c>
      <c r="B4174" s="16" t="s">
        <v>7761</v>
      </c>
      <c r="C4174" s="16" t="s">
        <v>7625</v>
      </c>
      <c r="D4174" s="16" t="s">
        <v>7597</v>
      </c>
      <c r="E4174" s="16" t="s">
        <v>5328</v>
      </c>
      <c r="F4174" s="16" t="s">
        <v>5329</v>
      </c>
      <c r="G4174" s="16" t="s">
        <v>32</v>
      </c>
      <c r="H4174" s="16" t="s">
        <v>3994</v>
      </c>
      <c r="I4174" s="16"/>
      <c r="J4174" s="16" t="s">
        <v>7426</v>
      </c>
      <c r="K4174" s="16"/>
      <c r="L4174" s="16" t="s">
        <v>8053</v>
      </c>
      <c r="M4174" s="19" t="s">
        <v>5330</v>
      </c>
      <c r="N4174" s="16"/>
      <c r="O4174" s="16" t="s">
        <v>5331</v>
      </c>
      <c r="P4174" s="16" t="str">
        <f>HYPERLINK("https://ceds.ed.gov/cedselementdetails.aspx?termid=26184")</f>
        <v>https://ceds.ed.gov/cedselementdetails.aspx?termid=26184</v>
      </c>
      <c r="Q4174" s="16">
        <v>72466</v>
      </c>
    </row>
    <row r="4175" spans="1:17" ht="158.4" x14ac:dyDescent="0.3">
      <c r="A4175" s="16" t="s">
        <v>4056</v>
      </c>
      <c r="B4175" s="16" t="s">
        <v>7761</v>
      </c>
      <c r="C4175" s="16" t="s">
        <v>7625</v>
      </c>
      <c r="D4175" s="16" t="s">
        <v>7597</v>
      </c>
      <c r="E4175" s="16" t="s">
        <v>4893</v>
      </c>
      <c r="F4175" s="16" t="s">
        <v>4894</v>
      </c>
      <c r="G4175" s="16" t="s">
        <v>32</v>
      </c>
      <c r="H4175" s="16" t="s">
        <v>3994</v>
      </c>
      <c r="I4175" s="16"/>
      <c r="J4175" s="16" t="s">
        <v>7426</v>
      </c>
      <c r="K4175" s="16"/>
      <c r="L4175" s="16" t="s">
        <v>8053</v>
      </c>
      <c r="M4175" s="19" t="s">
        <v>4895</v>
      </c>
      <c r="N4175" s="16" t="s">
        <v>4896</v>
      </c>
      <c r="O4175" s="16" t="s">
        <v>4897</v>
      </c>
      <c r="P4175" s="16" t="str">
        <f>HYPERLINK("https://ceds.ed.gov/cedselementdetails.aspx?termid=26172")</f>
        <v>https://ceds.ed.gov/cedselementdetails.aspx?termid=26172</v>
      </c>
      <c r="Q4175" s="16">
        <v>72467</v>
      </c>
    </row>
    <row r="4176" spans="1:17" ht="129.6" x14ac:dyDescent="0.3">
      <c r="A4176" s="16" t="s">
        <v>4056</v>
      </c>
      <c r="B4176" s="16" t="s">
        <v>7761</v>
      </c>
      <c r="C4176" s="16" t="s">
        <v>7625</v>
      </c>
      <c r="D4176" s="16" t="s">
        <v>7597</v>
      </c>
      <c r="E4176" s="16" t="s">
        <v>4054</v>
      </c>
      <c r="F4176" s="16" t="s">
        <v>4055</v>
      </c>
      <c r="G4176" s="16" t="s">
        <v>32</v>
      </c>
      <c r="H4176" s="16" t="s">
        <v>4059</v>
      </c>
      <c r="I4176" s="16"/>
      <c r="J4176" s="16" t="s">
        <v>2697</v>
      </c>
      <c r="K4176" s="16"/>
      <c r="L4176" s="16" t="s">
        <v>8053</v>
      </c>
      <c r="M4176" s="19" t="s">
        <v>4057</v>
      </c>
      <c r="N4176" s="16"/>
      <c r="O4176" s="16" t="s">
        <v>4058</v>
      </c>
      <c r="P4176" s="16" t="str">
        <f>HYPERLINK("https://ceds.ed.gov/cedselementdetails.aspx?termid=26121")</f>
        <v>https://ceds.ed.gov/cedselementdetails.aspx?termid=26121</v>
      </c>
      <c r="Q4176" s="16">
        <v>72468</v>
      </c>
    </row>
    <row r="4177" spans="1:17" ht="86.4" x14ac:dyDescent="0.3">
      <c r="A4177" s="16" t="s">
        <v>4056</v>
      </c>
      <c r="B4177" s="16" t="s">
        <v>7761</v>
      </c>
      <c r="C4177" s="16" t="s">
        <v>7625</v>
      </c>
      <c r="D4177" s="16" t="s">
        <v>7597</v>
      </c>
      <c r="E4177" s="16" t="s">
        <v>5760</v>
      </c>
      <c r="F4177" s="16" t="s">
        <v>5761</v>
      </c>
      <c r="G4177" s="16" t="s">
        <v>32</v>
      </c>
      <c r="H4177" s="16" t="s">
        <v>5765</v>
      </c>
      <c r="I4177" s="16"/>
      <c r="J4177" s="16" t="s">
        <v>81</v>
      </c>
      <c r="K4177" s="16"/>
      <c r="L4177" s="16"/>
      <c r="M4177" s="19" t="s">
        <v>5762</v>
      </c>
      <c r="N4177" s="16" t="s">
        <v>5763</v>
      </c>
      <c r="O4177" s="16" t="s">
        <v>5764</v>
      </c>
      <c r="P4177" s="16" t="str">
        <f>HYPERLINK("https://ceds.ed.gov/cedselementdetails.aspx?termid=26212")</f>
        <v>https://ceds.ed.gov/cedselementdetails.aspx?termid=26212</v>
      </c>
      <c r="Q4177" s="16">
        <v>72891</v>
      </c>
    </row>
    <row r="4178" spans="1:17" ht="28.8" x14ac:dyDescent="0.3">
      <c r="A4178" s="16" t="s">
        <v>4056</v>
      </c>
      <c r="B4178" s="16" t="s">
        <v>7761</v>
      </c>
      <c r="C4178" s="16" t="s">
        <v>7626</v>
      </c>
      <c r="D4178" s="16" t="s">
        <v>7597</v>
      </c>
      <c r="E4178" s="16" t="s">
        <v>5631</v>
      </c>
      <c r="F4178" s="16" t="s">
        <v>5632</v>
      </c>
      <c r="G4178" s="16" t="s">
        <v>32</v>
      </c>
      <c r="H4178" s="16"/>
      <c r="I4178" s="16"/>
      <c r="J4178" s="16" t="s">
        <v>1266</v>
      </c>
      <c r="K4178" s="16"/>
      <c r="L4178" s="16" t="s">
        <v>5633</v>
      </c>
      <c r="M4178" s="19" t="s">
        <v>5634</v>
      </c>
      <c r="N4178" s="16"/>
      <c r="O4178" s="16" t="s">
        <v>5635</v>
      </c>
      <c r="P4178" s="16" t="str">
        <f>HYPERLINK("https://ceds.ed.gov/cedselementdetails.aspx?termid=27486")</f>
        <v>https://ceds.ed.gov/cedselementdetails.aspx?termid=27486</v>
      </c>
      <c r="Q4178" s="16">
        <v>73637</v>
      </c>
    </row>
    <row r="4179" spans="1:17" ht="28.8" x14ac:dyDescent="0.3">
      <c r="A4179" s="16" t="s">
        <v>4056</v>
      </c>
      <c r="B4179" s="16" t="s">
        <v>7761</v>
      </c>
      <c r="C4179" s="16" t="s">
        <v>7626</v>
      </c>
      <c r="D4179" s="16" t="s">
        <v>7597</v>
      </c>
      <c r="E4179" s="16" t="s">
        <v>5641</v>
      </c>
      <c r="F4179" s="16" t="s">
        <v>5642</v>
      </c>
      <c r="G4179" s="16" t="s">
        <v>32</v>
      </c>
      <c r="H4179" s="16"/>
      <c r="I4179" s="16"/>
      <c r="J4179" s="16" t="s">
        <v>1266</v>
      </c>
      <c r="K4179" s="16"/>
      <c r="L4179" s="16" t="s">
        <v>5643</v>
      </c>
      <c r="M4179" s="19" t="s">
        <v>5644</v>
      </c>
      <c r="N4179" s="16"/>
      <c r="O4179" s="16" t="s">
        <v>5645</v>
      </c>
      <c r="P4179" s="16" t="str">
        <f>HYPERLINK("https://ceds.ed.gov/cedselementdetails.aspx?termid=27487")</f>
        <v>https://ceds.ed.gov/cedselementdetails.aspx?termid=27487</v>
      </c>
      <c r="Q4179" s="16">
        <v>73653</v>
      </c>
    </row>
    <row r="4180" spans="1:17" ht="28.8" x14ac:dyDescent="0.3">
      <c r="A4180" s="16" t="s">
        <v>4056</v>
      </c>
      <c r="B4180" s="16" t="s">
        <v>7761</v>
      </c>
      <c r="C4180" s="16" t="s">
        <v>7626</v>
      </c>
      <c r="D4180" s="16" t="s">
        <v>7597</v>
      </c>
      <c r="E4180" s="16" t="s">
        <v>5636</v>
      </c>
      <c r="F4180" s="16" t="s">
        <v>5637</v>
      </c>
      <c r="G4180" s="16" t="s">
        <v>32</v>
      </c>
      <c r="H4180" s="16"/>
      <c r="I4180" s="16"/>
      <c r="J4180" s="16" t="s">
        <v>1266</v>
      </c>
      <c r="K4180" s="16"/>
      <c r="L4180" s="16" t="s">
        <v>5638</v>
      </c>
      <c r="M4180" s="19" t="s">
        <v>5639</v>
      </c>
      <c r="N4180" s="16"/>
      <c r="O4180" s="16" t="s">
        <v>5640</v>
      </c>
      <c r="P4180" s="16" t="str">
        <f>HYPERLINK("https://ceds.ed.gov/cedselementdetails.aspx?termid=27485")</f>
        <v>https://ceds.ed.gov/cedselementdetails.aspx?termid=27485</v>
      </c>
      <c r="Q4180" s="16">
        <v>73621</v>
      </c>
    </row>
    <row r="4181" spans="1:17" ht="129.6" x14ac:dyDescent="0.3">
      <c r="A4181" s="16" t="s">
        <v>4056</v>
      </c>
      <c r="B4181" s="16" t="s">
        <v>7761</v>
      </c>
      <c r="C4181" s="16" t="s">
        <v>7626</v>
      </c>
      <c r="D4181" s="16" t="s">
        <v>7597</v>
      </c>
      <c r="E4181" s="16" t="s">
        <v>5646</v>
      </c>
      <c r="F4181" s="16" t="s">
        <v>5647</v>
      </c>
      <c r="G4181" s="16" t="s">
        <v>32</v>
      </c>
      <c r="H4181" s="16" t="s">
        <v>4059</v>
      </c>
      <c r="I4181" s="16"/>
      <c r="J4181" s="16" t="s">
        <v>120</v>
      </c>
      <c r="K4181" s="16"/>
      <c r="L4181" s="16"/>
      <c r="M4181" s="19" t="s">
        <v>5648</v>
      </c>
      <c r="N4181" s="16"/>
      <c r="O4181" s="16" t="s">
        <v>5649</v>
      </c>
      <c r="P4181" s="16" t="str">
        <f>HYPERLINK("https://ceds.ed.gov/cedselementdetails.aspx?termid=26206")</f>
        <v>https://ceds.ed.gov/cedselementdetails.aspx?termid=26206</v>
      </c>
      <c r="Q4181" s="16">
        <v>72892</v>
      </c>
    </row>
    <row r="4182" spans="1:17" ht="115.2" x14ac:dyDescent="0.3">
      <c r="A4182" s="16" t="s">
        <v>4056</v>
      </c>
      <c r="B4182" s="16" t="s">
        <v>7761</v>
      </c>
      <c r="C4182" s="16" t="s">
        <v>7626</v>
      </c>
      <c r="D4182" s="16" t="s">
        <v>7597</v>
      </c>
      <c r="E4182" s="16" t="s">
        <v>5650</v>
      </c>
      <c r="F4182" s="16" t="s">
        <v>5651</v>
      </c>
      <c r="G4182" s="16" t="s">
        <v>8746</v>
      </c>
      <c r="H4182" s="16" t="s">
        <v>5654</v>
      </c>
      <c r="I4182" s="16"/>
      <c r="J4182" s="16" t="s">
        <v>81</v>
      </c>
      <c r="K4182" s="16"/>
      <c r="L4182" s="16"/>
      <c r="M4182" s="19" t="s">
        <v>5652</v>
      </c>
      <c r="N4182" s="16"/>
      <c r="O4182" s="16" t="s">
        <v>5653</v>
      </c>
      <c r="P4182" s="16" t="str">
        <f>HYPERLINK("https://ceds.ed.gov/cedselementdetails.aspx?termid=26627")</f>
        <v>https://ceds.ed.gov/cedselementdetails.aspx?termid=26627</v>
      </c>
      <c r="Q4182" s="16">
        <v>72893</v>
      </c>
    </row>
    <row r="4183" spans="1:17" ht="403.2" x14ac:dyDescent="0.3">
      <c r="A4183" s="16" t="s">
        <v>4056</v>
      </c>
      <c r="B4183" s="16" t="s">
        <v>7761</v>
      </c>
      <c r="C4183" s="16" t="s">
        <v>7627</v>
      </c>
      <c r="D4183" s="16" t="s">
        <v>7597</v>
      </c>
      <c r="E4183" s="16" t="s">
        <v>5756</v>
      </c>
      <c r="F4183" s="16" t="s">
        <v>5757</v>
      </c>
      <c r="G4183" s="16" t="s">
        <v>8252</v>
      </c>
      <c r="H4183" s="16"/>
      <c r="I4183" s="16"/>
      <c r="J4183" s="16"/>
      <c r="K4183" s="16"/>
      <c r="L4183" s="16"/>
      <c r="M4183" s="19" t="s">
        <v>5758</v>
      </c>
      <c r="N4183" s="16"/>
      <c r="O4183" s="16" t="s">
        <v>5759</v>
      </c>
      <c r="P4183" s="16" t="str">
        <f>HYPERLINK("https://ceds.ed.gov/cedselementdetails.aspx?termid=26611")</f>
        <v>https://ceds.ed.gov/cedselementdetails.aspx?termid=26611</v>
      </c>
      <c r="Q4183" s="16">
        <v>72223</v>
      </c>
    </row>
    <row r="4184" spans="1:17" ht="273.60000000000002" x14ac:dyDescent="0.3">
      <c r="A4184" s="16" t="s">
        <v>4056</v>
      </c>
      <c r="B4184" s="16" t="s">
        <v>7761</v>
      </c>
      <c r="C4184" s="16" t="s">
        <v>7627</v>
      </c>
      <c r="D4184" s="16" t="s">
        <v>7597</v>
      </c>
      <c r="E4184" s="16" t="s">
        <v>5734</v>
      </c>
      <c r="F4184" s="16" t="s">
        <v>5735</v>
      </c>
      <c r="G4184" s="16" t="s">
        <v>9336</v>
      </c>
      <c r="H4184" s="16"/>
      <c r="I4184" s="16"/>
      <c r="J4184" s="16"/>
      <c r="K4184" s="16"/>
      <c r="L4184" s="16"/>
      <c r="M4184" s="19" t="s">
        <v>5736</v>
      </c>
      <c r="N4184" s="16"/>
      <c r="O4184" s="16" t="s">
        <v>5737</v>
      </c>
      <c r="P4184" s="16" t="str">
        <f>HYPERLINK("https://ceds.ed.gov/cedselementdetails.aspx?termid=27550")</f>
        <v>https://ceds.ed.gov/cedselementdetails.aspx?termid=27550</v>
      </c>
      <c r="Q4184" s="16">
        <v>75006</v>
      </c>
    </row>
    <row r="4185" spans="1:17" ht="172.8" x14ac:dyDescent="0.3">
      <c r="A4185" s="16" t="s">
        <v>4056</v>
      </c>
      <c r="B4185" s="16" t="s">
        <v>7761</v>
      </c>
      <c r="C4185" s="16" t="s">
        <v>7627</v>
      </c>
      <c r="D4185" s="16" t="s">
        <v>7597</v>
      </c>
      <c r="E4185" s="16" t="s">
        <v>5738</v>
      </c>
      <c r="F4185" s="16" t="s">
        <v>5739</v>
      </c>
      <c r="G4185" s="16" t="s">
        <v>32</v>
      </c>
      <c r="H4185" s="16"/>
      <c r="I4185" s="16"/>
      <c r="J4185" s="16" t="s">
        <v>120</v>
      </c>
      <c r="K4185" s="16"/>
      <c r="L4185" s="16" t="s">
        <v>7905</v>
      </c>
      <c r="M4185" s="19" t="s">
        <v>5740</v>
      </c>
      <c r="N4185" s="16"/>
      <c r="O4185" s="16" t="s">
        <v>5741</v>
      </c>
      <c r="P4185" s="16" t="str">
        <f>HYPERLINK("https://ceds.ed.gov/cedselementdetails.aspx?termid=27551")</f>
        <v>https://ceds.ed.gov/cedselementdetails.aspx?termid=27551</v>
      </c>
      <c r="Q4185" s="16">
        <v>75007</v>
      </c>
    </row>
    <row r="4186" spans="1:17" ht="72" x14ac:dyDescent="0.3">
      <c r="A4186" s="16" t="s">
        <v>4056</v>
      </c>
      <c r="B4186" s="16" t="s">
        <v>7761</v>
      </c>
      <c r="C4186" s="16" t="s">
        <v>7627</v>
      </c>
      <c r="D4186" s="16" t="s">
        <v>7597</v>
      </c>
      <c r="E4186" s="16" t="s">
        <v>7508</v>
      </c>
      <c r="F4186" s="16" t="s">
        <v>7509</v>
      </c>
      <c r="G4186" s="16" t="s">
        <v>8251</v>
      </c>
      <c r="H4186" s="16"/>
      <c r="I4186" s="16"/>
      <c r="J4186" s="16"/>
      <c r="K4186" s="16"/>
      <c r="L4186" s="16"/>
      <c r="M4186" s="19" t="s">
        <v>7510</v>
      </c>
      <c r="N4186" s="16"/>
      <c r="O4186" s="16" t="s">
        <v>7511</v>
      </c>
      <c r="P4186" s="16" t="str">
        <f>HYPERLINK("https://ceds.ed.gov/cedselementdetails.aspx?termid=27951")</f>
        <v>https://ceds.ed.gov/cedselementdetails.aspx?termid=27951</v>
      </c>
      <c r="Q4186" s="16">
        <v>75688</v>
      </c>
    </row>
    <row r="4187" spans="1:17" ht="316.8" x14ac:dyDescent="0.3">
      <c r="A4187" s="16" t="s">
        <v>4056</v>
      </c>
      <c r="B4187" s="16" t="s">
        <v>7761</v>
      </c>
      <c r="C4187" s="16" t="s">
        <v>7747</v>
      </c>
      <c r="D4187" s="16" t="s">
        <v>7597</v>
      </c>
      <c r="E4187" s="16" t="s">
        <v>7299</v>
      </c>
      <c r="F4187" s="16" t="s">
        <v>7300</v>
      </c>
      <c r="G4187" s="16" t="s">
        <v>9432</v>
      </c>
      <c r="H4187" s="16"/>
      <c r="I4187" s="16"/>
      <c r="J4187" s="16"/>
      <c r="K4187" s="16"/>
      <c r="L4187" s="16" t="s">
        <v>8173</v>
      </c>
      <c r="M4187" s="19" t="s">
        <v>7301</v>
      </c>
      <c r="N4187" s="16"/>
      <c r="O4187" s="16" t="s">
        <v>7302</v>
      </c>
      <c r="P4187" s="16" t="str">
        <f>HYPERLINK("https://ceds.ed.gov/cedselementdetails.aspx?termid=27000")</f>
        <v>https://ceds.ed.gov/cedselementdetails.aspx?termid=27000</v>
      </c>
      <c r="Q4187" s="16">
        <v>72470</v>
      </c>
    </row>
    <row r="4188" spans="1:17" ht="158.4" x14ac:dyDescent="0.3">
      <c r="A4188" s="16" t="s">
        <v>4056</v>
      </c>
      <c r="B4188" s="16" t="s">
        <v>7761</v>
      </c>
      <c r="C4188" s="16" t="s">
        <v>7747</v>
      </c>
      <c r="D4188" s="16" t="s">
        <v>7597</v>
      </c>
      <c r="E4188" s="16" t="s">
        <v>7295</v>
      </c>
      <c r="F4188" s="16" t="s">
        <v>7296</v>
      </c>
      <c r="G4188" s="16" t="s">
        <v>32</v>
      </c>
      <c r="H4188" s="16"/>
      <c r="I4188" s="16"/>
      <c r="J4188" s="16" t="s">
        <v>106</v>
      </c>
      <c r="K4188" s="16"/>
      <c r="L4188" s="16" t="s">
        <v>7292</v>
      </c>
      <c r="M4188" s="19" t="s">
        <v>7297</v>
      </c>
      <c r="N4188" s="16"/>
      <c r="O4188" s="16" t="s">
        <v>7298</v>
      </c>
      <c r="P4188" s="16" t="str">
        <f>HYPERLINK("https://ceds.ed.gov/cedselementdetails.aspx?termid=27001")</f>
        <v>https://ceds.ed.gov/cedselementdetails.aspx?termid=27001</v>
      </c>
      <c r="Q4188" s="16">
        <v>72471</v>
      </c>
    </row>
    <row r="4189" spans="1:17" ht="158.4" x14ac:dyDescent="0.3">
      <c r="A4189" s="16" t="s">
        <v>4056</v>
      </c>
      <c r="B4189" s="16" t="s">
        <v>7761</v>
      </c>
      <c r="C4189" s="16" t="s">
        <v>7747</v>
      </c>
      <c r="D4189" s="16" t="s">
        <v>7597</v>
      </c>
      <c r="E4189" s="16" t="s">
        <v>7290</v>
      </c>
      <c r="F4189" s="16" t="s">
        <v>7291</v>
      </c>
      <c r="G4189" s="16" t="s">
        <v>32</v>
      </c>
      <c r="H4189" s="16"/>
      <c r="I4189" s="16"/>
      <c r="J4189" s="16" t="s">
        <v>106</v>
      </c>
      <c r="K4189" s="16"/>
      <c r="L4189" s="16" t="s">
        <v>7292</v>
      </c>
      <c r="M4189" s="19" t="s">
        <v>7293</v>
      </c>
      <c r="N4189" s="16"/>
      <c r="O4189" s="16" t="s">
        <v>7294</v>
      </c>
      <c r="P4189" s="16" t="str">
        <f>HYPERLINK("https://ceds.ed.gov/cedselementdetails.aspx?termid=27002")</f>
        <v>https://ceds.ed.gov/cedselementdetails.aspx?termid=27002</v>
      </c>
      <c r="Q4189" s="16">
        <v>72472</v>
      </c>
    </row>
    <row r="4190" spans="1:17" ht="72" x14ac:dyDescent="0.3">
      <c r="A4190" s="16" t="s">
        <v>4056</v>
      </c>
      <c r="B4190" s="16" t="s">
        <v>7761</v>
      </c>
      <c r="C4190" s="16" t="s">
        <v>7747</v>
      </c>
      <c r="D4190" s="16" t="s">
        <v>7597</v>
      </c>
      <c r="E4190" s="16" t="s">
        <v>1904</v>
      </c>
      <c r="F4190" s="16" t="s">
        <v>1905</v>
      </c>
      <c r="G4190" s="16" t="s">
        <v>22</v>
      </c>
      <c r="H4190" s="16"/>
      <c r="I4190" s="16"/>
      <c r="J4190" s="16"/>
      <c r="K4190" s="16"/>
      <c r="L4190" s="16"/>
      <c r="M4190" s="19" t="s">
        <v>1906</v>
      </c>
      <c r="N4190" s="16"/>
      <c r="O4190" s="16" t="s">
        <v>1907</v>
      </c>
      <c r="P4190" s="16" t="str">
        <f>HYPERLINK("https://ceds.ed.gov/cedselementdetails.aspx?termid=27257")</f>
        <v>https://ceds.ed.gov/cedselementdetails.aspx?termid=27257</v>
      </c>
      <c r="Q4190" s="16">
        <v>74031</v>
      </c>
    </row>
    <row r="4191" spans="1:17" ht="43.2" x14ac:dyDescent="0.3">
      <c r="A4191" s="16" t="s">
        <v>4056</v>
      </c>
      <c r="B4191" s="16" t="s">
        <v>7761</v>
      </c>
      <c r="C4191" s="16" t="s">
        <v>7747</v>
      </c>
      <c r="D4191" s="16" t="s">
        <v>7597</v>
      </c>
      <c r="E4191" s="16" t="s">
        <v>1908</v>
      </c>
      <c r="F4191" s="16" t="s">
        <v>1909</v>
      </c>
      <c r="G4191" s="16" t="s">
        <v>32</v>
      </c>
      <c r="H4191" s="16"/>
      <c r="I4191" s="16"/>
      <c r="J4191" s="16" t="s">
        <v>106</v>
      </c>
      <c r="K4191" s="16"/>
      <c r="L4191" s="16"/>
      <c r="M4191" s="19" t="s">
        <v>1910</v>
      </c>
      <c r="N4191" s="16"/>
      <c r="O4191" s="16" t="s">
        <v>1911</v>
      </c>
      <c r="P4191" s="16" t="str">
        <f>HYPERLINK("https://ceds.ed.gov/cedselementdetails.aspx?termid=27563")</f>
        <v>https://ceds.ed.gov/cedselementdetails.aspx?termid=27563</v>
      </c>
      <c r="Q4191" s="16">
        <v>74049</v>
      </c>
    </row>
    <row r="4192" spans="1:17" ht="57.6" x14ac:dyDescent="0.3">
      <c r="A4192" s="16" t="s">
        <v>4056</v>
      </c>
      <c r="B4192" s="16" t="s">
        <v>7761</v>
      </c>
      <c r="C4192" s="16" t="s">
        <v>7747</v>
      </c>
      <c r="D4192" s="16" t="s">
        <v>7597</v>
      </c>
      <c r="E4192" s="16" t="s">
        <v>1899</v>
      </c>
      <c r="F4192" s="16" t="s">
        <v>1900</v>
      </c>
      <c r="G4192" s="16" t="s">
        <v>32</v>
      </c>
      <c r="H4192" s="16"/>
      <c r="I4192" s="16"/>
      <c r="J4192" s="16" t="s">
        <v>106</v>
      </c>
      <c r="K4192" s="16"/>
      <c r="L4192" s="16" t="s">
        <v>131</v>
      </c>
      <c r="M4192" s="19" t="s">
        <v>1902</v>
      </c>
      <c r="N4192" s="16"/>
      <c r="O4192" s="16" t="s">
        <v>1903</v>
      </c>
      <c r="P4192" s="16" t="str">
        <f>HYPERLINK("https://ceds.ed.gov/cedselementdetails.aspx?termid=27562")</f>
        <v>https://ceds.ed.gov/cedselementdetails.aspx?termid=27562</v>
      </c>
      <c r="Q4192" s="16">
        <v>74042</v>
      </c>
    </row>
    <row r="4193" spans="1:17" ht="230.4" x14ac:dyDescent="0.3">
      <c r="A4193" s="16" t="s">
        <v>4056</v>
      </c>
      <c r="B4193" s="16" t="s">
        <v>7761</v>
      </c>
      <c r="C4193" s="16" t="s">
        <v>7747</v>
      </c>
      <c r="D4193" s="16" t="s">
        <v>7597</v>
      </c>
      <c r="E4193" s="16" t="s">
        <v>7543</v>
      </c>
      <c r="F4193" s="16" t="s">
        <v>7544</v>
      </c>
      <c r="G4193" s="16" t="s">
        <v>13093</v>
      </c>
      <c r="H4193" s="16"/>
      <c r="I4193" s="16" t="s">
        <v>160</v>
      </c>
      <c r="J4193" s="16"/>
      <c r="K4193" s="16" t="s">
        <v>12951</v>
      </c>
      <c r="L4193" s="16"/>
      <c r="M4193" s="19" t="s">
        <v>7545</v>
      </c>
      <c r="N4193" s="16"/>
      <c r="O4193" s="16" t="s">
        <v>7543</v>
      </c>
      <c r="P4193" s="16" t="str">
        <f>HYPERLINK("https://ceds.ed.gov/cedselementdetails.aspx?termid=27959")</f>
        <v>https://ceds.ed.gov/cedselementdetails.aspx?termid=27959</v>
      </c>
      <c r="Q4193" s="16">
        <v>75689</v>
      </c>
    </row>
    <row r="4194" spans="1:17" ht="244.8" x14ac:dyDescent="0.3">
      <c r="A4194" s="16" t="s">
        <v>4056</v>
      </c>
      <c r="B4194" s="16" t="s">
        <v>7761</v>
      </c>
      <c r="C4194" s="16" t="s">
        <v>7747</v>
      </c>
      <c r="D4194" s="16" t="s">
        <v>7597</v>
      </c>
      <c r="E4194" s="16" t="s">
        <v>5664</v>
      </c>
      <c r="F4194" s="16" t="s">
        <v>5665</v>
      </c>
      <c r="G4194" s="16" t="s">
        <v>2987</v>
      </c>
      <c r="H4194" s="16"/>
      <c r="I4194" s="16" t="s">
        <v>160</v>
      </c>
      <c r="J4194" s="16"/>
      <c r="K4194" s="16" t="s">
        <v>12935</v>
      </c>
      <c r="L4194" s="16"/>
      <c r="M4194" s="19" t="s">
        <v>5666</v>
      </c>
      <c r="N4194" s="16"/>
      <c r="O4194" s="16" t="s">
        <v>5667</v>
      </c>
      <c r="P4194" s="16" t="str">
        <f>HYPERLINK("https://ceds.ed.gov/cedselementdetails.aspx?termid=27908")</f>
        <v>https://ceds.ed.gov/cedselementdetails.aspx?termid=27908</v>
      </c>
      <c r="Q4194" s="16">
        <v>76533</v>
      </c>
    </row>
    <row r="4195" spans="1:17" ht="409.6" x14ac:dyDescent="0.3">
      <c r="A4195" s="16" t="s">
        <v>4056</v>
      </c>
      <c r="B4195" s="16" t="s">
        <v>7761</v>
      </c>
      <c r="C4195" s="16" t="s">
        <v>7747</v>
      </c>
      <c r="D4195" s="16" t="s">
        <v>7597</v>
      </c>
      <c r="E4195" s="16" t="s">
        <v>6945</v>
      </c>
      <c r="F4195" s="16" t="s">
        <v>6946</v>
      </c>
      <c r="G4195" s="16" t="s">
        <v>9421</v>
      </c>
      <c r="H4195" s="16"/>
      <c r="I4195" s="16"/>
      <c r="J4195" s="16"/>
      <c r="K4195" s="16"/>
      <c r="L4195" s="16" t="s">
        <v>6947</v>
      </c>
      <c r="M4195" s="19" t="s">
        <v>6948</v>
      </c>
      <c r="N4195" s="16"/>
      <c r="O4195" s="16" t="s">
        <v>6949</v>
      </c>
      <c r="P4195" s="16" t="str">
        <f>HYPERLINK("https://ceds.ed.gov/cedselementdetails.aspx?termid=26273")</f>
        <v>https://ceds.ed.gov/cedselementdetails.aspx?termid=26273</v>
      </c>
      <c r="Q4195" s="16">
        <v>76534</v>
      </c>
    </row>
    <row r="4196" spans="1:17" ht="187.2" x14ac:dyDescent="0.3">
      <c r="A4196" s="16" t="s">
        <v>4056</v>
      </c>
      <c r="B4196" s="16" t="s">
        <v>7761</v>
      </c>
      <c r="C4196" s="16" t="s">
        <v>7747</v>
      </c>
      <c r="D4196" s="16" t="s">
        <v>7597</v>
      </c>
      <c r="E4196" s="16" t="s">
        <v>289</v>
      </c>
      <c r="F4196" s="16" t="s">
        <v>290</v>
      </c>
      <c r="G4196" s="16" t="s">
        <v>8312</v>
      </c>
      <c r="H4196" s="16"/>
      <c r="I4196" s="16" t="s">
        <v>160</v>
      </c>
      <c r="J4196" s="16"/>
      <c r="K4196" s="16" t="s">
        <v>12935</v>
      </c>
      <c r="L4196" s="16"/>
      <c r="M4196" s="19" t="s">
        <v>291</v>
      </c>
      <c r="N4196" s="16"/>
      <c r="O4196" s="16" t="s">
        <v>292</v>
      </c>
      <c r="P4196" s="16" t="str">
        <f>HYPERLINK("https://ceds.ed.gov/cedselementdetails.aspx?termid=26764")</f>
        <v>https://ceds.ed.gov/cedselementdetails.aspx?termid=26764</v>
      </c>
      <c r="Q4196" s="16">
        <v>76543</v>
      </c>
    </row>
    <row r="4197" spans="1:17" ht="244.8" x14ac:dyDescent="0.3">
      <c r="A4197" s="16" t="s">
        <v>4056</v>
      </c>
      <c r="B4197" s="16" t="s">
        <v>7761</v>
      </c>
      <c r="C4197" s="16" t="s">
        <v>7747</v>
      </c>
      <c r="D4197" s="16" t="s">
        <v>7597</v>
      </c>
      <c r="E4197" s="16" t="s">
        <v>1887</v>
      </c>
      <c r="F4197" s="16" t="s">
        <v>1888</v>
      </c>
      <c r="G4197" s="16" t="s">
        <v>8425</v>
      </c>
      <c r="H4197" s="16"/>
      <c r="I4197" s="16" t="s">
        <v>160</v>
      </c>
      <c r="J4197" s="16"/>
      <c r="K4197" s="16" t="s">
        <v>12935</v>
      </c>
      <c r="L4197" s="16" t="s">
        <v>7896</v>
      </c>
      <c r="M4197" s="19" t="s">
        <v>1889</v>
      </c>
      <c r="N4197" s="16"/>
      <c r="O4197" s="16" t="s">
        <v>1890</v>
      </c>
      <c r="P4197" s="16" t="str">
        <f>HYPERLINK("https://ceds.ed.gov/cedselementdetails.aspx?termid=27254")</f>
        <v>https://ceds.ed.gov/cedselementdetails.aspx?termid=27254</v>
      </c>
      <c r="Q4197" s="16">
        <v>76548</v>
      </c>
    </row>
    <row r="4198" spans="1:17" ht="72" x14ac:dyDescent="0.3">
      <c r="A4198" s="16" t="s">
        <v>4056</v>
      </c>
      <c r="B4198" s="16" t="s">
        <v>7761</v>
      </c>
      <c r="C4198" s="16" t="s">
        <v>7747</v>
      </c>
      <c r="D4198" s="16" t="s">
        <v>7597</v>
      </c>
      <c r="E4198" s="16" t="s">
        <v>2044</v>
      </c>
      <c r="F4198" s="16" t="s">
        <v>2045</v>
      </c>
      <c r="G4198" s="16" t="s">
        <v>7312</v>
      </c>
      <c r="H4198" s="16" t="s">
        <v>42</v>
      </c>
      <c r="I4198" s="16" t="s">
        <v>160</v>
      </c>
      <c r="J4198" s="16" t="s">
        <v>2</v>
      </c>
      <c r="K4198" s="16" t="s">
        <v>12935</v>
      </c>
      <c r="L4198" s="16"/>
      <c r="M4198" s="19" t="s">
        <v>2046</v>
      </c>
      <c r="N4198" s="16" t="s">
        <v>2047</v>
      </c>
      <c r="O4198" s="16" t="s">
        <v>2048</v>
      </c>
      <c r="P4198" s="16" t="str">
        <f>HYPERLINK("https://ceds.ed.gov/cedselementdetails.aspx?termid=26043")</f>
        <v>https://ceds.ed.gov/cedselementdetails.aspx?termid=26043</v>
      </c>
      <c r="Q4198" s="16">
        <v>76535</v>
      </c>
    </row>
    <row r="4199" spans="1:17" ht="28.8" x14ac:dyDescent="0.3">
      <c r="A4199" s="16" t="s">
        <v>4056</v>
      </c>
      <c r="B4199" s="16" t="s">
        <v>7761</v>
      </c>
      <c r="C4199" s="16" t="s">
        <v>7747</v>
      </c>
      <c r="D4199" s="16" t="s">
        <v>7597</v>
      </c>
      <c r="E4199" s="16" t="s">
        <v>6057</v>
      </c>
      <c r="F4199" s="16" t="s">
        <v>6058</v>
      </c>
      <c r="G4199" s="16" t="s">
        <v>32</v>
      </c>
      <c r="H4199" s="16"/>
      <c r="I4199" s="16" t="s">
        <v>160</v>
      </c>
      <c r="J4199" s="16" t="s">
        <v>101</v>
      </c>
      <c r="K4199" s="16" t="s">
        <v>12935</v>
      </c>
      <c r="L4199" s="16"/>
      <c r="M4199" s="19" t="s">
        <v>6059</v>
      </c>
      <c r="N4199" s="16"/>
      <c r="O4199" s="16" t="s">
        <v>6060</v>
      </c>
      <c r="P4199" s="16" t="str">
        <f>HYPERLINK("https://ceds.ed.gov/cedselementdetails.aspx?termid=27909")</f>
        <v>https://ceds.ed.gov/cedselementdetails.aspx?termid=27909</v>
      </c>
      <c r="Q4199" s="16">
        <v>76554</v>
      </c>
    </row>
    <row r="4200" spans="1:17" ht="172.8" x14ac:dyDescent="0.3">
      <c r="A4200" s="16" t="s">
        <v>4056</v>
      </c>
      <c r="B4200" s="16" t="s">
        <v>7761</v>
      </c>
      <c r="C4200" s="16" t="s">
        <v>7603</v>
      </c>
      <c r="D4200" s="16" t="s">
        <v>7597</v>
      </c>
      <c r="E4200" s="16" t="s">
        <v>182</v>
      </c>
      <c r="F4200" s="16" t="s">
        <v>183</v>
      </c>
      <c r="G4200" s="16" t="s">
        <v>8293</v>
      </c>
      <c r="H4200" s="16" t="s">
        <v>186</v>
      </c>
      <c r="I4200" s="16"/>
      <c r="J4200" s="16" t="s">
        <v>81</v>
      </c>
      <c r="K4200" s="16"/>
      <c r="L4200" s="16"/>
      <c r="M4200" s="19" t="s">
        <v>184</v>
      </c>
      <c r="N4200" s="16"/>
      <c r="O4200" s="16" t="s">
        <v>185</v>
      </c>
      <c r="P4200" s="16" t="str">
        <f>HYPERLINK("https://ceds.ed.gov/cedselementdetails.aspx?termid=26358")</f>
        <v>https://ceds.ed.gov/cedselementdetails.aspx?termid=26358</v>
      </c>
      <c r="Q4200" s="16">
        <v>73943</v>
      </c>
    </row>
    <row r="4201" spans="1:17" ht="187.2" x14ac:dyDescent="0.3">
      <c r="A4201" s="16" t="s">
        <v>4056</v>
      </c>
      <c r="B4201" s="16" t="s">
        <v>7761</v>
      </c>
      <c r="C4201" s="16" t="s">
        <v>7603</v>
      </c>
      <c r="D4201" s="16" t="s">
        <v>7597</v>
      </c>
      <c r="E4201" s="16" t="s">
        <v>177</v>
      </c>
      <c r="F4201" s="16" t="s">
        <v>178</v>
      </c>
      <c r="G4201" s="16" t="s">
        <v>32</v>
      </c>
      <c r="H4201" s="16" t="s">
        <v>163</v>
      </c>
      <c r="I4201" s="16"/>
      <c r="J4201" s="16" t="s">
        <v>179</v>
      </c>
      <c r="K4201" s="16"/>
      <c r="L4201" s="16"/>
      <c r="M4201" s="19" t="s">
        <v>180</v>
      </c>
      <c r="N4201" s="16"/>
      <c r="O4201" s="16" t="s">
        <v>181</v>
      </c>
      <c r="P4201" s="16" t="str">
        <f>HYPERLINK("https://ceds.ed.gov/cedselementdetails.aspx?termid=26269")</f>
        <v>https://ceds.ed.gov/cedselementdetails.aspx?termid=26269</v>
      </c>
      <c r="Q4201" s="16">
        <v>73994</v>
      </c>
    </row>
    <row r="4202" spans="1:17" ht="187.2" x14ac:dyDescent="0.3">
      <c r="A4202" s="16" t="s">
        <v>4056</v>
      </c>
      <c r="B4202" s="16" t="s">
        <v>7761</v>
      </c>
      <c r="C4202" s="16" t="s">
        <v>7603</v>
      </c>
      <c r="D4202" s="16" t="s">
        <v>7597</v>
      </c>
      <c r="E4202" s="16" t="s">
        <v>158</v>
      </c>
      <c r="F4202" s="16" t="s">
        <v>159</v>
      </c>
      <c r="G4202" s="16" t="s">
        <v>32</v>
      </c>
      <c r="H4202" s="16" t="s">
        <v>163</v>
      </c>
      <c r="I4202" s="16"/>
      <c r="J4202" s="16" t="s">
        <v>145</v>
      </c>
      <c r="K4202" s="16"/>
      <c r="L4202" s="16"/>
      <c r="M4202" s="19" t="s">
        <v>161</v>
      </c>
      <c r="N4202" s="16"/>
      <c r="O4202" s="16" t="s">
        <v>162</v>
      </c>
      <c r="P4202" s="16" t="str">
        <f>HYPERLINK("https://ceds.ed.gov/cedselementdetails.aspx?termid=26019")</f>
        <v>https://ceds.ed.gov/cedselementdetails.aspx?termid=26019</v>
      </c>
      <c r="Q4202" s="16">
        <v>73945</v>
      </c>
    </row>
    <row r="4203" spans="1:17" ht="187.2" x14ac:dyDescent="0.3">
      <c r="A4203" s="16" t="s">
        <v>4056</v>
      </c>
      <c r="B4203" s="16" t="s">
        <v>7761</v>
      </c>
      <c r="C4203" s="16" t="s">
        <v>7603</v>
      </c>
      <c r="D4203" s="16" t="s">
        <v>7597</v>
      </c>
      <c r="E4203" s="16" t="s">
        <v>164</v>
      </c>
      <c r="F4203" s="16" t="s">
        <v>165</v>
      </c>
      <c r="G4203" s="16" t="s">
        <v>32</v>
      </c>
      <c r="H4203" s="16" t="s">
        <v>163</v>
      </c>
      <c r="I4203" s="16"/>
      <c r="J4203" s="16" t="s">
        <v>81</v>
      </c>
      <c r="K4203" s="16"/>
      <c r="L4203" s="16"/>
      <c r="M4203" s="19" t="s">
        <v>166</v>
      </c>
      <c r="N4203" s="16"/>
      <c r="O4203" s="16" t="s">
        <v>167</v>
      </c>
      <c r="P4203" s="16" t="str">
        <f>HYPERLINK("https://ceds.ed.gov/cedselementdetails.aspx?termid=26040")</f>
        <v>https://ceds.ed.gov/cedselementdetails.aspx?termid=26040</v>
      </c>
      <c r="Q4203" s="16">
        <v>73949</v>
      </c>
    </row>
    <row r="4204" spans="1:17" ht="409.6" x14ac:dyDescent="0.3">
      <c r="A4204" s="16" t="s">
        <v>4056</v>
      </c>
      <c r="B4204" s="16" t="s">
        <v>7761</v>
      </c>
      <c r="C4204" s="16" t="s">
        <v>7603</v>
      </c>
      <c r="D4204" s="16" t="s">
        <v>7597</v>
      </c>
      <c r="E4204" s="16" t="s">
        <v>6840</v>
      </c>
      <c r="F4204" s="16" t="s">
        <v>6841</v>
      </c>
      <c r="G4204" s="16" t="s">
        <v>8266</v>
      </c>
      <c r="H4204" s="16" t="s">
        <v>6844</v>
      </c>
      <c r="I4204" s="16"/>
      <c r="J4204" s="16"/>
      <c r="K4204" s="16"/>
      <c r="L4204" s="16"/>
      <c r="M4204" s="19" t="s">
        <v>6842</v>
      </c>
      <c r="N4204" s="16"/>
      <c r="O4204" s="16" t="s">
        <v>6843</v>
      </c>
      <c r="P4204" s="16" t="str">
        <f>HYPERLINK("https://ceds.ed.gov/cedselementdetails.aspx?termid=26267")</f>
        <v>https://ceds.ed.gov/cedselementdetails.aspx?termid=26267</v>
      </c>
      <c r="Q4204" s="16">
        <v>73993</v>
      </c>
    </row>
    <row r="4205" spans="1:17" ht="187.2" x14ac:dyDescent="0.3">
      <c r="A4205" s="16" t="s">
        <v>4056</v>
      </c>
      <c r="B4205" s="16" t="s">
        <v>7761</v>
      </c>
      <c r="C4205" s="16" t="s">
        <v>7603</v>
      </c>
      <c r="D4205" s="16" t="s">
        <v>7597</v>
      </c>
      <c r="E4205" s="16" t="s">
        <v>172</v>
      </c>
      <c r="F4205" s="16" t="s">
        <v>173</v>
      </c>
      <c r="G4205" s="16" t="s">
        <v>32</v>
      </c>
      <c r="H4205" s="16" t="s">
        <v>163</v>
      </c>
      <c r="I4205" s="16"/>
      <c r="J4205" s="16" t="s">
        <v>174</v>
      </c>
      <c r="K4205" s="16"/>
      <c r="L4205" s="16"/>
      <c r="M4205" s="19" t="s">
        <v>175</v>
      </c>
      <c r="N4205" s="16"/>
      <c r="O4205" s="16" t="s">
        <v>176</v>
      </c>
      <c r="P4205" s="16" t="str">
        <f>HYPERLINK("https://ceds.ed.gov/cedselementdetails.aspx?termid=26214")</f>
        <v>https://ceds.ed.gov/cedselementdetails.aspx?termid=26214</v>
      </c>
      <c r="Q4205" s="16">
        <v>73986</v>
      </c>
    </row>
    <row r="4206" spans="1:17" ht="187.2" x14ac:dyDescent="0.3">
      <c r="A4206" s="16" t="s">
        <v>4056</v>
      </c>
      <c r="B4206" s="16" t="s">
        <v>7761</v>
      </c>
      <c r="C4206" s="16" t="s">
        <v>7603</v>
      </c>
      <c r="D4206" s="16" t="s">
        <v>7597</v>
      </c>
      <c r="E4206" s="16" t="s">
        <v>168</v>
      </c>
      <c r="F4206" s="16" t="s">
        <v>169</v>
      </c>
      <c r="G4206" s="16" t="s">
        <v>32</v>
      </c>
      <c r="H4206" s="16" t="s">
        <v>163</v>
      </c>
      <c r="I4206" s="16"/>
      <c r="J4206" s="16" t="s">
        <v>81</v>
      </c>
      <c r="K4206" s="16"/>
      <c r="L4206" s="16"/>
      <c r="M4206" s="19" t="s">
        <v>170</v>
      </c>
      <c r="N4206" s="16"/>
      <c r="O4206" s="16" t="s">
        <v>171</v>
      </c>
      <c r="P4206" s="16" t="str">
        <f>HYPERLINK("https://ceds.ed.gov/cedselementdetails.aspx?termid=26190")</f>
        <v>https://ceds.ed.gov/cedselementdetails.aspx?termid=26190</v>
      </c>
      <c r="Q4206" s="16">
        <v>73975</v>
      </c>
    </row>
    <row r="4207" spans="1:17" ht="57.6" x14ac:dyDescent="0.3">
      <c r="A4207" s="16" t="s">
        <v>4056</v>
      </c>
      <c r="B4207" s="16" t="s">
        <v>7761</v>
      </c>
      <c r="C4207" s="16" t="s">
        <v>7603</v>
      </c>
      <c r="D4207" s="16" t="s">
        <v>7597</v>
      </c>
      <c r="E4207" s="16" t="s">
        <v>4902</v>
      </c>
      <c r="F4207" s="16" t="s">
        <v>4903</v>
      </c>
      <c r="G4207" s="16" t="s">
        <v>32</v>
      </c>
      <c r="H4207" s="16"/>
      <c r="I4207" s="16"/>
      <c r="J4207" s="16" t="s">
        <v>1130</v>
      </c>
      <c r="K4207" s="16"/>
      <c r="L4207" s="16"/>
      <c r="M4207" s="19" t="s">
        <v>4904</v>
      </c>
      <c r="N4207" s="16"/>
      <c r="O4207" s="16" t="s">
        <v>4902</v>
      </c>
      <c r="P4207" s="16" t="str">
        <f>HYPERLINK("https://ceds.ed.gov/cedselementdetails.aspx?termid=26599")</f>
        <v>https://ceds.ed.gov/cedselementdetails.aspx?termid=26599</v>
      </c>
      <c r="Q4207" s="16">
        <v>74273</v>
      </c>
    </row>
    <row r="4208" spans="1:17" ht="57.6" x14ac:dyDescent="0.3">
      <c r="A4208" s="16" t="s">
        <v>4056</v>
      </c>
      <c r="B4208" s="16" t="s">
        <v>7761</v>
      </c>
      <c r="C4208" s="16" t="s">
        <v>7603</v>
      </c>
      <c r="D4208" s="16" t="s">
        <v>7597</v>
      </c>
      <c r="E4208" s="16" t="s">
        <v>5285</v>
      </c>
      <c r="F4208" s="16" t="s">
        <v>5286</v>
      </c>
      <c r="G4208" s="16" t="s">
        <v>32</v>
      </c>
      <c r="H4208" s="16"/>
      <c r="I4208" s="16"/>
      <c r="J4208" s="16" t="s">
        <v>1130</v>
      </c>
      <c r="K4208" s="16"/>
      <c r="L4208" s="16"/>
      <c r="M4208" s="19" t="s">
        <v>5287</v>
      </c>
      <c r="N4208" s="16"/>
      <c r="O4208" s="16" t="s">
        <v>5285</v>
      </c>
      <c r="P4208" s="16" t="str">
        <f>HYPERLINK("https://ceds.ed.gov/cedselementdetails.aspx?termid=26600")</f>
        <v>https://ceds.ed.gov/cedselementdetails.aspx?termid=26600</v>
      </c>
      <c r="Q4208" s="16">
        <v>74296</v>
      </c>
    </row>
    <row r="4209" spans="1:17" ht="158.4" x14ac:dyDescent="0.3">
      <c r="A4209" s="16" t="s">
        <v>4056</v>
      </c>
      <c r="B4209" s="16" t="s">
        <v>7761</v>
      </c>
      <c r="C4209" s="16" t="s">
        <v>7603</v>
      </c>
      <c r="D4209" s="16" t="s">
        <v>7597</v>
      </c>
      <c r="E4209" s="16" t="s">
        <v>2493</v>
      </c>
      <c r="F4209" s="16" t="s">
        <v>2494</v>
      </c>
      <c r="G4209" s="16" t="s">
        <v>32</v>
      </c>
      <c r="H4209" s="16"/>
      <c r="I4209" s="16"/>
      <c r="J4209" s="16" t="s">
        <v>2495</v>
      </c>
      <c r="K4209" s="16"/>
      <c r="L4209" s="16"/>
      <c r="M4209" s="19" t="s">
        <v>2496</v>
      </c>
      <c r="N4209" s="16"/>
      <c r="O4209" s="16" t="s">
        <v>2497</v>
      </c>
      <c r="P4209" s="16" t="str">
        <f>HYPERLINK("https://ceds.ed.gov/cedselementdetails.aspx?termid=27176")</f>
        <v>https://ceds.ed.gov/cedselementdetails.aspx?termid=27176</v>
      </c>
      <c r="Q4209" s="16">
        <v>75444</v>
      </c>
    </row>
    <row r="4210" spans="1:17" ht="57.6" x14ac:dyDescent="0.3">
      <c r="A4210" s="16" t="s">
        <v>4056</v>
      </c>
      <c r="B4210" s="16" t="s">
        <v>7761</v>
      </c>
      <c r="C4210" s="16" t="s">
        <v>7603</v>
      </c>
      <c r="D4210" s="16" t="s">
        <v>7597</v>
      </c>
      <c r="E4210" s="16" t="s">
        <v>3175</v>
      </c>
      <c r="F4210" s="16" t="s">
        <v>3176</v>
      </c>
      <c r="G4210" s="16" t="s">
        <v>2987</v>
      </c>
      <c r="H4210" s="16"/>
      <c r="I4210" s="16"/>
      <c r="J4210" s="16"/>
      <c r="K4210" s="16"/>
      <c r="L4210" s="16"/>
      <c r="M4210" s="19" t="s">
        <v>3177</v>
      </c>
      <c r="N4210" s="16"/>
      <c r="O4210" s="16" t="s">
        <v>3178</v>
      </c>
      <c r="P4210" s="16" t="str">
        <f>HYPERLINK("https://ceds.ed.gov/cedselementdetails.aspx?termid=27905")</f>
        <v>https://ceds.ed.gov/cedselementdetails.aspx?termid=27905</v>
      </c>
      <c r="Q4210" s="16">
        <v>75445</v>
      </c>
    </row>
    <row r="4211" spans="1:17" ht="86.4" x14ac:dyDescent="0.3">
      <c r="A4211" s="16" t="s">
        <v>4056</v>
      </c>
      <c r="B4211" s="16" t="s">
        <v>7761</v>
      </c>
      <c r="C4211" s="16" t="s">
        <v>7604</v>
      </c>
      <c r="D4211" s="16" t="s">
        <v>7597</v>
      </c>
      <c r="E4211" s="16" t="s">
        <v>7062</v>
      </c>
      <c r="F4211" s="16" t="s">
        <v>7063</v>
      </c>
      <c r="G4211" s="16" t="s">
        <v>8849</v>
      </c>
      <c r="H4211" s="16" t="s">
        <v>64</v>
      </c>
      <c r="I4211" s="16"/>
      <c r="J4211" s="16" t="s">
        <v>2500</v>
      </c>
      <c r="K4211" s="16"/>
      <c r="L4211" s="16"/>
      <c r="M4211" s="19" t="s">
        <v>7064</v>
      </c>
      <c r="N4211" s="16"/>
      <c r="O4211" s="16" t="s">
        <v>7065</v>
      </c>
      <c r="P4211" s="16" t="str">
        <f>HYPERLINK("https://ceds.ed.gov/cedselementdetails.aspx?termid=26280")</f>
        <v>https://ceds.ed.gov/cedselementdetails.aspx?termid=26280</v>
      </c>
      <c r="Q4211" s="16">
        <v>73996</v>
      </c>
    </row>
    <row r="4212" spans="1:17" ht="72" x14ac:dyDescent="0.3">
      <c r="A4212" s="16" t="s">
        <v>4056</v>
      </c>
      <c r="B4212" s="16" t="s">
        <v>7761</v>
      </c>
      <c r="C4212" s="16" t="s">
        <v>7604</v>
      </c>
      <c r="D4212" s="16" t="s">
        <v>7597</v>
      </c>
      <c r="E4212" s="16" t="s">
        <v>5865</v>
      </c>
      <c r="F4212" s="16" t="s">
        <v>5866</v>
      </c>
      <c r="G4212" s="16" t="s">
        <v>22</v>
      </c>
      <c r="H4212" s="16" t="s">
        <v>64</v>
      </c>
      <c r="I4212" s="16"/>
      <c r="J4212" s="16"/>
      <c r="K4212" s="16"/>
      <c r="L4212" s="16"/>
      <c r="M4212" s="19" t="s">
        <v>5867</v>
      </c>
      <c r="N4212" s="16"/>
      <c r="O4212" s="16" t="s">
        <v>5868</v>
      </c>
      <c r="P4212" s="16" t="str">
        <f>HYPERLINK("https://ceds.ed.gov/cedselementdetails.aspx?termid=26219")</f>
        <v>https://ceds.ed.gov/cedselementdetails.aspx?termid=26219</v>
      </c>
      <c r="Q4212" s="16">
        <v>73987</v>
      </c>
    </row>
    <row r="4213" spans="1:17" ht="72" x14ac:dyDescent="0.3">
      <c r="A4213" s="16" t="s">
        <v>4056</v>
      </c>
      <c r="B4213" s="16" t="s">
        <v>7761</v>
      </c>
      <c r="C4213" s="16" t="s">
        <v>7604</v>
      </c>
      <c r="D4213" s="16" t="s">
        <v>7597</v>
      </c>
      <c r="E4213" s="16" t="s">
        <v>7053</v>
      </c>
      <c r="F4213" s="16" t="s">
        <v>7054</v>
      </c>
      <c r="G4213" s="16" t="s">
        <v>32</v>
      </c>
      <c r="H4213" s="16" t="s">
        <v>64</v>
      </c>
      <c r="I4213" s="16"/>
      <c r="J4213" s="16" t="s">
        <v>7055</v>
      </c>
      <c r="K4213" s="16"/>
      <c r="L4213" s="16"/>
      <c r="M4213" s="19" t="s">
        <v>7056</v>
      </c>
      <c r="N4213" s="16"/>
      <c r="O4213" s="16" t="s">
        <v>7057</v>
      </c>
      <c r="P4213" s="16" t="str">
        <f>HYPERLINK("https://ceds.ed.gov/cedselementdetails.aspx?termid=26279")</f>
        <v>https://ceds.ed.gov/cedselementdetails.aspx?termid=26279</v>
      </c>
      <c r="Q4213" s="16">
        <v>73995</v>
      </c>
    </row>
    <row r="4214" spans="1:17" ht="57.6" x14ac:dyDescent="0.3">
      <c r="A4214" s="16" t="s">
        <v>4056</v>
      </c>
      <c r="B4214" s="16" t="s">
        <v>7761</v>
      </c>
      <c r="C4214" s="16" t="s">
        <v>7604</v>
      </c>
      <c r="D4214" s="16" t="s">
        <v>7597</v>
      </c>
      <c r="E4214" s="16" t="s">
        <v>3175</v>
      </c>
      <c r="F4214" s="16" t="s">
        <v>3176</v>
      </c>
      <c r="G4214" s="16" t="s">
        <v>2987</v>
      </c>
      <c r="H4214" s="16"/>
      <c r="I4214" s="16"/>
      <c r="J4214" s="16"/>
      <c r="K4214" s="16"/>
      <c r="L4214" s="16"/>
      <c r="M4214" s="19" t="s">
        <v>3177</v>
      </c>
      <c r="N4214" s="16"/>
      <c r="O4214" s="16" t="s">
        <v>3178</v>
      </c>
      <c r="P4214" s="16" t="str">
        <f>HYPERLINK("https://ceds.ed.gov/cedselementdetails.aspx?termid=27905")</f>
        <v>https://ceds.ed.gov/cedselementdetails.aspx?termid=27905</v>
      </c>
      <c r="Q4214" s="16">
        <v>75447</v>
      </c>
    </row>
    <row r="4215" spans="1:17" ht="57.6" x14ac:dyDescent="0.3">
      <c r="A4215" s="16" t="s">
        <v>4056</v>
      </c>
      <c r="B4215" s="16" t="s">
        <v>7761</v>
      </c>
      <c r="C4215" s="16" t="s">
        <v>7604</v>
      </c>
      <c r="D4215" s="16" t="s">
        <v>7597</v>
      </c>
      <c r="E4215" s="16" t="s">
        <v>7058</v>
      </c>
      <c r="F4215" s="16" t="s">
        <v>7059</v>
      </c>
      <c r="G4215" s="16" t="s">
        <v>8848</v>
      </c>
      <c r="H4215" s="16"/>
      <c r="I4215" s="16"/>
      <c r="J4215" s="16"/>
      <c r="K4215" s="16"/>
      <c r="L4215" s="16"/>
      <c r="M4215" s="19" t="s">
        <v>7060</v>
      </c>
      <c r="N4215" s="16"/>
      <c r="O4215" s="16" t="s">
        <v>7061</v>
      </c>
      <c r="P4215" s="16" t="str">
        <f>HYPERLINK("https://ceds.ed.gov/cedselementdetails.aspx?termid=27911")</f>
        <v>https://ceds.ed.gov/cedselementdetails.aspx?termid=27911</v>
      </c>
      <c r="Q4215" s="16">
        <v>75448</v>
      </c>
    </row>
    <row r="4216" spans="1:17" ht="72" x14ac:dyDescent="0.3">
      <c r="A4216" s="16" t="s">
        <v>4056</v>
      </c>
      <c r="B4216" s="16" t="s">
        <v>7761</v>
      </c>
      <c r="C4216" s="16" t="s">
        <v>7605</v>
      </c>
      <c r="D4216" s="16" t="s">
        <v>7597</v>
      </c>
      <c r="E4216" s="16" t="s">
        <v>3412</v>
      </c>
      <c r="F4216" s="16" t="s">
        <v>3413</v>
      </c>
      <c r="G4216" s="16" t="s">
        <v>9330</v>
      </c>
      <c r="H4216" s="16" t="s">
        <v>64</v>
      </c>
      <c r="I4216" s="16"/>
      <c r="J4216" s="16"/>
      <c r="K4216" s="16"/>
      <c r="L4216" s="16"/>
      <c r="M4216" s="19" t="s">
        <v>3414</v>
      </c>
      <c r="N4216" s="16" t="s">
        <v>3415</v>
      </c>
      <c r="O4216" s="16" t="s">
        <v>3416</v>
      </c>
      <c r="P4216" s="16" t="str">
        <f>HYPERLINK("https://ceds.ed.gov/cedselementdetails.aspx?termid=26089")</f>
        <v>https://ceds.ed.gov/cedselementdetails.aspx?termid=26089</v>
      </c>
      <c r="Q4216" s="16">
        <v>73970</v>
      </c>
    </row>
    <row r="4217" spans="1:17" ht="72" x14ac:dyDescent="0.3">
      <c r="A4217" s="16" t="s">
        <v>4056</v>
      </c>
      <c r="B4217" s="16" t="s">
        <v>7761</v>
      </c>
      <c r="C4217" s="16" t="s">
        <v>7605</v>
      </c>
      <c r="D4217" s="16" t="s">
        <v>7597</v>
      </c>
      <c r="E4217" s="16" t="s">
        <v>3406</v>
      </c>
      <c r="F4217" s="16" t="s">
        <v>3407</v>
      </c>
      <c r="G4217" s="16" t="s">
        <v>32</v>
      </c>
      <c r="H4217" s="16" t="s">
        <v>64</v>
      </c>
      <c r="I4217" s="16"/>
      <c r="J4217" s="16" t="s">
        <v>3408</v>
      </c>
      <c r="K4217" s="16"/>
      <c r="L4217" s="16"/>
      <c r="M4217" s="19" t="s">
        <v>3409</v>
      </c>
      <c r="N4217" s="16" t="s">
        <v>3410</v>
      </c>
      <c r="O4217" s="16" t="s">
        <v>3411</v>
      </c>
      <c r="P4217" s="16" t="str">
        <f>HYPERLINK("https://ceds.ed.gov/cedselementdetails.aspx?termid=26088")</f>
        <v>https://ceds.ed.gov/cedselementdetails.aspx?termid=26088</v>
      </c>
      <c r="Q4217" s="16">
        <v>73968</v>
      </c>
    </row>
    <row r="4218" spans="1:17" ht="57.6" x14ac:dyDescent="0.3">
      <c r="A4218" s="16" t="s">
        <v>4056</v>
      </c>
      <c r="B4218" s="16" t="s">
        <v>7761</v>
      </c>
      <c r="C4218" s="16" t="s">
        <v>7605</v>
      </c>
      <c r="D4218" s="16" t="s">
        <v>7597</v>
      </c>
      <c r="E4218" s="16" t="s">
        <v>3175</v>
      </c>
      <c r="F4218" s="16" t="s">
        <v>3176</v>
      </c>
      <c r="G4218" s="16" t="s">
        <v>2987</v>
      </c>
      <c r="H4218" s="16"/>
      <c r="I4218" s="16"/>
      <c r="J4218" s="16"/>
      <c r="K4218" s="16"/>
      <c r="L4218" s="16"/>
      <c r="M4218" s="19" t="s">
        <v>3177</v>
      </c>
      <c r="N4218" s="16"/>
      <c r="O4218" s="16" t="s">
        <v>3178</v>
      </c>
      <c r="P4218" s="16" t="str">
        <f>HYPERLINK("https://ceds.ed.gov/cedselementdetails.aspx?termid=27905")</f>
        <v>https://ceds.ed.gov/cedselementdetails.aspx?termid=27905</v>
      </c>
      <c r="Q4218" s="16">
        <v>75446</v>
      </c>
    </row>
    <row r="4219" spans="1:17" ht="201.6" x14ac:dyDescent="0.3">
      <c r="A4219" s="16" t="s">
        <v>4056</v>
      </c>
      <c r="B4219" s="16" t="s">
        <v>7761</v>
      </c>
      <c r="C4219" s="16" t="s">
        <v>7628</v>
      </c>
      <c r="D4219" s="16" t="s">
        <v>7597</v>
      </c>
      <c r="E4219" s="16" t="s">
        <v>1507</v>
      </c>
      <c r="F4219" s="16" t="s">
        <v>1508</v>
      </c>
      <c r="G4219" s="16" t="s">
        <v>32</v>
      </c>
      <c r="H4219" s="16" t="s">
        <v>1510</v>
      </c>
      <c r="I4219" s="16"/>
      <c r="J4219" s="16" t="s">
        <v>106</v>
      </c>
      <c r="K4219" s="16"/>
      <c r="L4219" s="16"/>
      <c r="M4219" s="19" t="s">
        <v>1509</v>
      </c>
      <c r="N4219" s="16"/>
      <c r="O4219" s="16" t="s">
        <v>1507</v>
      </c>
      <c r="P4219" s="16" t="str">
        <f>HYPERLINK("https://ceds.ed.gov/cedselementdetails.aspx?termid=26033")</f>
        <v>https://ceds.ed.gov/cedselementdetails.aspx?termid=26033</v>
      </c>
      <c r="Q4219" s="16">
        <v>73947</v>
      </c>
    </row>
    <row r="4220" spans="1:17" ht="216" x14ac:dyDescent="0.3">
      <c r="A4220" s="16" t="s">
        <v>4056</v>
      </c>
      <c r="B4220" s="16" t="s">
        <v>7761</v>
      </c>
      <c r="C4220" s="16" t="s">
        <v>7628</v>
      </c>
      <c r="D4220" s="16" t="s">
        <v>7597</v>
      </c>
      <c r="E4220" s="16" t="s">
        <v>6662</v>
      </c>
      <c r="F4220" s="16" t="s">
        <v>6663</v>
      </c>
      <c r="G4220" s="16" t="s">
        <v>8831</v>
      </c>
      <c r="H4220" s="16" t="s">
        <v>6666</v>
      </c>
      <c r="I4220" s="16"/>
      <c r="J4220" s="16"/>
      <c r="K4220" s="16"/>
      <c r="L4220" s="16" t="s">
        <v>6664</v>
      </c>
      <c r="M4220" s="19" t="s">
        <v>6665</v>
      </c>
      <c r="N4220" s="16"/>
      <c r="O4220" s="16" t="s">
        <v>6662</v>
      </c>
      <c r="P4220" s="16" t="str">
        <f>HYPERLINK("https://ceds.ed.gov/cedselementdetails.aspx?termid=26255")</f>
        <v>https://ceds.ed.gov/cedselementdetails.aspx?termid=26255</v>
      </c>
      <c r="Q4220" s="16">
        <v>73992</v>
      </c>
    </row>
    <row r="4221" spans="1:17" ht="201.6" x14ac:dyDescent="0.3">
      <c r="A4221" s="16" t="s">
        <v>4056</v>
      </c>
      <c r="B4221" s="16" t="s">
        <v>7761</v>
      </c>
      <c r="C4221" s="16" t="s">
        <v>7628</v>
      </c>
      <c r="D4221" s="16" t="s">
        <v>7597</v>
      </c>
      <c r="E4221" s="16" t="s">
        <v>348</v>
      </c>
      <c r="F4221" s="16" t="s">
        <v>349</v>
      </c>
      <c r="G4221" s="16" t="s">
        <v>8319</v>
      </c>
      <c r="H4221" s="16" t="s">
        <v>353</v>
      </c>
      <c r="I4221" s="16"/>
      <c r="J4221" s="16"/>
      <c r="K4221" s="16"/>
      <c r="L4221" s="16" t="s">
        <v>7828</v>
      </c>
      <c r="M4221" s="19" t="s">
        <v>350</v>
      </c>
      <c r="N4221" s="16" t="s">
        <v>351</v>
      </c>
      <c r="O4221" s="16" t="s">
        <v>352</v>
      </c>
      <c r="P4221" s="16" t="str">
        <f>HYPERLINK("https://ceds.ed.gov/cedselementdetails.aspx?termid=26655")</f>
        <v>https://ceds.ed.gov/cedselementdetails.aspx?termid=26655</v>
      </c>
      <c r="Q4221" s="16">
        <v>73944</v>
      </c>
    </row>
    <row r="4222" spans="1:17" ht="201.6" x14ac:dyDescent="0.3">
      <c r="A4222" s="16" t="s">
        <v>4056</v>
      </c>
      <c r="B4222" s="16" t="s">
        <v>7761</v>
      </c>
      <c r="C4222" s="16" t="s">
        <v>7628</v>
      </c>
      <c r="D4222" s="16" t="s">
        <v>7597</v>
      </c>
      <c r="E4222" s="16" t="s">
        <v>373</v>
      </c>
      <c r="F4222" s="16" t="s">
        <v>374</v>
      </c>
      <c r="G4222" s="16" t="s">
        <v>8319</v>
      </c>
      <c r="H4222" s="16" t="s">
        <v>353</v>
      </c>
      <c r="I4222" s="16"/>
      <c r="J4222" s="16"/>
      <c r="K4222" s="16"/>
      <c r="L4222" s="16" t="s">
        <v>7828</v>
      </c>
      <c r="M4222" s="19" t="s">
        <v>375</v>
      </c>
      <c r="N4222" s="16" t="s">
        <v>376</v>
      </c>
      <c r="O4222" s="16" t="s">
        <v>373</v>
      </c>
      <c r="P4222" s="16" t="str">
        <f>HYPERLINK("https://ceds.ed.gov/cedselementdetails.aspx?termid=26656")</f>
        <v>https://ceds.ed.gov/cedselementdetails.aspx?termid=26656</v>
      </c>
      <c r="Q4222" s="16">
        <v>73946</v>
      </c>
    </row>
    <row r="4223" spans="1:17" ht="201.6" x14ac:dyDescent="0.3">
      <c r="A4223" s="16" t="s">
        <v>4056</v>
      </c>
      <c r="B4223" s="16" t="s">
        <v>7761</v>
      </c>
      <c r="C4223" s="16" t="s">
        <v>7628</v>
      </c>
      <c r="D4223" s="16" t="s">
        <v>7597</v>
      </c>
      <c r="E4223" s="16" t="s">
        <v>1517</v>
      </c>
      <c r="F4223" s="16" t="s">
        <v>1518</v>
      </c>
      <c r="G4223" s="16" t="s">
        <v>8319</v>
      </c>
      <c r="H4223" s="16" t="s">
        <v>353</v>
      </c>
      <c r="I4223" s="16"/>
      <c r="J4223" s="16"/>
      <c r="K4223" s="16"/>
      <c r="L4223" s="16" t="s">
        <v>7828</v>
      </c>
      <c r="M4223" s="19" t="s">
        <v>1519</v>
      </c>
      <c r="N4223" s="16" t="s">
        <v>1520</v>
      </c>
      <c r="O4223" s="16" t="s">
        <v>1521</v>
      </c>
      <c r="P4223" s="16" t="str">
        <f>HYPERLINK("https://ceds.ed.gov/cedselementdetails.aspx?termid=26657")</f>
        <v>https://ceds.ed.gov/cedselementdetails.aspx?termid=26657</v>
      </c>
      <c r="Q4223" s="16">
        <v>73948</v>
      </c>
    </row>
    <row r="4224" spans="1:17" ht="201.6" x14ac:dyDescent="0.3">
      <c r="A4224" s="16" t="s">
        <v>4056</v>
      </c>
      <c r="B4224" s="16" t="s">
        <v>7761</v>
      </c>
      <c r="C4224" s="16" t="s">
        <v>7628</v>
      </c>
      <c r="D4224" s="16" t="s">
        <v>7597</v>
      </c>
      <c r="E4224" s="16" t="s">
        <v>5454</v>
      </c>
      <c r="F4224" s="16" t="s">
        <v>5455</v>
      </c>
      <c r="G4224" s="16" t="s">
        <v>8319</v>
      </c>
      <c r="H4224" s="16" t="s">
        <v>353</v>
      </c>
      <c r="I4224" s="16"/>
      <c r="J4224" s="16"/>
      <c r="K4224" s="16"/>
      <c r="L4224" s="16" t="s">
        <v>7828</v>
      </c>
      <c r="M4224" s="19" t="s">
        <v>5456</v>
      </c>
      <c r="N4224" s="16" t="s">
        <v>5457</v>
      </c>
      <c r="O4224" s="16" t="s">
        <v>5458</v>
      </c>
      <c r="P4224" s="16" t="str">
        <f>HYPERLINK("https://ceds.ed.gov/cedselementdetails.aspx?termid=26658")</f>
        <v>https://ceds.ed.gov/cedselementdetails.aspx?termid=26658</v>
      </c>
      <c r="Q4224" s="16">
        <v>73977</v>
      </c>
    </row>
    <row r="4225" spans="1:17" ht="201.6" x14ac:dyDescent="0.3">
      <c r="A4225" s="16" t="s">
        <v>4056</v>
      </c>
      <c r="B4225" s="16" t="s">
        <v>7761</v>
      </c>
      <c r="C4225" s="16" t="s">
        <v>7628</v>
      </c>
      <c r="D4225" s="16" t="s">
        <v>7597</v>
      </c>
      <c r="E4225" s="16" t="s">
        <v>7282</v>
      </c>
      <c r="F4225" s="16" t="s">
        <v>7283</v>
      </c>
      <c r="G4225" s="16" t="s">
        <v>8319</v>
      </c>
      <c r="H4225" s="16" t="s">
        <v>353</v>
      </c>
      <c r="I4225" s="16"/>
      <c r="J4225" s="16"/>
      <c r="K4225" s="16"/>
      <c r="L4225" s="16" t="s">
        <v>7828</v>
      </c>
      <c r="M4225" s="19" t="s">
        <v>7284</v>
      </c>
      <c r="N4225" s="16" t="s">
        <v>7285</v>
      </c>
      <c r="O4225" s="16" t="s">
        <v>7282</v>
      </c>
      <c r="P4225" s="16" t="str">
        <f>HYPERLINK("https://ceds.ed.gov/cedselementdetails.aspx?termid=26659")</f>
        <v>https://ceds.ed.gov/cedselementdetails.aspx?termid=26659</v>
      </c>
      <c r="Q4225" s="16">
        <v>73999</v>
      </c>
    </row>
    <row r="4226" spans="1:17" ht="201.6" x14ac:dyDescent="0.3">
      <c r="A4226" s="16" t="s">
        <v>4056</v>
      </c>
      <c r="B4226" s="16" t="s">
        <v>7761</v>
      </c>
      <c r="C4226" s="16" t="s">
        <v>7628</v>
      </c>
      <c r="D4226" s="16" t="s">
        <v>7597</v>
      </c>
      <c r="E4226" s="16" t="s">
        <v>4283</v>
      </c>
      <c r="F4226" s="16" t="s">
        <v>4284</v>
      </c>
      <c r="G4226" s="16" t="s">
        <v>8319</v>
      </c>
      <c r="H4226" s="16" t="s">
        <v>353</v>
      </c>
      <c r="I4226" s="16"/>
      <c r="J4226" s="16"/>
      <c r="K4226" s="16"/>
      <c r="L4226" s="16" t="s">
        <v>7828</v>
      </c>
      <c r="M4226" s="19" t="s">
        <v>4285</v>
      </c>
      <c r="N4226" s="16"/>
      <c r="O4226" s="16" t="s">
        <v>4286</v>
      </c>
      <c r="P4226" s="16" t="str">
        <f>HYPERLINK("https://ceds.ed.gov/cedselementdetails.aspx?termid=26144")</f>
        <v>https://ceds.ed.gov/cedselementdetails.aspx?termid=26144</v>
      </c>
      <c r="Q4226" s="16">
        <v>73974</v>
      </c>
    </row>
    <row r="4227" spans="1:17" ht="100.8" x14ac:dyDescent="0.3">
      <c r="A4227" s="16" t="s">
        <v>4056</v>
      </c>
      <c r="B4227" s="16" t="s">
        <v>7761</v>
      </c>
      <c r="C4227" s="16" t="s">
        <v>7628</v>
      </c>
      <c r="D4227" s="16" t="s">
        <v>7597</v>
      </c>
      <c r="E4227" s="16" t="s">
        <v>5395</v>
      </c>
      <c r="F4227" s="16" t="s">
        <v>8092</v>
      </c>
      <c r="G4227" s="16" t="s">
        <v>8728</v>
      </c>
      <c r="H4227" s="16"/>
      <c r="I4227" s="16"/>
      <c r="J4227" s="16"/>
      <c r="K4227" s="16"/>
      <c r="L4227" s="16"/>
      <c r="M4227" s="19" t="s">
        <v>5396</v>
      </c>
      <c r="N4227" s="16"/>
      <c r="O4227" s="16" t="s">
        <v>5397</v>
      </c>
      <c r="P4227" s="16" t="str">
        <f>HYPERLINK("https://ceds.ed.gov/cedselementdetails.aspx?termid=27621")</f>
        <v>https://ceds.ed.gov/cedselementdetails.aspx?termid=27621</v>
      </c>
      <c r="Q4227" s="16">
        <v>74312</v>
      </c>
    </row>
    <row r="4228" spans="1:17" ht="72" x14ac:dyDescent="0.3">
      <c r="A4228" s="16" t="s">
        <v>4056</v>
      </c>
      <c r="B4228" s="16" t="s">
        <v>7761</v>
      </c>
      <c r="C4228" s="16" t="s">
        <v>7628</v>
      </c>
      <c r="D4228" s="16" t="s">
        <v>7597</v>
      </c>
      <c r="E4228" s="16" t="s">
        <v>3038</v>
      </c>
      <c r="F4228" s="16" t="s">
        <v>3039</v>
      </c>
      <c r="G4228" s="16" t="s">
        <v>22</v>
      </c>
      <c r="H4228" s="16"/>
      <c r="I4228" s="16"/>
      <c r="J4228" s="16"/>
      <c r="K4228" s="16"/>
      <c r="L4228" s="16" t="s">
        <v>3040</v>
      </c>
      <c r="M4228" s="19" t="s">
        <v>3041</v>
      </c>
      <c r="N4228" s="16"/>
      <c r="O4228" s="16" t="s">
        <v>3042</v>
      </c>
      <c r="P4228" s="16" t="str">
        <f>HYPERLINK("https://ceds.ed.gov/cedselementdetails.aspx?termid=26974")</f>
        <v>https://ceds.ed.gov/cedselementdetails.aspx?termid=26974</v>
      </c>
      <c r="Q4228" s="16">
        <v>75181</v>
      </c>
    </row>
    <row r="4229" spans="1:17" ht="409.6" x14ac:dyDescent="0.3">
      <c r="A4229" s="16" t="s">
        <v>4056</v>
      </c>
      <c r="B4229" s="16" t="s">
        <v>7761</v>
      </c>
      <c r="C4229" s="16" t="s">
        <v>7628</v>
      </c>
      <c r="D4229" s="16" t="s">
        <v>7597</v>
      </c>
      <c r="E4229" s="16" t="s">
        <v>2488</v>
      </c>
      <c r="F4229" s="16" t="s">
        <v>2489</v>
      </c>
      <c r="G4229" s="16" t="s">
        <v>8454</v>
      </c>
      <c r="H4229" s="16" t="s">
        <v>2492</v>
      </c>
      <c r="I4229" s="16"/>
      <c r="J4229" s="16"/>
      <c r="K4229" s="16"/>
      <c r="L4229" s="16" t="s">
        <v>7915</v>
      </c>
      <c r="M4229" s="19" t="s">
        <v>2490</v>
      </c>
      <c r="N4229" s="16"/>
      <c r="O4229" s="16" t="s">
        <v>2491</v>
      </c>
      <c r="P4229" s="16" t="str">
        <f>HYPERLINK("https://ceds.ed.gov/cedselementdetails.aspx?termid=26051")</f>
        <v>https://ceds.ed.gov/cedselementdetails.aspx?termid=26051</v>
      </c>
      <c r="Q4229" s="16">
        <v>75449</v>
      </c>
    </row>
    <row r="4230" spans="1:17" ht="57.6" x14ac:dyDescent="0.3">
      <c r="A4230" s="16" t="s">
        <v>4056</v>
      </c>
      <c r="B4230" s="16" t="s">
        <v>7761</v>
      </c>
      <c r="C4230" s="16" t="s">
        <v>7628</v>
      </c>
      <c r="D4230" s="16" t="s">
        <v>7597</v>
      </c>
      <c r="E4230" s="16" t="s">
        <v>7418</v>
      </c>
      <c r="F4230" s="16" t="s">
        <v>7419</v>
      </c>
      <c r="G4230" s="16" t="s">
        <v>22</v>
      </c>
      <c r="H4230" s="16"/>
      <c r="I4230" s="16"/>
      <c r="J4230" s="16"/>
      <c r="K4230" s="16"/>
      <c r="L4230" s="16"/>
      <c r="M4230" s="19" t="s">
        <v>7420</v>
      </c>
      <c r="N4230" s="16"/>
      <c r="O4230" s="16" t="s">
        <v>7421</v>
      </c>
      <c r="P4230" s="16" t="str">
        <f>HYPERLINK("https://ceds.ed.gov/cedselementdetails.aspx?termid=27932")</f>
        <v>https://ceds.ed.gov/cedselementdetails.aspx?termid=27932</v>
      </c>
      <c r="Q4230" s="16">
        <v>75681</v>
      </c>
    </row>
    <row r="4231" spans="1:17" ht="115.2" x14ac:dyDescent="0.3">
      <c r="A4231" s="16" t="s">
        <v>4056</v>
      </c>
      <c r="B4231" s="16" t="s">
        <v>7761</v>
      </c>
      <c r="C4231" s="16" t="s">
        <v>7628</v>
      </c>
      <c r="D4231" s="16" t="s">
        <v>7597</v>
      </c>
      <c r="E4231" s="16" t="s">
        <v>7422</v>
      </c>
      <c r="F4231" s="16" t="s">
        <v>7423</v>
      </c>
      <c r="G4231" s="16" t="s">
        <v>2987</v>
      </c>
      <c r="H4231" s="16"/>
      <c r="I4231" s="16"/>
      <c r="J4231" s="16"/>
      <c r="K4231" s="16"/>
      <c r="L4231" s="16"/>
      <c r="M4231" s="19" t="s">
        <v>7424</v>
      </c>
      <c r="N4231" s="16"/>
      <c r="O4231" s="16" t="s">
        <v>7425</v>
      </c>
      <c r="P4231" s="16" t="str">
        <f>HYPERLINK("https://ceds.ed.gov/cedselementdetails.aspx?termid=27933")</f>
        <v>https://ceds.ed.gov/cedselementdetails.aspx?termid=27933</v>
      </c>
      <c r="Q4231" s="16">
        <v>75682</v>
      </c>
    </row>
    <row r="4232" spans="1:17" ht="144" x14ac:dyDescent="0.3">
      <c r="A4232" s="16" t="s">
        <v>4056</v>
      </c>
      <c r="B4232" s="16" t="s">
        <v>7761</v>
      </c>
      <c r="C4232" s="16" t="s">
        <v>7628</v>
      </c>
      <c r="D4232" s="16" t="s">
        <v>7597</v>
      </c>
      <c r="E4232" s="16" t="s">
        <v>7527</v>
      </c>
      <c r="F4232" s="16" t="s">
        <v>7528</v>
      </c>
      <c r="G4232" s="16" t="s">
        <v>8811</v>
      </c>
      <c r="H4232" s="16"/>
      <c r="I4232" s="16"/>
      <c r="J4232" s="16"/>
      <c r="K4232" s="16"/>
      <c r="L4232" s="16" t="s">
        <v>7529</v>
      </c>
      <c r="M4232" s="19" t="s">
        <v>7530</v>
      </c>
      <c r="N4232" s="16"/>
      <c r="O4232" s="16" t="s">
        <v>7527</v>
      </c>
      <c r="P4232" s="16" t="str">
        <f>HYPERLINK("https://ceds.ed.gov/cedselementdetails.aspx?termid=27955")</f>
        <v>https://ceds.ed.gov/cedselementdetails.aspx?termid=27955</v>
      </c>
      <c r="Q4232" s="16">
        <v>75683</v>
      </c>
    </row>
    <row r="4233" spans="1:17" ht="43.2" x14ac:dyDescent="0.3">
      <c r="A4233" s="16" t="s">
        <v>4056</v>
      </c>
      <c r="B4233" s="16" t="s">
        <v>7761</v>
      </c>
      <c r="C4233" s="16" t="s">
        <v>7628</v>
      </c>
      <c r="D4233" s="16" t="s">
        <v>7597</v>
      </c>
      <c r="E4233" s="16" t="s">
        <v>2077</v>
      </c>
      <c r="F4233" s="16" t="s">
        <v>7342</v>
      </c>
      <c r="G4233" s="16" t="s">
        <v>32</v>
      </c>
      <c r="H4233" s="16" t="s">
        <v>2080</v>
      </c>
      <c r="I4233" s="16"/>
      <c r="J4233" s="16" t="s">
        <v>1807</v>
      </c>
      <c r="K4233" s="16"/>
      <c r="L4233" s="16"/>
      <c r="M4233" s="19" t="s">
        <v>2078</v>
      </c>
      <c r="N4233" s="16"/>
      <c r="O4233" s="16" t="s">
        <v>2079</v>
      </c>
      <c r="P4233" s="16" t="str">
        <f>HYPERLINK("https://ceds.ed.gov/cedselementdetails.aspx?termid=26577")</f>
        <v>https://ceds.ed.gov/cedselementdetails.aspx?termid=26577</v>
      </c>
      <c r="Q4233" s="16">
        <v>76488</v>
      </c>
    </row>
    <row r="4234" spans="1:17" ht="72" x14ac:dyDescent="0.3">
      <c r="A4234" s="16" t="s">
        <v>4056</v>
      </c>
      <c r="B4234" s="16" t="s">
        <v>7761</v>
      </c>
      <c r="C4234" s="16" t="s">
        <v>7628</v>
      </c>
      <c r="D4234" s="16" t="s">
        <v>7597</v>
      </c>
      <c r="E4234" s="16" t="s">
        <v>5398</v>
      </c>
      <c r="F4234" s="16" t="s">
        <v>5399</v>
      </c>
      <c r="G4234" s="16" t="s">
        <v>8245</v>
      </c>
      <c r="H4234" s="16"/>
      <c r="I4234" s="16"/>
      <c r="J4234" s="16"/>
      <c r="K4234" s="16"/>
      <c r="L4234" s="16"/>
      <c r="M4234" s="19" t="s">
        <v>5400</v>
      </c>
      <c r="N4234" s="16"/>
      <c r="O4234" s="16" t="s">
        <v>5401</v>
      </c>
      <c r="P4234" s="16" t="str">
        <f>HYPERLINK("https://ceds.ed.gov/cedselementdetails.aspx?termid=27555")</f>
        <v>https://ceds.ed.gov/cedselementdetails.aspx?termid=27555</v>
      </c>
      <c r="Q4234" s="16">
        <v>76489</v>
      </c>
    </row>
    <row r="4235" spans="1:17" ht="115.2" x14ac:dyDescent="0.3">
      <c r="A4235" s="16" t="s">
        <v>4056</v>
      </c>
      <c r="B4235" s="16" t="s">
        <v>7761</v>
      </c>
      <c r="C4235" s="16" t="s">
        <v>7628</v>
      </c>
      <c r="D4235" s="16" t="s">
        <v>7597</v>
      </c>
      <c r="E4235" s="16" t="s">
        <v>6823</v>
      </c>
      <c r="F4235" s="16" t="s">
        <v>8155</v>
      </c>
      <c r="G4235" s="16" t="s">
        <v>32</v>
      </c>
      <c r="H4235" s="16" t="s">
        <v>69</v>
      </c>
      <c r="I4235" s="16"/>
      <c r="J4235" s="16" t="s">
        <v>6824</v>
      </c>
      <c r="K4235" s="16"/>
      <c r="L4235" s="16"/>
      <c r="M4235" s="19" t="s">
        <v>6825</v>
      </c>
      <c r="N4235" s="16"/>
      <c r="O4235" s="16" t="s">
        <v>6826</v>
      </c>
      <c r="P4235" s="16" t="str">
        <f>HYPERLINK("https://ceds.ed.gov/cedselementdetails.aspx?termid=26707")</f>
        <v>https://ceds.ed.gov/cedselementdetails.aspx?termid=26707</v>
      </c>
      <c r="Q4235" s="16">
        <v>76490</v>
      </c>
    </row>
    <row r="4236" spans="1:17" ht="129.6" x14ac:dyDescent="0.3">
      <c r="A4236" s="16" t="s">
        <v>4056</v>
      </c>
      <c r="B4236" s="16" t="s">
        <v>7761</v>
      </c>
      <c r="C4236" s="16" t="s">
        <v>7628</v>
      </c>
      <c r="D4236" s="16" t="s">
        <v>7597</v>
      </c>
      <c r="E4236" s="16" t="s">
        <v>7233</v>
      </c>
      <c r="F4236" s="16" t="s">
        <v>7234</v>
      </c>
      <c r="G4236" s="16" t="s">
        <v>8862</v>
      </c>
      <c r="H4236" s="16" t="s">
        <v>230</v>
      </c>
      <c r="I4236" s="16"/>
      <c r="J4236" s="16"/>
      <c r="K4236" s="16"/>
      <c r="L4236" s="16"/>
      <c r="M4236" s="19" t="s">
        <v>7235</v>
      </c>
      <c r="N4236" s="16"/>
      <c r="O4236" s="16" t="s">
        <v>7236</v>
      </c>
      <c r="P4236" s="16" t="str">
        <f>HYPERLINK("https://ceds.ed.gov/cedselementdetails.aspx?termid=26196")</f>
        <v>https://ceds.ed.gov/cedselementdetails.aspx?termid=26196</v>
      </c>
      <c r="Q4236" s="16">
        <v>76491</v>
      </c>
    </row>
    <row r="4237" spans="1:17" ht="230.4" x14ac:dyDescent="0.3">
      <c r="A4237" s="16" t="s">
        <v>4056</v>
      </c>
      <c r="B4237" s="16" t="s">
        <v>7761</v>
      </c>
      <c r="C4237" s="16" t="s">
        <v>7628</v>
      </c>
      <c r="D4237" s="16" t="s">
        <v>7597</v>
      </c>
      <c r="E4237" s="16" t="s">
        <v>7584</v>
      </c>
      <c r="F4237" s="16" t="s">
        <v>7585</v>
      </c>
      <c r="G4237" s="16" t="s">
        <v>9347</v>
      </c>
      <c r="H4237" s="16"/>
      <c r="I4237" s="16"/>
      <c r="J4237" s="16"/>
      <c r="K4237" s="16"/>
      <c r="L4237" s="16"/>
      <c r="M4237" s="19" t="s">
        <v>7586</v>
      </c>
      <c r="N4237" s="16"/>
      <c r="O4237" s="16" t="s">
        <v>7587</v>
      </c>
      <c r="P4237" s="16" t="str">
        <f>HYPERLINK("https://ceds.ed.gov/cedselementdetails.aspx?termid=27969")</f>
        <v>https://ceds.ed.gov/cedselementdetails.aspx?termid=27969</v>
      </c>
      <c r="Q4237" s="16">
        <v>76492</v>
      </c>
    </row>
    <row r="4238" spans="1:17" ht="100.8" x14ac:dyDescent="0.3">
      <c r="A4238" s="16" t="s">
        <v>4056</v>
      </c>
      <c r="B4238" s="16" t="s">
        <v>7761</v>
      </c>
      <c r="C4238" s="16" t="s">
        <v>7683</v>
      </c>
      <c r="D4238" s="16" t="s">
        <v>7597</v>
      </c>
      <c r="E4238" s="16" t="s">
        <v>5503</v>
      </c>
      <c r="F4238" s="16" t="s">
        <v>5504</v>
      </c>
      <c r="G4238" s="16" t="s">
        <v>32</v>
      </c>
      <c r="H4238" s="16" t="s">
        <v>5256</v>
      </c>
      <c r="I4238" s="16"/>
      <c r="J4238" s="16" t="s">
        <v>1481</v>
      </c>
      <c r="K4238" s="16"/>
      <c r="L4238" s="16"/>
      <c r="M4238" s="19" t="s">
        <v>5505</v>
      </c>
      <c r="N4238" s="16"/>
      <c r="O4238" s="16" t="s">
        <v>5506</v>
      </c>
      <c r="P4238" s="16" t="str">
        <f>HYPERLINK("https://ceds.ed.gov/cedselementdetails.aspx?termid=26200")</f>
        <v>https://ceds.ed.gov/cedselementdetails.aspx?termid=26200</v>
      </c>
      <c r="Q4238" s="16">
        <v>73983</v>
      </c>
    </row>
    <row r="4239" spans="1:17" ht="144" x14ac:dyDescent="0.3">
      <c r="A4239" s="16" t="s">
        <v>4056</v>
      </c>
      <c r="B4239" s="16" t="s">
        <v>7761</v>
      </c>
      <c r="C4239" s="16" t="s">
        <v>7683</v>
      </c>
      <c r="D4239" s="16" t="s">
        <v>7597</v>
      </c>
      <c r="E4239" s="16" t="s">
        <v>70</v>
      </c>
      <c r="F4239" s="16" t="s">
        <v>71</v>
      </c>
      <c r="G4239" s="16" t="s">
        <v>8285</v>
      </c>
      <c r="H4239" s="16" t="s">
        <v>75</v>
      </c>
      <c r="I4239" s="16"/>
      <c r="J4239" s="16"/>
      <c r="K4239" s="16"/>
      <c r="L4239" s="16" t="s">
        <v>72</v>
      </c>
      <c r="M4239" s="19" t="s">
        <v>73</v>
      </c>
      <c r="N4239" s="16"/>
      <c r="O4239" s="16" t="s">
        <v>74</v>
      </c>
      <c r="P4239" s="16" t="str">
        <f>HYPERLINK("https://ceds.ed.gov/cedselementdetails.aspx?termid=26703")</f>
        <v>https://ceds.ed.gov/cedselementdetails.aspx?termid=26703</v>
      </c>
      <c r="Q4239" s="16">
        <v>76470</v>
      </c>
    </row>
    <row r="4240" spans="1:17" ht="57.6" x14ac:dyDescent="0.3">
      <c r="A4240" s="16" t="s">
        <v>4056</v>
      </c>
      <c r="B4240" s="16" t="s">
        <v>7761</v>
      </c>
      <c r="C4240" s="16" t="s">
        <v>7683</v>
      </c>
      <c r="D4240" s="16" t="s">
        <v>7597</v>
      </c>
      <c r="E4240" s="16" t="s">
        <v>76</v>
      </c>
      <c r="F4240" s="16" t="s">
        <v>77</v>
      </c>
      <c r="G4240" s="16" t="s">
        <v>32</v>
      </c>
      <c r="H4240" s="16" t="s">
        <v>75</v>
      </c>
      <c r="I4240" s="16"/>
      <c r="J4240" s="16" t="s">
        <v>78</v>
      </c>
      <c r="K4240" s="16"/>
      <c r="L4240" s="16"/>
      <c r="M4240" s="19" t="s">
        <v>79</v>
      </c>
      <c r="N4240" s="16"/>
      <c r="O4240" s="16" t="s">
        <v>80</v>
      </c>
      <c r="P4240" s="16" t="str">
        <f>HYPERLINK("https://ceds.ed.gov/cedselementdetails.aspx?termid=26702")</f>
        <v>https://ceds.ed.gov/cedselementdetails.aspx?termid=26702</v>
      </c>
      <c r="Q4240" s="16">
        <v>76471</v>
      </c>
    </row>
    <row r="4241" spans="1:17" ht="72" x14ac:dyDescent="0.3">
      <c r="A4241" s="16" t="s">
        <v>4056</v>
      </c>
      <c r="B4241" s="16" t="s">
        <v>7761</v>
      </c>
      <c r="C4241" s="16" t="s">
        <v>7683</v>
      </c>
      <c r="D4241" s="16" t="s">
        <v>7597</v>
      </c>
      <c r="E4241" s="16" t="s">
        <v>1852</v>
      </c>
      <c r="F4241" s="16" t="s">
        <v>1853</v>
      </c>
      <c r="G4241" s="16" t="s">
        <v>22</v>
      </c>
      <c r="H4241" s="16" t="s">
        <v>64</v>
      </c>
      <c r="I4241" s="16"/>
      <c r="J4241" s="16"/>
      <c r="K4241" s="16"/>
      <c r="L4241" s="16"/>
      <c r="M4241" s="19" t="s">
        <v>1854</v>
      </c>
      <c r="N4241" s="16" t="s">
        <v>1855</v>
      </c>
      <c r="O4241" s="16" t="s">
        <v>1856</v>
      </c>
      <c r="P4241" s="16" t="str">
        <f>HYPERLINK("https://ceds.ed.gov/cedselementdetails.aspx?termid=26036")</f>
        <v>https://ceds.ed.gov/cedselementdetails.aspx?termid=26036</v>
      </c>
      <c r="Q4241" s="16">
        <v>76472</v>
      </c>
    </row>
    <row r="4242" spans="1:17" ht="43.2" x14ac:dyDescent="0.3">
      <c r="A4242" s="16" t="s">
        <v>4056</v>
      </c>
      <c r="B4242" s="16" t="s">
        <v>7761</v>
      </c>
      <c r="C4242" s="16" t="s">
        <v>7683</v>
      </c>
      <c r="D4242" s="16" t="s">
        <v>7597</v>
      </c>
      <c r="E4242" s="16" t="s">
        <v>1891</v>
      </c>
      <c r="F4242" s="16" t="s">
        <v>1892</v>
      </c>
      <c r="G4242" s="16" t="s">
        <v>32</v>
      </c>
      <c r="H4242" s="16"/>
      <c r="I4242" s="16"/>
      <c r="J4242" s="16" t="s">
        <v>106</v>
      </c>
      <c r="K4242" s="16"/>
      <c r="L4242" s="16"/>
      <c r="M4242" s="19" t="s">
        <v>1893</v>
      </c>
      <c r="N4242" s="16"/>
      <c r="O4242" s="16" t="s">
        <v>1894</v>
      </c>
      <c r="P4242" s="16" t="str">
        <f>HYPERLINK("https://ceds.ed.gov/cedselementdetails.aspx?termid=27255")</f>
        <v>https://ceds.ed.gov/cedselementdetails.aspx?termid=27255</v>
      </c>
      <c r="Q4242" s="16">
        <v>76473</v>
      </c>
    </row>
    <row r="4243" spans="1:17" ht="72" x14ac:dyDescent="0.3">
      <c r="A4243" s="16" t="s">
        <v>4056</v>
      </c>
      <c r="B4243" s="16" t="s">
        <v>7761</v>
      </c>
      <c r="C4243" s="16" t="s">
        <v>7683</v>
      </c>
      <c r="D4243" s="16" t="s">
        <v>7597</v>
      </c>
      <c r="E4243" s="16" t="s">
        <v>1895</v>
      </c>
      <c r="F4243" s="16" t="s">
        <v>1896</v>
      </c>
      <c r="G4243" s="16" t="s">
        <v>8426</v>
      </c>
      <c r="H4243" s="16"/>
      <c r="I4243" s="16"/>
      <c r="J4243" s="16"/>
      <c r="K4243" s="16"/>
      <c r="L4243" s="16"/>
      <c r="M4243" s="19" t="s">
        <v>1897</v>
      </c>
      <c r="N4243" s="16"/>
      <c r="O4243" s="16" t="s">
        <v>1898</v>
      </c>
      <c r="P4243" s="16" t="str">
        <f>HYPERLINK("https://ceds.ed.gov/cedselementdetails.aspx?termid=27256")</f>
        <v>https://ceds.ed.gov/cedselementdetails.aspx?termid=27256</v>
      </c>
      <c r="Q4243" s="16">
        <v>76474</v>
      </c>
    </row>
    <row r="4244" spans="1:17" ht="144" x14ac:dyDescent="0.3">
      <c r="A4244" s="16" t="s">
        <v>4056</v>
      </c>
      <c r="B4244" s="16" t="s">
        <v>7761</v>
      </c>
      <c r="C4244" s="16" t="s">
        <v>7683</v>
      </c>
      <c r="D4244" s="16" t="s">
        <v>7597</v>
      </c>
      <c r="E4244" s="16" t="s">
        <v>2536</v>
      </c>
      <c r="F4244" s="16" t="s">
        <v>2537</v>
      </c>
      <c r="G4244" s="16" t="s">
        <v>8217</v>
      </c>
      <c r="H4244" s="16" t="s">
        <v>1484</v>
      </c>
      <c r="I4244" s="16"/>
      <c r="J4244" s="16"/>
      <c r="K4244" s="16"/>
      <c r="L4244" s="16"/>
      <c r="M4244" s="19" t="s">
        <v>2538</v>
      </c>
      <c r="N4244" s="16"/>
      <c r="O4244" s="16" t="s">
        <v>2539</v>
      </c>
      <c r="P4244" s="16" t="str">
        <f>HYPERLINK("https://ceds.ed.gov/cedselementdetails.aspx?termid=26056")</f>
        <v>https://ceds.ed.gov/cedselementdetails.aspx?termid=26056</v>
      </c>
      <c r="Q4244" s="16">
        <v>76475</v>
      </c>
    </row>
    <row r="4245" spans="1:17" ht="172.8" x14ac:dyDescent="0.3">
      <c r="A4245" s="16" t="s">
        <v>4056</v>
      </c>
      <c r="B4245" s="16" t="s">
        <v>7761</v>
      </c>
      <c r="C4245" s="16" t="s">
        <v>7683</v>
      </c>
      <c r="D4245" s="16" t="s">
        <v>7597</v>
      </c>
      <c r="E4245" s="16" t="s">
        <v>2584</v>
      </c>
      <c r="F4245" s="16" t="s">
        <v>2585</v>
      </c>
      <c r="G4245" s="16" t="s">
        <v>32</v>
      </c>
      <c r="H4245" s="16" t="s">
        <v>2588</v>
      </c>
      <c r="I4245" s="16"/>
      <c r="J4245" s="16" t="s">
        <v>120</v>
      </c>
      <c r="K4245" s="16"/>
      <c r="L4245" s="16" t="s">
        <v>7817</v>
      </c>
      <c r="M4245" s="19" t="s">
        <v>2586</v>
      </c>
      <c r="N4245" s="16"/>
      <c r="O4245" s="16" t="s">
        <v>2587</v>
      </c>
      <c r="P4245" s="16" t="str">
        <f>HYPERLINK("https://ceds.ed.gov/cedselementdetails.aspx?termid=26055")</f>
        <v>https://ceds.ed.gov/cedselementdetails.aspx?termid=26055</v>
      </c>
      <c r="Q4245" s="16">
        <v>76476</v>
      </c>
    </row>
    <row r="4246" spans="1:17" ht="129.6" x14ac:dyDescent="0.3">
      <c r="A4246" s="16" t="s">
        <v>4056</v>
      </c>
      <c r="B4246" s="16" t="s">
        <v>7761</v>
      </c>
      <c r="C4246" s="16" t="s">
        <v>7683</v>
      </c>
      <c r="D4246" s="16" t="s">
        <v>7597</v>
      </c>
      <c r="E4246" s="16" t="s">
        <v>2628</v>
      </c>
      <c r="F4246" s="16" t="s">
        <v>2629</v>
      </c>
      <c r="G4246" s="16" t="s">
        <v>8469</v>
      </c>
      <c r="H4246" s="16" t="s">
        <v>64</v>
      </c>
      <c r="I4246" s="16"/>
      <c r="J4246" s="16"/>
      <c r="K4246" s="16"/>
      <c r="L4246" s="16"/>
      <c r="M4246" s="19" t="s">
        <v>2630</v>
      </c>
      <c r="N4246" s="16"/>
      <c r="O4246" s="16" t="s">
        <v>2631</v>
      </c>
      <c r="P4246" s="16" t="str">
        <f>HYPERLINK("https://ceds.ed.gov/cedselementdetails.aspx?termid=26065")</f>
        <v>https://ceds.ed.gov/cedselementdetails.aspx?termid=26065</v>
      </c>
      <c r="Q4246" s="16">
        <v>76477</v>
      </c>
    </row>
    <row r="4247" spans="1:17" ht="100.8" x14ac:dyDescent="0.3">
      <c r="A4247" s="16" t="s">
        <v>4056</v>
      </c>
      <c r="B4247" s="16" t="s">
        <v>7761</v>
      </c>
      <c r="C4247" s="16" t="s">
        <v>7683</v>
      </c>
      <c r="D4247" s="16" t="s">
        <v>7597</v>
      </c>
      <c r="E4247" s="16" t="s">
        <v>2700</v>
      </c>
      <c r="F4247" s="16"/>
      <c r="G4247" s="16" t="s">
        <v>32</v>
      </c>
      <c r="H4247" s="16" t="s">
        <v>1484</v>
      </c>
      <c r="I4247" s="16" t="s">
        <v>160</v>
      </c>
      <c r="J4247" s="16" t="s">
        <v>13077</v>
      </c>
      <c r="K4247" s="16" t="s">
        <v>12939</v>
      </c>
      <c r="L4247" s="16"/>
      <c r="M4247" s="19" t="s">
        <v>2701</v>
      </c>
      <c r="N4247" s="16"/>
      <c r="O4247" s="16"/>
      <c r="P4247" s="16" t="str">
        <f>HYPERLINK("https://ceds.ed.gov/cedselementdetails.aspx?termid=26067")</f>
        <v>https://ceds.ed.gov/cedselementdetails.aspx?termid=26067</v>
      </c>
      <c r="Q4247" s="16">
        <v>76478</v>
      </c>
    </row>
    <row r="4248" spans="1:17" ht="302.39999999999998" x14ac:dyDescent="0.3">
      <c r="A4248" s="16" t="s">
        <v>4056</v>
      </c>
      <c r="B4248" s="16" t="s">
        <v>7761</v>
      </c>
      <c r="C4248" s="16" t="s">
        <v>7683</v>
      </c>
      <c r="D4248" s="16" t="s">
        <v>7597</v>
      </c>
      <c r="E4248" s="16" t="s">
        <v>2919</v>
      </c>
      <c r="F4248" s="16" t="s">
        <v>2920</v>
      </c>
      <c r="G4248" s="16" t="s">
        <v>8486</v>
      </c>
      <c r="H4248" s="16" t="s">
        <v>64</v>
      </c>
      <c r="I4248" s="16"/>
      <c r="J4248" s="16"/>
      <c r="K4248" s="16"/>
      <c r="L4248" s="16"/>
      <c r="M4248" s="19" t="s">
        <v>2921</v>
      </c>
      <c r="N4248" s="16"/>
      <c r="O4248" s="16" t="s">
        <v>2922</v>
      </c>
      <c r="P4248" s="16" t="str">
        <f>HYPERLINK("https://ceds.ed.gov/cedselementdetails.aspx?termid=26072")</f>
        <v>https://ceds.ed.gov/cedselementdetails.aspx?termid=26072</v>
      </c>
      <c r="Q4248" s="16">
        <v>76479</v>
      </c>
    </row>
    <row r="4249" spans="1:17" ht="100.8" x14ac:dyDescent="0.3">
      <c r="A4249" s="16" t="s">
        <v>4056</v>
      </c>
      <c r="B4249" s="16" t="s">
        <v>7761</v>
      </c>
      <c r="C4249" s="16" t="s">
        <v>7683</v>
      </c>
      <c r="D4249" s="16" t="s">
        <v>7597</v>
      </c>
      <c r="E4249" s="16" t="s">
        <v>2931</v>
      </c>
      <c r="F4249" s="16" t="s">
        <v>7367</v>
      </c>
      <c r="G4249" s="16" t="s">
        <v>32</v>
      </c>
      <c r="H4249" s="16" t="s">
        <v>64</v>
      </c>
      <c r="I4249" s="16"/>
      <c r="J4249" s="16" t="s">
        <v>1481</v>
      </c>
      <c r="K4249" s="16"/>
      <c r="L4249" s="16"/>
      <c r="M4249" s="19" t="s">
        <v>2932</v>
      </c>
      <c r="N4249" s="16"/>
      <c r="O4249" s="16" t="s">
        <v>2933</v>
      </c>
      <c r="P4249" s="16" t="str">
        <f>HYPERLINK("https://ceds.ed.gov/cedselementdetails.aspx?termid=26074")</f>
        <v>https://ceds.ed.gov/cedselementdetails.aspx?termid=26074</v>
      </c>
      <c r="Q4249" s="16">
        <v>76480</v>
      </c>
    </row>
    <row r="4250" spans="1:17" ht="43.2" x14ac:dyDescent="0.3">
      <c r="A4250" s="16" t="s">
        <v>4056</v>
      </c>
      <c r="B4250" s="16" t="s">
        <v>7761</v>
      </c>
      <c r="C4250" s="16" t="s">
        <v>7683</v>
      </c>
      <c r="D4250" s="16" t="s">
        <v>7597</v>
      </c>
      <c r="E4250" s="16" t="s">
        <v>3021</v>
      </c>
      <c r="F4250" s="16" t="s">
        <v>3022</v>
      </c>
      <c r="G4250" s="16" t="s">
        <v>32</v>
      </c>
      <c r="H4250" s="16" t="s">
        <v>3025</v>
      </c>
      <c r="I4250" s="16"/>
      <c r="J4250" s="16" t="s">
        <v>106</v>
      </c>
      <c r="K4250" s="16"/>
      <c r="L4250" s="16"/>
      <c r="M4250" s="19" t="s">
        <v>3023</v>
      </c>
      <c r="N4250" s="16"/>
      <c r="O4250" s="16" t="s">
        <v>3024</v>
      </c>
      <c r="P4250" s="16" t="str">
        <f>HYPERLINK("https://ceds.ed.gov/cedselementdetails.aspx?termid=26343")</f>
        <v>https://ceds.ed.gov/cedselementdetails.aspx?termid=26343</v>
      </c>
      <c r="Q4250" s="16">
        <v>76481</v>
      </c>
    </row>
    <row r="4251" spans="1:17" ht="43.2" x14ac:dyDescent="0.3">
      <c r="A4251" s="16" t="s">
        <v>4056</v>
      </c>
      <c r="B4251" s="16" t="s">
        <v>7761</v>
      </c>
      <c r="C4251" s="16" t="s">
        <v>7683</v>
      </c>
      <c r="D4251" s="16" t="s">
        <v>7597</v>
      </c>
      <c r="E4251" s="16" t="s">
        <v>3030</v>
      </c>
      <c r="F4251" s="16" t="s">
        <v>3031</v>
      </c>
      <c r="G4251" s="16" t="s">
        <v>32</v>
      </c>
      <c r="H4251" s="16" t="s">
        <v>3025</v>
      </c>
      <c r="I4251" s="16"/>
      <c r="J4251" s="16" t="s">
        <v>1304</v>
      </c>
      <c r="K4251" s="16"/>
      <c r="L4251" s="16"/>
      <c r="M4251" s="19" t="s">
        <v>3032</v>
      </c>
      <c r="N4251" s="16"/>
      <c r="O4251" s="16" t="s">
        <v>3033</v>
      </c>
      <c r="P4251" s="16" t="str">
        <f>HYPERLINK("https://ceds.ed.gov/cedselementdetails.aspx?termid=26341")</f>
        <v>https://ceds.ed.gov/cedselementdetails.aspx?termid=26341</v>
      </c>
      <c r="Q4251" s="16">
        <v>76482</v>
      </c>
    </row>
    <row r="4252" spans="1:17" ht="273.60000000000002" x14ac:dyDescent="0.3">
      <c r="A4252" s="16" t="s">
        <v>4056</v>
      </c>
      <c r="B4252" s="16" t="s">
        <v>7761</v>
      </c>
      <c r="C4252" s="16" t="s">
        <v>7683</v>
      </c>
      <c r="D4252" s="16" t="s">
        <v>7597</v>
      </c>
      <c r="E4252" s="16" t="s">
        <v>3034</v>
      </c>
      <c r="F4252" s="16" t="s">
        <v>3035</v>
      </c>
      <c r="G4252" s="16" t="s">
        <v>8493</v>
      </c>
      <c r="H4252" s="16" t="s">
        <v>3025</v>
      </c>
      <c r="I4252" s="16"/>
      <c r="J4252" s="16"/>
      <c r="K4252" s="16"/>
      <c r="L4252" s="16"/>
      <c r="M4252" s="19" t="s">
        <v>3036</v>
      </c>
      <c r="N4252" s="16"/>
      <c r="O4252" s="16" t="s">
        <v>3037</v>
      </c>
      <c r="P4252" s="16" t="str">
        <f>HYPERLINK("https://ceds.ed.gov/cedselementdetails.aspx?termid=26342")</f>
        <v>https://ceds.ed.gov/cedselementdetails.aspx?termid=26342</v>
      </c>
      <c r="Q4252" s="16">
        <v>76483</v>
      </c>
    </row>
    <row r="4253" spans="1:17" ht="331.2" x14ac:dyDescent="0.3">
      <c r="A4253" s="16" t="s">
        <v>4056</v>
      </c>
      <c r="B4253" s="16" t="s">
        <v>7761</v>
      </c>
      <c r="C4253" s="16" t="s">
        <v>7683</v>
      </c>
      <c r="D4253" s="16" t="s">
        <v>7597</v>
      </c>
      <c r="E4253" s="16" t="s">
        <v>4134</v>
      </c>
      <c r="F4253" s="16" t="s">
        <v>4135</v>
      </c>
      <c r="G4253" s="16" t="s">
        <v>8235</v>
      </c>
      <c r="H4253" s="16" t="s">
        <v>64</v>
      </c>
      <c r="I4253" s="16"/>
      <c r="J4253" s="16"/>
      <c r="K4253" s="16"/>
      <c r="L4253" s="16"/>
      <c r="M4253" s="19" t="s">
        <v>4136</v>
      </c>
      <c r="N4253" s="16"/>
      <c r="O4253" s="16" t="s">
        <v>4137</v>
      </c>
      <c r="P4253" s="16" t="str">
        <f>HYPERLINK("https://ceds.ed.gov/cedselementdetails.aspx?termid=26125")</f>
        <v>https://ceds.ed.gov/cedselementdetails.aspx?termid=26125</v>
      </c>
      <c r="Q4253" s="16">
        <v>76484</v>
      </c>
    </row>
    <row r="4254" spans="1:17" ht="409.6" x14ac:dyDescent="0.3">
      <c r="A4254" s="16" t="s">
        <v>4056</v>
      </c>
      <c r="B4254" s="16" t="s">
        <v>7761</v>
      </c>
      <c r="C4254" s="16" t="s">
        <v>7683</v>
      </c>
      <c r="D4254" s="16" t="s">
        <v>7597</v>
      </c>
      <c r="E4254" s="16" t="s">
        <v>4268</v>
      </c>
      <c r="F4254" s="16" t="s">
        <v>4269</v>
      </c>
      <c r="G4254" s="16" t="s">
        <v>8445</v>
      </c>
      <c r="H4254" s="16" t="s">
        <v>4272</v>
      </c>
      <c r="I4254" s="16"/>
      <c r="J4254" s="16"/>
      <c r="K4254" s="16"/>
      <c r="L4254" s="16"/>
      <c r="M4254" s="19" t="s">
        <v>4270</v>
      </c>
      <c r="N4254" s="16"/>
      <c r="O4254" s="16" t="s">
        <v>4271</v>
      </c>
      <c r="P4254" s="16" t="str">
        <f>HYPERLINK("https://ceds.ed.gov/cedselementdetails.aspx?termid=26141")</f>
        <v>https://ceds.ed.gov/cedselementdetails.aspx?termid=26141</v>
      </c>
      <c r="Q4254" s="16">
        <v>76485</v>
      </c>
    </row>
    <row r="4255" spans="1:17" ht="57.6" x14ac:dyDescent="0.3">
      <c r="A4255" s="16" t="s">
        <v>4056</v>
      </c>
      <c r="B4255" s="16" t="s">
        <v>7761</v>
      </c>
      <c r="C4255" s="16" t="s">
        <v>7683</v>
      </c>
      <c r="D4255" s="16" t="s">
        <v>7597</v>
      </c>
      <c r="E4255" s="16" t="s">
        <v>5786</v>
      </c>
      <c r="F4255" s="16" t="s">
        <v>5787</v>
      </c>
      <c r="G4255" s="16" t="s">
        <v>8305</v>
      </c>
      <c r="H4255" s="16" t="s">
        <v>214</v>
      </c>
      <c r="I4255" s="16"/>
      <c r="J4255" s="16"/>
      <c r="K4255" s="16"/>
      <c r="L4255" s="16"/>
      <c r="M4255" s="19" t="s">
        <v>5788</v>
      </c>
      <c r="N4255" s="16"/>
      <c r="O4255" s="16" t="s">
        <v>5789</v>
      </c>
      <c r="P4255" s="16" t="str">
        <f>HYPERLINK("https://ceds.ed.gov/cedselementdetails.aspx?termid=26579")</f>
        <v>https://ceds.ed.gov/cedselementdetails.aspx?termid=26579</v>
      </c>
      <c r="Q4255" s="16">
        <v>76486</v>
      </c>
    </row>
    <row r="4256" spans="1:17" ht="115.2" x14ac:dyDescent="0.3">
      <c r="A4256" s="16" t="s">
        <v>4056</v>
      </c>
      <c r="B4256" s="16" t="s">
        <v>7761</v>
      </c>
      <c r="C4256" s="16" t="s">
        <v>7685</v>
      </c>
      <c r="D4256" s="16" t="s">
        <v>7597</v>
      </c>
      <c r="E4256" s="16" t="s">
        <v>3090</v>
      </c>
      <c r="F4256" s="16" t="s">
        <v>3091</v>
      </c>
      <c r="G4256" s="16" t="s">
        <v>32</v>
      </c>
      <c r="H4256" s="16" t="s">
        <v>3096</v>
      </c>
      <c r="I4256" s="16"/>
      <c r="J4256" s="16" t="s">
        <v>3093</v>
      </c>
      <c r="K4256" s="16"/>
      <c r="L4256" s="16"/>
      <c r="M4256" s="19" t="s">
        <v>3094</v>
      </c>
      <c r="N4256" s="16"/>
      <c r="O4256" s="16" t="s">
        <v>3095</v>
      </c>
      <c r="P4256" s="16" t="str">
        <f>HYPERLINK("https://ceds.ed.gov/cedselementdetails.aspx?termid=26081")</f>
        <v>https://ceds.ed.gov/cedselementdetails.aspx?termid=26081</v>
      </c>
      <c r="Q4256" s="16">
        <v>73966</v>
      </c>
    </row>
    <row r="4257" spans="1:17" ht="216" x14ac:dyDescent="0.3">
      <c r="A4257" s="16" t="s">
        <v>4056</v>
      </c>
      <c r="B4257" s="16" t="s">
        <v>7761</v>
      </c>
      <c r="C4257" s="16" t="s">
        <v>7685</v>
      </c>
      <c r="D4257" s="16" t="s">
        <v>7597</v>
      </c>
      <c r="E4257" s="16" t="s">
        <v>4243</v>
      </c>
      <c r="F4257" s="16" t="s">
        <v>4244</v>
      </c>
      <c r="G4257" s="16" t="s">
        <v>9333</v>
      </c>
      <c r="H4257" s="16" t="s">
        <v>4249</v>
      </c>
      <c r="I4257" s="16"/>
      <c r="J4257" s="16"/>
      <c r="K4257" s="16"/>
      <c r="L4257" s="16" t="s">
        <v>4246</v>
      </c>
      <c r="M4257" s="19" t="s">
        <v>4247</v>
      </c>
      <c r="N4257" s="16"/>
      <c r="O4257" s="16" t="s">
        <v>4248</v>
      </c>
      <c r="P4257" s="16" t="str">
        <f>HYPERLINK("https://ceds.ed.gov/cedselementdetails.aspx?termid=26138")</f>
        <v>https://ceds.ed.gov/cedselementdetails.aspx?termid=26138</v>
      </c>
      <c r="Q4257" s="16">
        <v>74720</v>
      </c>
    </row>
    <row r="4258" spans="1:17" ht="144" x14ac:dyDescent="0.3">
      <c r="A4258" s="16" t="s">
        <v>4056</v>
      </c>
      <c r="B4258" s="16" t="s">
        <v>7761</v>
      </c>
      <c r="C4258" s="16" t="s">
        <v>7685</v>
      </c>
      <c r="D4258" s="16" t="s">
        <v>7597</v>
      </c>
      <c r="E4258" s="16" t="s">
        <v>4238</v>
      </c>
      <c r="F4258" s="16" t="s">
        <v>4239</v>
      </c>
      <c r="G4258" s="16" t="s">
        <v>9332</v>
      </c>
      <c r="H4258" s="16"/>
      <c r="I4258" s="16"/>
      <c r="J4258" s="16"/>
      <c r="K4258" s="16"/>
      <c r="L4258" s="16"/>
      <c r="M4258" s="19" t="s">
        <v>4241</v>
      </c>
      <c r="N4258" s="16"/>
      <c r="O4258" s="16" t="s">
        <v>4242</v>
      </c>
      <c r="P4258" s="16" t="str">
        <f>HYPERLINK("https://ceds.ed.gov/cedselementdetails.aspx?termid=26689")</f>
        <v>https://ceds.ed.gov/cedselementdetails.aspx?termid=26689</v>
      </c>
      <c r="Q4258" s="16">
        <v>74723</v>
      </c>
    </row>
    <row r="4259" spans="1:17" ht="57.6" x14ac:dyDescent="0.3">
      <c r="A4259" s="16" t="s">
        <v>4056</v>
      </c>
      <c r="B4259" s="16" t="s">
        <v>7761</v>
      </c>
      <c r="C4259" s="16" t="s">
        <v>7685</v>
      </c>
      <c r="D4259" s="16" t="s">
        <v>7597</v>
      </c>
      <c r="E4259" s="16" t="s">
        <v>30</v>
      </c>
      <c r="F4259" s="16" t="s">
        <v>31</v>
      </c>
      <c r="G4259" s="16" t="s">
        <v>32</v>
      </c>
      <c r="H4259" s="16" t="s">
        <v>37</v>
      </c>
      <c r="I4259" s="16"/>
      <c r="J4259" s="16" t="s">
        <v>34</v>
      </c>
      <c r="K4259" s="16"/>
      <c r="L4259" s="16"/>
      <c r="M4259" s="19" t="s">
        <v>35</v>
      </c>
      <c r="N4259" s="16"/>
      <c r="O4259" s="16" t="s">
        <v>36</v>
      </c>
      <c r="P4259" s="16" t="str">
        <f>HYPERLINK("https://ceds.ed.gov/cedselementdetails.aspx?termid=26001")</f>
        <v>https://ceds.ed.gov/cedselementdetails.aspx?termid=26001</v>
      </c>
      <c r="Q4259" s="16">
        <v>74696</v>
      </c>
    </row>
    <row r="4260" spans="1:17" ht="216" x14ac:dyDescent="0.3">
      <c r="A4260" s="16" t="s">
        <v>4056</v>
      </c>
      <c r="B4260" s="16" t="s">
        <v>7761</v>
      </c>
      <c r="C4260" s="16" t="s">
        <v>7685</v>
      </c>
      <c r="D4260" s="16" t="s">
        <v>7597</v>
      </c>
      <c r="E4260" s="16" t="s">
        <v>38</v>
      </c>
      <c r="F4260" s="16" t="s">
        <v>7813</v>
      </c>
      <c r="G4260" s="16" t="s">
        <v>8281</v>
      </c>
      <c r="H4260" s="16" t="s">
        <v>42</v>
      </c>
      <c r="I4260" s="16"/>
      <c r="J4260" s="16"/>
      <c r="K4260" s="16"/>
      <c r="L4260" s="16"/>
      <c r="M4260" s="19" t="s">
        <v>40</v>
      </c>
      <c r="N4260" s="16"/>
      <c r="O4260" s="16" t="s">
        <v>41</v>
      </c>
      <c r="P4260" s="16" t="str">
        <f>HYPERLINK("https://ceds.ed.gov/cedselementdetails.aspx?termid=26002")</f>
        <v>https://ceds.ed.gov/cedselementdetails.aspx?termid=26002</v>
      </c>
      <c r="Q4260" s="16">
        <v>74687</v>
      </c>
    </row>
    <row r="4261" spans="1:17" ht="28.8" x14ac:dyDescent="0.3">
      <c r="A4261" s="16" t="s">
        <v>4056</v>
      </c>
      <c r="B4261" s="16" t="s">
        <v>7761</v>
      </c>
      <c r="C4261" s="16" t="s">
        <v>7685</v>
      </c>
      <c r="D4261" s="16" t="s">
        <v>7597</v>
      </c>
      <c r="E4261" s="16" t="s">
        <v>53</v>
      </c>
      <c r="F4261" s="16" t="s">
        <v>54</v>
      </c>
      <c r="G4261" s="16" t="s">
        <v>32</v>
      </c>
      <c r="H4261" s="16" t="s">
        <v>58</v>
      </c>
      <c r="I4261" s="16"/>
      <c r="J4261" s="16" t="s">
        <v>55</v>
      </c>
      <c r="K4261" s="16"/>
      <c r="L4261" s="16"/>
      <c r="M4261" s="19" t="s">
        <v>56</v>
      </c>
      <c r="N4261" s="16"/>
      <c r="O4261" s="16" t="s">
        <v>57</v>
      </c>
      <c r="P4261" s="16" t="str">
        <f>HYPERLINK("https://ceds.ed.gov/cedselementdetails.aspx?termid=26003")</f>
        <v>https://ceds.ed.gov/cedselementdetails.aspx?termid=26003</v>
      </c>
      <c r="Q4261" s="16">
        <v>74688</v>
      </c>
    </row>
    <row r="4262" spans="1:17" ht="172.8" x14ac:dyDescent="0.3">
      <c r="A4262" s="16" t="s">
        <v>4056</v>
      </c>
      <c r="B4262" s="16" t="s">
        <v>7761</v>
      </c>
      <c r="C4262" s="16" t="s">
        <v>7685</v>
      </c>
      <c r="D4262" s="16" t="s">
        <v>7597</v>
      </c>
      <c r="E4262" s="16" t="s">
        <v>2914</v>
      </c>
      <c r="F4262" s="16" t="s">
        <v>2915</v>
      </c>
      <c r="G4262" s="16" t="s">
        <v>8485</v>
      </c>
      <c r="H4262" s="16"/>
      <c r="I4262" s="16"/>
      <c r="J4262" s="16"/>
      <c r="K4262" s="16"/>
      <c r="L4262" s="16"/>
      <c r="M4262" s="19" t="s">
        <v>2917</v>
      </c>
      <c r="N4262" s="16"/>
      <c r="O4262" s="16" t="s">
        <v>2918</v>
      </c>
      <c r="P4262" s="16" t="str">
        <f>HYPERLINK("https://ceds.ed.gov/cedselementdetails.aspx?termid=27283")</f>
        <v>https://ceds.ed.gov/cedselementdetails.aspx?termid=27283</v>
      </c>
      <c r="Q4262" s="16">
        <v>74686</v>
      </c>
    </row>
    <row r="4263" spans="1:17" ht="115.2" x14ac:dyDescent="0.3">
      <c r="A4263" s="16" t="s">
        <v>4056</v>
      </c>
      <c r="B4263" s="16" t="s">
        <v>7761</v>
      </c>
      <c r="C4263" s="16" t="s">
        <v>7685</v>
      </c>
      <c r="D4263" s="16" t="s">
        <v>7597</v>
      </c>
      <c r="E4263" s="16" t="s">
        <v>6034</v>
      </c>
      <c r="F4263" s="16" t="s">
        <v>6035</v>
      </c>
      <c r="G4263" s="16" t="s">
        <v>8794</v>
      </c>
      <c r="H4263" s="16"/>
      <c r="I4263" s="16"/>
      <c r="J4263" s="16"/>
      <c r="K4263" s="16"/>
      <c r="L4263" s="16"/>
      <c r="M4263" s="19" t="s">
        <v>6037</v>
      </c>
      <c r="N4263" s="16"/>
      <c r="O4263" s="16" t="s">
        <v>6038</v>
      </c>
      <c r="P4263" s="16" t="str">
        <f>HYPERLINK("https://ceds.ed.gov/cedselementdetails.aspx?termid=26780")</f>
        <v>https://ceds.ed.gov/cedselementdetails.aspx?termid=26780</v>
      </c>
      <c r="Q4263" s="16">
        <v>74693</v>
      </c>
    </row>
    <row r="4264" spans="1:17" ht="172.8" x14ac:dyDescent="0.3">
      <c r="A4264" s="16" t="s">
        <v>4056</v>
      </c>
      <c r="B4264" s="16" t="s">
        <v>7761</v>
      </c>
      <c r="C4264" s="16" t="s">
        <v>7685</v>
      </c>
      <c r="D4264" s="16" t="s">
        <v>7597</v>
      </c>
      <c r="E4264" s="16" t="s">
        <v>6074</v>
      </c>
      <c r="F4264" s="16" t="s">
        <v>6075</v>
      </c>
      <c r="G4264" s="16" t="s">
        <v>32</v>
      </c>
      <c r="H4264" s="16" t="s">
        <v>2564</v>
      </c>
      <c r="I4264" s="16"/>
      <c r="J4264" s="16" t="s">
        <v>120</v>
      </c>
      <c r="K4264" s="16"/>
      <c r="L4264" s="16" t="s">
        <v>7817</v>
      </c>
      <c r="M4264" s="19" t="s">
        <v>6076</v>
      </c>
      <c r="N4264" s="16"/>
      <c r="O4264" s="16" t="s">
        <v>6077</v>
      </c>
      <c r="P4264" s="16" t="str">
        <f>HYPERLINK("https://ceds.ed.gov/cedselementdetails.aspx?termid=26618")</f>
        <v>https://ceds.ed.gov/cedselementdetails.aspx?termid=26618</v>
      </c>
      <c r="Q4264" s="16">
        <v>74692</v>
      </c>
    </row>
    <row r="4265" spans="1:17" ht="72" x14ac:dyDescent="0.3">
      <c r="A4265" s="16" t="s">
        <v>4056</v>
      </c>
      <c r="B4265" s="16" t="s">
        <v>7761</v>
      </c>
      <c r="C4265" s="16" t="s">
        <v>7685</v>
      </c>
      <c r="D4265" s="16" t="s">
        <v>7597</v>
      </c>
      <c r="E4265" s="16" t="s">
        <v>5809</v>
      </c>
      <c r="F4265" s="16" t="s">
        <v>5810</v>
      </c>
      <c r="G4265" s="16" t="s">
        <v>8761</v>
      </c>
      <c r="H4265" s="16" t="s">
        <v>5813</v>
      </c>
      <c r="I4265" s="16"/>
      <c r="J4265" s="16"/>
      <c r="K4265" s="16"/>
      <c r="L4265" s="16"/>
      <c r="M4265" s="19" t="s">
        <v>5811</v>
      </c>
      <c r="N4265" s="16"/>
      <c r="O4265" s="16" t="s">
        <v>5812</v>
      </c>
      <c r="P4265" s="16" t="str">
        <f>HYPERLINK("https://ceds.ed.gov/cedselementdetails.aspx?termid=27595")</f>
        <v>https://ceds.ed.gov/cedselementdetails.aspx?termid=27595</v>
      </c>
      <c r="Q4265" s="16">
        <v>74694</v>
      </c>
    </row>
    <row r="4266" spans="1:17" ht="129.6" x14ac:dyDescent="0.3">
      <c r="A4266" s="16" t="s">
        <v>4056</v>
      </c>
      <c r="B4266" s="16" t="s">
        <v>7761</v>
      </c>
      <c r="C4266" s="16" t="s">
        <v>7685</v>
      </c>
      <c r="D4266" s="16" t="s">
        <v>7597</v>
      </c>
      <c r="E4266" s="16" t="s">
        <v>3196</v>
      </c>
      <c r="F4266" s="16" t="s">
        <v>12979</v>
      </c>
      <c r="G4266" s="16" t="s">
        <v>8516</v>
      </c>
      <c r="H4266" s="16"/>
      <c r="I4266" s="16"/>
      <c r="J4266" s="16"/>
      <c r="K4266" s="16"/>
      <c r="L4266" s="16" t="s">
        <v>7940</v>
      </c>
      <c r="M4266" s="19" t="s">
        <v>3198</v>
      </c>
      <c r="N4266" s="16"/>
      <c r="O4266" s="16" t="s">
        <v>3199</v>
      </c>
      <c r="P4266" s="16" t="str">
        <f>HYPERLINK("https://ceds.ed.gov/cedselementdetails.aspx?termid=27622")</f>
        <v>https://ceds.ed.gov/cedselementdetails.aspx?termid=27622</v>
      </c>
      <c r="Q4266" s="16">
        <v>74695</v>
      </c>
    </row>
    <row r="4267" spans="1:17" ht="72" x14ac:dyDescent="0.3">
      <c r="A4267" s="16" t="s">
        <v>4056</v>
      </c>
      <c r="B4267" s="16" t="s">
        <v>7761</v>
      </c>
      <c r="C4267" s="16" t="s">
        <v>7685</v>
      </c>
      <c r="D4267" s="16" t="s">
        <v>7597</v>
      </c>
      <c r="E4267" s="16" t="s">
        <v>2044</v>
      </c>
      <c r="F4267" s="16" t="s">
        <v>2045</v>
      </c>
      <c r="G4267" s="16" t="s">
        <v>7312</v>
      </c>
      <c r="H4267" s="16" t="s">
        <v>42</v>
      </c>
      <c r="I4267" s="16" t="s">
        <v>160</v>
      </c>
      <c r="J4267" s="16" t="s">
        <v>2</v>
      </c>
      <c r="K4267" s="16" t="s">
        <v>12935</v>
      </c>
      <c r="L4267" s="16"/>
      <c r="M4267" s="19" t="s">
        <v>2046</v>
      </c>
      <c r="N4267" s="16" t="s">
        <v>2047</v>
      </c>
      <c r="O4267" s="16" t="s">
        <v>2048</v>
      </c>
      <c r="P4267" s="16" t="str">
        <f>HYPERLINK("https://ceds.ed.gov/cedselementdetails.aspx?termid=26043")</f>
        <v>https://ceds.ed.gov/cedselementdetails.aspx?termid=26043</v>
      </c>
      <c r="Q4267" s="16">
        <v>74689</v>
      </c>
    </row>
    <row r="4268" spans="1:17" ht="72" x14ac:dyDescent="0.3">
      <c r="A4268" s="16" t="s">
        <v>4056</v>
      </c>
      <c r="B4268" s="16" t="s">
        <v>7761</v>
      </c>
      <c r="C4268" s="16" t="s">
        <v>7685</v>
      </c>
      <c r="D4268" s="16" t="s">
        <v>7597</v>
      </c>
      <c r="E4268" s="16" t="s">
        <v>2049</v>
      </c>
      <c r="F4268" s="16" t="s">
        <v>2050</v>
      </c>
      <c r="G4268" s="16" t="s">
        <v>8439</v>
      </c>
      <c r="H4268" s="16" t="s">
        <v>186</v>
      </c>
      <c r="I4268" s="16"/>
      <c r="J4268" s="16"/>
      <c r="K4268" s="16"/>
      <c r="L4268" s="16"/>
      <c r="M4268" s="19" t="s">
        <v>2052</v>
      </c>
      <c r="N4268" s="16" t="s">
        <v>2053</v>
      </c>
      <c r="O4268" s="16" t="s">
        <v>2054</v>
      </c>
      <c r="P4268" s="16" t="str">
        <f>HYPERLINK("https://ceds.ed.gov/cedselementdetails.aspx?termid=26044")</f>
        <v>https://ceds.ed.gov/cedselementdetails.aspx?termid=26044</v>
      </c>
      <c r="Q4268" s="16">
        <v>74690</v>
      </c>
    </row>
    <row r="4269" spans="1:17" ht="100.8" x14ac:dyDescent="0.3">
      <c r="A4269" s="16" t="s">
        <v>4056</v>
      </c>
      <c r="B4269" s="16" t="s">
        <v>7761</v>
      </c>
      <c r="C4269" s="16" t="s">
        <v>7685</v>
      </c>
      <c r="D4269" s="16" t="s">
        <v>7597</v>
      </c>
      <c r="E4269" s="16" t="s">
        <v>2055</v>
      </c>
      <c r="F4269" s="16" t="s">
        <v>2056</v>
      </c>
      <c r="G4269" s="16" t="s">
        <v>9328</v>
      </c>
      <c r="H4269" s="16" t="s">
        <v>186</v>
      </c>
      <c r="I4269" s="16"/>
      <c r="J4269" s="16"/>
      <c r="K4269" s="16"/>
      <c r="L4269" s="16"/>
      <c r="M4269" s="19" t="s">
        <v>2057</v>
      </c>
      <c r="N4269" s="16" t="s">
        <v>2058</v>
      </c>
      <c r="O4269" s="16" t="s">
        <v>2059</v>
      </c>
      <c r="P4269" s="16" t="str">
        <f>HYPERLINK("https://ceds.ed.gov/cedselementdetails.aspx?termid=26045")</f>
        <v>https://ceds.ed.gov/cedselementdetails.aspx?termid=26045</v>
      </c>
      <c r="Q4269" s="16">
        <v>74691</v>
      </c>
    </row>
    <row r="4270" spans="1:17" ht="216" x14ac:dyDescent="0.3">
      <c r="A4270" s="16" t="s">
        <v>4056</v>
      </c>
      <c r="B4270" s="16" t="s">
        <v>7761</v>
      </c>
      <c r="C4270" s="16" t="s">
        <v>7685</v>
      </c>
      <c r="D4270" s="16" t="s">
        <v>7597</v>
      </c>
      <c r="E4270" s="16" t="s">
        <v>9213</v>
      </c>
      <c r="F4270" s="16" t="s">
        <v>9214</v>
      </c>
      <c r="G4270" s="16" t="s">
        <v>9306</v>
      </c>
      <c r="H4270" s="16"/>
      <c r="I4270" s="16"/>
      <c r="J4270" s="16" t="s">
        <v>2</v>
      </c>
      <c r="K4270" s="16"/>
      <c r="L4270" s="16"/>
      <c r="M4270" s="19" t="s">
        <v>9215</v>
      </c>
      <c r="N4270" s="16"/>
      <c r="O4270" s="16" t="s">
        <v>9216</v>
      </c>
      <c r="P4270" s="16" t="str">
        <f>HYPERLINK("https://ceds.ed.gov/cedselementdetails.aspx?termid=28077")</f>
        <v>https://ceds.ed.gov/cedselementdetails.aspx?termid=28077</v>
      </c>
      <c r="Q4270" s="16">
        <v>76487</v>
      </c>
    </row>
    <row r="4271" spans="1:17" ht="43.2" x14ac:dyDescent="0.3">
      <c r="A4271" s="16" t="s">
        <v>4056</v>
      </c>
      <c r="B4271" s="16" t="s">
        <v>7761</v>
      </c>
      <c r="C4271" s="16" t="s">
        <v>7658</v>
      </c>
      <c r="D4271" s="16" t="s">
        <v>7597</v>
      </c>
      <c r="E4271" s="16" t="s">
        <v>3471</v>
      </c>
      <c r="F4271" s="16" t="s">
        <v>3472</v>
      </c>
      <c r="G4271" s="16" t="s">
        <v>2838</v>
      </c>
      <c r="H4271" s="16"/>
      <c r="I4271" s="16"/>
      <c r="J4271" s="16" t="s">
        <v>2839</v>
      </c>
      <c r="K4271" s="16"/>
      <c r="L4271" s="16"/>
      <c r="M4271" s="19" t="s">
        <v>3474</v>
      </c>
      <c r="N4271" s="16"/>
      <c r="O4271" s="16" t="s">
        <v>3475</v>
      </c>
      <c r="P4271" s="16" t="str">
        <f>HYPERLINK("https://ceds.ed.gov/cedselementdetails.aspx?termid=27070")</f>
        <v>https://ceds.ed.gov/cedselementdetails.aspx?termid=27070</v>
      </c>
      <c r="Q4271" s="16">
        <v>74023</v>
      </c>
    </row>
    <row r="4272" spans="1:17" ht="57.6" x14ac:dyDescent="0.3">
      <c r="A4272" s="16" t="s">
        <v>4056</v>
      </c>
      <c r="B4272" s="16" t="s">
        <v>7761</v>
      </c>
      <c r="C4272" s="16" t="s">
        <v>7658</v>
      </c>
      <c r="D4272" s="16" t="s">
        <v>7597</v>
      </c>
      <c r="E4272" s="16" t="s">
        <v>3498</v>
      </c>
      <c r="F4272" s="16" t="s">
        <v>3499</v>
      </c>
      <c r="G4272" s="16" t="s">
        <v>32</v>
      </c>
      <c r="H4272" s="16" t="s">
        <v>3502</v>
      </c>
      <c r="I4272" s="16"/>
      <c r="J4272" s="16" t="s">
        <v>106</v>
      </c>
      <c r="K4272" s="16"/>
      <c r="L4272" s="16"/>
      <c r="M4272" s="19" t="s">
        <v>3500</v>
      </c>
      <c r="N4272" s="16"/>
      <c r="O4272" s="16" t="s">
        <v>3501</v>
      </c>
      <c r="P4272" s="16" t="str">
        <f>HYPERLINK("https://ceds.ed.gov/cedselementdetails.aspx?termid=26345")</f>
        <v>https://ceds.ed.gov/cedselementdetails.aspx?termid=26345</v>
      </c>
      <c r="Q4272" s="16">
        <v>74003</v>
      </c>
    </row>
    <row r="4273" spans="1:17" ht="57.6" x14ac:dyDescent="0.3">
      <c r="A4273" s="16" t="s">
        <v>4056</v>
      </c>
      <c r="B4273" s="16" t="s">
        <v>7761</v>
      </c>
      <c r="C4273" s="16" t="s">
        <v>7658</v>
      </c>
      <c r="D4273" s="16" t="s">
        <v>7597</v>
      </c>
      <c r="E4273" s="16" t="s">
        <v>3462</v>
      </c>
      <c r="F4273" s="16" t="s">
        <v>3463</v>
      </c>
      <c r="G4273" s="16" t="s">
        <v>32</v>
      </c>
      <c r="H4273" s="16" t="s">
        <v>195</v>
      </c>
      <c r="I4273" s="16"/>
      <c r="J4273" s="16" t="s">
        <v>106</v>
      </c>
      <c r="K4273" s="16"/>
      <c r="L4273" s="16" t="s">
        <v>131</v>
      </c>
      <c r="M4273" s="19" t="s">
        <v>3464</v>
      </c>
      <c r="N4273" s="16"/>
      <c r="O4273" s="16" t="s">
        <v>3465</v>
      </c>
      <c r="P4273" s="16" t="str">
        <f>HYPERLINK("https://ceds.ed.gov/cedselementdetails.aspx?termid=26794")</f>
        <v>https://ceds.ed.gov/cedselementdetails.aspx?termid=26794</v>
      </c>
      <c r="Q4273" s="16">
        <v>74020</v>
      </c>
    </row>
    <row r="4274" spans="1:17" ht="201.6" x14ac:dyDescent="0.3">
      <c r="A4274" s="16" t="s">
        <v>4056</v>
      </c>
      <c r="B4274" s="16" t="s">
        <v>7761</v>
      </c>
      <c r="C4274" s="16" t="s">
        <v>7658</v>
      </c>
      <c r="D4274" s="16" t="s">
        <v>7597</v>
      </c>
      <c r="E4274" s="16" t="s">
        <v>3457</v>
      </c>
      <c r="F4274" s="16" t="s">
        <v>3458</v>
      </c>
      <c r="G4274" s="16" t="s">
        <v>3446</v>
      </c>
      <c r="H4274" s="16" t="s">
        <v>3450</v>
      </c>
      <c r="I4274" s="16"/>
      <c r="J4274" s="16"/>
      <c r="K4274" s="16"/>
      <c r="L4274" s="16" t="s">
        <v>3459</v>
      </c>
      <c r="M4274" s="19" t="s">
        <v>3460</v>
      </c>
      <c r="N4274" s="16"/>
      <c r="O4274" s="16" t="s">
        <v>3461</v>
      </c>
      <c r="P4274" s="16" t="str">
        <f>HYPERLINK("https://ceds.ed.gov/cedselementdetails.aspx?termid=26989")</f>
        <v>https://ceds.ed.gov/cedselementdetails.aspx?termid=26989</v>
      </c>
      <c r="Q4274" s="16">
        <v>74021</v>
      </c>
    </row>
    <row r="4275" spans="1:17" ht="230.4" x14ac:dyDescent="0.3">
      <c r="A4275" s="16" t="s">
        <v>4056</v>
      </c>
      <c r="B4275" s="16" t="s">
        <v>7761</v>
      </c>
      <c r="C4275" s="16" t="s">
        <v>7658</v>
      </c>
      <c r="D4275" s="16" t="s">
        <v>7597</v>
      </c>
      <c r="E4275" s="16" t="s">
        <v>3444</v>
      </c>
      <c r="F4275" s="16" t="s">
        <v>3445</v>
      </c>
      <c r="G4275" s="16" t="s">
        <v>3446</v>
      </c>
      <c r="H4275" s="16" t="s">
        <v>3450</v>
      </c>
      <c r="I4275" s="16"/>
      <c r="J4275" s="16"/>
      <c r="K4275" s="16"/>
      <c r="L4275" s="16" t="s">
        <v>7965</v>
      </c>
      <c r="M4275" s="19" t="s">
        <v>3448</v>
      </c>
      <c r="N4275" s="16"/>
      <c r="O4275" s="16" t="s">
        <v>3449</v>
      </c>
      <c r="P4275" s="16" t="str">
        <f>HYPERLINK("https://ceds.ed.gov/cedselementdetails.aspx?termid=26990")</f>
        <v>https://ceds.ed.gov/cedselementdetails.aspx?termid=26990</v>
      </c>
      <c r="Q4275" s="16">
        <v>74022</v>
      </c>
    </row>
    <row r="4276" spans="1:17" ht="115.2" x14ac:dyDescent="0.3">
      <c r="A4276" s="16" t="s">
        <v>4056</v>
      </c>
      <c r="B4276" s="16" t="s">
        <v>7761</v>
      </c>
      <c r="C4276" s="16" t="s">
        <v>7658</v>
      </c>
      <c r="D4276" s="16" t="s">
        <v>7597</v>
      </c>
      <c r="E4276" s="16" t="s">
        <v>6823</v>
      </c>
      <c r="F4276" s="16" t="s">
        <v>8155</v>
      </c>
      <c r="G4276" s="16" t="s">
        <v>32</v>
      </c>
      <c r="H4276" s="16" t="s">
        <v>69</v>
      </c>
      <c r="I4276" s="16"/>
      <c r="J4276" s="16" t="s">
        <v>6824</v>
      </c>
      <c r="K4276" s="16"/>
      <c r="L4276" s="16"/>
      <c r="M4276" s="19" t="s">
        <v>6825</v>
      </c>
      <c r="N4276" s="16"/>
      <c r="O4276" s="16" t="s">
        <v>6826</v>
      </c>
      <c r="P4276" s="16" t="str">
        <f>HYPERLINK("https://ceds.ed.gov/cedselementdetails.aspx?termid=26707")</f>
        <v>https://ceds.ed.gov/cedselementdetails.aspx?termid=26707</v>
      </c>
      <c r="Q4276" s="16">
        <v>75450</v>
      </c>
    </row>
    <row r="4277" spans="1:17" ht="230.4" x14ac:dyDescent="0.3">
      <c r="A4277" s="16" t="s">
        <v>4056</v>
      </c>
      <c r="B4277" s="16" t="s">
        <v>7761</v>
      </c>
      <c r="C4277" s="16" t="s">
        <v>7658</v>
      </c>
      <c r="D4277" s="16" t="s">
        <v>7597</v>
      </c>
      <c r="E4277" s="16" t="s">
        <v>7543</v>
      </c>
      <c r="F4277" s="16" t="s">
        <v>7544</v>
      </c>
      <c r="G4277" s="16" t="s">
        <v>13093</v>
      </c>
      <c r="H4277" s="16"/>
      <c r="I4277" s="16" t="s">
        <v>160</v>
      </c>
      <c r="J4277" s="16"/>
      <c r="K4277" s="16" t="s">
        <v>12951</v>
      </c>
      <c r="L4277" s="16"/>
      <c r="M4277" s="19" t="s">
        <v>7545</v>
      </c>
      <c r="N4277" s="16"/>
      <c r="O4277" s="16" t="s">
        <v>7543</v>
      </c>
      <c r="P4277" s="16" t="str">
        <f>HYPERLINK("https://ceds.ed.gov/cedselementdetails.aspx?termid=27959")</f>
        <v>https://ceds.ed.gov/cedselementdetails.aspx?termid=27959</v>
      </c>
      <c r="Q4277" s="16">
        <v>75687</v>
      </c>
    </row>
    <row r="4278" spans="1:17" ht="409.6" x14ac:dyDescent="0.3">
      <c r="A4278" s="16" t="s">
        <v>4056</v>
      </c>
      <c r="B4278" s="16" t="s">
        <v>7761</v>
      </c>
      <c r="C4278" s="16" t="s">
        <v>7658</v>
      </c>
      <c r="D4278" s="16" t="s">
        <v>7597</v>
      </c>
      <c r="E4278" s="16" t="s">
        <v>3491</v>
      </c>
      <c r="F4278" s="16" t="s">
        <v>3267</v>
      </c>
      <c r="G4278" s="16" t="s">
        <v>8552</v>
      </c>
      <c r="H4278" s="16"/>
      <c r="I4278" s="16"/>
      <c r="J4278" s="16"/>
      <c r="K4278" s="16"/>
      <c r="L4278" s="16"/>
      <c r="M4278" s="19" t="s">
        <v>3492</v>
      </c>
      <c r="N4278" s="16"/>
      <c r="O4278" s="16" t="s">
        <v>3493</v>
      </c>
      <c r="P4278" s="16" t="str">
        <f>HYPERLINK("https://ceds.ed.gov/cedselementdetails.aspx?termid=26613")</f>
        <v>https://ceds.ed.gov/cedselementdetails.aspx?termid=26613</v>
      </c>
      <c r="Q4278" s="16">
        <v>76493</v>
      </c>
    </row>
    <row r="4279" spans="1:17" ht="72" x14ac:dyDescent="0.3">
      <c r="A4279" s="16" t="s">
        <v>4056</v>
      </c>
      <c r="B4279" s="16" t="s">
        <v>7761</v>
      </c>
      <c r="C4279" s="16" t="s">
        <v>7658</v>
      </c>
      <c r="D4279" s="16" t="s">
        <v>7597</v>
      </c>
      <c r="E4279" s="16" t="s">
        <v>3494</v>
      </c>
      <c r="F4279" s="16" t="s">
        <v>3495</v>
      </c>
      <c r="G4279" s="16" t="s">
        <v>8553</v>
      </c>
      <c r="H4279" s="16"/>
      <c r="I4279" s="16"/>
      <c r="J4279" s="16"/>
      <c r="K4279" s="16"/>
      <c r="L4279" s="16"/>
      <c r="M4279" s="19" t="s">
        <v>3496</v>
      </c>
      <c r="N4279" s="16"/>
      <c r="O4279" s="16" t="s">
        <v>3497</v>
      </c>
      <c r="P4279" s="16" t="str">
        <f>HYPERLINK("https://ceds.ed.gov/cedselementdetails.aspx?termid=26614")</f>
        <v>https://ceds.ed.gov/cedselementdetails.aspx?termid=26614</v>
      </c>
      <c r="Q4279" s="16">
        <v>76494</v>
      </c>
    </row>
    <row r="4280" spans="1:17" ht="172.8" x14ac:dyDescent="0.3">
      <c r="A4280" s="16" t="s">
        <v>4056</v>
      </c>
      <c r="B4280" s="16" t="s">
        <v>7761</v>
      </c>
      <c r="C4280" s="16" t="s">
        <v>7658</v>
      </c>
      <c r="D4280" s="16" t="s">
        <v>7597</v>
      </c>
      <c r="E4280" s="16" t="s">
        <v>3503</v>
      </c>
      <c r="F4280" s="16" t="s">
        <v>282</v>
      </c>
      <c r="G4280" s="16" t="s">
        <v>8555</v>
      </c>
      <c r="H4280" s="16" t="s">
        <v>3025</v>
      </c>
      <c r="I4280" s="16"/>
      <c r="J4280" s="16"/>
      <c r="K4280" s="16"/>
      <c r="L4280" s="16"/>
      <c r="M4280" s="19" t="s">
        <v>3504</v>
      </c>
      <c r="N4280" s="16"/>
      <c r="O4280" s="16" t="s">
        <v>3505</v>
      </c>
      <c r="P4280" s="16" t="str">
        <f>HYPERLINK("https://ceds.ed.gov/cedselementdetails.aspx?termid=26346")</f>
        <v>https://ceds.ed.gov/cedselementdetails.aspx?termid=26346</v>
      </c>
      <c r="Q4280" s="16">
        <v>76495</v>
      </c>
    </row>
    <row r="4281" spans="1:17" ht="158.4" x14ac:dyDescent="0.3">
      <c r="A4281" s="16" t="s">
        <v>4056</v>
      </c>
      <c r="B4281" s="16" t="s">
        <v>7761</v>
      </c>
      <c r="C4281" s="16" t="s">
        <v>7658</v>
      </c>
      <c r="D4281" s="16" t="s">
        <v>7597</v>
      </c>
      <c r="E4281" s="16" t="s">
        <v>4278</v>
      </c>
      <c r="F4281" s="16" t="s">
        <v>4279</v>
      </c>
      <c r="G4281" s="16" t="s">
        <v>32</v>
      </c>
      <c r="H4281" s="16" t="s">
        <v>4282</v>
      </c>
      <c r="I4281" s="16"/>
      <c r="J4281" s="16" t="s">
        <v>106</v>
      </c>
      <c r="K4281" s="16"/>
      <c r="L4281" s="16" t="s">
        <v>8057</v>
      </c>
      <c r="M4281" s="19" t="s">
        <v>4280</v>
      </c>
      <c r="N4281" s="16"/>
      <c r="O4281" s="16" t="s">
        <v>4281</v>
      </c>
      <c r="P4281" s="16" t="str">
        <f>HYPERLINK("https://ceds.ed.gov/cedselementdetails.aspx?termid=26143")</f>
        <v>https://ceds.ed.gov/cedselementdetails.aspx?termid=26143</v>
      </c>
      <c r="Q4281" s="16">
        <v>76496</v>
      </c>
    </row>
    <row r="4282" spans="1:17" ht="28.8" x14ac:dyDescent="0.3">
      <c r="A4282" s="16" t="s">
        <v>4056</v>
      </c>
      <c r="B4282" s="16" t="s">
        <v>7761</v>
      </c>
      <c r="C4282" s="16" t="s">
        <v>7658</v>
      </c>
      <c r="D4282" s="16" t="s">
        <v>7597</v>
      </c>
      <c r="E4282" s="16" t="s">
        <v>4307</v>
      </c>
      <c r="F4282" s="16" t="s">
        <v>4308</v>
      </c>
      <c r="G4282" s="16" t="s">
        <v>32</v>
      </c>
      <c r="H4282" s="16" t="s">
        <v>195</v>
      </c>
      <c r="I4282" s="16"/>
      <c r="J4282" s="16" t="s">
        <v>1481</v>
      </c>
      <c r="K4282" s="16"/>
      <c r="L4282" s="16"/>
      <c r="M4282" s="19" t="s">
        <v>4309</v>
      </c>
      <c r="N4282" s="16"/>
      <c r="O4282" s="16" t="s">
        <v>4310</v>
      </c>
      <c r="P4282" s="16" t="str">
        <f>HYPERLINK("https://ceds.ed.gov/cedselementdetails.aspx?termid=26796")</f>
        <v>https://ceds.ed.gov/cedselementdetails.aspx?termid=26796</v>
      </c>
      <c r="Q4282" s="16">
        <v>76497</v>
      </c>
    </row>
    <row r="4283" spans="1:17" ht="28.8" x14ac:dyDescent="0.3">
      <c r="A4283" s="16" t="s">
        <v>4056</v>
      </c>
      <c r="B4283" s="16" t="s">
        <v>7761</v>
      </c>
      <c r="C4283" s="16" t="s">
        <v>7658</v>
      </c>
      <c r="D4283" s="16" t="s">
        <v>7597</v>
      </c>
      <c r="E4283" s="16" t="s">
        <v>4315</v>
      </c>
      <c r="F4283" s="16" t="s">
        <v>4316</v>
      </c>
      <c r="G4283" s="16" t="s">
        <v>32</v>
      </c>
      <c r="H4283" s="16" t="s">
        <v>195</v>
      </c>
      <c r="I4283" s="16"/>
      <c r="J4283" s="16" t="s">
        <v>1481</v>
      </c>
      <c r="K4283" s="16"/>
      <c r="L4283" s="16"/>
      <c r="M4283" s="19" t="s">
        <v>4317</v>
      </c>
      <c r="N4283" s="16"/>
      <c r="O4283" s="16" t="s">
        <v>4318</v>
      </c>
      <c r="P4283" s="16" t="str">
        <f>HYPERLINK("https://ceds.ed.gov/cedselementdetails.aspx?termid=26795")</f>
        <v>https://ceds.ed.gov/cedselementdetails.aspx?termid=26795</v>
      </c>
      <c r="Q4283" s="16">
        <v>76498</v>
      </c>
    </row>
    <row r="4284" spans="1:17" ht="72" x14ac:dyDescent="0.3">
      <c r="A4284" s="16" t="s">
        <v>4056</v>
      </c>
      <c r="B4284" s="16" t="s">
        <v>7761</v>
      </c>
      <c r="C4284" s="16" t="s">
        <v>7658</v>
      </c>
      <c r="D4284" s="16" t="s">
        <v>7597</v>
      </c>
      <c r="E4284" s="16" t="s">
        <v>5773</v>
      </c>
      <c r="F4284" s="16" t="s">
        <v>5774</v>
      </c>
      <c r="G4284" s="16" t="s">
        <v>32</v>
      </c>
      <c r="H4284" s="16" t="s">
        <v>64</v>
      </c>
      <c r="I4284" s="16"/>
      <c r="J4284" s="16" t="s">
        <v>1304</v>
      </c>
      <c r="K4284" s="16"/>
      <c r="L4284" s="16"/>
      <c r="M4284" s="19" t="s">
        <v>5775</v>
      </c>
      <c r="N4284" s="16"/>
      <c r="O4284" s="16" t="s">
        <v>5776</v>
      </c>
      <c r="P4284" s="16" t="str">
        <f>HYPERLINK("https://ceds.ed.gov/cedselementdetails.aspx?termid=26213")</f>
        <v>https://ceds.ed.gov/cedselementdetails.aspx?termid=26213</v>
      </c>
      <c r="Q4284" s="16">
        <v>76499</v>
      </c>
    </row>
    <row r="4285" spans="1:17" ht="86.4" x14ac:dyDescent="0.3">
      <c r="A4285" s="16" t="s">
        <v>4056</v>
      </c>
      <c r="B4285" s="16" t="s">
        <v>7761</v>
      </c>
      <c r="C4285" s="16" t="s">
        <v>7658</v>
      </c>
      <c r="D4285" s="16" t="s">
        <v>7597</v>
      </c>
      <c r="E4285" s="16" t="s">
        <v>7245</v>
      </c>
      <c r="F4285" s="16" t="s">
        <v>7246</v>
      </c>
      <c r="G4285" s="16" t="s">
        <v>8863</v>
      </c>
      <c r="H4285" s="16" t="s">
        <v>195</v>
      </c>
      <c r="I4285" s="16"/>
      <c r="J4285" s="16"/>
      <c r="K4285" s="16"/>
      <c r="L4285" s="16"/>
      <c r="M4285" s="19" t="s">
        <v>7247</v>
      </c>
      <c r="N4285" s="16"/>
      <c r="O4285" s="16" t="s">
        <v>7248</v>
      </c>
      <c r="P4285" s="16" t="str">
        <f>HYPERLINK("https://ceds.ed.gov/cedselementdetails.aspx?termid=26797")</f>
        <v>https://ceds.ed.gov/cedselementdetails.aspx?termid=26797</v>
      </c>
      <c r="Q4285" s="16">
        <v>76500</v>
      </c>
    </row>
    <row r="4286" spans="1:17" ht="57.6" x14ac:dyDescent="0.3">
      <c r="A4286" s="16" t="s">
        <v>4056</v>
      </c>
      <c r="B4286" s="16" t="s">
        <v>7761</v>
      </c>
      <c r="C4286" s="16" t="s">
        <v>7658</v>
      </c>
      <c r="D4286" s="16" t="s">
        <v>7597</v>
      </c>
      <c r="E4286" s="16" t="s">
        <v>7249</v>
      </c>
      <c r="F4286" s="16" t="s">
        <v>7250</v>
      </c>
      <c r="G4286" s="16" t="s">
        <v>8864</v>
      </c>
      <c r="H4286" s="16" t="s">
        <v>195</v>
      </c>
      <c r="I4286" s="16"/>
      <c r="J4286" s="16"/>
      <c r="K4286" s="16"/>
      <c r="L4286" s="16"/>
      <c r="M4286" s="19" t="s">
        <v>7251</v>
      </c>
      <c r="N4286" s="16"/>
      <c r="O4286" s="16" t="s">
        <v>7252</v>
      </c>
      <c r="P4286" s="16" t="str">
        <f>HYPERLINK("https://ceds.ed.gov/cedselementdetails.aspx?termid=26818")</f>
        <v>https://ceds.ed.gov/cedselementdetails.aspx?termid=26818</v>
      </c>
      <c r="Q4286" s="16">
        <v>76501</v>
      </c>
    </row>
    <row r="4287" spans="1:17" x14ac:dyDescent="0.3">
      <c r="A4287" s="16" t="s">
        <v>4056</v>
      </c>
      <c r="B4287" s="16" t="s">
        <v>7761</v>
      </c>
      <c r="C4287" s="16" t="s">
        <v>7658</v>
      </c>
      <c r="D4287" s="16" t="s">
        <v>7597</v>
      </c>
      <c r="E4287" s="16" t="s">
        <v>7266</v>
      </c>
      <c r="F4287" s="16" t="s">
        <v>7267</v>
      </c>
      <c r="G4287" s="16" t="s">
        <v>32</v>
      </c>
      <c r="H4287" s="16"/>
      <c r="I4287" s="16"/>
      <c r="J4287" s="16" t="s">
        <v>1662</v>
      </c>
      <c r="K4287" s="16"/>
      <c r="L4287" s="16"/>
      <c r="M4287" s="19" t="s">
        <v>7268</v>
      </c>
      <c r="N4287" s="16"/>
      <c r="O4287" s="16" t="s">
        <v>7269</v>
      </c>
      <c r="P4287" s="16" t="str">
        <f>HYPERLINK("https://ceds.ed.gov/cedselementdetails.aspx?termid=27470")</f>
        <v>https://ceds.ed.gov/cedselementdetails.aspx?termid=27470</v>
      </c>
      <c r="Q4287" s="16">
        <v>76502</v>
      </c>
    </row>
    <row r="4288" spans="1:17" ht="115.2" x14ac:dyDescent="0.3">
      <c r="A4288" s="16" t="s">
        <v>4056</v>
      </c>
      <c r="B4288" s="16" t="s">
        <v>7761</v>
      </c>
      <c r="C4288" s="16" t="s">
        <v>7762</v>
      </c>
      <c r="D4288" s="16" t="s">
        <v>7597</v>
      </c>
      <c r="E4288" s="16" t="s">
        <v>6034</v>
      </c>
      <c r="F4288" s="16" t="s">
        <v>6035</v>
      </c>
      <c r="G4288" s="16" t="s">
        <v>8794</v>
      </c>
      <c r="H4288" s="16"/>
      <c r="I4288" s="16"/>
      <c r="J4288" s="16"/>
      <c r="K4288" s="16"/>
      <c r="L4288" s="16"/>
      <c r="M4288" s="19" t="s">
        <v>6037</v>
      </c>
      <c r="N4288" s="16"/>
      <c r="O4288" s="16" t="s">
        <v>6038</v>
      </c>
      <c r="P4288" s="16" t="str">
        <f>HYPERLINK("https://ceds.ed.gov/cedselementdetails.aspx?termid=26780")</f>
        <v>https://ceds.ed.gov/cedselementdetails.aspx?termid=26780</v>
      </c>
      <c r="Q4288" s="16">
        <v>74018</v>
      </c>
    </row>
    <row r="4289" spans="1:17" ht="100.8" x14ac:dyDescent="0.3">
      <c r="A4289" s="16" t="s">
        <v>4056</v>
      </c>
      <c r="B4289" s="16" t="s">
        <v>7761</v>
      </c>
      <c r="C4289" s="16" t="s">
        <v>7640</v>
      </c>
      <c r="D4289" s="16" t="s">
        <v>7597</v>
      </c>
      <c r="E4289" s="16" t="s">
        <v>4849</v>
      </c>
      <c r="F4289" s="16" t="s">
        <v>13082</v>
      </c>
      <c r="G4289" s="16" t="s">
        <v>7313</v>
      </c>
      <c r="H4289" s="16" t="s">
        <v>4851</v>
      </c>
      <c r="I4289" s="16" t="s">
        <v>160</v>
      </c>
      <c r="J4289" s="16"/>
      <c r="K4289" s="16" t="s">
        <v>12946</v>
      </c>
      <c r="L4289" s="16"/>
      <c r="M4289" s="19" t="s">
        <v>4850</v>
      </c>
      <c r="N4289" s="16"/>
      <c r="O4289" s="16"/>
      <c r="P4289" s="16" t="str">
        <f>HYPERLINK("https://ceds.ed.gov/cedselementdetails.aspx?termid=26317")</f>
        <v>https://ceds.ed.gov/cedselementdetails.aspx?termid=26317</v>
      </c>
      <c r="Q4289" s="16">
        <v>75451</v>
      </c>
    </row>
    <row r="4290" spans="1:17" ht="129.6" x14ac:dyDescent="0.3">
      <c r="A4290" s="16" t="s">
        <v>4056</v>
      </c>
      <c r="B4290" s="16" t="s">
        <v>7761</v>
      </c>
      <c r="C4290" s="16" t="s">
        <v>7640</v>
      </c>
      <c r="D4290" s="16" t="s">
        <v>7597</v>
      </c>
      <c r="E4290" s="16" t="s">
        <v>4852</v>
      </c>
      <c r="F4290" s="16" t="s">
        <v>13083</v>
      </c>
      <c r="G4290" s="16" t="s">
        <v>7313</v>
      </c>
      <c r="H4290" s="16"/>
      <c r="I4290" s="16" t="s">
        <v>160</v>
      </c>
      <c r="J4290" s="16"/>
      <c r="K4290" s="16" t="s">
        <v>12947</v>
      </c>
      <c r="L4290" s="16" t="s">
        <v>13084</v>
      </c>
      <c r="M4290" s="19" t="s">
        <v>4853</v>
      </c>
      <c r="N4290" s="16"/>
      <c r="O4290" s="16"/>
      <c r="P4290" s="16" t="str">
        <f>HYPERLINK("https://ceds.ed.gov/cedselementdetails.aspx?termid=27618")</f>
        <v>https://ceds.ed.gov/cedselementdetails.aspx?termid=27618</v>
      </c>
      <c r="Q4290" s="16">
        <v>75452</v>
      </c>
    </row>
    <row r="4291" spans="1:17" ht="409.6" x14ac:dyDescent="0.3">
      <c r="A4291" s="16" t="s">
        <v>4056</v>
      </c>
      <c r="B4291" s="16" t="s">
        <v>7761</v>
      </c>
      <c r="C4291" s="16" t="s">
        <v>7640</v>
      </c>
      <c r="D4291" s="16" t="s">
        <v>7597</v>
      </c>
      <c r="E4291" s="16" t="s">
        <v>4854</v>
      </c>
      <c r="F4291" s="16" t="s">
        <v>13085</v>
      </c>
      <c r="G4291" s="16" t="s">
        <v>8683</v>
      </c>
      <c r="H4291" s="16"/>
      <c r="I4291" s="16" t="s">
        <v>160</v>
      </c>
      <c r="J4291" s="16"/>
      <c r="K4291" s="16" t="s">
        <v>12948</v>
      </c>
      <c r="L4291" s="16" t="s">
        <v>13086</v>
      </c>
      <c r="M4291" s="19" t="s">
        <v>4855</v>
      </c>
      <c r="N4291" s="16"/>
      <c r="O4291" s="16"/>
      <c r="P4291" s="16" t="str">
        <f>HYPERLINK("https://ceds.ed.gov/cedselementdetails.aspx?termid=27619")</f>
        <v>https://ceds.ed.gov/cedselementdetails.aspx?termid=27619</v>
      </c>
      <c r="Q4291" s="16">
        <v>75453</v>
      </c>
    </row>
    <row r="4292" spans="1:17" ht="43.2" x14ac:dyDescent="0.3">
      <c r="A4292" s="16" t="s">
        <v>4056</v>
      </c>
      <c r="B4292" s="16" t="s">
        <v>7761</v>
      </c>
      <c r="C4292" s="16" t="s">
        <v>7640</v>
      </c>
      <c r="D4292" s="16" t="s">
        <v>7597</v>
      </c>
      <c r="E4292" s="16" t="s">
        <v>4886</v>
      </c>
      <c r="F4292" s="16" t="s">
        <v>4887</v>
      </c>
      <c r="G4292" s="16" t="s">
        <v>13005</v>
      </c>
      <c r="H4292" s="16"/>
      <c r="I4292" s="16"/>
      <c r="J4292" s="16"/>
      <c r="K4292" s="16"/>
      <c r="L4292" s="16"/>
      <c r="M4292" s="19"/>
      <c r="N4292" s="16"/>
      <c r="O4292" s="16"/>
      <c r="P4292" s="16"/>
      <c r="Q4292" s="16"/>
    </row>
    <row r="4293" spans="1:17" x14ac:dyDescent="0.3">
      <c r="A4293" s="16"/>
      <c r="B4293" s="16"/>
      <c r="C4293" s="16"/>
      <c r="D4293" s="16"/>
      <c r="E4293" s="16"/>
      <c r="F4293" s="16"/>
      <c r="G4293" s="16"/>
      <c r="H4293" s="16"/>
      <c r="I4293" s="16"/>
      <c r="J4293" s="16"/>
      <c r="K4293" s="16"/>
      <c r="L4293" s="16"/>
      <c r="M4293" s="19"/>
      <c r="N4293" s="16"/>
      <c r="O4293" s="16"/>
      <c r="P4293" s="16"/>
      <c r="Q4293" s="16"/>
    </row>
    <row r="4294" spans="1:17" ht="144" x14ac:dyDescent="0.3">
      <c r="A4294" s="16"/>
      <c r="B4294" s="16" t="s">
        <v>13051</v>
      </c>
      <c r="C4294" s="16" t="s">
        <v>4851</v>
      </c>
      <c r="D4294" s="16"/>
      <c r="E4294" s="16"/>
      <c r="F4294" s="16"/>
      <c r="G4294" s="16"/>
      <c r="H4294" s="16">
        <v>316</v>
      </c>
      <c r="I4294" s="16"/>
      <c r="J4294" s="16" t="s">
        <v>4888</v>
      </c>
      <c r="K4294" s="16" t="str">
        <f>HYPERLINK("https://ceds.ed.gov/cedselementdetails.aspx?termid=26316")</f>
        <v>https://ceds.ed.gov/cedselementdetails.aspx?termid=26316</v>
      </c>
      <c r="L4294" s="16">
        <v>75454</v>
      </c>
      <c r="M4294" s="19"/>
      <c r="N4294" s="16"/>
      <c r="O4294" s="16"/>
      <c r="P4294" s="16"/>
      <c r="Q4294" s="16"/>
    </row>
    <row r="4295" spans="1:17" ht="409.6" x14ac:dyDescent="0.3">
      <c r="A4295" s="16" t="s">
        <v>4056</v>
      </c>
      <c r="B4295" s="16" t="s">
        <v>7761</v>
      </c>
      <c r="C4295" s="16" t="s">
        <v>7652</v>
      </c>
      <c r="D4295" s="16" t="s">
        <v>7597</v>
      </c>
      <c r="E4295" s="16" t="s">
        <v>5751</v>
      </c>
      <c r="F4295" s="16" t="s">
        <v>5752</v>
      </c>
      <c r="G4295" s="16" t="s">
        <v>8753</v>
      </c>
      <c r="H4295" s="16" t="s">
        <v>1516</v>
      </c>
      <c r="I4295" s="16"/>
      <c r="J4295" s="16"/>
      <c r="K4295" s="16"/>
      <c r="L4295" s="16" t="s">
        <v>5753</v>
      </c>
      <c r="M4295" s="19" t="s">
        <v>5754</v>
      </c>
      <c r="N4295" s="16"/>
      <c r="O4295" s="16" t="s">
        <v>5755</v>
      </c>
      <c r="P4295" s="16" t="str">
        <f>HYPERLINK("https://ceds.ed.gov/cedselementdetails.aspx?termid=26415")</f>
        <v>https://ceds.ed.gov/cedselementdetails.aspx?termid=26415</v>
      </c>
      <c r="Q4295" s="16">
        <v>75455</v>
      </c>
    </row>
    <row r="4296" spans="1:17" ht="57.6" x14ac:dyDescent="0.3">
      <c r="A4296" s="16" t="s">
        <v>4056</v>
      </c>
      <c r="B4296" s="16" t="s">
        <v>7761</v>
      </c>
      <c r="C4296" s="16" t="s">
        <v>4</v>
      </c>
      <c r="D4296" s="16" t="s">
        <v>7597</v>
      </c>
      <c r="E4296" s="16" t="s">
        <v>6162</v>
      </c>
      <c r="F4296" s="16" t="s">
        <v>6163</v>
      </c>
      <c r="G4296" s="16" t="s">
        <v>22</v>
      </c>
      <c r="H4296" s="16"/>
      <c r="I4296" s="16"/>
      <c r="J4296" s="16"/>
      <c r="K4296" s="16"/>
      <c r="L4296" s="16"/>
      <c r="M4296" s="19" t="s">
        <v>6164</v>
      </c>
      <c r="N4296" s="16"/>
      <c r="O4296" s="16" t="s">
        <v>6165</v>
      </c>
      <c r="P4296" s="16" t="str">
        <f>HYPERLINK("https://ceds.ed.gov/cedselementdetails.aspx?termid=26760")</f>
        <v>https://ceds.ed.gov/cedselementdetails.aspx?termid=26760</v>
      </c>
      <c r="Q4296" s="16">
        <v>75456</v>
      </c>
    </row>
    <row r="4297" spans="1:17" ht="43.2" x14ac:dyDescent="0.3">
      <c r="A4297" s="16" t="s">
        <v>4056</v>
      </c>
      <c r="B4297" s="16" t="s">
        <v>7761</v>
      </c>
      <c r="C4297" s="16" t="s">
        <v>4</v>
      </c>
      <c r="D4297" s="16" t="s">
        <v>7597</v>
      </c>
      <c r="E4297" s="16" t="s">
        <v>1490</v>
      </c>
      <c r="F4297" s="16" t="s">
        <v>1491</v>
      </c>
      <c r="G4297" s="16" t="s">
        <v>22</v>
      </c>
      <c r="H4297" s="16"/>
      <c r="I4297" s="16"/>
      <c r="J4297" s="16"/>
      <c r="K4297" s="16"/>
      <c r="L4297" s="16"/>
      <c r="M4297" s="19" t="s">
        <v>1492</v>
      </c>
      <c r="N4297" s="16"/>
      <c r="O4297" s="16" t="s">
        <v>1493</v>
      </c>
      <c r="P4297" s="16" t="str">
        <f>HYPERLINK("https://ceds.ed.gov/cedselementdetails.aspx?termid=27903")</f>
        <v>https://ceds.ed.gov/cedselementdetails.aspx?termid=27903</v>
      </c>
      <c r="Q4297" s="16">
        <v>76530</v>
      </c>
    </row>
    <row r="4298" spans="1:17" ht="115.2" x14ac:dyDescent="0.3">
      <c r="A4298" s="16" t="s">
        <v>4056</v>
      </c>
      <c r="B4298" s="16" t="s">
        <v>7761</v>
      </c>
      <c r="C4298" s="16" t="s">
        <v>4</v>
      </c>
      <c r="D4298" s="16" t="s">
        <v>7597</v>
      </c>
      <c r="E4298" s="16" t="s">
        <v>3155</v>
      </c>
      <c r="F4298" s="16" t="s">
        <v>3156</v>
      </c>
      <c r="G4298" s="16" t="s">
        <v>22</v>
      </c>
      <c r="H4298" s="16"/>
      <c r="I4298" s="16"/>
      <c r="J4298" s="16"/>
      <c r="K4298" s="16"/>
      <c r="L4298" s="16"/>
      <c r="M4298" s="19" t="s">
        <v>3157</v>
      </c>
      <c r="N4298" s="16"/>
      <c r="O4298" s="16" t="s">
        <v>3158</v>
      </c>
      <c r="P4298" s="16" t="str">
        <f>HYPERLINK("https://ceds.ed.gov/cedselementdetails.aspx?termid=26759")</f>
        <v>https://ceds.ed.gov/cedselementdetails.aspx?termid=26759</v>
      </c>
      <c r="Q4298" s="16">
        <v>76531</v>
      </c>
    </row>
    <row r="4299" spans="1:17" ht="158.4" x14ac:dyDescent="0.3">
      <c r="A4299" s="16" t="s">
        <v>4056</v>
      </c>
      <c r="B4299" s="16" t="s">
        <v>7761</v>
      </c>
      <c r="C4299" s="16" t="s">
        <v>4</v>
      </c>
      <c r="D4299" s="16" t="s">
        <v>7597</v>
      </c>
      <c r="E4299" s="16" t="s">
        <v>5288</v>
      </c>
      <c r="F4299" s="16" t="s">
        <v>5289</v>
      </c>
      <c r="G4299" s="16" t="s">
        <v>22</v>
      </c>
      <c r="H4299" s="16"/>
      <c r="I4299" s="16" t="s">
        <v>160</v>
      </c>
      <c r="J4299" s="16"/>
      <c r="K4299" s="16" t="s">
        <v>12935</v>
      </c>
      <c r="L4299" s="16"/>
      <c r="M4299" s="19" t="s">
        <v>5290</v>
      </c>
      <c r="N4299" s="16"/>
      <c r="O4299" s="16" t="s">
        <v>5291</v>
      </c>
      <c r="P4299" s="16" t="str">
        <f>HYPERLINK("https://ceds.ed.gov/cedselementdetails.aspx?termid=26758")</f>
        <v>https://ceds.ed.gov/cedselementdetails.aspx?termid=26758</v>
      </c>
      <c r="Q4299" s="16">
        <v>76532</v>
      </c>
    </row>
    <row r="4300" spans="1:17" ht="144" x14ac:dyDescent="0.3">
      <c r="A4300" s="16" t="s">
        <v>4056</v>
      </c>
      <c r="B4300" s="16" t="s">
        <v>7761</v>
      </c>
      <c r="C4300" s="16" t="s">
        <v>13069</v>
      </c>
      <c r="D4300" s="16" t="s">
        <v>7597</v>
      </c>
      <c r="E4300" s="16" t="s">
        <v>7444</v>
      </c>
      <c r="F4300" s="16" t="s">
        <v>13080</v>
      </c>
      <c r="G4300" s="16" t="s">
        <v>8668</v>
      </c>
      <c r="H4300" s="16"/>
      <c r="I4300" s="16" t="s">
        <v>160</v>
      </c>
      <c r="J4300" s="16"/>
      <c r="K4300" s="16" t="s">
        <v>12945</v>
      </c>
      <c r="L4300" s="16" t="s">
        <v>13081</v>
      </c>
      <c r="M4300" s="19" t="s">
        <v>7445</v>
      </c>
      <c r="N4300" s="16"/>
      <c r="O4300" s="16"/>
      <c r="P4300" s="16" t="str">
        <f>HYPERLINK("https://ceds.ed.gov/cedselementdetails.aspx?termid=27937")</f>
        <v>https://ceds.ed.gov/cedselementdetails.aspx?termid=27937</v>
      </c>
      <c r="Q4300" s="16">
        <v>76555</v>
      </c>
    </row>
    <row r="4301" spans="1:17" ht="57.6" x14ac:dyDescent="0.3">
      <c r="A4301" s="16" t="s">
        <v>4056</v>
      </c>
      <c r="B4301" s="16" t="s">
        <v>7761</v>
      </c>
      <c r="C4301" s="16" t="s">
        <v>7653</v>
      </c>
      <c r="D4301" s="16" t="s">
        <v>7597</v>
      </c>
      <c r="E4301" s="16" t="s">
        <v>7446</v>
      </c>
      <c r="F4301" s="16" t="s">
        <v>7447</v>
      </c>
      <c r="G4301" s="16" t="s">
        <v>32</v>
      </c>
      <c r="H4301" s="16"/>
      <c r="I4301" s="16"/>
      <c r="J4301" s="16" t="s">
        <v>136</v>
      </c>
      <c r="K4301" s="16"/>
      <c r="L4301" s="16" t="s">
        <v>7448</v>
      </c>
      <c r="M4301" s="19" t="s">
        <v>7449</v>
      </c>
      <c r="N4301" s="16"/>
      <c r="O4301" s="16" t="s">
        <v>7450</v>
      </c>
      <c r="P4301" s="16" t="str">
        <f>HYPERLINK("https://ceds.ed.gov/cedselementdetails.aspx?termid=27938")</f>
        <v>https://ceds.ed.gov/cedselementdetails.aspx?termid=27938</v>
      </c>
      <c r="Q4301" s="16">
        <v>75684</v>
      </c>
    </row>
    <row r="4302" spans="1:17" ht="43.2" x14ac:dyDescent="0.3">
      <c r="A4302" s="16" t="s">
        <v>4056</v>
      </c>
      <c r="B4302" s="16" t="s">
        <v>7761</v>
      </c>
      <c r="C4302" s="16" t="s">
        <v>7653</v>
      </c>
      <c r="D4302" s="16" t="s">
        <v>7597</v>
      </c>
      <c r="E4302" s="16" t="s">
        <v>7456</v>
      </c>
      <c r="F4302" s="16" t="s">
        <v>7457</v>
      </c>
      <c r="G4302" s="16" t="s">
        <v>32</v>
      </c>
      <c r="H4302" s="16"/>
      <c r="I4302" s="16"/>
      <c r="J4302" s="16" t="s">
        <v>812</v>
      </c>
      <c r="K4302" s="16"/>
      <c r="L4302" s="16" t="s">
        <v>7458</v>
      </c>
      <c r="M4302" s="19" t="s">
        <v>7459</v>
      </c>
      <c r="N4302" s="16"/>
      <c r="O4302" s="16" t="s">
        <v>7460</v>
      </c>
      <c r="P4302" s="16" t="str">
        <f>HYPERLINK("https://ceds.ed.gov/cedselementdetails.aspx?termid=27940")</f>
        <v>https://ceds.ed.gov/cedselementdetails.aspx?termid=27940</v>
      </c>
      <c r="Q4302" s="16">
        <v>75685</v>
      </c>
    </row>
    <row r="4303" spans="1:17" ht="57.6" x14ac:dyDescent="0.3">
      <c r="A4303" s="16" t="s">
        <v>4056</v>
      </c>
      <c r="B4303" s="16" t="s">
        <v>7761</v>
      </c>
      <c r="C4303" s="16" t="s">
        <v>7653</v>
      </c>
      <c r="D4303" s="16" t="s">
        <v>7597</v>
      </c>
      <c r="E4303" s="16" t="s">
        <v>7461</v>
      </c>
      <c r="F4303" s="16" t="s">
        <v>7462</v>
      </c>
      <c r="G4303" s="16" t="s">
        <v>32</v>
      </c>
      <c r="H4303" s="16"/>
      <c r="I4303" s="16"/>
      <c r="J4303" s="16" t="s">
        <v>136</v>
      </c>
      <c r="K4303" s="16"/>
      <c r="L4303" s="16" t="s">
        <v>7463</v>
      </c>
      <c r="M4303" s="19" t="s">
        <v>7464</v>
      </c>
      <c r="N4303" s="16"/>
      <c r="O4303" s="16" t="s">
        <v>7465</v>
      </c>
      <c r="P4303" s="16" t="str">
        <f>HYPERLINK("https://ceds.ed.gov/cedselementdetails.aspx?termid=27941")</f>
        <v>https://ceds.ed.gov/cedselementdetails.aspx?termid=27941</v>
      </c>
      <c r="Q4303" s="16">
        <v>75686</v>
      </c>
    </row>
    <row r="4304" spans="1:17" ht="72" x14ac:dyDescent="0.3">
      <c r="A4304" s="16" t="s">
        <v>4056</v>
      </c>
      <c r="B4304" s="16" t="s">
        <v>7761</v>
      </c>
      <c r="C4304" s="16" t="s">
        <v>9412</v>
      </c>
      <c r="D4304" s="16" t="s">
        <v>7597</v>
      </c>
      <c r="E4304" s="16" t="s">
        <v>9312</v>
      </c>
      <c r="F4304" s="16" t="s">
        <v>9313</v>
      </c>
      <c r="G4304" s="16" t="s">
        <v>9325</v>
      </c>
      <c r="H4304" s="16"/>
      <c r="I4304" s="16"/>
      <c r="J4304" s="16"/>
      <c r="K4304" s="16"/>
      <c r="L4304" s="16"/>
      <c r="M4304" s="19" t="s">
        <v>5394</v>
      </c>
      <c r="N4304" s="16"/>
      <c r="O4304" s="16" t="s">
        <v>9314</v>
      </c>
      <c r="P4304" s="16" t="str">
        <f>HYPERLINK("https://ceds.ed.gov/cedselementdetails.aspx?termid=27556")</f>
        <v>https://ceds.ed.gov/cedselementdetails.aspx?termid=27556</v>
      </c>
      <c r="Q4304" s="16">
        <v>76503</v>
      </c>
    </row>
    <row r="4305" spans="1:17" ht="144" x14ac:dyDescent="0.3">
      <c r="A4305" s="16" t="s">
        <v>4056</v>
      </c>
      <c r="B4305" s="16" t="s">
        <v>7761</v>
      </c>
      <c r="C4305" s="16" t="s">
        <v>9412</v>
      </c>
      <c r="D4305" s="16" t="s">
        <v>7597</v>
      </c>
      <c r="E4305" s="16" t="s">
        <v>9087</v>
      </c>
      <c r="F4305" s="16" t="s">
        <v>9088</v>
      </c>
      <c r="G4305" s="16" t="s">
        <v>9298</v>
      </c>
      <c r="H4305" s="16"/>
      <c r="I4305" s="16"/>
      <c r="J4305" s="16" t="s">
        <v>2</v>
      </c>
      <c r="K4305" s="16"/>
      <c r="L4305" s="16" t="s">
        <v>9089</v>
      </c>
      <c r="M4305" s="19" t="s">
        <v>9090</v>
      </c>
      <c r="N4305" s="16"/>
      <c r="O4305" s="16" t="s">
        <v>9091</v>
      </c>
      <c r="P4305" s="16" t="str">
        <f>HYPERLINK("https://ceds.ed.gov/cedselementdetails.aspx?termid=28047")</f>
        <v>https://ceds.ed.gov/cedselementdetails.aspx?termid=28047</v>
      </c>
      <c r="Q4305" s="16">
        <v>76504</v>
      </c>
    </row>
    <row r="4306" spans="1:17" ht="409.6" x14ac:dyDescent="0.3">
      <c r="A4306" s="16" t="s">
        <v>4056</v>
      </c>
      <c r="B4306" s="16" t="s">
        <v>7761</v>
      </c>
      <c r="C4306" s="16" t="s">
        <v>9412</v>
      </c>
      <c r="D4306" s="16" t="s">
        <v>7597</v>
      </c>
      <c r="E4306" s="16" t="s">
        <v>9092</v>
      </c>
      <c r="F4306" s="16" t="s">
        <v>9093</v>
      </c>
      <c r="G4306" s="16" t="s">
        <v>9299</v>
      </c>
      <c r="H4306" s="16"/>
      <c r="I4306" s="16"/>
      <c r="J4306" s="16" t="s">
        <v>2</v>
      </c>
      <c r="K4306" s="16"/>
      <c r="L4306" s="16" t="s">
        <v>9094</v>
      </c>
      <c r="M4306" s="19" t="s">
        <v>9095</v>
      </c>
      <c r="N4306" s="16"/>
      <c r="O4306" s="16" t="s">
        <v>9096</v>
      </c>
      <c r="P4306" s="16" t="str">
        <f>HYPERLINK("https://ceds.ed.gov/cedselementdetails.aspx?termid=28048")</f>
        <v>https://ceds.ed.gov/cedselementdetails.aspx?termid=28048</v>
      </c>
      <c r="Q4306" s="16">
        <v>76505</v>
      </c>
    </row>
    <row r="4307" spans="1:17" ht="100.8" x14ac:dyDescent="0.3">
      <c r="A4307" s="16" t="s">
        <v>4056</v>
      </c>
      <c r="B4307" s="16" t="s">
        <v>7761</v>
      </c>
      <c r="C4307" s="16" t="s">
        <v>9412</v>
      </c>
      <c r="D4307" s="16" t="s">
        <v>7597</v>
      </c>
      <c r="E4307" s="16" t="s">
        <v>9097</v>
      </c>
      <c r="F4307" s="16" t="s">
        <v>9098</v>
      </c>
      <c r="G4307" s="16" t="s">
        <v>32</v>
      </c>
      <c r="H4307" s="16"/>
      <c r="I4307" s="16"/>
      <c r="J4307" s="16" t="s">
        <v>120</v>
      </c>
      <c r="K4307" s="16"/>
      <c r="L4307" s="16" t="s">
        <v>9089</v>
      </c>
      <c r="M4307" s="19" t="s">
        <v>9099</v>
      </c>
      <c r="N4307" s="16"/>
      <c r="O4307" s="16" t="s">
        <v>9100</v>
      </c>
      <c r="P4307" s="16" t="str">
        <f>HYPERLINK("https://ceds.ed.gov/cedselementdetails.aspx?termid=28049")</f>
        <v>https://ceds.ed.gov/cedselementdetails.aspx?termid=28049</v>
      </c>
      <c r="Q4307" s="16">
        <v>76506</v>
      </c>
    </row>
    <row r="4308" spans="1:17" ht="100.8" x14ac:dyDescent="0.3">
      <c r="A4308" s="16" t="s">
        <v>4056</v>
      </c>
      <c r="B4308" s="16" t="s">
        <v>7761</v>
      </c>
      <c r="C4308" s="16" t="s">
        <v>9412</v>
      </c>
      <c r="D4308" s="16" t="s">
        <v>7597</v>
      </c>
      <c r="E4308" s="16" t="s">
        <v>9101</v>
      </c>
      <c r="F4308" s="16" t="s">
        <v>9102</v>
      </c>
      <c r="G4308" s="16" t="s">
        <v>32</v>
      </c>
      <c r="H4308" s="16"/>
      <c r="I4308" s="16"/>
      <c r="J4308" s="16" t="s">
        <v>9103</v>
      </c>
      <c r="K4308" s="16"/>
      <c r="L4308" s="16" t="s">
        <v>9089</v>
      </c>
      <c r="M4308" s="19" t="s">
        <v>9104</v>
      </c>
      <c r="N4308" s="16"/>
      <c r="O4308" s="16" t="s">
        <v>9105</v>
      </c>
      <c r="P4308" s="16" t="str">
        <f>HYPERLINK("https://ceds.ed.gov/cedselementdetails.aspx?termid=28050")</f>
        <v>https://ceds.ed.gov/cedselementdetails.aspx?termid=28050</v>
      </c>
      <c r="Q4308" s="16">
        <v>76507</v>
      </c>
    </row>
    <row r="4309" spans="1:17" ht="100.8" x14ac:dyDescent="0.3">
      <c r="A4309" s="16" t="s">
        <v>4056</v>
      </c>
      <c r="B4309" s="16" t="s">
        <v>7761</v>
      </c>
      <c r="C4309" s="16" t="s">
        <v>9412</v>
      </c>
      <c r="D4309" s="16" t="s">
        <v>7597</v>
      </c>
      <c r="E4309" s="16" t="s">
        <v>9106</v>
      </c>
      <c r="F4309" s="16" t="s">
        <v>9107</v>
      </c>
      <c r="G4309" s="16" t="s">
        <v>32</v>
      </c>
      <c r="H4309" s="16"/>
      <c r="I4309" s="16"/>
      <c r="J4309" s="16" t="s">
        <v>9108</v>
      </c>
      <c r="K4309" s="16"/>
      <c r="L4309" s="16" t="s">
        <v>9089</v>
      </c>
      <c r="M4309" s="19" t="s">
        <v>9109</v>
      </c>
      <c r="N4309" s="16"/>
      <c r="O4309" s="16" t="s">
        <v>9110</v>
      </c>
      <c r="P4309" s="16" t="str">
        <f>HYPERLINK("https://ceds.ed.gov/cedselementdetails.aspx?termid=28051")</f>
        <v>https://ceds.ed.gov/cedselementdetails.aspx?termid=28051</v>
      </c>
      <c r="Q4309" s="16">
        <v>76508</v>
      </c>
    </row>
    <row r="4310" spans="1:17" ht="100.8" x14ac:dyDescent="0.3">
      <c r="A4310" s="16" t="s">
        <v>4056</v>
      </c>
      <c r="B4310" s="16" t="s">
        <v>7761</v>
      </c>
      <c r="C4310" s="16" t="s">
        <v>9412</v>
      </c>
      <c r="D4310" s="16" t="s">
        <v>7597</v>
      </c>
      <c r="E4310" s="16" t="s">
        <v>9111</v>
      </c>
      <c r="F4310" s="16" t="s">
        <v>9112</v>
      </c>
      <c r="G4310" s="16" t="s">
        <v>32</v>
      </c>
      <c r="H4310" s="16"/>
      <c r="I4310" s="16"/>
      <c r="J4310" s="16" t="s">
        <v>9103</v>
      </c>
      <c r="K4310" s="16"/>
      <c r="L4310" s="16" t="s">
        <v>9089</v>
      </c>
      <c r="M4310" s="19" t="s">
        <v>9113</v>
      </c>
      <c r="N4310" s="16"/>
      <c r="O4310" s="16" t="s">
        <v>9114</v>
      </c>
      <c r="P4310" s="16" t="str">
        <f>HYPERLINK("https://ceds.ed.gov/cedselementdetails.aspx?termid=28052")</f>
        <v>https://ceds.ed.gov/cedselementdetails.aspx?termid=28052</v>
      </c>
      <c r="Q4310" s="16">
        <v>76509</v>
      </c>
    </row>
    <row r="4311" spans="1:17" ht="100.8" x14ac:dyDescent="0.3">
      <c r="A4311" s="16" t="s">
        <v>4056</v>
      </c>
      <c r="B4311" s="16" t="s">
        <v>7761</v>
      </c>
      <c r="C4311" s="16" t="s">
        <v>9412</v>
      </c>
      <c r="D4311" s="16" t="s">
        <v>7597</v>
      </c>
      <c r="E4311" s="16" t="s">
        <v>9115</v>
      </c>
      <c r="F4311" s="16" t="s">
        <v>9116</v>
      </c>
      <c r="G4311" s="16" t="s">
        <v>32</v>
      </c>
      <c r="H4311" s="16"/>
      <c r="I4311" s="16"/>
      <c r="J4311" s="16" t="s">
        <v>34</v>
      </c>
      <c r="K4311" s="16"/>
      <c r="L4311" s="16" t="s">
        <v>9089</v>
      </c>
      <c r="M4311" s="19" t="s">
        <v>9117</v>
      </c>
      <c r="N4311" s="16"/>
      <c r="O4311" s="16" t="s">
        <v>9118</v>
      </c>
      <c r="P4311" s="16" t="str">
        <f>HYPERLINK("https://ceds.ed.gov/cedselementdetails.aspx?termid=28053")</f>
        <v>https://ceds.ed.gov/cedselementdetails.aspx?termid=28053</v>
      </c>
      <c r="Q4311" s="16">
        <v>76510</v>
      </c>
    </row>
    <row r="4312" spans="1:17" ht="100.8" x14ac:dyDescent="0.3">
      <c r="A4312" s="16" t="s">
        <v>4056</v>
      </c>
      <c r="B4312" s="16" t="s">
        <v>7761</v>
      </c>
      <c r="C4312" s="16" t="s">
        <v>9412</v>
      </c>
      <c r="D4312" s="16" t="s">
        <v>7597</v>
      </c>
      <c r="E4312" s="16" t="s">
        <v>9119</v>
      </c>
      <c r="F4312" s="16" t="s">
        <v>9120</v>
      </c>
      <c r="G4312" s="16" t="s">
        <v>32</v>
      </c>
      <c r="H4312" s="16"/>
      <c r="I4312" s="16"/>
      <c r="J4312" s="16" t="s">
        <v>9103</v>
      </c>
      <c r="K4312" s="16"/>
      <c r="L4312" s="16" t="s">
        <v>9089</v>
      </c>
      <c r="M4312" s="19" t="s">
        <v>9121</v>
      </c>
      <c r="N4312" s="16"/>
      <c r="O4312" s="16" t="s">
        <v>9122</v>
      </c>
      <c r="P4312" s="16" t="str">
        <f>HYPERLINK("https://ceds.ed.gov/cedselementdetails.aspx?termid=28054")</f>
        <v>https://ceds.ed.gov/cedselementdetails.aspx?termid=28054</v>
      </c>
      <c r="Q4312" s="16">
        <v>76511</v>
      </c>
    </row>
    <row r="4313" spans="1:17" ht="100.8" x14ac:dyDescent="0.3">
      <c r="A4313" s="16" t="s">
        <v>4056</v>
      </c>
      <c r="B4313" s="16" t="s">
        <v>7761</v>
      </c>
      <c r="C4313" s="16" t="s">
        <v>9412</v>
      </c>
      <c r="D4313" s="16" t="s">
        <v>7597</v>
      </c>
      <c r="E4313" s="16" t="s">
        <v>9123</v>
      </c>
      <c r="F4313" s="16" t="s">
        <v>9124</v>
      </c>
      <c r="G4313" s="16" t="s">
        <v>32</v>
      </c>
      <c r="H4313" s="16"/>
      <c r="I4313" s="16"/>
      <c r="J4313" s="16" t="s">
        <v>747</v>
      </c>
      <c r="K4313" s="16"/>
      <c r="L4313" s="16" t="s">
        <v>9089</v>
      </c>
      <c r="M4313" s="19" t="s">
        <v>9125</v>
      </c>
      <c r="N4313" s="16"/>
      <c r="O4313" s="16" t="s">
        <v>9126</v>
      </c>
      <c r="P4313" s="16" t="str">
        <f>HYPERLINK("https://ceds.ed.gov/cedselementdetails.aspx?termid=28055")</f>
        <v>https://ceds.ed.gov/cedselementdetails.aspx?termid=28055</v>
      </c>
      <c r="Q4313" s="16">
        <v>76512</v>
      </c>
    </row>
    <row r="4314" spans="1:17" ht="100.8" x14ac:dyDescent="0.3">
      <c r="A4314" s="16" t="s">
        <v>4056</v>
      </c>
      <c r="B4314" s="16" t="s">
        <v>7761</v>
      </c>
      <c r="C4314" s="16" t="s">
        <v>9412</v>
      </c>
      <c r="D4314" s="16" t="s">
        <v>7597</v>
      </c>
      <c r="E4314" s="16" t="s">
        <v>9127</v>
      </c>
      <c r="F4314" s="16" t="s">
        <v>9128</v>
      </c>
      <c r="G4314" s="16" t="s">
        <v>32</v>
      </c>
      <c r="H4314" s="16"/>
      <c r="I4314" s="16"/>
      <c r="J4314" s="16" t="s">
        <v>34</v>
      </c>
      <c r="K4314" s="16"/>
      <c r="L4314" s="16" t="s">
        <v>9089</v>
      </c>
      <c r="M4314" s="19" t="s">
        <v>9129</v>
      </c>
      <c r="N4314" s="16"/>
      <c r="O4314" s="16" t="s">
        <v>9130</v>
      </c>
      <c r="P4314" s="16" t="str">
        <f>HYPERLINK("https://ceds.ed.gov/cedselementdetails.aspx?termid=28056")</f>
        <v>https://ceds.ed.gov/cedselementdetails.aspx?termid=28056</v>
      </c>
      <c r="Q4314" s="16">
        <v>76513</v>
      </c>
    </row>
    <row r="4315" spans="1:17" ht="144" x14ac:dyDescent="0.3">
      <c r="A4315" s="16" t="s">
        <v>4056</v>
      </c>
      <c r="B4315" s="16" t="s">
        <v>7761</v>
      </c>
      <c r="C4315" s="16" t="s">
        <v>9412</v>
      </c>
      <c r="D4315" s="16" t="s">
        <v>7597</v>
      </c>
      <c r="E4315" s="16" t="s">
        <v>9131</v>
      </c>
      <c r="F4315" s="16" t="s">
        <v>9132</v>
      </c>
      <c r="G4315" s="16" t="s">
        <v>9300</v>
      </c>
      <c r="H4315" s="16"/>
      <c r="I4315" s="16"/>
      <c r="J4315" s="16" t="s">
        <v>2</v>
      </c>
      <c r="K4315" s="16"/>
      <c r="L4315" s="16" t="s">
        <v>9089</v>
      </c>
      <c r="M4315" s="19" t="s">
        <v>9133</v>
      </c>
      <c r="N4315" s="16"/>
      <c r="O4315" s="16" t="s">
        <v>9134</v>
      </c>
      <c r="P4315" s="16" t="str">
        <f>HYPERLINK("https://ceds.ed.gov/cedselementdetails.aspx?termid=28057")</f>
        <v>https://ceds.ed.gov/cedselementdetails.aspx?termid=28057</v>
      </c>
      <c r="Q4315" s="16">
        <v>76514</v>
      </c>
    </row>
    <row r="4316" spans="1:17" ht="158.4" x14ac:dyDescent="0.3">
      <c r="A4316" s="16" t="s">
        <v>4056</v>
      </c>
      <c r="B4316" s="16" t="s">
        <v>7761</v>
      </c>
      <c r="C4316" s="16" t="s">
        <v>9412</v>
      </c>
      <c r="D4316" s="16" t="s">
        <v>7597</v>
      </c>
      <c r="E4316" s="16" t="s">
        <v>9135</v>
      </c>
      <c r="F4316" s="16" t="s">
        <v>9136</v>
      </c>
      <c r="G4316" s="16" t="s">
        <v>9301</v>
      </c>
      <c r="H4316" s="16"/>
      <c r="I4316" s="16"/>
      <c r="J4316" s="16" t="s">
        <v>2</v>
      </c>
      <c r="K4316" s="16"/>
      <c r="L4316" s="16" t="s">
        <v>9089</v>
      </c>
      <c r="M4316" s="19" t="s">
        <v>9137</v>
      </c>
      <c r="N4316" s="16"/>
      <c r="O4316" s="16" t="s">
        <v>9138</v>
      </c>
      <c r="P4316" s="16" t="str">
        <f>HYPERLINK("https://ceds.ed.gov/cedselementdetails.aspx?termid=28058")</f>
        <v>https://ceds.ed.gov/cedselementdetails.aspx?termid=28058</v>
      </c>
      <c r="Q4316" s="16">
        <v>76515</v>
      </c>
    </row>
    <row r="4317" spans="1:17" ht="100.8" x14ac:dyDescent="0.3">
      <c r="A4317" s="16" t="s">
        <v>4056</v>
      </c>
      <c r="B4317" s="16" t="s">
        <v>7761</v>
      </c>
      <c r="C4317" s="16" t="s">
        <v>9412</v>
      </c>
      <c r="D4317" s="16" t="s">
        <v>7597</v>
      </c>
      <c r="E4317" s="16" t="s">
        <v>9139</v>
      </c>
      <c r="F4317" s="16" t="s">
        <v>9140</v>
      </c>
      <c r="G4317" s="16" t="s">
        <v>32</v>
      </c>
      <c r="H4317" s="16"/>
      <c r="I4317" s="16"/>
      <c r="J4317" s="16" t="s">
        <v>34</v>
      </c>
      <c r="K4317" s="16"/>
      <c r="L4317" s="16" t="s">
        <v>9089</v>
      </c>
      <c r="M4317" s="19" t="s">
        <v>9141</v>
      </c>
      <c r="N4317" s="16"/>
      <c r="O4317" s="16" t="s">
        <v>9142</v>
      </c>
      <c r="P4317" s="16" t="str">
        <f>HYPERLINK("https://ceds.ed.gov/cedselementdetails.aspx?termid=28059")</f>
        <v>https://ceds.ed.gov/cedselementdetails.aspx?termid=28059</v>
      </c>
      <c r="Q4317" s="16">
        <v>76516</v>
      </c>
    </row>
    <row r="4318" spans="1:17" ht="100.8" x14ac:dyDescent="0.3">
      <c r="A4318" s="16" t="s">
        <v>4056</v>
      </c>
      <c r="B4318" s="16" t="s">
        <v>7761</v>
      </c>
      <c r="C4318" s="16" t="s">
        <v>9412</v>
      </c>
      <c r="D4318" s="16" t="s">
        <v>7597</v>
      </c>
      <c r="E4318" s="16" t="s">
        <v>9143</v>
      </c>
      <c r="F4318" s="16" t="s">
        <v>9144</v>
      </c>
      <c r="G4318" s="16" t="s">
        <v>32</v>
      </c>
      <c r="H4318" s="16"/>
      <c r="I4318" s="16"/>
      <c r="J4318" s="16" t="s">
        <v>120</v>
      </c>
      <c r="K4318" s="16"/>
      <c r="L4318" s="16" t="s">
        <v>9089</v>
      </c>
      <c r="M4318" s="19" t="s">
        <v>9145</v>
      </c>
      <c r="N4318" s="16"/>
      <c r="O4318" s="16" t="s">
        <v>9146</v>
      </c>
      <c r="P4318" s="16" t="str">
        <f>HYPERLINK("https://ceds.ed.gov/cedselementdetails.aspx?termid=28060")</f>
        <v>https://ceds.ed.gov/cedselementdetails.aspx?termid=28060</v>
      </c>
      <c r="Q4318" s="16">
        <v>76517</v>
      </c>
    </row>
    <row r="4319" spans="1:17" ht="129.6" x14ac:dyDescent="0.3">
      <c r="A4319" s="16" t="s">
        <v>4056</v>
      </c>
      <c r="B4319" s="16" t="s">
        <v>7761</v>
      </c>
      <c r="C4319" s="16" t="s">
        <v>9412</v>
      </c>
      <c r="D4319" s="16" t="s">
        <v>7597</v>
      </c>
      <c r="E4319" s="16" t="s">
        <v>9147</v>
      </c>
      <c r="F4319" s="16" t="s">
        <v>9148</v>
      </c>
      <c r="G4319" s="16" t="s">
        <v>9302</v>
      </c>
      <c r="H4319" s="16"/>
      <c r="I4319" s="16"/>
      <c r="J4319" s="16" t="s">
        <v>2</v>
      </c>
      <c r="K4319" s="16"/>
      <c r="L4319" s="16" t="s">
        <v>9089</v>
      </c>
      <c r="M4319" s="19" t="s">
        <v>9149</v>
      </c>
      <c r="N4319" s="16"/>
      <c r="O4319" s="16" t="s">
        <v>9150</v>
      </c>
      <c r="P4319" s="16" t="str">
        <f>HYPERLINK("https://ceds.ed.gov/cedselementdetails.aspx?termid=28061")</f>
        <v>https://ceds.ed.gov/cedselementdetails.aspx?termid=28061</v>
      </c>
      <c r="Q4319" s="16">
        <v>76518</v>
      </c>
    </row>
    <row r="4320" spans="1:17" ht="115.2" x14ac:dyDescent="0.3">
      <c r="A4320" s="16" t="s">
        <v>4056</v>
      </c>
      <c r="B4320" s="16" t="s">
        <v>7761</v>
      </c>
      <c r="C4320" s="16" t="s">
        <v>9412</v>
      </c>
      <c r="D4320" s="16" t="s">
        <v>7597</v>
      </c>
      <c r="E4320" s="16" t="s">
        <v>9151</v>
      </c>
      <c r="F4320" s="16" t="s">
        <v>9152</v>
      </c>
      <c r="G4320" s="16" t="s">
        <v>9303</v>
      </c>
      <c r="H4320" s="16"/>
      <c r="I4320" s="16"/>
      <c r="J4320" s="16" t="s">
        <v>2</v>
      </c>
      <c r="K4320" s="16"/>
      <c r="L4320" s="16" t="s">
        <v>9089</v>
      </c>
      <c r="M4320" s="19" t="s">
        <v>9153</v>
      </c>
      <c r="N4320" s="16"/>
      <c r="O4320" s="16" t="s">
        <v>9154</v>
      </c>
      <c r="P4320" s="16" t="str">
        <f>HYPERLINK("https://ceds.ed.gov/cedselementdetails.aspx?termid=28062")</f>
        <v>https://ceds.ed.gov/cedselementdetails.aspx?termid=28062</v>
      </c>
      <c r="Q4320" s="16">
        <v>76519</v>
      </c>
    </row>
    <row r="4321" spans="1:17" ht="100.8" x14ac:dyDescent="0.3">
      <c r="A4321" s="16" t="s">
        <v>4056</v>
      </c>
      <c r="B4321" s="16" t="s">
        <v>7761</v>
      </c>
      <c r="C4321" s="16" t="s">
        <v>9412</v>
      </c>
      <c r="D4321" s="16" t="s">
        <v>7597</v>
      </c>
      <c r="E4321" s="16" t="s">
        <v>9155</v>
      </c>
      <c r="F4321" s="16" t="s">
        <v>9156</v>
      </c>
      <c r="G4321" s="16" t="s">
        <v>32</v>
      </c>
      <c r="H4321" s="16"/>
      <c r="I4321" s="16"/>
      <c r="J4321" s="16" t="s">
        <v>120</v>
      </c>
      <c r="K4321" s="16"/>
      <c r="L4321" s="16" t="s">
        <v>9089</v>
      </c>
      <c r="M4321" s="19" t="s">
        <v>9157</v>
      </c>
      <c r="N4321" s="16"/>
      <c r="O4321" s="16" t="s">
        <v>9158</v>
      </c>
      <c r="P4321" s="16" t="str">
        <f>HYPERLINK("https://ceds.ed.gov/cedselementdetails.aspx?termid=28063")</f>
        <v>https://ceds.ed.gov/cedselementdetails.aspx?termid=28063</v>
      </c>
      <c r="Q4321" s="16">
        <v>76520</v>
      </c>
    </row>
    <row r="4322" spans="1:17" ht="100.8" x14ac:dyDescent="0.3">
      <c r="A4322" s="16" t="s">
        <v>4056</v>
      </c>
      <c r="B4322" s="16" t="s">
        <v>7761</v>
      </c>
      <c r="C4322" s="16" t="s">
        <v>9412</v>
      </c>
      <c r="D4322" s="16" t="s">
        <v>7597</v>
      </c>
      <c r="E4322" s="16" t="s">
        <v>9159</v>
      </c>
      <c r="F4322" s="16" t="s">
        <v>9160</v>
      </c>
      <c r="G4322" s="16" t="s">
        <v>32</v>
      </c>
      <c r="H4322" s="16"/>
      <c r="I4322" s="16"/>
      <c r="J4322" s="16" t="s">
        <v>120</v>
      </c>
      <c r="K4322" s="16"/>
      <c r="L4322" s="16" t="s">
        <v>9089</v>
      </c>
      <c r="M4322" s="19" t="s">
        <v>9161</v>
      </c>
      <c r="N4322" s="16"/>
      <c r="O4322" s="16" t="s">
        <v>9162</v>
      </c>
      <c r="P4322" s="16" t="str">
        <f>HYPERLINK("https://ceds.ed.gov/cedselementdetails.aspx?termid=28064")</f>
        <v>https://ceds.ed.gov/cedselementdetails.aspx?termid=28064</v>
      </c>
      <c r="Q4322" s="16">
        <v>76521</v>
      </c>
    </row>
    <row r="4323" spans="1:17" ht="100.8" x14ac:dyDescent="0.3">
      <c r="A4323" s="16" t="s">
        <v>4056</v>
      </c>
      <c r="B4323" s="16" t="s">
        <v>7761</v>
      </c>
      <c r="C4323" s="16" t="s">
        <v>9412</v>
      </c>
      <c r="D4323" s="16" t="s">
        <v>7597</v>
      </c>
      <c r="E4323" s="16" t="s">
        <v>9163</v>
      </c>
      <c r="F4323" s="16" t="s">
        <v>9164</v>
      </c>
      <c r="G4323" s="16" t="s">
        <v>32</v>
      </c>
      <c r="H4323" s="16"/>
      <c r="I4323" s="16"/>
      <c r="J4323" s="16" t="s">
        <v>34</v>
      </c>
      <c r="K4323" s="16"/>
      <c r="L4323" s="16" t="s">
        <v>9089</v>
      </c>
      <c r="M4323" s="19" t="s">
        <v>9165</v>
      </c>
      <c r="N4323" s="16"/>
      <c r="O4323" s="16" t="s">
        <v>9166</v>
      </c>
      <c r="P4323" s="16" t="str">
        <f>HYPERLINK("https://ceds.ed.gov/cedselementdetails.aspx?termid=28065")</f>
        <v>https://ceds.ed.gov/cedselementdetails.aspx?termid=28065</v>
      </c>
      <c r="Q4323" s="16">
        <v>76522</v>
      </c>
    </row>
    <row r="4324" spans="1:17" ht="100.8" x14ac:dyDescent="0.3">
      <c r="A4324" s="16" t="s">
        <v>4056</v>
      </c>
      <c r="B4324" s="16" t="s">
        <v>7761</v>
      </c>
      <c r="C4324" s="16" t="s">
        <v>9412</v>
      </c>
      <c r="D4324" s="16" t="s">
        <v>7597</v>
      </c>
      <c r="E4324" s="16" t="s">
        <v>9167</v>
      </c>
      <c r="F4324" s="16" t="s">
        <v>9168</v>
      </c>
      <c r="G4324" s="16" t="s">
        <v>32</v>
      </c>
      <c r="H4324" s="16"/>
      <c r="I4324" s="16"/>
      <c r="J4324" s="16" t="s">
        <v>120</v>
      </c>
      <c r="K4324" s="16"/>
      <c r="L4324" s="16" t="s">
        <v>9089</v>
      </c>
      <c r="M4324" s="19" t="s">
        <v>9169</v>
      </c>
      <c r="N4324" s="16"/>
      <c r="O4324" s="16" t="s">
        <v>9170</v>
      </c>
      <c r="P4324" s="16" t="str">
        <f>HYPERLINK("https://ceds.ed.gov/cedselementdetails.aspx?termid=28066")</f>
        <v>https://ceds.ed.gov/cedselementdetails.aspx?termid=28066</v>
      </c>
      <c r="Q4324" s="16">
        <v>76523</v>
      </c>
    </row>
    <row r="4325" spans="1:17" ht="259.2" x14ac:dyDescent="0.3">
      <c r="A4325" s="16" t="s">
        <v>4056</v>
      </c>
      <c r="B4325" s="16" t="s">
        <v>7761</v>
      </c>
      <c r="C4325" s="16" t="s">
        <v>9412</v>
      </c>
      <c r="D4325" s="16" t="s">
        <v>7597</v>
      </c>
      <c r="E4325" s="16" t="s">
        <v>9171</v>
      </c>
      <c r="F4325" s="16" t="s">
        <v>9172</v>
      </c>
      <c r="G4325" s="16" t="s">
        <v>32</v>
      </c>
      <c r="H4325" s="16"/>
      <c r="I4325" s="16"/>
      <c r="J4325" s="16" t="s">
        <v>9103</v>
      </c>
      <c r="K4325" s="16"/>
      <c r="L4325" s="16" t="s">
        <v>9173</v>
      </c>
      <c r="M4325" s="19" t="s">
        <v>9174</v>
      </c>
      <c r="N4325" s="16"/>
      <c r="O4325" s="16" t="s">
        <v>9175</v>
      </c>
      <c r="P4325" s="16" t="str">
        <f>HYPERLINK("https://ceds.ed.gov/cedselementdetails.aspx?termid=28067")</f>
        <v>https://ceds.ed.gov/cedselementdetails.aspx?termid=28067</v>
      </c>
      <c r="Q4325" s="16">
        <v>76524</v>
      </c>
    </row>
    <row r="4326" spans="1:17" ht="100.8" x14ac:dyDescent="0.3">
      <c r="A4326" s="16" t="s">
        <v>4056</v>
      </c>
      <c r="B4326" s="16" t="s">
        <v>7761</v>
      </c>
      <c r="C4326" s="16" t="s">
        <v>9412</v>
      </c>
      <c r="D4326" s="16" t="s">
        <v>7597</v>
      </c>
      <c r="E4326" s="16" t="s">
        <v>9176</v>
      </c>
      <c r="F4326" s="16" t="s">
        <v>9177</v>
      </c>
      <c r="G4326" s="16" t="s">
        <v>32</v>
      </c>
      <c r="H4326" s="16"/>
      <c r="I4326" s="16"/>
      <c r="J4326" s="16" t="s">
        <v>34</v>
      </c>
      <c r="K4326" s="16"/>
      <c r="L4326" s="16" t="s">
        <v>9089</v>
      </c>
      <c r="M4326" s="19" t="s">
        <v>9178</v>
      </c>
      <c r="N4326" s="16"/>
      <c r="O4326" s="16" t="s">
        <v>9179</v>
      </c>
      <c r="P4326" s="16" t="str">
        <f>HYPERLINK("https://ceds.ed.gov/cedselementdetails.aspx?termid=28068")</f>
        <v>https://ceds.ed.gov/cedselementdetails.aspx?termid=28068</v>
      </c>
      <c r="Q4326" s="16">
        <v>76525</v>
      </c>
    </row>
    <row r="4327" spans="1:17" ht="100.8" x14ac:dyDescent="0.3">
      <c r="A4327" s="16" t="s">
        <v>4056</v>
      </c>
      <c r="B4327" s="16" t="s">
        <v>7761</v>
      </c>
      <c r="C4327" s="16" t="s">
        <v>9412</v>
      </c>
      <c r="D4327" s="16" t="s">
        <v>7597</v>
      </c>
      <c r="E4327" s="16" t="s">
        <v>9180</v>
      </c>
      <c r="F4327" s="16" t="s">
        <v>9181</v>
      </c>
      <c r="G4327" s="16" t="s">
        <v>32</v>
      </c>
      <c r="H4327" s="16"/>
      <c r="I4327" s="16"/>
      <c r="J4327" s="16" t="s">
        <v>316</v>
      </c>
      <c r="K4327" s="16"/>
      <c r="L4327" s="16" t="s">
        <v>9089</v>
      </c>
      <c r="M4327" s="19" t="s">
        <v>9182</v>
      </c>
      <c r="N4327" s="16"/>
      <c r="O4327" s="16" t="s">
        <v>9183</v>
      </c>
      <c r="P4327" s="16" t="str">
        <f>HYPERLINK("https://ceds.ed.gov/cedselementdetails.aspx?termid=28069")</f>
        <v>https://ceds.ed.gov/cedselementdetails.aspx?termid=28069</v>
      </c>
      <c r="Q4327" s="16">
        <v>76526</v>
      </c>
    </row>
    <row r="4328" spans="1:17" ht="100.8" x14ac:dyDescent="0.3">
      <c r="A4328" s="16" t="s">
        <v>4056</v>
      </c>
      <c r="B4328" s="16" t="s">
        <v>7761</v>
      </c>
      <c r="C4328" s="16" t="s">
        <v>9412</v>
      </c>
      <c r="D4328" s="16" t="s">
        <v>7597</v>
      </c>
      <c r="E4328" s="16" t="s">
        <v>9184</v>
      </c>
      <c r="F4328" s="16" t="s">
        <v>9185</v>
      </c>
      <c r="G4328" s="16" t="s">
        <v>32</v>
      </c>
      <c r="H4328" s="16"/>
      <c r="I4328" s="16"/>
      <c r="J4328" s="16" t="s">
        <v>120</v>
      </c>
      <c r="K4328" s="16"/>
      <c r="L4328" s="16" t="s">
        <v>9186</v>
      </c>
      <c r="M4328" s="19" t="s">
        <v>9187</v>
      </c>
      <c r="N4328" s="16"/>
      <c r="O4328" s="16" t="s">
        <v>9188</v>
      </c>
      <c r="P4328" s="16" t="str">
        <f>HYPERLINK("https://ceds.ed.gov/cedselementdetails.aspx?termid=28070")</f>
        <v>https://ceds.ed.gov/cedselementdetails.aspx?termid=28070</v>
      </c>
      <c r="Q4328" s="16">
        <v>76527</v>
      </c>
    </row>
    <row r="4329" spans="1:17" ht="57.6" x14ac:dyDescent="0.3">
      <c r="A4329" s="16" t="s">
        <v>4056</v>
      </c>
      <c r="B4329" s="16" t="s">
        <v>7761</v>
      </c>
      <c r="C4329" s="16" t="s">
        <v>9412</v>
      </c>
      <c r="D4329" s="16" t="s">
        <v>7597</v>
      </c>
      <c r="E4329" s="16" t="s">
        <v>9320</v>
      </c>
      <c r="F4329" s="16" t="s">
        <v>9321</v>
      </c>
      <c r="G4329" s="16" t="s">
        <v>8730</v>
      </c>
      <c r="H4329" s="16"/>
      <c r="I4329" s="16"/>
      <c r="J4329" s="16"/>
      <c r="K4329" s="16"/>
      <c r="L4329" s="16"/>
      <c r="M4329" s="19" t="s">
        <v>5406</v>
      </c>
      <c r="N4329" s="16"/>
      <c r="O4329" s="16" t="s">
        <v>9322</v>
      </c>
      <c r="P4329" s="16" t="str">
        <f>HYPERLINK("https://ceds.ed.gov/cedselementdetails.aspx?termid=27557")</f>
        <v>https://ceds.ed.gov/cedselementdetails.aspx?termid=27557</v>
      </c>
      <c r="Q4329" s="16">
        <v>76528</v>
      </c>
    </row>
    <row r="4330" spans="1:17" ht="100.8" x14ac:dyDescent="0.3">
      <c r="A4330" s="16" t="s">
        <v>4056</v>
      </c>
      <c r="B4330" s="16" t="s">
        <v>7761</v>
      </c>
      <c r="C4330" s="16" t="s">
        <v>9412</v>
      </c>
      <c r="D4330" s="16" t="s">
        <v>7597</v>
      </c>
      <c r="E4330" s="16" t="s">
        <v>9193</v>
      </c>
      <c r="F4330" s="16" t="s">
        <v>9194</v>
      </c>
      <c r="G4330" s="16" t="s">
        <v>2987</v>
      </c>
      <c r="H4330" s="16"/>
      <c r="I4330" s="16"/>
      <c r="J4330" s="16" t="s">
        <v>2</v>
      </c>
      <c r="K4330" s="16"/>
      <c r="L4330" s="16" t="s">
        <v>9089</v>
      </c>
      <c r="M4330" s="19" t="s">
        <v>9195</v>
      </c>
      <c r="N4330" s="16"/>
      <c r="O4330" s="16" t="s">
        <v>9196</v>
      </c>
      <c r="P4330" s="16" t="str">
        <f>HYPERLINK("https://ceds.ed.gov/cedselementdetails.aspx?termid=28072")</f>
        <v>https://ceds.ed.gov/cedselementdetails.aspx?termid=28072</v>
      </c>
      <c r="Q4330" s="16">
        <v>76529</v>
      </c>
    </row>
    <row r="4331" spans="1:17" ht="43.2" x14ac:dyDescent="0.3">
      <c r="A4331" s="16" t="s">
        <v>4056</v>
      </c>
      <c r="B4331" s="16" t="s">
        <v>7763</v>
      </c>
      <c r="C4331" s="16"/>
      <c r="D4331" s="16" t="s">
        <v>7597</v>
      </c>
      <c r="E4331" s="16" t="s">
        <v>3471</v>
      </c>
      <c r="F4331" s="16" t="s">
        <v>3472</v>
      </c>
      <c r="G4331" s="16" t="s">
        <v>2838</v>
      </c>
      <c r="H4331" s="16"/>
      <c r="I4331" s="16"/>
      <c r="J4331" s="16" t="s">
        <v>2839</v>
      </c>
      <c r="K4331" s="16"/>
      <c r="L4331" s="16"/>
      <c r="M4331" s="19" t="s">
        <v>3474</v>
      </c>
      <c r="N4331" s="16"/>
      <c r="O4331" s="16" t="s">
        <v>3475</v>
      </c>
      <c r="P4331" s="16" t="str">
        <f>HYPERLINK("https://ceds.ed.gov/cedselementdetails.aspx?termid=27070")</f>
        <v>https://ceds.ed.gov/cedselementdetails.aspx?termid=27070</v>
      </c>
      <c r="Q4331" s="16">
        <v>71514</v>
      </c>
    </row>
    <row r="4332" spans="1:17" ht="316.8" x14ac:dyDescent="0.3">
      <c r="A4332" s="16" t="s">
        <v>4056</v>
      </c>
      <c r="B4332" s="16" t="s">
        <v>7763</v>
      </c>
      <c r="C4332" s="16"/>
      <c r="D4332" s="16" t="s">
        <v>7597</v>
      </c>
      <c r="E4332" s="16" t="s">
        <v>3486</v>
      </c>
      <c r="F4332" s="16" t="s">
        <v>3487</v>
      </c>
      <c r="G4332" s="16" t="s">
        <v>32</v>
      </c>
      <c r="H4332" s="16"/>
      <c r="I4332" s="16"/>
      <c r="J4332" s="16" t="s">
        <v>106</v>
      </c>
      <c r="K4332" s="16"/>
      <c r="L4332" s="16" t="s">
        <v>3488</v>
      </c>
      <c r="M4332" s="19" t="s">
        <v>3489</v>
      </c>
      <c r="N4332" s="16"/>
      <c r="O4332" s="16" t="s">
        <v>3490</v>
      </c>
      <c r="P4332" s="16" t="str">
        <f>HYPERLINK("https://ceds.ed.gov/cedselementdetails.aspx?termid=26994")</f>
        <v>https://ceds.ed.gov/cedselementdetails.aspx?termid=26994</v>
      </c>
      <c r="Q4332" s="16">
        <v>72461</v>
      </c>
    </row>
    <row r="4333" spans="1:17" ht="316.8" x14ac:dyDescent="0.3">
      <c r="A4333" s="16" t="s">
        <v>4056</v>
      </c>
      <c r="B4333" s="16" t="s">
        <v>7763</v>
      </c>
      <c r="C4333" s="16"/>
      <c r="D4333" s="16" t="s">
        <v>7597</v>
      </c>
      <c r="E4333" s="16" t="s">
        <v>3481</v>
      </c>
      <c r="F4333" s="16" t="s">
        <v>3482</v>
      </c>
      <c r="G4333" s="16" t="s">
        <v>32</v>
      </c>
      <c r="H4333" s="16"/>
      <c r="I4333" s="16"/>
      <c r="J4333" s="16" t="s">
        <v>106</v>
      </c>
      <c r="K4333" s="16"/>
      <c r="L4333" s="16" t="s">
        <v>3483</v>
      </c>
      <c r="M4333" s="19" t="s">
        <v>3484</v>
      </c>
      <c r="N4333" s="16"/>
      <c r="O4333" s="16" t="s">
        <v>3485</v>
      </c>
      <c r="P4333" s="16" t="str">
        <f>HYPERLINK("https://ceds.ed.gov/cedselementdetails.aspx?termid=26995")</f>
        <v>https://ceds.ed.gov/cedselementdetails.aspx?termid=26995</v>
      </c>
      <c r="Q4333" s="16">
        <v>72462</v>
      </c>
    </row>
    <row r="4334" spans="1:17" ht="409.6" x14ac:dyDescent="0.3">
      <c r="A4334" s="16" t="s">
        <v>4056</v>
      </c>
      <c r="B4334" s="16" t="s">
        <v>7763</v>
      </c>
      <c r="C4334" s="16"/>
      <c r="D4334" s="16" t="s">
        <v>7597</v>
      </c>
      <c r="E4334" s="16" t="s">
        <v>3466</v>
      </c>
      <c r="F4334" s="16" t="s">
        <v>3467</v>
      </c>
      <c r="G4334" s="16" t="s">
        <v>8550</v>
      </c>
      <c r="H4334" s="16"/>
      <c r="I4334" s="16"/>
      <c r="J4334" s="16"/>
      <c r="K4334" s="16"/>
      <c r="L4334" s="16" t="s">
        <v>3468</v>
      </c>
      <c r="M4334" s="19" t="s">
        <v>3469</v>
      </c>
      <c r="N4334" s="16"/>
      <c r="O4334" s="16" t="s">
        <v>3470</v>
      </c>
      <c r="P4334" s="16" t="str">
        <f>HYPERLINK("https://ceds.ed.gov/cedselementdetails.aspx?termid=26992")</f>
        <v>https://ceds.ed.gov/cedselementdetails.aspx?termid=26992</v>
      </c>
      <c r="Q4334" s="16">
        <v>72459</v>
      </c>
    </row>
    <row r="4335" spans="1:17" ht="201.6" x14ac:dyDescent="0.3">
      <c r="A4335" s="16" t="s">
        <v>4056</v>
      </c>
      <c r="B4335" s="16" t="s">
        <v>7763</v>
      </c>
      <c r="C4335" s="16"/>
      <c r="D4335" s="16" t="s">
        <v>7597</v>
      </c>
      <c r="E4335" s="16" t="s">
        <v>3451</v>
      </c>
      <c r="F4335" s="16" t="s">
        <v>3452</v>
      </c>
      <c r="G4335" s="16" t="s">
        <v>3446</v>
      </c>
      <c r="H4335" s="16"/>
      <c r="I4335" s="16"/>
      <c r="J4335" s="16"/>
      <c r="K4335" s="16"/>
      <c r="L4335" s="16" t="s">
        <v>3454</v>
      </c>
      <c r="M4335" s="19" t="s">
        <v>3455</v>
      </c>
      <c r="N4335" s="16"/>
      <c r="O4335" s="16" t="s">
        <v>3456</v>
      </c>
      <c r="P4335" s="16" t="str">
        <f>HYPERLINK("https://ceds.ed.gov/cedselementdetails.aspx?termid=27309")</f>
        <v>https://ceds.ed.gov/cedselementdetails.aspx?termid=27309</v>
      </c>
      <c r="Q4335" s="16">
        <v>73152</v>
      </c>
    </row>
    <row r="4336" spans="1:17" ht="201.6" x14ac:dyDescent="0.3">
      <c r="A4336" s="16" t="s">
        <v>4056</v>
      </c>
      <c r="B4336" s="16" t="s">
        <v>7763</v>
      </c>
      <c r="C4336" s="16"/>
      <c r="D4336" s="16" t="s">
        <v>7597</v>
      </c>
      <c r="E4336" s="16" t="s">
        <v>3457</v>
      </c>
      <c r="F4336" s="16" t="s">
        <v>3458</v>
      </c>
      <c r="G4336" s="16" t="s">
        <v>3446</v>
      </c>
      <c r="H4336" s="16" t="s">
        <v>3450</v>
      </c>
      <c r="I4336" s="16"/>
      <c r="J4336" s="16"/>
      <c r="K4336" s="16"/>
      <c r="L4336" s="16" t="s">
        <v>3459</v>
      </c>
      <c r="M4336" s="19" t="s">
        <v>3460</v>
      </c>
      <c r="N4336" s="16"/>
      <c r="O4336" s="16" t="s">
        <v>3461</v>
      </c>
      <c r="P4336" s="16" t="str">
        <f>HYPERLINK("https://ceds.ed.gov/cedselementdetails.aspx?termid=26989")</f>
        <v>https://ceds.ed.gov/cedselementdetails.aspx?termid=26989</v>
      </c>
      <c r="Q4336" s="16">
        <v>72456</v>
      </c>
    </row>
    <row r="4337" spans="1:17" ht="230.4" x14ac:dyDescent="0.3">
      <c r="A4337" s="16" t="s">
        <v>4056</v>
      </c>
      <c r="B4337" s="16" t="s">
        <v>7763</v>
      </c>
      <c r="C4337" s="16"/>
      <c r="D4337" s="16" t="s">
        <v>7597</v>
      </c>
      <c r="E4337" s="16" t="s">
        <v>3444</v>
      </c>
      <c r="F4337" s="16" t="s">
        <v>3445</v>
      </c>
      <c r="G4337" s="16" t="s">
        <v>3446</v>
      </c>
      <c r="H4337" s="16" t="s">
        <v>3450</v>
      </c>
      <c r="I4337" s="16"/>
      <c r="J4337" s="16"/>
      <c r="K4337" s="16"/>
      <c r="L4337" s="16" t="s">
        <v>7965</v>
      </c>
      <c r="M4337" s="19" t="s">
        <v>3448</v>
      </c>
      <c r="N4337" s="16"/>
      <c r="O4337" s="16" t="s">
        <v>3449</v>
      </c>
      <c r="P4337" s="16" t="str">
        <f>HYPERLINK("https://ceds.ed.gov/cedselementdetails.aspx?termid=26990")</f>
        <v>https://ceds.ed.gov/cedselementdetails.aspx?termid=26990</v>
      </c>
      <c r="Q4337" s="16">
        <v>72457</v>
      </c>
    </row>
    <row r="4338" spans="1:17" ht="172.8" x14ac:dyDescent="0.3">
      <c r="A4338" s="16" t="s">
        <v>4056</v>
      </c>
      <c r="B4338" s="16" t="s">
        <v>7763</v>
      </c>
      <c r="C4338" s="16"/>
      <c r="D4338" s="16" t="s">
        <v>7597</v>
      </c>
      <c r="E4338" s="16" t="s">
        <v>5402</v>
      </c>
      <c r="F4338" s="16" t="s">
        <v>5403</v>
      </c>
      <c r="G4338" s="16" t="s">
        <v>22</v>
      </c>
      <c r="H4338" s="16"/>
      <c r="I4338" s="16"/>
      <c r="J4338" s="16"/>
      <c r="K4338" s="16"/>
      <c r="L4338" s="16" t="s">
        <v>8093</v>
      </c>
      <c r="M4338" s="19" t="s">
        <v>5404</v>
      </c>
      <c r="N4338" s="16"/>
      <c r="O4338" s="16" t="s">
        <v>5405</v>
      </c>
      <c r="P4338" s="16" t="str">
        <f>HYPERLINK("https://ceds.ed.gov/cedselementdetails.aspx?termid=27381")</f>
        <v>https://ceds.ed.gov/cedselementdetails.aspx?termid=27381</v>
      </c>
      <c r="Q4338" s="16">
        <v>73292</v>
      </c>
    </row>
    <row r="4339" spans="1:17" ht="187.2" x14ac:dyDescent="0.3">
      <c r="A4339" s="16" t="s">
        <v>4056</v>
      </c>
      <c r="B4339" s="16" t="s">
        <v>7763</v>
      </c>
      <c r="C4339" s="16"/>
      <c r="D4339" s="16" t="s">
        <v>7597</v>
      </c>
      <c r="E4339" s="16" t="s">
        <v>5729</v>
      </c>
      <c r="F4339" s="16" t="s">
        <v>5730</v>
      </c>
      <c r="G4339" s="16" t="s">
        <v>32</v>
      </c>
      <c r="H4339" s="16"/>
      <c r="I4339" s="16"/>
      <c r="J4339" s="16" t="s">
        <v>305</v>
      </c>
      <c r="K4339" s="16"/>
      <c r="L4339" s="16" t="s">
        <v>5731</v>
      </c>
      <c r="M4339" s="19" t="s">
        <v>5732</v>
      </c>
      <c r="N4339" s="16"/>
      <c r="O4339" s="16" t="s">
        <v>5733</v>
      </c>
      <c r="P4339" s="16" t="str">
        <f>HYPERLINK("https://ceds.ed.gov/cedselementdetails.aspx?termid=26993")</f>
        <v>https://ceds.ed.gov/cedselementdetails.aspx?termid=26993</v>
      </c>
      <c r="Q4339" s="16">
        <v>72460</v>
      </c>
    </row>
    <row r="4340" spans="1:17" ht="244.8" x14ac:dyDescent="0.3">
      <c r="A4340" s="16" t="s">
        <v>4056</v>
      </c>
      <c r="B4340" s="16" t="s">
        <v>7763</v>
      </c>
      <c r="C4340" s="16"/>
      <c r="D4340" s="16" t="s">
        <v>7597</v>
      </c>
      <c r="E4340" s="16" t="s">
        <v>3476</v>
      </c>
      <c r="F4340" s="16" t="s">
        <v>3477</v>
      </c>
      <c r="G4340" s="16" t="s">
        <v>8551</v>
      </c>
      <c r="H4340" s="16"/>
      <c r="I4340" s="16"/>
      <c r="J4340" s="16"/>
      <c r="K4340" s="16"/>
      <c r="L4340" s="16" t="s">
        <v>3478</v>
      </c>
      <c r="M4340" s="19" t="s">
        <v>3479</v>
      </c>
      <c r="N4340" s="16"/>
      <c r="O4340" s="16" t="s">
        <v>3480</v>
      </c>
      <c r="P4340" s="16" t="str">
        <f>HYPERLINK("https://ceds.ed.gov/cedselementdetails.aspx?termid=26996")</f>
        <v>https://ceds.ed.gov/cedselementdetails.aspx?termid=26996</v>
      </c>
      <c r="Q4340" s="16">
        <v>72463</v>
      </c>
    </row>
    <row r="4341" spans="1:17" ht="187.2" x14ac:dyDescent="0.3">
      <c r="A4341" s="16" t="s">
        <v>4056</v>
      </c>
      <c r="B4341" s="16" t="s">
        <v>7763</v>
      </c>
      <c r="C4341" s="16"/>
      <c r="D4341" s="16" t="s">
        <v>7597</v>
      </c>
      <c r="E4341" s="16" t="s">
        <v>6244</v>
      </c>
      <c r="F4341" s="16" t="s">
        <v>6245</v>
      </c>
      <c r="G4341" s="16" t="s">
        <v>32</v>
      </c>
      <c r="H4341" s="16"/>
      <c r="I4341" s="16"/>
      <c r="J4341" s="16" t="s">
        <v>1481</v>
      </c>
      <c r="K4341" s="16"/>
      <c r="L4341" s="16" t="s">
        <v>6246</v>
      </c>
      <c r="M4341" s="19" t="s">
        <v>6247</v>
      </c>
      <c r="N4341" s="16"/>
      <c r="O4341" s="16" t="s">
        <v>6248</v>
      </c>
      <c r="P4341" s="16" t="str">
        <f>HYPERLINK("https://ceds.ed.gov/cedselementdetails.aspx?termid=26991")</f>
        <v>https://ceds.ed.gov/cedselementdetails.aspx?termid=26991</v>
      </c>
      <c r="Q4341" s="16">
        <v>72458</v>
      </c>
    </row>
    <row r="4342" spans="1:17" ht="273.60000000000002" x14ac:dyDescent="0.3">
      <c r="A4342" s="16" t="s">
        <v>4056</v>
      </c>
      <c r="B4342" s="16" t="s">
        <v>7763</v>
      </c>
      <c r="C4342" s="16"/>
      <c r="D4342" s="16" t="s">
        <v>7597</v>
      </c>
      <c r="E4342" s="16" t="s">
        <v>5734</v>
      </c>
      <c r="F4342" s="16" t="s">
        <v>5735</v>
      </c>
      <c r="G4342" s="16" t="s">
        <v>9336</v>
      </c>
      <c r="H4342" s="16"/>
      <c r="I4342" s="16"/>
      <c r="J4342" s="16"/>
      <c r="K4342" s="16"/>
      <c r="L4342" s="16"/>
      <c r="M4342" s="19" t="s">
        <v>5736</v>
      </c>
      <c r="N4342" s="16"/>
      <c r="O4342" s="16" t="s">
        <v>5737</v>
      </c>
      <c r="P4342" s="16" t="str">
        <f>HYPERLINK("https://ceds.ed.gov/cedselementdetails.aspx?termid=27550")</f>
        <v>https://ceds.ed.gov/cedselementdetails.aspx?termid=27550</v>
      </c>
      <c r="Q4342" s="16">
        <v>75004</v>
      </c>
    </row>
    <row r="4343" spans="1:17" ht="172.8" x14ac:dyDescent="0.3">
      <c r="A4343" s="16" t="s">
        <v>4056</v>
      </c>
      <c r="B4343" s="16" t="s">
        <v>7763</v>
      </c>
      <c r="C4343" s="16"/>
      <c r="D4343" s="16" t="s">
        <v>7597</v>
      </c>
      <c r="E4343" s="16" t="s">
        <v>5738</v>
      </c>
      <c r="F4343" s="16" t="s">
        <v>5739</v>
      </c>
      <c r="G4343" s="16" t="s">
        <v>32</v>
      </c>
      <c r="H4343" s="16"/>
      <c r="I4343" s="16"/>
      <c r="J4343" s="16" t="s">
        <v>120</v>
      </c>
      <c r="K4343" s="16"/>
      <c r="L4343" s="16" t="s">
        <v>7905</v>
      </c>
      <c r="M4343" s="19" t="s">
        <v>5740</v>
      </c>
      <c r="N4343" s="16"/>
      <c r="O4343" s="16" t="s">
        <v>5741</v>
      </c>
      <c r="P4343" s="16" t="str">
        <f>HYPERLINK("https://ceds.ed.gov/cedselementdetails.aspx?termid=27551")</f>
        <v>https://ceds.ed.gov/cedselementdetails.aspx?termid=27551</v>
      </c>
      <c r="Q4343" s="16">
        <v>75005</v>
      </c>
    </row>
    <row r="4344" spans="1:17" ht="100.8" x14ac:dyDescent="0.3">
      <c r="A4344" s="16" t="s">
        <v>4056</v>
      </c>
      <c r="B4344" s="16" t="s">
        <v>7764</v>
      </c>
      <c r="C4344" s="16" t="s">
        <v>7765</v>
      </c>
      <c r="D4344" s="16" t="s">
        <v>7597</v>
      </c>
      <c r="E4344" s="16" t="s">
        <v>7343</v>
      </c>
      <c r="F4344" s="16" t="s">
        <v>7344</v>
      </c>
      <c r="G4344" s="16" t="s">
        <v>32</v>
      </c>
      <c r="H4344" s="16"/>
      <c r="I4344" s="16"/>
      <c r="J4344" s="16" t="s">
        <v>1481</v>
      </c>
      <c r="K4344" s="16"/>
      <c r="L4344" s="16"/>
      <c r="M4344" s="19" t="s">
        <v>7345</v>
      </c>
      <c r="N4344" s="16"/>
      <c r="O4344" s="16" t="s">
        <v>7346</v>
      </c>
      <c r="P4344" s="16" t="str">
        <f>HYPERLINK("https://ceds.ed.gov/cedselementdetails.aspx?termid=27918")</f>
        <v>https://ceds.ed.gov/cedselementdetails.aspx?termid=27918</v>
      </c>
      <c r="Q4344" s="16">
        <v>75690</v>
      </c>
    </row>
    <row r="4345" spans="1:17" ht="187.2" x14ac:dyDescent="0.3">
      <c r="A4345" s="16" t="s">
        <v>4056</v>
      </c>
      <c r="B4345" s="16" t="s">
        <v>9419</v>
      </c>
      <c r="C4345" s="16" t="s">
        <v>7599</v>
      </c>
      <c r="D4345" s="16" t="s">
        <v>7597</v>
      </c>
      <c r="E4345" s="16" t="s">
        <v>158</v>
      </c>
      <c r="F4345" s="16" t="s">
        <v>159</v>
      </c>
      <c r="G4345" s="16" t="s">
        <v>32</v>
      </c>
      <c r="H4345" s="16" t="s">
        <v>163</v>
      </c>
      <c r="I4345" s="16"/>
      <c r="J4345" s="16" t="s">
        <v>145</v>
      </c>
      <c r="K4345" s="16"/>
      <c r="L4345" s="16"/>
      <c r="M4345" s="19" t="s">
        <v>161</v>
      </c>
      <c r="N4345" s="16"/>
      <c r="O4345" s="16" t="s">
        <v>162</v>
      </c>
      <c r="P4345" s="16" t="str">
        <f>HYPERLINK("https://ceds.ed.gov/cedselementdetails.aspx?termid=26019")</f>
        <v>https://ceds.ed.gov/cedselementdetails.aspx?termid=26019</v>
      </c>
      <c r="Q4345" s="16">
        <v>76460</v>
      </c>
    </row>
    <row r="4346" spans="1:17" ht="187.2" x14ac:dyDescent="0.3">
      <c r="A4346" s="16" t="s">
        <v>4056</v>
      </c>
      <c r="B4346" s="16" t="s">
        <v>9419</v>
      </c>
      <c r="C4346" s="16" t="s">
        <v>7598</v>
      </c>
      <c r="D4346" s="16" t="s">
        <v>7597</v>
      </c>
      <c r="E4346" s="16" t="s">
        <v>5582</v>
      </c>
      <c r="F4346" s="16" t="s">
        <v>5583</v>
      </c>
      <c r="G4346" s="16" t="s">
        <v>8247</v>
      </c>
      <c r="H4346" s="16" t="s">
        <v>98</v>
      </c>
      <c r="I4346" s="16"/>
      <c r="J4346" s="16"/>
      <c r="K4346" s="16"/>
      <c r="L4346" s="16"/>
      <c r="M4346" s="19" t="s">
        <v>5584</v>
      </c>
      <c r="N4346" s="16"/>
      <c r="O4346" s="16" t="s">
        <v>5585</v>
      </c>
      <c r="P4346" s="16" t="str">
        <f>HYPERLINK("https://ceds.ed.gov/cedselementdetails.aspx?termid=26827")</f>
        <v>https://ceds.ed.gov/cedselementdetails.aspx?termid=26827</v>
      </c>
      <c r="Q4346" s="16">
        <v>76466</v>
      </c>
    </row>
    <row r="4347" spans="1:17" ht="187.2" x14ac:dyDescent="0.3">
      <c r="A4347" s="16" t="s">
        <v>4056</v>
      </c>
      <c r="B4347" s="16" t="s">
        <v>9419</v>
      </c>
      <c r="C4347" s="16" t="s">
        <v>7599</v>
      </c>
      <c r="D4347" s="16" t="s">
        <v>7597</v>
      </c>
      <c r="E4347" s="16" t="s">
        <v>164</v>
      </c>
      <c r="F4347" s="16" t="s">
        <v>165</v>
      </c>
      <c r="G4347" s="16" t="s">
        <v>32</v>
      </c>
      <c r="H4347" s="16" t="s">
        <v>163</v>
      </c>
      <c r="I4347" s="16"/>
      <c r="J4347" s="16" t="s">
        <v>81</v>
      </c>
      <c r="K4347" s="16"/>
      <c r="L4347" s="16"/>
      <c r="M4347" s="19" t="s">
        <v>166</v>
      </c>
      <c r="N4347" s="16"/>
      <c r="O4347" s="16" t="s">
        <v>167</v>
      </c>
      <c r="P4347" s="16" t="str">
        <f>HYPERLINK("https://ceds.ed.gov/cedselementdetails.aspx?termid=26040")</f>
        <v>https://ceds.ed.gov/cedselementdetails.aspx?termid=26040</v>
      </c>
      <c r="Q4347" s="16">
        <v>76461</v>
      </c>
    </row>
    <row r="4348" spans="1:17" ht="172.8" x14ac:dyDescent="0.3">
      <c r="A4348" s="16" t="s">
        <v>4056</v>
      </c>
      <c r="B4348" s="16" t="s">
        <v>9419</v>
      </c>
      <c r="C4348" s="16" t="s">
        <v>7598</v>
      </c>
      <c r="D4348" s="16" t="s">
        <v>7597</v>
      </c>
      <c r="E4348" s="16" t="s">
        <v>5586</v>
      </c>
      <c r="F4348" s="16" t="s">
        <v>5587</v>
      </c>
      <c r="G4348" s="16" t="s">
        <v>32</v>
      </c>
      <c r="H4348" s="16" t="s">
        <v>98</v>
      </c>
      <c r="I4348" s="16"/>
      <c r="J4348" s="16" t="s">
        <v>120</v>
      </c>
      <c r="K4348" s="16"/>
      <c r="L4348" s="16" t="s">
        <v>7817</v>
      </c>
      <c r="M4348" s="19" t="s">
        <v>5588</v>
      </c>
      <c r="N4348" s="16"/>
      <c r="O4348" s="16" t="s">
        <v>5589</v>
      </c>
      <c r="P4348" s="16" t="str">
        <f>HYPERLINK("https://ceds.ed.gov/cedselementdetails.aspx?termid=26825")</f>
        <v>https://ceds.ed.gov/cedselementdetails.aspx?termid=26825</v>
      </c>
      <c r="Q4348" s="16">
        <v>76467</v>
      </c>
    </row>
    <row r="4349" spans="1:17" ht="187.2" x14ac:dyDescent="0.3">
      <c r="A4349" s="16" t="s">
        <v>4056</v>
      </c>
      <c r="B4349" s="16" t="s">
        <v>9419</v>
      </c>
      <c r="C4349" s="16" t="s">
        <v>7599</v>
      </c>
      <c r="D4349" s="16" t="s">
        <v>7597</v>
      </c>
      <c r="E4349" s="16" t="s">
        <v>168</v>
      </c>
      <c r="F4349" s="16" t="s">
        <v>169</v>
      </c>
      <c r="G4349" s="16" t="s">
        <v>32</v>
      </c>
      <c r="H4349" s="16" t="s">
        <v>163</v>
      </c>
      <c r="I4349" s="16"/>
      <c r="J4349" s="16" t="s">
        <v>81</v>
      </c>
      <c r="K4349" s="16"/>
      <c r="L4349" s="16"/>
      <c r="M4349" s="19" t="s">
        <v>170</v>
      </c>
      <c r="N4349" s="16"/>
      <c r="O4349" s="16" t="s">
        <v>171</v>
      </c>
      <c r="P4349" s="16" t="str">
        <f>HYPERLINK("https://ceds.ed.gov/cedselementdetails.aspx?termid=26190")</f>
        <v>https://ceds.ed.gov/cedselementdetails.aspx?termid=26190</v>
      </c>
      <c r="Q4349" s="16">
        <v>76462</v>
      </c>
    </row>
    <row r="4350" spans="1:17" ht="43.2" x14ac:dyDescent="0.3">
      <c r="A4350" s="16" t="s">
        <v>4056</v>
      </c>
      <c r="B4350" s="16" t="s">
        <v>9419</v>
      </c>
      <c r="C4350" s="16" t="s">
        <v>7598</v>
      </c>
      <c r="D4350" s="16" t="s">
        <v>7597</v>
      </c>
      <c r="E4350" s="16" t="s">
        <v>5598</v>
      </c>
      <c r="F4350" s="16" t="s">
        <v>5599</v>
      </c>
      <c r="G4350" s="16" t="s">
        <v>32</v>
      </c>
      <c r="H4350" s="16" t="s">
        <v>195</v>
      </c>
      <c r="I4350" s="16"/>
      <c r="J4350" s="16" t="s">
        <v>145</v>
      </c>
      <c r="K4350" s="16"/>
      <c r="L4350" s="16"/>
      <c r="M4350" s="19" t="s">
        <v>5600</v>
      </c>
      <c r="N4350" s="16"/>
      <c r="O4350" s="16" t="s">
        <v>5601</v>
      </c>
      <c r="P4350" s="16" t="str">
        <f>HYPERLINK("https://ceds.ed.gov/cedselementdetails.aspx?termid=26204")</f>
        <v>https://ceds.ed.gov/cedselementdetails.aspx?termid=26204</v>
      </c>
      <c r="Q4350" s="16">
        <v>76468</v>
      </c>
    </row>
    <row r="4351" spans="1:17" ht="187.2" x14ac:dyDescent="0.3">
      <c r="A4351" s="16" t="s">
        <v>4056</v>
      </c>
      <c r="B4351" s="16" t="s">
        <v>9419</v>
      </c>
      <c r="C4351" s="16" t="s">
        <v>7599</v>
      </c>
      <c r="D4351" s="16" t="s">
        <v>7597</v>
      </c>
      <c r="E4351" s="16" t="s">
        <v>172</v>
      </c>
      <c r="F4351" s="16" t="s">
        <v>173</v>
      </c>
      <c r="G4351" s="16" t="s">
        <v>32</v>
      </c>
      <c r="H4351" s="16" t="s">
        <v>163</v>
      </c>
      <c r="I4351" s="16"/>
      <c r="J4351" s="16" t="s">
        <v>174</v>
      </c>
      <c r="K4351" s="16"/>
      <c r="L4351" s="16"/>
      <c r="M4351" s="19" t="s">
        <v>175</v>
      </c>
      <c r="N4351" s="16"/>
      <c r="O4351" s="16" t="s">
        <v>176</v>
      </c>
      <c r="P4351" s="16" t="str">
        <f>HYPERLINK("https://ceds.ed.gov/cedselementdetails.aspx?termid=26214")</f>
        <v>https://ceds.ed.gov/cedselementdetails.aspx?termid=26214</v>
      </c>
      <c r="Q4351" s="16">
        <v>76463</v>
      </c>
    </row>
    <row r="4352" spans="1:17" ht="409.6" x14ac:dyDescent="0.3">
      <c r="A4352" s="16" t="s">
        <v>4056</v>
      </c>
      <c r="B4352" s="16" t="s">
        <v>9419</v>
      </c>
      <c r="C4352" s="16" t="s">
        <v>7598</v>
      </c>
      <c r="D4352" s="16" t="s">
        <v>7597</v>
      </c>
      <c r="E4352" s="16" t="s">
        <v>5618</v>
      </c>
      <c r="F4352" s="16" t="s">
        <v>5619</v>
      </c>
      <c r="G4352" s="16" t="s">
        <v>9335</v>
      </c>
      <c r="H4352" s="16"/>
      <c r="I4352" s="16"/>
      <c r="J4352" s="16"/>
      <c r="K4352" s="16"/>
      <c r="L4352" s="16" t="s">
        <v>5620</v>
      </c>
      <c r="M4352" s="19" t="s">
        <v>5621</v>
      </c>
      <c r="N4352" s="16"/>
      <c r="O4352" s="16" t="s">
        <v>5622</v>
      </c>
      <c r="P4352" s="16" t="str">
        <f>HYPERLINK("https://ceds.ed.gov/cedselementdetails.aspx?termid=27165")</f>
        <v>https://ceds.ed.gov/cedselementdetails.aspx?termid=27165</v>
      </c>
      <c r="Q4352" s="16">
        <v>76469</v>
      </c>
    </row>
    <row r="4353" spans="1:17" ht="72" x14ac:dyDescent="0.3">
      <c r="A4353" s="16" t="s">
        <v>4056</v>
      </c>
      <c r="B4353" s="16" t="s">
        <v>9419</v>
      </c>
      <c r="C4353" s="16" t="s">
        <v>7599</v>
      </c>
      <c r="D4353" s="16" t="s">
        <v>7597</v>
      </c>
      <c r="E4353" s="16" t="s">
        <v>187</v>
      </c>
      <c r="F4353" s="16" t="s">
        <v>188</v>
      </c>
      <c r="G4353" s="16" t="s">
        <v>8205</v>
      </c>
      <c r="H4353" s="16" t="s">
        <v>64</v>
      </c>
      <c r="I4353" s="16"/>
      <c r="J4353" s="16" t="s">
        <v>81</v>
      </c>
      <c r="K4353" s="16"/>
      <c r="L4353" s="16"/>
      <c r="M4353" s="19" t="s">
        <v>189</v>
      </c>
      <c r="N4353" s="16"/>
      <c r="O4353" s="16" t="s">
        <v>190</v>
      </c>
      <c r="P4353" s="16" t="str">
        <f>HYPERLINK("https://ceds.ed.gov/cedselementdetails.aspx?termid=26644")</f>
        <v>https://ceds.ed.gov/cedselementdetails.aspx?termid=26644</v>
      </c>
      <c r="Q4353" s="16">
        <v>76464</v>
      </c>
    </row>
    <row r="4354" spans="1:17" ht="409.6" x14ac:dyDescent="0.3">
      <c r="A4354" s="16" t="s">
        <v>4056</v>
      </c>
      <c r="B4354" s="16" t="s">
        <v>9419</v>
      </c>
      <c r="C4354" s="16" t="s">
        <v>7599</v>
      </c>
      <c r="D4354" s="16" t="s">
        <v>7597</v>
      </c>
      <c r="E4354" s="16" t="s">
        <v>6840</v>
      </c>
      <c r="F4354" s="16" t="s">
        <v>6841</v>
      </c>
      <c r="G4354" s="16" t="s">
        <v>8266</v>
      </c>
      <c r="H4354" s="16" t="s">
        <v>6844</v>
      </c>
      <c r="I4354" s="16"/>
      <c r="J4354" s="16"/>
      <c r="K4354" s="16"/>
      <c r="L4354" s="16"/>
      <c r="M4354" s="19" t="s">
        <v>6842</v>
      </c>
      <c r="N4354" s="16"/>
      <c r="O4354" s="16" t="s">
        <v>6843</v>
      </c>
      <c r="P4354" s="16" t="str">
        <f>HYPERLINK("https://ceds.ed.gov/cedselementdetails.aspx?termid=26267")</f>
        <v>https://ceds.ed.gov/cedselementdetails.aspx?termid=26267</v>
      </c>
      <c r="Q4354" s="16">
        <v>76465</v>
      </c>
    </row>
    <row r="4355" spans="1:17" ht="28.8" x14ac:dyDescent="0.3">
      <c r="A4355" s="16" t="s">
        <v>7766</v>
      </c>
      <c r="B4355" s="16" t="s">
        <v>7767</v>
      </c>
      <c r="C4355" s="16"/>
      <c r="D4355" s="16" t="s">
        <v>7597</v>
      </c>
      <c r="E4355" s="16" t="s">
        <v>4069</v>
      </c>
      <c r="F4355" s="16" t="s">
        <v>4070</v>
      </c>
      <c r="G4355" s="16" t="s">
        <v>32</v>
      </c>
      <c r="H4355" s="16"/>
      <c r="I4355" s="16"/>
      <c r="J4355" s="16" t="s">
        <v>101</v>
      </c>
      <c r="K4355" s="16"/>
      <c r="L4355" s="16"/>
      <c r="M4355" s="19" t="s">
        <v>4071</v>
      </c>
      <c r="N4355" s="16"/>
      <c r="O4355" s="16" t="s">
        <v>4072</v>
      </c>
      <c r="P4355" s="16" t="str">
        <f>HYPERLINK("https://ceds.ed.gov/cedselementdetails.aspx?termid=26903")</f>
        <v>https://ceds.ed.gov/cedselementdetails.aspx?termid=26903</v>
      </c>
      <c r="Q4355" s="16">
        <v>71363</v>
      </c>
    </row>
    <row r="4356" spans="1:17" ht="28.8" x14ac:dyDescent="0.3">
      <c r="A4356" s="16" t="s">
        <v>7766</v>
      </c>
      <c r="B4356" s="16" t="s">
        <v>7767</v>
      </c>
      <c r="C4356" s="16"/>
      <c r="D4356" s="16" t="s">
        <v>7597</v>
      </c>
      <c r="E4356" s="16" t="s">
        <v>4108</v>
      </c>
      <c r="F4356" s="16" t="s">
        <v>4109</v>
      </c>
      <c r="G4356" s="16" t="s">
        <v>32</v>
      </c>
      <c r="H4356" s="16"/>
      <c r="I4356" s="16"/>
      <c r="J4356" s="16" t="s">
        <v>106</v>
      </c>
      <c r="K4356" s="16"/>
      <c r="L4356" s="16"/>
      <c r="M4356" s="19" t="s">
        <v>4110</v>
      </c>
      <c r="N4356" s="16"/>
      <c r="O4356" s="16" t="s">
        <v>4111</v>
      </c>
      <c r="P4356" s="16" t="str">
        <f>HYPERLINK("https://ceds.ed.gov/cedselementdetails.aspx?termid=27169")</f>
        <v>https://ceds.ed.gov/cedselementdetails.aspx?termid=27169</v>
      </c>
      <c r="Q4356" s="16">
        <v>73887</v>
      </c>
    </row>
    <row r="4357" spans="1:17" ht="100.8" x14ac:dyDescent="0.3">
      <c r="A4357" s="16" t="s">
        <v>7766</v>
      </c>
      <c r="B4357" s="16" t="s">
        <v>7767</v>
      </c>
      <c r="C4357" s="16"/>
      <c r="D4357" s="16" t="s">
        <v>7597</v>
      </c>
      <c r="E4357" s="16" t="s">
        <v>4073</v>
      </c>
      <c r="F4357" s="16" t="s">
        <v>4074</v>
      </c>
      <c r="G4357" s="16" t="s">
        <v>32</v>
      </c>
      <c r="H4357" s="16"/>
      <c r="I4357" s="16"/>
      <c r="J4357" s="16" t="s">
        <v>106</v>
      </c>
      <c r="K4357" s="16"/>
      <c r="L4357" s="16" t="s">
        <v>4075</v>
      </c>
      <c r="M4357" s="19" t="s">
        <v>4076</v>
      </c>
      <c r="N4357" s="16"/>
      <c r="O4357" s="16" t="s">
        <v>4077</v>
      </c>
      <c r="P4357" s="16" t="str">
        <f>HYPERLINK("https://ceds.ed.gov/cedselementdetails.aspx?termid=27170")</f>
        <v>https://ceds.ed.gov/cedselementdetails.aspx?termid=27170</v>
      </c>
      <c r="Q4357" s="16">
        <v>73885</v>
      </c>
    </row>
    <row r="4358" spans="1:17" ht="43.2" x14ac:dyDescent="0.3">
      <c r="A4358" s="16" t="s">
        <v>7766</v>
      </c>
      <c r="B4358" s="16" t="s">
        <v>7767</v>
      </c>
      <c r="C4358" s="16"/>
      <c r="D4358" s="16" t="s">
        <v>7597</v>
      </c>
      <c r="E4358" s="16" t="s">
        <v>4121</v>
      </c>
      <c r="F4358" s="16" t="s">
        <v>4122</v>
      </c>
      <c r="G4358" s="16" t="s">
        <v>32</v>
      </c>
      <c r="H4358" s="16"/>
      <c r="I4358" s="16"/>
      <c r="J4358" s="16" t="s">
        <v>101</v>
      </c>
      <c r="K4358" s="16"/>
      <c r="L4358" s="16"/>
      <c r="M4358" s="19" t="s">
        <v>4123</v>
      </c>
      <c r="N4358" s="16"/>
      <c r="O4358" s="16" t="s">
        <v>4124</v>
      </c>
      <c r="P4358" s="16" t="str">
        <f>HYPERLINK("https://ceds.ed.gov/cedselementdetails.aspx?termid=26902")</f>
        <v>https://ceds.ed.gov/cedselementdetails.aspx?termid=26902</v>
      </c>
      <c r="Q4358" s="16">
        <v>71362</v>
      </c>
    </row>
    <row r="4359" spans="1:17" ht="172.8" x14ac:dyDescent="0.3">
      <c r="A4359" s="16" t="s">
        <v>7766</v>
      </c>
      <c r="B4359" s="16" t="s">
        <v>7710</v>
      </c>
      <c r="C4359" s="16"/>
      <c r="D4359" s="16" t="s">
        <v>7597</v>
      </c>
      <c r="E4359" s="16" t="s">
        <v>4909</v>
      </c>
      <c r="F4359" s="16" t="s">
        <v>8077</v>
      </c>
      <c r="G4359" s="16" t="s">
        <v>32</v>
      </c>
      <c r="H4359" s="16"/>
      <c r="I4359" s="16"/>
      <c r="J4359" s="16" t="s">
        <v>120</v>
      </c>
      <c r="K4359" s="16"/>
      <c r="L4359" s="16" t="s">
        <v>7817</v>
      </c>
      <c r="M4359" s="19" t="s">
        <v>4911</v>
      </c>
      <c r="N4359" s="16"/>
      <c r="O4359" s="16" t="s">
        <v>4912</v>
      </c>
      <c r="P4359" s="16" t="str">
        <f>HYPERLINK("https://ceds.ed.gov/cedselementdetails.aspx?termid=27533")</f>
        <v>https://ceds.ed.gov/cedselementdetails.aspx?termid=27533</v>
      </c>
      <c r="Q4359" s="16">
        <v>73866</v>
      </c>
    </row>
    <row r="4360" spans="1:17" ht="72" x14ac:dyDescent="0.3">
      <c r="A4360" s="16" t="s">
        <v>7766</v>
      </c>
      <c r="B4360" s="16" t="s">
        <v>7710</v>
      </c>
      <c r="C4360" s="16"/>
      <c r="D4360" s="16" t="s">
        <v>7597</v>
      </c>
      <c r="E4360" s="16" t="s">
        <v>4933</v>
      </c>
      <c r="F4360" s="16" t="s">
        <v>4934</v>
      </c>
      <c r="G4360" s="16" t="s">
        <v>32</v>
      </c>
      <c r="H4360" s="16"/>
      <c r="I4360" s="16"/>
      <c r="J4360" s="16" t="s">
        <v>316</v>
      </c>
      <c r="K4360" s="16"/>
      <c r="L4360" s="16"/>
      <c r="M4360" s="19" t="s">
        <v>4935</v>
      </c>
      <c r="N4360" s="16"/>
      <c r="O4360" s="16" t="s">
        <v>4936</v>
      </c>
      <c r="P4360" s="16" t="str">
        <f>HYPERLINK("https://ceds.ed.gov/cedselementdetails.aspx?termid=26936")</f>
        <v>https://ceds.ed.gov/cedselementdetails.aspx?termid=26936</v>
      </c>
      <c r="Q4360" s="16">
        <v>71394</v>
      </c>
    </row>
    <row r="4361" spans="1:17" ht="409.6" x14ac:dyDescent="0.3">
      <c r="A4361" s="16" t="s">
        <v>7766</v>
      </c>
      <c r="B4361" s="16" t="s">
        <v>7710</v>
      </c>
      <c r="C4361" s="16"/>
      <c r="D4361" s="16" t="s">
        <v>7597</v>
      </c>
      <c r="E4361" s="16" t="s">
        <v>4929</v>
      </c>
      <c r="F4361" s="16" t="s">
        <v>4930</v>
      </c>
      <c r="G4361" s="16" t="s">
        <v>8690</v>
      </c>
      <c r="H4361" s="16"/>
      <c r="I4361" s="16"/>
      <c r="J4361" s="16"/>
      <c r="K4361" s="16"/>
      <c r="L4361" s="16" t="s">
        <v>8078</v>
      </c>
      <c r="M4361" s="19" t="s">
        <v>4931</v>
      </c>
      <c r="N4361" s="16"/>
      <c r="O4361" s="16" t="s">
        <v>4932</v>
      </c>
      <c r="P4361" s="16" t="str">
        <f>HYPERLINK("https://ceds.ed.gov/cedselementdetails.aspx?termid=26935")</f>
        <v>https://ceds.ed.gov/cedselementdetails.aspx?termid=26935</v>
      </c>
      <c r="Q4361" s="16">
        <v>71393</v>
      </c>
    </row>
    <row r="4362" spans="1:17" ht="28.8" x14ac:dyDescent="0.3">
      <c r="A4362" s="16" t="s">
        <v>7766</v>
      </c>
      <c r="B4362" s="16" t="s">
        <v>7710</v>
      </c>
      <c r="C4362" s="16"/>
      <c r="D4362" s="16" t="s">
        <v>7597</v>
      </c>
      <c r="E4362" s="16" t="s">
        <v>4913</v>
      </c>
      <c r="F4362" s="16" t="s">
        <v>4914</v>
      </c>
      <c r="G4362" s="16" t="s">
        <v>32</v>
      </c>
      <c r="H4362" s="16"/>
      <c r="I4362" s="16"/>
      <c r="J4362" s="16" t="s">
        <v>812</v>
      </c>
      <c r="K4362" s="16"/>
      <c r="L4362" s="16"/>
      <c r="M4362" s="19" t="s">
        <v>4915</v>
      </c>
      <c r="N4362" s="16"/>
      <c r="O4362" s="16" t="s">
        <v>4916</v>
      </c>
      <c r="P4362" s="16" t="str">
        <f>HYPERLINK("https://ceds.ed.gov/cedselementdetails.aspx?termid=26938")</f>
        <v>https://ceds.ed.gov/cedselementdetails.aspx?termid=26938</v>
      </c>
      <c r="Q4362" s="16">
        <v>71396</v>
      </c>
    </row>
    <row r="4363" spans="1:17" ht="172.8" x14ac:dyDescent="0.3">
      <c r="A4363" s="16" t="s">
        <v>7766</v>
      </c>
      <c r="B4363" s="16" t="s">
        <v>7710</v>
      </c>
      <c r="C4363" s="16"/>
      <c r="D4363" s="16" t="s">
        <v>7597</v>
      </c>
      <c r="E4363" s="16" t="s">
        <v>4921</v>
      </c>
      <c r="F4363" s="16" t="s">
        <v>4922</v>
      </c>
      <c r="G4363" s="16" t="s">
        <v>32</v>
      </c>
      <c r="H4363" s="16"/>
      <c r="I4363" s="16"/>
      <c r="J4363" s="16" t="s">
        <v>120</v>
      </c>
      <c r="K4363" s="16"/>
      <c r="L4363" s="16" t="s">
        <v>7817</v>
      </c>
      <c r="M4363" s="19" t="s">
        <v>4923</v>
      </c>
      <c r="N4363" s="16"/>
      <c r="O4363" s="16" t="s">
        <v>4924</v>
      </c>
      <c r="P4363" s="16" t="str">
        <f>HYPERLINK("https://ceds.ed.gov/cedselementdetails.aspx?termid=27535")</f>
        <v>https://ceds.ed.gov/cedselementdetails.aspx?termid=27535</v>
      </c>
      <c r="Q4363" s="16">
        <v>73875</v>
      </c>
    </row>
    <row r="4364" spans="1:17" ht="28.8" x14ac:dyDescent="0.3">
      <c r="A4364" s="16" t="s">
        <v>7766</v>
      </c>
      <c r="B4364" s="16" t="s">
        <v>7710</v>
      </c>
      <c r="C4364" s="16"/>
      <c r="D4364" s="16" t="s">
        <v>7597</v>
      </c>
      <c r="E4364" s="16" t="s">
        <v>4917</v>
      </c>
      <c r="F4364" s="16" t="s">
        <v>4918</v>
      </c>
      <c r="G4364" s="16" t="s">
        <v>32</v>
      </c>
      <c r="H4364" s="16"/>
      <c r="I4364" s="16"/>
      <c r="J4364" s="16" t="s">
        <v>101</v>
      </c>
      <c r="K4364" s="16"/>
      <c r="L4364" s="16"/>
      <c r="M4364" s="19" t="s">
        <v>4919</v>
      </c>
      <c r="N4364" s="16"/>
      <c r="O4364" s="16" t="s">
        <v>4920</v>
      </c>
      <c r="P4364" s="16" t="str">
        <f>HYPERLINK("https://ceds.ed.gov/cedselementdetails.aspx?termid=27534")</f>
        <v>https://ceds.ed.gov/cedselementdetails.aspx?termid=27534</v>
      </c>
      <c r="Q4364" s="16">
        <v>73872</v>
      </c>
    </row>
    <row r="4365" spans="1:17" ht="28.8" x14ac:dyDescent="0.3">
      <c r="A4365" s="16" t="s">
        <v>7766</v>
      </c>
      <c r="B4365" s="16" t="s">
        <v>7710</v>
      </c>
      <c r="C4365" s="16"/>
      <c r="D4365" s="16" t="s">
        <v>7597</v>
      </c>
      <c r="E4365" s="16" t="s">
        <v>4925</v>
      </c>
      <c r="F4365" s="16" t="s">
        <v>4926</v>
      </c>
      <c r="G4365" s="16" t="s">
        <v>32</v>
      </c>
      <c r="H4365" s="16"/>
      <c r="I4365" s="16"/>
      <c r="J4365" s="16" t="s">
        <v>145</v>
      </c>
      <c r="K4365" s="16"/>
      <c r="L4365" s="16"/>
      <c r="M4365" s="19" t="s">
        <v>4927</v>
      </c>
      <c r="N4365" s="16"/>
      <c r="O4365" s="16" t="s">
        <v>4928</v>
      </c>
      <c r="P4365" s="16" t="str">
        <f>HYPERLINK("https://ceds.ed.gov/cedselementdetails.aspx?termid=27536")</f>
        <v>https://ceds.ed.gov/cedselementdetails.aspx?termid=27536</v>
      </c>
      <c r="Q4365" s="16">
        <v>73878</v>
      </c>
    </row>
    <row r="4366" spans="1:17" ht="43.2" x14ac:dyDescent="0.3">
      <c r="A4366" s="16" t="s">
        <v>7766</v>
      </c>
      <c r="B4366" s="16" t="s">
        <v>7768</v>
      </c>
      <c r="C4366" s="16"/>
      <c r="D4366" s="16" t="s">
        <v>7597</v>
      </c>
      <c r="E4366" s="16" t="s">
        <v>4989</v>
      </c>
      <c r="F4366" s="16" t="s">
        <v>13008</v>
      </c>
      <c r="G4366" s="16" t="s">
        <v>32</v>
      </c>
      <c r="H4366" s="16"/>
      <c r="I4366" s="16"/>
      <c r="J4366" s="16" t="s">
        <v>81</v>
      </c>
      <c r="K4366" s="16"/>
      <c r="L4366" s="16"/>
      <c r="M4366" s="19" t="s">
        <v>4990</v>
      </c>
      <c r="N4366" s="16"/>
      <c r="O4366" s="16" t="s">
        <v>4991</v>
      </c>
      <c r="P4366" s="16" t="str">
        <f>HYPERLINK("https://ceds.ed.gov/cedselementdetails.aspx?termid=26940")</f>
        <v>https://ceds.ed.gov/cedselementdetails.aspx?termid=26940</v>
      </c>
      <c r="Q4366" s="16">
        <v>71398</v>
      </c>
    </row>
    <row r="4367" spans="1:17" ht="43.2" x14ac:dyDescent="0.3">
      <c r="A4367" s="16" t="s">
        <v>7766</v>
      </c>
      <c r="B4367" s="16" t="s">
        <v>7768</v>
      </c>
      <c r="C4367" s="16"/>
      <c r="D4367" s="16" t="s">
        <v>7597</v>
      </c>
      <c r="E4367" s="16" t="s">
        <v>4946</v>
      </c>
      <c r="F4367" s="16" t="s">
        <v>8079</v>
      </c>
      <c r="G4367" s="16" t="s">
        <v>32</v>
      </c>
      <c r="H4367" s="16"/>
      <c r="I4367" s="16"/>
      <c r="J4367" s="16" t="s">
        <v>101</v>
      </c>
      <c r="K4367" s="16"/>
      <c r="L4367" s="16"/>
      <c r="M4367" s="19" t="s">
        <v>4947</v>
      </c>
      <c r="N4367" s="16"/>
      <c r="O4367" s="16" t="s">
        <v>4948</v>
      </c>
      <c r="P4367" s="16" t="str">
        <f>HYPERLINK("https://ceds.ed.gov/cedselementdetails.aspx?termid=26941")</f>
        <v>https://ceds.ed.gov/cedselementdetails.aspx?termid=26941</v>
      </c>
      <c r="Q4367" s="16">
        <v>71399</v>
      </c>
    </row>
    <row r="4368" spans="1:17" x14ac:dyDescent="0.3">
      <c r="A4368" s="16" t="s">
        <v>7766</v>
      </c>
      <c r="B4368" s="16" t="s">
        <v>7768</v>
      </c>
      <c r="C4368" s="16"/>
      <c r="D4368" s="16" t="s">
        <v>7597</v>
      </c>
      <c r="E4368" s="16" t="s">
        <v>4942</v>
      </c>
      <c r="F4368" s="16" t="s">
        <v>4943</v>
      </c>
      <c r="G4368" s="16" t="s">
        <v>32</v>
      </c>
      <c r="H4368" s="16"/>
      <c r="I4368" s="16"/>
      <c r="J4368" s="16" t="s">
        <v>106</v>
      </c>
      <c r="K4368" s="16"/>
      <c r="L4368" s="16"/>
      <c r="M4368" s="19" t="s">
        <v>4944</v>
      </c>
      <c r="N4368" s="16"/>
      <c r="O4368" s="16" t="s">
        <v>4945</v>
      </c>
      <c r="P4368" s="16" t="str">
        <f>HYPERLINK("https://ceds.ed.gov/cedselementdetails.aspx?termid=26944")</f>
        <v>https://ceds.ed.gov/cedselementdetails.aspx?termid=26944</v>
      </c>
      <c r="Q4368" s="16">
        <v>71402</v>
      </c>
    </row>
    <row r="4369" spans="1:17" ht="43.2" x14ac:dyDescent="0.3">
      <c r="A4369" s="16" t="s">
        <v>7766</v>
      </c>
      <c r="B4369" s="16" t="s">
        <v>7768</v>
      </c>
      <c r="C4369" s="16"/>
      <c r="D4369" s="16" t="s">
        <v>7597</v>
      </c>
      <c r="E4369" s="16" t="s">
        <v>4981</v>
      </c>
      <c r="F4369" s="16" t="s">
        <v>4982</v>
      </c>
      <c r="G4369" s="16" t="s">
        <v>32</v>
      </c>
      <c r="H4369" s="16"/>
      <c r="I4369" s="16"/>
      <c r="J4369" s="16" t="s">
        <v>106</v>
      </c>
      <c r="K4369" s="16"/>
      <c r="L4369" s="16"/>
      <c r="M4369" s="19" t="s">
        <v>4983</v>
      </c>
      <c r="N4369" s="16"/>
      <c r="O4369" s="16" t="s">
        <v>4984</v>
      </c>
      <c r="P4369" s="16" t="str">
        <f>HYPERLINK("https://ceds.ed.gov/cedselementdetails.aspx?termid=26951")</f>
        <v>https://ceds.ed.gov/cedselementdetails.aspx?termid=26951</v>
      </c>
      <c r="Q4369" s="16">
        <v>71409</v>
      </c>
    </row>
    <row r="4370" spans="1:17" ht="72" x14ac:dyDescent="0.3">
      <c r="A4370" s="16" t="s">
        <v>7766</v>
      </c>
      <c r="B4370" s="16" t="s">
        <v>7768</v>
      </c>
      <c r="C4370" s="16"/>
      <c r="D4370" s="16" t="s">
        <v>7597</v>
      </c>
      <c r="E4370" s="16" t="s">
        <v>4992</v>
      </c>
      <c r="F4370" s="16" t="s">
        <v>4993</v>
      </c>
      <c r="G4370" s="16" t="s">
        <v>8692</v>
      </c>
      <c r="H4370" s="16"/>
      <c r="I4370" s="16"/>
      <c r="J4370" s="16"/>
      <c r="K4370" s="16"/>
      <c r="L4370" s="16"/>
      <c r="M4370" s="19" t="s">
        <v>4994</v>
      </c>
      <c r="N4370" s="16"/>
      <c r="O4370" s="16" t="s">
        <v>4995</v>
      </c>
      <c r="P4370" s="16" t="str">
        <f>HYPERLINK("https://ceds.ed.gov/cedselementdetails.aspx?termid=26943")</f>
        <v>https://ceds.ed.gov/cedselementdetails.aspx?termid=26943</v>
      </c>
      <c r="Q4370" s="16">
        <v>71401</v>
      </c>
    </row>
    <row r="4371" spans="1:17" ht="100.8" x14ac:dyDescent="0.3">
      <c r="A4371" s="16" t="s">
        <v>7766</v>
      </c>
      <c r="B4371" s="16" t="s">
        <v>7768</v>
      </c>
      <c r="C4371" s="16"/>
      <c r="D4371" s="16" t="s">
        <v>7597</v>
      </c>
      <c r="E4371" s="16" t="s">
        <v>4977</v>
      </c>
      <c r="F4371" s="16" t="s">
        <v>4978</v>
      </c>
      <c r="G4371" s="16" t="s">
        <v>32</v>
      </c>
      <c r="H4371" s="16"/>
      <c r="I4371" s="16"/>
      <c r="J4371" s="16" t="s">
        <v>101</v>
      </c>
      <c r="K4371" s="16"/>
      <c r="L4371" s="16" t="s">
        <v>8080</v>
      </c>
      <c r="M4371" s="19" t="s">
        <v>4979</v>
      </c>
      <c r="N4371" s="16"/>
      <c r="O4371" s="16" t="s">
        <v>4980</v>
      </c>
      <c r="P4371" s="16" t="str">
        <f>HYPERLINK("https://ceds.ed.gov/cedselementdetails.aspx?termid=26942")</f>
        <v>https://ceds.ed.gov/cedselementdetails.aspx?termid=26942</v>
      </c>
      <c r="Q4371" s="16">
        <v>71400</v>
      </c>
    </row>
    <row r="4372" spans="1:17" ht="115.2" x14ac:dyDescent="0.3">
      <c r="A4372" s="16" t="s">
        <v>7766</v>
      </c>
      <c r="B4372" s="16" t="s">
        <v>7768</v>
      </c>
      <c r="C4372" s="16"/>
      <c r="D4372" s="16" t="s">
        <v>7597</v>
      </c>
      <c r="E4372" s="16" t="s">
        <v>4957</v>
      </c>
      <c r="F4372" s="16" t="s">
        <v>4958</v>
      </c>
      <c r="G4372" s="16" t="s">
        <v>7313</v>
      </c>
      <c r="H4372" s="16"/>
      <c r="I4372" s="16"/>
      <c r="J4372" s="16"/>
      <c r="K4372" s="16"/>
      <c r="L4372" s="16" t="s">
        <v>7859</v>
      </c>
      <c r="M4372" s="19" t="s">
        <v>4959</v>
      </c>
      <c r="N4372" s="16"/>
      <c r="O4372" s="16" t="s">
        <v>4960</v>
      </c>
      <c r="P4372" s="16" t="str">
        <f>HYPERLINK("https://ceds.ed.gov/cedselementdetails.aspx?termid=26939")</f>
        <v>https://ceds.ed.gov/cedselementdetails.aspx?termid=26939</v>
      </c>
      <c r="Q4372" s="16">
        <v>71397</v>
      </c>
    </row>
    <row r="4373" spans="1:17" ht="86.4" x14ac:dyDescent="0.3">
      <c r="A4373" s="16" t="s">
        <v>7766</v>
      </c>
      <c r="B4373" s="16" t="s">
        <v>7768</v>
      </c>
      <c r="C4373" s="16"/>
      <c r="D4373" s="16" t="s">
        <v>7597</v>
      </c>
      <c r="E4373" s="16" t="s">
        <v>4970</v>
      </c>
      <c r="F4373" s="16" t="s">
        <v>13007</v>
      </c>
      <c r="G4373" s="16" t="s">
        <v>8691</v>
      </c>
      <c r="H4373" s="16"/>
      <c r="I4373" s="16"/>
      <c r="J4373" s="16"/>
      <c r="K4373" s="16"/>
      <c r="L4373" s="16"/>
      <c r="M4373" s="19" t="s">
        <v>4971</v>
      </c>
      <c r="N4373" s="16"/>
      <c r="O4373" s="16" t="s">
        <v>4972</v>
      </c>
      <c r="P4373" s="16" t="str">
        <f>HYPERLINK("https://ceds.ed.gov/cedselementdetails.aspx?termid=26946")</f>
        <v>https://ceds.ed.gov/cedselementdetails.aspx?termid=26946</v>
      </c>
      <c r="Q4373" s="16">
        <v>71404</v>
      </c>
    </row>
    <row r="4374" spans="1:17" ht="28.8" x14ac:dyDescent="0.3">
      <c r="A4374" s="16" t="s">
        <v>7766</v>
      </c>
      <c r="B4374" s="16" t="s">
        <v>7768</v>
      </c>
      <c r="C4374" s="16"/>
      <c r="D4374" s="16" t="s">
        <v>7597</v>
      </c>
      <c r="E4374" s="16" t="s">
        <v>4965</v>
      </c>
      <c r="F4374" s="16" t="s">
        <v>4966</v>
      </c>
      <c r="G4374" s="16" t="s">
        <v>32</v>
      </c>
      <c r="H4374" s="16"/>
      <c r="I4374" s="16"/>
      <c r="J4374" s="16" t="s">
        <v>305</v>
      </c>
      <c r="K4374" s="16"/>
      <c r="L4374" s="16" t="s">
        <v>4967</v>
      </c>
      <c r="M4374" s="19" t="s">
        <v>4968</v>
      </c>
      <c r="N4374" s="16"/>
      <c r="O4374" s="16" t="s">
        <v>4969</v>
      </c>
      <c r="P4374" s="16" t="str">
        <f>HYPERLINK("https://ceds.ed.gov/cedselementdetails.aspx?termid=26945")</f>
        <v>https://ceds.ed.gov/cedselementdetails.aspx?termid=26945</v>
      </c>
      <c r="Q4374" s="16">
        <v>71403</v>
      </c>
    </row>
    <row r="4375" spans="1:17" ht="43.2" x14ac:dyDescent="0.3">
      <c r="A4375" s="16" t="s">
        <v>7766</v>
      </c>
      <c r="B4375" s="16" t="s">
        <v>7768</v>
      </c>
      <c r="C4375" s="16"/>
      <c r="D4375" s="16" t="s">
        <v>7597</v>
      </c>
      <c r="E4375" s="16" t="s">
        <v>4961</v>
      </c>
      <c r="F4375" s="16" t="s">
        <v>4962</v>
      </c>
      <c r="G4375" s="16" t="s">
        <v>32</v>
      </c>
      <c r="H4375" s="16"/>
      <c r="I4375" s="16"/>
      <c r="J4375" s="16" t="s">
        <v>305</v>
      </c>
      <c r="K4375" s="16"/>
      <c r="L4375" s="16"/>
      <c r="M4375" s="19" t="s">
        <v>4963</v>
      </c>
      <c r="N4375" s="16"/>
      <c r="O4375" s="16" t="s">
        <v>4964</v>
      </c>
      <c r="P4375" s="16" t="str">
        <f>HYPERLINK("https://ceds.ed.gov/cedselementdetails.aspx?termid=26949")</f>
        <v>https://ceds.ed.gov/cedselementdetails.aspx?termid=26949</v>
      </c>
      <c r="Q4375" s="16">
        <v>71407</v>
      </c>
    </row>
    <row r="4376" spans="1:17" x14ac:dyDescent="0.3">
      <c r="A4376" s="16" t="s">
        <v>7766</v>
      </c>
      <c r="B4376" s="16" t="s">
        <v>7768</v>
      </c>
      <c r="C4376" s="16"/>
      <c r="D4376" s="16" t="s">
        <v>7597</v>
      </c>
      <c r="E4376" s="16" t="s">
        <v>4953</v>
      </c>
      <c r="F4376" s="16" t="s">
        <v>4954</v>
      </c>
      <c r="G4376" s="16" t="s">
        <v>32</v>
      </c>
      <c r="H4376" s="16"/>
      <c r="I4376" s="16"/>
      <c r="J4376" s="16" t="s">
        <v>403</v>
      </c>
      <c r="K4376" s="16"/>
      <c r="L4376" s="16"/>
      <c r="M4376" s="19" t="s">
        <v>4955</v>
      </c>
      <c r="N4376" s="16"/>
      <c r="O4376" s="16" t="s">
        <v>4956</v>
      </c>
      <c r="P4376" s="16" t="str">
        <f>HYPERLINK("https://ceds.ed.gov/cedselementdetails.aspx?termid=26948")</f>
        <v>https://ceds.ed.gov/cedselementdetails.aspx?termid=26948</v>
      </c>
      <c r="Q4376" s="16">
        <v>71406</v>
      </c>
    </row>
    <row r="4377" spans="1:17" x14ac:dyDescent="0.3">
      <c r="A4377" s="16" t="s">
        <v>7766</v>
      </c>
      <c r="B4377" s="16" t="s">
        <v>7768</v>
      </c>
      <c r="C4377" s="16"/>
      <c r="D4377" s="16" t="s">
        <v>7597</v>
      </c>
      <c r="E4377" s="16" t="s">
        <v>4949</v>
      </c>
      <c r="F4377" s="16" t="s">
        <v>4950</v>
      </c>
      <c r="G4377" s="16" t="s">
        <v>32</v>
      </c>
      <c r="H4377" s="16"/>
      <c r="I4377" s="16"/>
      <c r="J4377" s="16" t="s">
        <v>106</v>
      </c>
      <c r="K4377" s="16"/>
      <c r="L4377" s="16"/>
      <c r="M4377" s="19" t="s">
        <v>4951</v>
      </c>
      <c r="N4377" s="16"/>
      <c r="O4377" s="16" t="s">
        <v>4952</v>
      </c>
      <c r="P4377" s="16" t="str">
        <f>HYPERLINK("https://ceds.ed.gov/cedselementdetails.aspx?termid=26947")</f>
        <v>https://ceds.ed.gov/cedselementdetails.aspx?termid=26947</v>
      </c>
      <c r="Q4377" s="16">
        <v>71405</v>
      </c>
    </row>
    <row r="4378" spans="1:17" ht="28.8" x14ac:dyDescent="0.3">
      <c r="A4378" s="16" t="s">
        <v>7766</v>
      </c>
      <c r="B4378" s="16" t="s">
        <v>7768</v>
      </c>
      <c r="C4378" s="16"/>
      <c r="D4378" s="16" t="s">
        <v>7597</v>
      </c>
      <c r="E4378" s="16" t="s">
        <v>4973</v>
      </c>
      <c r="F4378" s="16" t="s">
        <v>4974</v>
      </c>
      <c r="G4378" s="16" t="s">
        <v>32</v>
      </c>
      <c r="H4378" s="16"/>
      <c r="I4378" s="16"/>
      <c r="J4378" s="16" t="s">
        <v>1481</v>
      </c>
      <c r="K4378" s="16"/>
      <c r="L4378" s="16"/>
      <c r="M4378" s="19" t="s">
        <v>4975</v>
      </c>
      <c r="N4378" s="16"/>
      <c r="O4378" s="16" t="s">
        <v>4976</v>
      </c>
      <c r="P4378" s="16" t="str">
        <f>HYPERLINK("https://ceds.ed.gov/cedselementdetails.aspx?termid=26953")</f>
        <v>https://ceds.ed.gov/cedselementdetails.aspx?termid=26953</v>
      </c>
      <c r="Q4378" s="16">
        <v>71411</v>
      </c>
    </row>
    <row r="4379" spans="1:17" ht="28.8" x14ac:dyDescent="0.3">
      <c r="A4379" s="16" t="s">
        <v>7766</v>
      </c>
      <c r="B4379" s="16" t="s">
        <v>7768</v>
      </c>
      <c r="C4379" s="16"/>
      <c r="D4379" s="16" t="s">
        <v>7597</v>
      </c>
      <c r="E4379" s="16" t="s">
        <v>4996</v>
      </c>
      <c r="F4379" s="16" t="s">
        <v>4997</v>
      </c>
      <c r="G4379" s="16" t="s">
        <v>32</v>
      </c>
      <c r="H4379" s="16"/>
      <c r="I4379" s="16"/>
      <c r="J4379" s="16" t="s">
        <v>742</v>
      </c>
      <c r="K4379" s="16"/>
      <c r="L4379" s="16"/>
      <c r="M4379" s="19" t="s">
        <v>4998</v>
      </c>
      <c r="N4379" s="16"/>
      <c r="O4379" s="16" t="s">
        <v>4999</v>
      </c>
      <c r="P4379" s="16" t="str">
        <f>HYPERLINK("https://ceds.ed.gov/cedselementdetails.aspx?termid=26952")</f>
        <v>https://ceds.ed.gov/cedselementdetails.aspx?termid=26952</v>
      </c>
      <c r="Q4379" s="16">
        <v>71410</v>
      </c>
    </row>
    <row r="4380" spans="1:17" ht="43.2" x14ac:dyDescent="0.3">
      <c r="A4380" s="16" t="s">
        <v>7766</v>
      </c>
      <c r="B4380" s="16" t="s">
        <v>7768</v>
      </c>
      <c r="C4380" s="16"/>
      <c r="D4380" s="16" t="s">
        <v>7597</v>
      </c>
      <c r="E4380" s="16" t="s">
        <v>4985</v>
      </c>
      <c r="F4380" s="16" t="s">
        <v>4986</v>
      </c>
      <c r="G4380" s="16" t="s">
        <v>32</v>
      </c>
      <c r="H4380" s="16"/>
      <c r="I4380" s="16"/>
      <c r="J4380" s="16" t="s">
        <v>50</v>
      </c>
      <c r="K4380" s="16"/>
      <c r="L4380" s="16"/>
      <c r="M4380" s="19" t="s">
        <v>4987</v>
      </c>
      <c r="N4380" s="16"/>
      <c r="O4380" s="16" t="s">
        <v>4988</v>
      </c>
      <c r="P4380" s="16" t="str">
        <f>HYPERLINK("https://ceds.ed.gov/cedselementdetails.aspx?termid=26954")</f>
        <v>https://ceds.ed.gov/cedselementdetails.aspx?termid=26954</v>
      </c>
      <c r="Q4380" s="16">
        <v>71412</v>
      </c>
    </row>
    <row r="4381" spans="1:17" ht="57.6" x14ac:dyDescent="0.3">
      <c r="A4381" s="16" t="s">
        <v>7766</v>
      </c>
      <c r="B4381" s="16" t="s">
        <v>7768</v>
      </c>
      <c r="C4381" s="16"/>
      <c r="D4381" s="16" t="s">
        <v>7597</v>
      </c>
      <c r="E4381" s="16" t="s">
        <v>4937</v>
      </c>
      <c r="F4381" s="16" t="s">
        <v>4938</v>
      </c>
      <c r="G4381" s="16" t="s">
        <v>8319</v>
      </c>
      <c r="H4381" s="16"/>
      <c r="I4381" s="16"/>
      <c r="J4381" s="16"/>
      <c r="K4381" s="16"/>
      <c r="L4381" s="16"/>
      <c r="M4381" s="19" t="s">
        <v>4940</v>
      </c>
      <c r="N4381" s="16"/>
      <c r="O4381" s="16" t="s">
        <v>4941</v>
      </c>
      <c r="P4381" s="16" t="str">
        <f>HYPERLINK("https://ceds.ed.gov/cedselementdetails.aspx?termid=26950")</f>
        <v>https://ceds.ed.gov/cedselementdetails.aspx?termid=26950</v>
      </c>
      <c r="Q4381" s="16">
        <v>71408</v>
      </c>
    </row>
    <row r="4382" spans="1:17" ht="172.8" x14ac:dyDescent="0.3">
      <c r="A4382" s="16" t="s">
        <v>7766</v>
      </c>
      <c r="B4382" s="16" t="s">
        <v>7746</v>
      </c>
      <c r="C4382" s="16"/>
      <c r="D4382" s="16" t="s">
        <v>7597</v>
      </c>
      <c r="E4382" s="16" t="s">
        <v>591</v>
      </c>
      <c r="F4382" s="16" t="s">
        <v>7838</v>
      </c>
      <c r="G4382" s="16" t="s">
        <v>32</v>
      </c>
      <c r="H4382" s="16" t="s">
        <v>594</v>
      </c>
      <c r="I4382" s="16"/>
      <c r="J4382" s="16" t="s">
        <v>747</v>
      </c>
      <c r="K4382" s="16"/>
      <c r="L4382" s="16" t="s">
        <v>7817</v>
      </c>
      <c r="M4382" s="19" t="s">
        <v>592</v>
      </c>
      <c r="N4382" s="16"/>
      <c r="O4382" s="16" t="s">
        <v>593</v>
      </c>
      <c r="P4382" s="16" t="str">
        <f>HYPERLINK("https://ceds.ed.gov/cedselementdetails.aspx?termid=26152")</f>
        <v>https://ceds.ed.gov/cedselementdetails.aspx?termid=26152</v>
      </c>
      <c r="Q4382" s="16">
        <v>71178</v>
      </c>
    </row>
    <row r="4383" spans="1:17" ht="115.2" x14ac:dyDescent="0.3">
      <c r="A4383" s="16" t="s">
        <v>7766</v>
      </c>
      <c r="B4383" s="16" t="s">
        <v>7746</v>
      </c>
      <c r="C4383" s="16"/>
      <c r="D4383" s="16" t="s">
        <v>7597</v>
      </c>
      <c r="E4383" s="16" t="s">
        <v>586</v>
      </c>
      <c r="F4383" s="16" t="s">
        <v>587</v>
      </c>
      <c r="G4383" s="16" t="s">
        <v>8329</v>
      </c>
      <c r="H4383" s="16" t="s">
        <v>590</v>
      </c>
      <c r="I4383" s="16"/>
      <c r="J4383" s="16"/>
      <c r="K4383" s="16"/>
      <c r="L4383" s="16"/>
      <c r="M4383" s="19" t="s">
        <v>588</v>
      </c>
      <c r="N4383" s="16"/>
      <c r="O4383" s="16" t="s">
        <v>589</v>
      </c>
      <c r="P4383" s="16" t="str">
        <f>HYPERLINK("https://ceds.ed.gov/cedselementdetails.aspx?termid=26158")</f>
        <v>https://ceds.ed.gov/cedselementdetails.aspx?termid=26158</v>
      </c>
      <c r="Q4383" s="16">
        <v>71179</v>
      </c>
    </row>
    <row r="4384" spans="1:17" ht="115.2" x14ac:dyDescent="0.3">
      <c r="A4384" s="16" t="s">
        <v>7766</v>
      </c>
      <c r="B4384" s="16" t="s">
        <v>7746</v>
      </c>
      <c r="C4384" s="16"/>
      <c r="D4384" s="16" t="s">
        <v>7597</v>
      </c>
      <c r="E4384" s="16" t="s">
        <v>582</v>
      </c>
      <c r="F4384" s="16" t="s">
        <v>583</v>
      </c>
      <c r="G4384" s="16" t="s">
        <v>32</v>
      </c>
      <c r="H4384" s="16"/>
      <c r="I4384" s="16"/>
      <c r="J4384" s="16" t="s">
        <v>120</v>
      </c>
      <c r="K4384" s="16"/>
      <c r="L4384" s="16" t="s">
        <v>7836</v>
      </c>
      <c r="M4384" s="19" t="s">
        <v>584</v>
      </c>
      <c r="N4384" s="16"/>
      <c r="O4384" s="16" t="s">
        <v>585</v>
      </c>
      <c r="P4384" s="16" t="str">
        <f>HYPERLINK("https://ceds.ed.gov/cedselementdetails.aspx?termid=26982")</f>
        <v>https://ceds.ed.gov/cedselementdetails.aspx?termid=26982</v>
      </c>
      <c r="Q4384" s="16">
        <v>71433</v>
      </c>
    </row>
    <row r="4385" spans="1:17" ht="144" x14ac:dyDescent="0.3">
      <c r="A4385" s="16" t="s">
        <v>7766</v>
      </c>
      <c r="B4385" s="16" t="s">
        <v>7746</v>
      </c>
      <c r="C4385" s="16"/>
      <c r="D4385" s="16" t="s">
        <v>7597</v>
      </c>
      <c r="E4385" s="16" t="s">
        <v>1392</v>
      </c>
      <c r="F4385" s="16" t="s">
        <v>1393</v>
      </c>
      <c r="G4385" s="16" t="s">
        <v>32</v>
      </c>
      <c r="H4385" s="16" t="s">
        <v>1387</v>
      </c>
      <c r="I4385" s="16"/>
      <c r="J4385" s="16" t="s">
        <v>145</v>
      </c>
      <c r="K4385" s="16"/>
      <c r="L4385" s="16"/>
      <c r="M4385" s="19" t="s">
        <v>1395</v>
      </c>
      <c r="N4385" s="16"/>
      <c r="O4385" s="16" t="s">
        <v>1396</v>
      </c>
      <c r="P4385" s="16" t="str">
        <f>HYPERLINK("https://ceds.ed.gov/cedselementdetails.aspx?termid=26028")</f>
        <v>https://ceds.ed.gov/cedselementdetails.aspx?termid=26028</v>
      </c>
      <c r="Q4385" s="16">
        <v>71176</v>
      </c>
    </row>
    <row r="4386" spans="1:17" x14ac:dyDescent="0.3">
      <c r="A4386" s="16" t="s">
        <v>7766</v>
      </c>
      <c r="B4386" s="16" t="s">
        <v>7746</v>
      </c>
      <c r="C4386" s="16"/>
      <c r="D4386" s="16" t="s">
        <v>7597</v>
      </c>
      <c r="E4386" s="16" t="s">
        <v>1343</v>
      </c>
      <c r="F4386" s="16" t="s">
        <v>1344</v>
      </c>
      <c r="G4386" s="16" t="s">
        <v>32</v>
      </c>
      <c r="H4386" s="16"/>
      <c r="I4386" s="16"/>
      <c r="J4386" s="16" t="s">
        <v>81</v>
      </c>
      <c r="K4386" s="16"/>
      <c r="L4386" s="16"/>
      <c r="M4386" s="19" t="s">
        <v>1345</v>
      </c>
      <c r="N4386" s="16"/>
      <c r="O4386" s="16" t="s">
        <v>1346</v>
      </c>
      <c r="P4386" s="16" t="str">
        <f>HYPERLINK("https://ceds.ed.gov/cedselementdetails.aspx?termid=26932")</f>
        <v>https://ceds.ed.gov/cedselementdetails.aspx?termid=26932</v>
      </c>
      <c r="Q4386" s="16">
        <v>71390</v>
      </c>
    </row>
    <row r="4387" spans="1:17" ht="57.6" x14ac:dyDescent="0.3">
      <c r="A4387" s="16" t="s">
        <v>7766</v>
      </c>
      <c r="B4387" s="16" t="s">
        <v>7746</v>
      </c>
      <c r="C4387" s="16"/>
      <c r="D4387" s="16" t="s">
        <v>7597</v>
      </c>
      <c r="E4387" s="16" t="s">
        <v>477</v>
      </c>
      <c r="F4387" s="16" t="s">
        <v>478</v>
      </c>
      <c r="G4387" s="16" t="s">
        <v>32</v>
      </c>
      <c r="H4387" s="16"/>
      <c r="I4387" s="16"/>
      <c r="J4387" s="16" t="s">
        <v>81</v>
      </c>
      <c r="K4387" s="16"/>
      <c r="L4387" s="16" t="s">
        <v>480</v>
      </c>
      <c r="M4387" s="19" t="s">
        <v>481</v>
      </c>
      <c r="N4387" s="16"/>
      <c r="O4387" s="16" t="s">
        <v>482</v>
      </c>
      <c r="P4387" s="16" t="str">
        <f>HYPERLINK("https://ceds.ed.gov/cedselementdetails.aspx?termid=26934")</f>
        <v>https://ceds.ed.gov/cedselementdetails.aspx?termid=26934</v>
      </c>
      <c r="Q4387" s="16">
        <v>71392</v>
      </c>
    </row>
    <row r="4388" spans="1:17" ht="86.4" x14ac:dyDescent="0.3">
      <c r="A4388" s="16" t="s">
        <v>7766</v>
      </c>
      <c r="B4388" s="16" t="s">
        <v>7746</v>
      </c>
      <c r="C4388" s="16"/>
      <c r="D4388" s="16" t="s">
        <v>7597</v>
      </c>
      <c r="E4388" s="16" t="s">
        <v>483</v>
      </c>
      <c r="F4388" s="16" t="s">
        <v>484</v>
      </c>
      <c r="G4388" s="16" t="s">
        <v>32</v>
      </c>
      <c r="H4388" s="16"/>
      <c r="I4388" s="16"/>
      <c r="J4388" s="16" t="s">
        <v>145</v>
      </c>
      <c r="K4388" s="16"/>
      <c r="L4388" s="16"/>
      <c r="M4388" s="19" t="s">
        <v>485</v>
      </c>
      <c r="N4388" s="16"/>
      <c r="O4388" s="16" t="s">
        <v>486</v>
      </c>
      <c r="P4388" s="16" t="str">
        <f>HYPERLINK("https://ceds.ed.gov/cedselementdetails.aspx?termid=26933")</f>
        <v>https://ceds.ed.gov/cedselementdetails.aspx?termid=26933</v>
      </c>
      <c r="Q4388" s="16">
        <v>71391</v>
      </c>
    </row>
    <row r="4389" spans="1:17" ht="28.8" x14ac:dyDescent="0.3">
      <c r="A4389" s="16" t="s">
        <v>7766</v>
      </c>
      <c r="B4389" s="16" t="s">
        <v>7746</v>
      </c>
      <c r="C4389" s="16"/>
      <c r="D4389" s="16" t="s">
        <v>7597</v>
      </c>
      <c r="E4389" s="16" t="s">
        <v>1154</v>
      </c>
      <c r="F4389" s="16" t="s">
        <v>1155</v>
      </c>
      <c r="G4389" s="16" t="s">
        <v>32</v>
      </c>
      <c r="H4389" s="16"/>
      <c r="I4389" s="16"/>
      <c r="J4389" s="16" t="s">
        <v>81</v>
      </c>
      <c r="K4389" s="16"/>
      <c r="L4389" s="16" t="s">
        <v>1156</v>
      </c>
      <c r="M4389" s="19" t="s">
        <v>1157</v>
      </c>
      <c r="N4389" s="16"/>
      <c r="O4389" s="16" t="s">
        <v>1158</v>
      </c>
      <c r="P4389" s="16" t="str">
        <f>HYPERLINK("https://ceds.ed.gov/cedselementdetails.aspx?termid=27009")</f>
        <v>https://ceds.ed.gov/cedselementdetails.aspx?termid=27009</v>
      </c>
      <c r="Q4389" s="16">
        <v>71445</v>
      </c>
    </row>
    <row r="4390" spans="1:17" ht="43.2" x14ac:dyDescent="0.3">
      <c r="A4390" s="16" t="s">
        <v>7766</v>
      </c>
      <c r="B4390" s="16" t="s">
        <v>7746</v>
      </c>
      <c r="C4390" s="16"/>
      <c r="D4390" s="16" t="s">
        <v>7597</v>
      </c>
      <c r="E4390" s="16" t="s">
        <v>1270</v>
      </c>
      <c r="F4390" s="16" t="s">
        <v>1271</v>
      </c>
      <c r="G4390" s="16" t="s">
        <v>32</v>
      </c>
      <c r="H4390" s="16"/>
      <c r="I4390" s="16"/>
      <c r="J4390" s="16" t="s">
        <v>106</v>
      </c>
      <c r="K4390" s="16"/>
      <c r="L4390" s="16"/>
      <c r="M4390" s="19" t="s">
        <v>1272</v>
      </c>
      <c r="N4390" s="16"/>
      <c r="O4390" s="16" t="s">
        <v>1273</v>
      </c>
      <c r="P4390" s="16" t="str">
        <f>HYPERLINK("https://ceds.ed.gov/cedselementdetails.aspx?termid=27519")</f>
        <v>https://ceds.ed.gov/cedselementdetails.aspx?termid=27519</v>
      </c>
      <c r="Q4390" s="16">
        <v>73815</v>
      </c>
    </row>
    <row r="4391" spans="1:17" ht="409.6" x14ac:dyDescent="0.3">
      <c r="A4391" s="16" t="s">
        <v>7766</v>
      </c>
      <c r="B4391" s="16" t="s">
        <v>7746</v>
      </c>
      <c r="C4391" s="16"/>
      <c r="D4391" s="16" t="s">
        <v>7597</v>
      </c>
      <c r="E4391" s="16" t="s">
        <v>1397</v>
      </c>
      <c r="F4391" s="16" t="s">
        <v>1398</v>
      </c>
      <c r="G4391" s="16" t="s">
        <v>9326</v>
      </c>
      <c r="H4391" s="16" t="s">
        <v>471</v>
      </c>
      <c r="I4391" s="16"/>
      <c r="J4391" s="16"/>
      <c r="K4391" s="16"/>
      <c r="L4391" s="16"/>
      <c r="M4391" s="19" t="s">
        <v>1399</v>
      </c>
      <c r="N4391" s="16"/>
      <c r="O4391" s="16" t="s">
        <v>1400</v>
      </c>
      <c r="P4391" s="16" t="str">
        <f>HYPERLINK("https://ceds.ed.gov/cedselementdetails.aspx?termid=26029")</f>
        <v>https://ceds.ed.gov/cedselementdetails.aspx?termid=26029</v>
      </c>
      <c r="Q4391" s="16">
        <v>71177</v>
      </c>
    </row>
    <row r="4392" spans="1:17" ht="28.8" x14ac:dyDescent="0.3">
      <c r="A4392" s="16" t="s">
        <v>7766</v>
      </c>
      <c r="B4392" s="16" t="s">
        <v>7746</v>
      </c>
      <c r="C4392" s="16"/>
      <c r="D4392" s="16" t="s">
        <v>7597</v>
      </c>
      <c r="E4392" s="16" t="s">
        <v>1082</v>
      </c>
      <c r="F4392" s="16" t="s">
        <v>1083</v>
      </c>
      <c r="G4392" s="16" t="s">
        <v>32</v>
      </c>
      <c r="H4392" s="16" t="s">
        <v>605</v>
      </c>
      <c r="I4392" s="16"/>
      <c r="J4392" s="16" t="s">
        <v>747</v>
      </c>
      <c r="K4392" s="16"/>
      <c r="L4392" s="16"/>
      <c r="M4392" s="19" t="s">
        <v>1084</v>
      </c>
      <c r="N4392" s="16"/>
      <c r="O4392" s="16" t="s">
        <v>1085</v>
      </c>
      <c r="P4392" s="16" t="str">
        <f>HYPERLINK("https://ceds.ed.gov/cedselementdetails.aspx?termid=26373")</f>
        <v>https://ceds.ed.gov/cedselementdetails.aspx?termid=26373</v>
      </c>
      <c r="Q4392" s="16">
        <v>71182</v>
      </c>
    </row>
    <row r="4393" spans="1:17" ht="331.2" x14ac:dyDescent="0.3">
      <c r="A4393" s="16" t="s">
        <v>7766</v>
      </c>
      <c r="B4393" s="16" t="s">
        <v>7746</v>
      </c>
      <c r="C4393" s="16"/>
      <c r="D4393" s="16" t="s">
        <v>7597</v>
      </c>
      <c r="E4393" s="16" t="s">
        <v>1159</v>
      </c>
      <c r="F4393" s="16" t="s">
        <v>1160</v>
      </c>
      <c r="G4393" s="16" t="s">
        <v>8354</v>
      </c>
      <c r="H4393" s="16" t="s">
        <v>471</v>
      </c>
      <c r="I4393" s="16"/>
      <c r="J4393" s="16"/>
      <c r="K4393" s="16"/>
      <c r="L4393" s="16" t="s">
        <v>1162</v>
      </c>
      <c r="M4393" s="19" t="s">
        <v>1163</v>
      </c>
      <c r="N4393" s="16"/>
      <c r="O4393" s="16" t="s">
        <v>1164</v>
      </c>
      <c r="P4393" s="16" t="str">
        <f>HYPERLINK("https://ceds.ed.gov/cedselementdetails.aspx?termid=26026")</f>
        <v>https://ceds.ed.gov/cedselementdetails.aspx?termid=26026</v>
      </c>
      <c r="Q4393" s="16">
        <v>71175</v>
      </c>
    </row>
    <row r="4394" spans="1:17" ht="360" x14ac:dyDescent="0.3">
      <c r="A4394" s="16" t="s">
        <v>7766</v>
      </c>
      <c r="B4394" s="16" t="s">
        <v>7746</v>
      </c>
      <c r="C4394" s="16"/>
      <c r="D4394" s="16" t="s">
        <v>7597</v>
      </c>
      <c r="E4394" s="16" t="s">
        <v>936</v>
      </c>
      <c r="F4394" s="16" t="s">
        <v>937</v>
      </c>
      <c r="G4394" s="16" t="s">
        <v>8207</v>
      </c>
      <c r="H4394" s="16" t="s">
        <v>940</v>
      </c>
      <c r="I4394" s="16"/>
      <c r="J4394" s="16"/>
      <c r="K4394" s="16"/>
      <c r="L4394" s="16"/>
      <c r="M4394" s="19" t="s">
        <v>938</v>
      </c>
      <c r="N4394" s="16"/>
      <c r="O4394" s="16" t="s">
        <v>939</v>
      </c>
      <c r="P4394" s="16" t="str">
        <f>HYPERLINK("https://ceds.ed.gov/cedselementdetails.aspx?termid=26177")</f>
        <v>https://ceds.ed.gov/cedselementdetails.aspx?termid=26177</v>
      </c>
      <c r="Q4394" s="16">
        <v>71180</v>
      </c>
    </row>
    <row r="4395" spans="1:17" ht="288" x14ac:dyDescent="0.3">
      <c r="A4395" s="16" t="s">
        <v>7766</v>
      </c>
      <c r="B4395" s="16" t="s">
        <v>7746</v>
      </c>
      <c r="C4395" s="16"/>
      <c r="D4395" s="16" t="s">
        <v>7597</v>
      </c>
      <c r="E4395" s="16" t="s">
        <v>377</v>
      </c>
      <c r="F4395" s="16" t="s">
        <v>378</v>
      </c>
      <c r="G4395" s="16" t="s">
        <v>8322</v>
      </c>
      <c r="H4395" s="16" t="s">
        <v>382</v>
      </c>
      <c r="I4395" s="16"/>
      <c r="J4395" s="16"/>
      <c r="K4395" s="16"/>
      <c r="L4395" s="16"/>
      <c r="M4395" s="19" t="s">
        <v>380</v>
      </c>
      <c r="N4395" s="16"/>
      <c r="O4395" s="16" t="s">
        <v>381</v>
      </c>
      <c r="P4395" s="16" t="str">
        <f>HYPERLINK("https://ceds.ed.gov/cedselementdetails.aspx?termid=26021")</f>
        <v>https://ceds.ed.gov/cedselementdetails.aspx?termid=26021</v>
      </c>
      <c r="Q4395" s="16">
        <v>71174</v>
      </c>
    </row>
    <row r="4396" spans="1:17" ht="273.60000000000002" x14ac:dyDescent="0.3">
      <c r="A4396" s="16" t="s">
        <v>7766</v>
      </c>
      <c r="B4396" s="16" t="s">
        <v>7746</v>
      </c>
      <c r="C4396" s="16"/>
      <c r="D4396" s="16" t="s">
        <v>7597</v>
      </c>
      <c r="E4396" s="16" t="s">
        <v>7882</v>
      </c>
      <c r="F4396" s="16" t="s">
        <v>7883</v>
      </c>
      <c r="G4396" s="16" t="s">
        <v>8210</v>
      </c>
      <c r="H4396" s="16" t="s">
        <v>1199</v>
      </c>
      <c r="I4396" s="16"/>
      <c r="J4396" s="16"/>
      <c r="K4396" s="16"/>
      <c r="L4396" s="16"/>
      <c r="M4396" s="19" t="s">
        <v>1401</v>
      </c>
      <c r="N4396" s="16"/>
      <c r="O4396" s="16" t="s">
        <v>7884</v>
      </c>
      <c r="P4396" s="16" t="str">
        <f>HYPERLINK("https://ceds.ed.gov/cedselementdetails.aspx?termid=26405")</f>
        <v>https://ceds.ed.gov/cedselementdetails.aspx?termid=26405</v>
      </c>
      <c r="Q4396" s="16">
        <v>71184</v>
      </c>
    </row>
    <row r="4397" spans="1:17" ht="273.60000000000002" x14ac:dyDescent="0.3">
      <c r="A4397" s="16" t="s">
        <v>7766</v>
      </c>
      <c r="B4397" s="16" t="s">
        <v>7746</v>
      </c>
      <c r="C4397" s="16"/>
      <c r="D4397" s="16" t="s">
        <v>7597</v>
      </c>
      <c r="E4397" s="16" t="s">
        <v>472</v>
      </c>
      <c r="F4397" s="16" t="s">
        <v>473</v>
      </c>
      <c r="G4397" s="16" t="s">
        <v>8327</v>
      </c>
      <c r="H4397" s="16" t="s">
        <v>476</v>
      </c>
      <c r="I4397" s="16"/>
      <c r="J4397" s="16"/>
      <c r="K4397" s="16"/>
      <c r="L4397" s="16" t="s">
        <v>7834</v>
      </c>
      <c r="M4397" s="19" t="s">
        <v>474</v>
      </c>
      <c r="N4397" s="16"/>
      <c r="O4397" s="16" t="s">
        <v>475</v>
      </c>
      <c r="P4397" s="16" t="str">
        <f>HYPERLINK("https://ceds.ed.gov/cedselementdetails.aspx?termid=27003")</f>
        <v>https://ceds.ed.gov/cedselementdetails.aspx?termid=27003</v>
      </c>
      <c r="Q4397" s="16">
        <v>71509</v>
      </c>
    </row>
    <row r="4398" spans="1:17" ht="409.6" x14ac:dyDescent="0.3">
      <c r="A4398" s="16" t="s">
        <v>7766</v>
      </c>
      <c r="B4398" s="16" t="s">
        <v>7746</v>
      </c>
      <c r="C4398" s="16"/>
      <c r="D4398" s="16" t="s">
        <v>7597</v>
      </c>
      <c r="E4398" s="16" t="s">
        <v>1274</v>
      </c>
      <c r="F4398" s="16" t="s">
        <v>1275</v>
      </c>
      <c r="G4398" s="16" t="s">
        <v>9353</v>
      </c>
      <c r="H4398" s="16" t="s">
        <v>1279</v>
      </c>
      <c r="I4398" s="16"/>
      <c r="J4398" s="16"/>
      <c r="K4398" s="16"/>
      <c r="L4398" s="16"/>
      <c r="M4398" s="19" t="s">
        <v>1277</v>
      </c>
      <c r="N4398" s="16"/>
      <c r="O4398" s="16" t="s">
        <v>1278</v>
      </c>
      <c r="P4398" s="16" t="str">
        <f>HYPERLINK("https://ceds.ed.gov/cedselementdetails.aspx?termid=26368")</f>
        <v>https://ceds.ed.gov/cedselementdetails.aspx?termid=26368</v>
      </c>
      <c r="Q4398" s="16">
        <v>71181</v>
      </c>
    </row>
    <row r="4399" spans="1:17" ht="100.8" x14ac:dyDescent="0.3">
      <c r="A4399" s="16" t="s">
        <v>7766</v>
      </c>
      <c r="B4399" s="16" t="s">
        <v>7746</v>
      </c>
      <c r="C4399" s="16"/>
      <c r="D4399" s="16" t="s">
        <v>7597</v>
      </c>
      <c r="E4399" s="16" t="s">
        <v>4849</v>
      </c>
      <c r="F4399" s="16" t="s">
        <v>13082</v>
      </c>
      <c r="G4399" s="16" t="s">
        <v>7313</v>
      </c>
      <c r="H4399" s="16" t="s">
        <v>4851</v>
      </c>
      <c r="I4399" s="16" t="s">
        <v>160</v>
      </c>
      <c r="J4399" s="16"/>
      <c r="K4399" s="16" t="s">
        <v>12946</v>
      </c>
      <c r="L4399" s="16"/>
      <c r="M4399" s="19" t="s">
        <v>4850</v>
      </c>
      <c r="N4399" s="16"/>
      <c r="O4399" s="16"/>
      <c r="P4399" s="16" t="str">
        <f>HYPERLINK("https://ceds.ed.gov/cedselementdetails.aspx?termid=26317")</f>
        <v>https://ceds.ed.gov/cedselementdetails.aspx?termid=26317</v>
      </c>
      <c r="Q4399" s="16">
        <v>71597</v>
      </c>
    </row>
    <row r="4400" spans="1:17" ht="129.6" x14ac:dyDescent="0.3">
      <c r="A4400" s="16" t="s">
        <v>7766</v>
      </c>
      <c r="B4400" s="16" t="s">
        <v>7746</v>
      </c>
      <c r="C4400" s="16"/>
      <c r="D4400" s="16" t="s">
        <v>7597</v>
      </c>
      <c r="E4400" s="16" t="s">
        <v>4852</v>
      </c>
      <c r="F4400" s="16" t="s">
        <v>13083</v>
      </c>
      <c r="G4400" s="16" t="s">
        <v>7313</v>
      </c>
      <c r="H4400" s="16"/>
      <c r="I4400" s="16" t="s">
        <v>160</v>
      </c>
      <c r="J4400" s="16"/>
      <c r="K4400" s="16" t="s">
        <v>12947</v>
      </c>
      <c r="L4400" s="16" t="s">
        <v>13084</v>
      </c>
      <c r="M4400" s="19" t="s">
        <v>4853</v>
      </c>
      <c r="N4400" s="16"/>
      <c r="O4400" s="16"/>
      <c r="P4400" s="16" t="str">
        <f>HYPERLINK("https://ceds.ed.gov/cedselementdetails.aspx?termid=27618")</f>
        <v>https://ceds.ed.gov/cedselementdetails.aspx?termid=27618</v>
      </c>
      <c r="Q4400" s="16">
        <v>74216</v>
      </c>
    </row>
    <row r="4401" spans="1:17" ht="409.6" x14ac:dyDescent="0.3">
      <c r="A4401" s="16" t="s">
        <v>7766</v>
      </c>
      <c r="B4401" s="16" t="s">
        <v>7746</v>
      </c>
      <c r="C4401" s="16"/>
      <c r="D4401" s="16" t="s">
        <v>7597</v>
      </c>
      <c r="E4401" s="16" t="s">
        <v>4854</v>
      </c>
      <c r="F4401" s="16" t="s">
        <v>13085</v>
      </c>
      <c r="G4401" s="16" t="s">
        <v>8683</v>
      </c>
      <c r="H4401" s="16"/>
      <c r="I4401" s="16" t="s">
        <v>160</v>
      </c>
      <c r="J4401" s="16"/>
      <c r="K4401" s="16" t="s">
        <v>12948</v>
      </c>
      <c r="L4401" s="16" t="s">
        <v>13086</v>
      </c>
      <c r="M4401" s="19" t="s">
        <v>4855</v>
      </c>
      <c r="N4401" s="16"/>
      <c r="O4401" s="16"/>
      <c r="P4401" s="16" t="str">
        <f>HYPERLINK("https://ceds.ed.gov/cedselementdetails.aspx?termid=27619")</f>
        <v>https://ceds.ed.gov/cedselementdetails.aspx?termid=27619</v>
      </c>
      <c r="Q4401" s="16">
        <v>74223</v>
      </c>
    </row>
    <row r="4402" spans="1:17" ht="72" x14ac:dyDescent="0.3">
      <c r="A4402" s="16" t="s">
        <v>7766</v>
      </c>
      <c r="B4402" s="16" t="s">
        <v>7746</v>
      </c>
      <c r="C4402" s="16"/>
      <c r="D4402" s="16" t="s">
        <v>7597</v>
      </c>
      <c r="E4402" s="16" t="s">
        <v>7885</v>
      </c>
      <c r="F4402" s="16" t="s">
        <v>7886</v>
      </c>
      <c r="G4402" s="16" t="s">
        <v>8198</v>
      </c>
      <c r="H4402" s="16"/>
      <c r="I4402" s="16"/>
      <c r="J4402" s="16" t="s">
        <v>2</v>
      </c>
      <c r="K4402" s="16"/>
      <c r="L4402" s="16"/>
      <c r="M4402" s="19" t="s">
        <v>8176</v>
      </c>
      <c r="N4402" s="16"/>
      <c r="O4402" s="16" t="s">
        <v>7887</v>
      </c>
      <c r="P4402" s="16" t="str">
        <f>HYPERLINK("https://ceds.ed.gov/cedselementdetails.aspx?termid=27974")</f>
        <v>https://ceds.ed.gov/cedselementdetails.aspx?termid=27974</v>
      </c>
      <c r="Q4402" s="16">
        <v>75696</v>
      </c>
    </row>
    <row r="4403" spans="1:17" ht="115.2" x14ac:dyDescent="0.3">
      <c r="A4403" s="16" t="s">
        <v>7766</v>
      </c>
      <c r="B4403" s="16" t="s">
        <v>7769</v>
      </c>
      <c r="C4403" s="16"/>
      <c r="D4403" s="16" t="s">
        <v>7597</v>
      </c>
      <c r="E4403" s="16" t="s">
        <v>503</v>
      </c>
      <c r="F4403" s="16" t="s">
        <v>504</v>
      </c>
      <c r="G4403" s="16" t="s">
        <v>32</v>
      </c>
      <c r="H4403" s="16"/>
      <c r="I4403" s="16"/>
      <c r="J4403" s="16" t="s">
        <v>120</v>
      </c>
      <c r="K4403" s="16"/>
      <c r="L4403" s="16" t="s">
        <v>7836</v>
      </c>
      <c r="M4403" s="19" t="s">
        <v>505</v>
      </c>
      <c r="N4403" s="16"/>
      <c r="O4403" s="16" t="s">
        <v>506</v>
      </c>
      <c r="P4403" s="16" t="str">
        <f>HYPERLINK("https://ceds.ed.gov/cedselementdetails.aspx?termid=27510")</f>
        <v>https://ceds.ed.gov/cedselementdetails.aspx?termid=27510</v>
      </c>
      <c r="Q4403" s="16">
        <v>73779</v>
      </c>
    </row>
    <row r="4404" spans="1:17" ht="129.6" x14ac:dyDescent="0.3">
      <c r="A4404" s="16" t="s">
        <v>7766</v>
      </c>
      <c r="B4404" s="16" t="s">
        <v>7769</v>
      </c>
      <c r="C4404" s="16"/>
      <c r="D4404" s="16" t="s">
        <v>7597</v>
      </c>
      <c r="E4404" s="16" t="s">
        <v>511</v>
      </c>
      <c r="F4404" s="16" t="s">
        <v>512</v>
      </c>
      <c r="G4404" s="16" t="s">
        <v>32</v>
      </c>
      <c r="H4404" s="16" t="s">
        <v>515</v>
      </c>
      <c r="I4404" s="16"/>
      <c r="J4404" s="16" t="s">
        <v>120</v>
      </c>
      <c r="K4404" s="16"/>
      <c r="L4404" s="16"/>
      <c r="M4404" s="19" t="s">
        <v>513</v>
      </c>
      <c r="N4404" s="16"/>
      <c r="O4404" s="16" t="s">
        <v>514</v>
      </c>
      <c r="P4404" s="16" t="str">
        <f>HYPERLINK("https://ceds.ed.gov/cedselementdetails.aspx?termid=26024")</f>
        <v>https://ceds.ed.gov/cedselementdetails.aspx?termid=26024</v>
      </c>
      <c r="Q4404" s="16">
        <v>71191</v>
      </c>
    </row>
    <row r="4405" spans="1:17" ht="43.2" x14ac:dyDescent="0.3">
      <c r="A4405" s="16" t="s">
        <v>7766</v>
      </c>
      <c r="B4405" s="16" t="s">
        <v>7769</v>
      </c>
      <c r="C4405" s="16"/>
      <c r="D4405" s="16" t="s">
        <v>7597</v>
      </c>
      <c r="E4405" s="16" t="s">
        <v>516</v>
      </c>
      <c r="F4405" s="16" t="s">
        <v>517</v>
      </c>
      <c r="G4405" s="16" t="s">
        <v>32</v>
      </c>
      <c r="H4405" s="16" t="s">
        <v>84</v>
      </c>
      <c r="I4405" s="16"/>
      <c r="J4405" s="16" t="s">
        <v>81</v>
      </c>
      <c r="K4405" s="16"/>
      <c r="L4405" s="16"/>
      <c r="M4405" s="19" t="s">
        <v>519</v>
      </c>
      <c r="N4405" s="16"/>
      <c r="O4405" s="16" t="s">
        <v>520</v>
      </c>
      <c r="P4405" s="16" t="str">
        <f>HYPERLINK("https://ceds.ed.gov/cedselementdetails.aspx?termid=26365")</f>
        <v>https://ceds.ed.gov/cedselementdetails.aspx?termid=26365</v>
      </c>
      <c r="Q4405" s="16">
        <v>71192</v>
      </c>
    </row>
    <row r="4406" spans="1:17" ht="43.2" x14ac:dyDescent="0.3">
      <c r="A4406" s="16" t="s">
        <v>7766</v>
      </c>
      <c r="B4406" s="16" t="s">
        <v>7769</v>
      </c>
      <c r="C4406" s="16"/>
      <c r="D4406" s="16" t="s">
        <v>7597</v>
      </c>
      <c r="E4406" s="16" t="s">
        <v>489</v>
      </c>
      <c r="F4406" s="16" t="s">
        <v>490</v>
      </c>
      <c r="G4406" s="16" t="s">
        <v>22</v>
      </c>
      <c r="H4406" s="16"/>
      <c r="I4406" s="16"/>
      <c r="J4406" s="16"/>
      <c r="K4406" s="16"/>
      <c r="L4406" s="16"/>
      <c r="M4406" s="19" t="s">
        <v>491</v>
      </c>
      <c r="N4406" s="16"/>
      <c r="O4406" s="16" t="s">
        <v>492</v>
      </c>
      <c r="P4406" s="16" t="str">
        <f>HYPERLINK("https://ceds.ed.gov/cedselementdetails.aspx?termid=27507")</f>
        <v>https://ceds.ed.gov/cedselementdetails.aspx?termid=27507</v>
      </c>
      <c r="Q4406" s="16">
        <v>73771</v>
      </c>
    </row>
    <row r="4407" spans="1:17" ht="244.8" x14ac:dyDescent="0.3">
      <c r="A4407" s="16" t="s">
        <v>7766</v>
      </c>
      <c r="B4407" s="16" t="s">
        <v>7769</v>
      </c>
      <c r="C4407" s="16"/>
      <c r="D4407" s="16" t="s">
        <v>7597</v>
      </c>
      <c r="E4407" s="16" t="s">
        <v>493</v>
      </c>
      <c r="F4407" s="16" t="s">
        <v>494</v>
      </c>
      <c r="G4407" s="16" t="s">
        <v>32</v>
      </c>
      <c r="H4407" s="16"/>
      <c r="I4407" s="16"/>
      <c r="J4407" s="16" t="s">
        <v>120</v>
      </c>
      <c r="K4407" s="16"/>
      <c r="L4407" s="16" t="s">
        <v>7835</v>
      </c>
      <c r="M4407" s="19" t="s">
        <v>497</v>
      </c>
      <c r="N4407" s="16"/>
      <c r="O4407" s="16" t="s">
        <v>498</v>
      </c>
      <c r="P4407" s="16" t="str">
        <f>HYPERLINK("https://ceds.ed.gov/cedselementdetails.aspx?termid=27508")</f>
        <v>https://ceds.ed.gov/cedselementdetails.aspx?termid=27508</v>
      </c>
      <c r="Q4407" s="16">
        <v>73772</v>
      </c>
    </row>
    <row r="4408" spans="1:17" ht="57.6" x14ac:dyDescent="0.3">
      <c r="A4408" s="16" t="s">
        <v>7766</v>
      </c>
      <c r="B4408" s="16" t="s">
        <v>7769</v>
      </c>
      <c r="C4408" s="16"/>
      <c r="D4408" s="16" t="s">
        <v>7597</v>
      </c>
      <c r="E4408" s="16" t="s">
        <v>499</v>
      </c>
      <c r="F4408" s="16" t="s">
        <v>500</v>
      </c>
      <c r="G4408" s="16" t="s">
        <v>32</v>
      </c>
      <c r="H4408" s="16"/>
      <c r="I4408" s="16"/>
      <c r="J4408" s="16" t="s">
        <v>120</v>
      </c>
      <c r="K4408" s="16"/>
      <c r="L4408" s="16" t="s">
        <v>496</v>
      </c>
      <c r="M4408" s="19" t="s">
        <v>501</v>
      </c>
      <c r="N4408" s="16"/>
      <c r="O4408" s="16" t="s">
        <v>502</v>
      </c>
      <c r="P4408" s="16" t="str">
        <f>HYPERLINK("https://ceds.ed.gov/cedselementdetails.aspx?termid=27509")</f>
        <v>https://ceds.ed.gov/cedselementdetails.aspx?termid=27509</v>
      </c>
      <c r="Q4408" s="16">
        <v>73777</v>
      </c>
    </row>
    <row r="4409" spans="1:17" ht="288" x14ac:dyDescent="0.3">
      <c r="A4409" s="16" t="s">
        <v>7766</v>
      </c>
      <c r="B4409" s="16" t="s">
        <v>7769</v>
      </c>
      <c r="C4409" s="16"/>
      <c r="D4409" s="16" t="s">
        <v>7597</v>
      </c>
      <c r="E4409" s="16" t="s">
        <v>377</v>
      </c>
      <c r="F4409" s="16" t="s">
        <v>378</v>
      </c>
      <c r="G4409" s="16" t="s">
        <v>8322</v>
      </c>
      <c r="H4409" s="16" t="s">
        <v>382</v>
      </c>
      <c r="I4409" s="16"/>
      <c r="J4409" s="16"/>
      <c r="K4409" s="16"/>
      <c r="L4409" s="16"/>
      <c r="M4409" s="19" t="s">
        <v>380</v>
      </c>
      <c r="N4409" s="16"/>
      <c r="O4409" s="16" t="s">
        <v>381</v>
      </c>
      <c r="P4409" s="16" t="str">
        <f>HYPERLINK("https://ceds.ed.gov/cedselementdetails.aspx?termid=26021")</f>
        <v>https://ceds.ed.gov/cedselementdetails.aspx?termid=26021</v>
      </c>
      <c r="Q4409" s="16">
        <v>71772</v>
      </c>
    </row>
    <row r="4410" spans="1:17" ht="57.6" x14ac:dyDescent="0.3">
      <c r="A4410" s="16" t="s">
        <v>7766</v>
      </c>
      <c r="B4410" s="16" t="s">
        <v>7769</v>
      </c>
      <c r="C4410" s="16"/>
      <c r="D4410" s="16" t="s">
        <v>7597</v>
      </c>
      <c r="E4410" s="16" t="s">
        <v>13075</v>
      </c>
      <c r="F4410" s="16" t="s">
        <v>12936</v>
      </c>
      <c r="G4410" s="16" t="s">
        <v>32</v>
      </c>
      <c r="H4410" s="16"/>
      <c r="I4410" s="16" t="s">
        <v>160</v>
      </c>
      <c r="J4410" s="16"/>
      <c r="K4410" s="16" t="s">
        <v>12937</v>
      </c>
      <c r="L4410" s="16"/>
      <c r="M4410" s="19" t="s">
        <v>488</v>
      </c>
      <c r="N4410" s="16"/>
      <c r="O4410" s="16" t="s">
        <v>12938</v>
      </c>
      <c r="P4410" s="16" t="str">
        <f>HYPERLINK("https://ceds.ed.gov/cedselementdetails.aspx?termid=27136")</f>
        <v>https://ceds.ed.gov/cedselementdetails.aspx?termid=27136</v>
      </c>
      <c r="Q4410" s="16">
        <v>72487</v>
      </c>
    </row>
    <row r="4411" spans="1:17" ht="57.6" x14ac:dyDescent="0.3">
      <c r="A4411" s="16" t="s">
        <v>7766</v>
      </c>
      <c r="B4411" s="16" t="s">
        <v>7769</v>
      </c>
      <c r="C4411" s="16"/>
      <c r="D4411" s="16" t="s">
        <v>7597</v>
      </c>
      <c r="E4411" s="16" t="s">
        <v>507</v>
      </c>
      <c r="F4411" s="16" t="s">
        <v>508</v>
      </c>
      <c r="G4411" s="16" t="s">
        <v>32</v>
      </c>
      <c r="H4411" s="16"/>
      <c r="I4411" s="16"/>
      <c r="J4411" s="16" t="s">
        <v>106</v>
      </c>
      <c r="K4411" s="16"/>
      <c r="L4411" s="16" t="s">
        <v>131</v>
      </c>
      <c r="M4411" s="19" t="s">
        <v>509</v>
      </c>
      <c r="N4411" s="16"/>
      <c r="O4411" s="16" t="s">
        <v>510</v>
      </c>
      <c r="P4411" s="16" t="str">
        <f>HYPERLINK("https://ceds.ed.gov/cedselementdetails.aspx?termid=27138")</f>
        <v>https://ceds.ed.gov/cedselementdetails.aspx?termid=27138</v>
      </c>
      <c r="Q4411" s="16">
        <v>71555</v>
      </c>
    </row>
    <row r="4412" spans="1:17" ht="28.8" x14ac:dyDescent="0.3">
      <c r="A4412" s="16" t="s">
        <v>7766</v>
      </c>
      <c r="B4412" s="16" t="s">
        <v>7769</v>
      </c>
      <c r="C4412" s="16"/>
      <c r="D4412" s="16" t="s">
        <v>7597</v>
      </c>
      <c r="E4412" s="16" t="s">
        <v>521</v>
      </c>
      <c r="F4412" s="16" t="s">
        <v>522</v>
      </c>
      <c r="G4412" s="16" t="s">
        <v>32</v>
      </c>
      <c r="H4412" s="16"/>
      <c r="I4412" s="16"/>
      <c r="J4412" s="16" t="s">
        <v>316</v>
      </c>
      <c r="K4412" s="16"/>
      <c r="L4412" s="16"/>
      <c r="M4412" s="19" t="s">
        <v>523</v>
      </c>
      <c r="N4412" s="16"/>
      <c r="O4412" s="16" t="s">
        <v>524</v>
      </c>
      <c r="P4412" s="16" t="str">
        <f>HYPERLINK("https://ceds.ed.gov/cedselementdetails.aspx?termid=27139")</f>
        <v>https://ceds.ed.gov/cedselementdetails.aspx?termid=27139</v>
      </c>
      <c r="Q4412" s="16">
        <v>71556</v>
      </c>
    </row>
    <row r="4413" spans="1:17" ht="28.8" x14ac:dyDescent="0.3">
      <c r="A4413" s="16" t="s">
        <v>7766</v>
      </c>
      <c r="B4413" s="16" t="s">
        <v>7769</v>
      </c>
      <c r="C4413" s="16"/>
      <c r="D4413" s="16" t="s">
        <v>7597</v>
      </c>
      <c r="E4413" s="16" t="s">
        <v>578</v>
      </c>
      <c r="F4413" s="16" t="s">
        <v>579</v>
      </c>
      <c r="G4413" s="16" t="s">
        <v>32</v>
      </c>
      <c r="H4413" s="16"/>
      <c r="I4413" s="16"/>
      <c r="J4413" s="16" t="s">
        <v>81</v>
      </c>
      <c r="K4413" s="16"/>
      <c r="L4413" s="16"/>
      <c r="M4413" s="19" t="s">
        <v>580</v>
      </c>
      <c r="N4413" s="16"/>
      <c r="O4413" s="16" t="s">
        <v>581</v>
      </c>
      <c r="P4413" s="16" t="str">
        <f>HYPERLINK("https://ceds.ed.gov/cedselementdetails.aspx?termid=27134")</f>
        <v>https://ceds.ed.gov/cedselementdetails.aspx?termid=27134</v>
      </c>
      <c r="Q4413" s="16">
        <v>72484</v>
      </c>
    </row>
    <row r="4414" spans="1:17" ht="115.2" x14ac:dyDescent="0.3">
      <c r="A4414" s="16" t="s">
        <v>7766</v>
      </c>
      <c r="B4414" s="16" t="s">
        <v>7769</v>
      </c>
      <c r="C4414" s="16"/>
      <c r="D4414" s="16" t="s">
        <v>7597</v>
      </c>
      <c r="E4414" s="16" t="s">
        <v>932</v>
      </c>
      <c r="F4414" s="16" t="s">
        <v>933</v>
      </c>
      <c r="G4414" s="16" t="s">
        <v>7313</v>
      </c>
      <c r="H4414" s="16"/>
      <c r="I4414" s="16"/>
      <c r="J4414" s="16"/>
      <c r="K4414" s="16"/>
      <c r="L4414" s="16" t="s">
        <v>7859</v>
      </c>
      <c r="M4414" s="19" t="s">
        <v>934</v>
      </c>
      <c r="N4414" s="16"/>
      <c r="O4414" s="16" t="s">
        <v>935</v>
      </c>
      <c r="P4414" s="16" t="str">
        <f>HYPERLINK("https://ceds.ed.gov/cedselementdetails.aspx?termid=27073")</f>
        <v>https://ceds.ed.gov/cedselementdetails.aspx?termid=27073</v>
      </c>
      <c r="Q4414" s="16">
        <v>71512</v>
      </c>
    </row>
    <row r="4415" spans="1:17" ht="360" x14ac:dyDescent="0.3">
      <c r="A4415" s="16" t="s">
        <v>7766</v>
      </c>
      <c r="B4415" s="16" t="s">
        <v>7769</v>
      </c>
      <c r="C4415" s="16"/>
      <c r="D4415" s="16" t="s">
        <v>7597</v>
      </c>
      <c r="E4415" s="16" t="s">
        <v>936</v>
      </c>
      <c r="F4415" s="16" t="s">
        <v>937</v>
      </c>
      <c r="G4415" s="16" t="s">
        <v>8207</v>
      </c>
      <c r="H4415" s="16" t="s">
        <v>940</v>
      </c>
      <c r="I4415" s="16"/>
      <c r="J4415" s="16"/>
      <c r="K4415" s="16"/>
      <c r="L4415" s="16"/>
      <c r="M4415" s="19" t="s">
        <v>938</v>
      </c>
      <c r="N4415" s="16"/>
      <c r="O4415" s="16" t="s">
        <v>939</v>
      </c>
      <c r="P4415" s="16" t="str">
        <f>HYPERLINK("https://ceds.ed.gov/cedselementdetails.aspx?termid=26177")</f>
        <v>https://ceds.ed.gov/cedselementdetails.aspx?termid=26177</v>
      </c>
      <c r="Q4415" s="16">
        <v>73793</v>
      </c>
    </row>
    <row r="4416" spans="1:17" ht="43.2" x14ac:dyDescent="0.3">
      <c r="A4416" s="16" t="s">
        <v>7766</v>
      </c>
      <c r="B4416" s="16" t="s">
        <v>7769</v>
      </c>
      <c r="C4416" s="16"/>
      <c r="D4416" s="16" t="s">
        <v>7597</v>
      </c>
      <c r="E4416" s="16" t="s">
        <v>1280</v>
      </c>
      <c r="F4416" s="16" t="s">
        <v>1281</v>
      </c>
      <c r="G4416" s="16" t="s">
        <v>22</v>
      </c>
      <c r="H4416" s="16" t="s">
        <v>84</v>
      </c>
      <c r="I4416" s="16"/>
      <c r="J4416" s="16"/>
      <c r="K4416" s="16"/>
      <c r="L4416" s="16"/>
      <c r="M4416" s="19" t="s">
        <v>1283</v>
      </c>
      <c r="N4416" s="16"/>
      <c r="O4416" s="16" t="s">
        <v>1284</v>
      </c>
      <c r="P4416" s="16" t="str">
        <f>HYPERLINK("https://ceds.ed.gov/cedselementdetails.aspx?termid=26375")</f>
        <v>https://ceds.ed.gov/cedselementdetails.aspx?termid=26375</v>
      </c>
      <c r="Q4416" s="16">
        <v>73743</v>
      </c>
    </row>
    <row r="4417" spans="1:17" ht="43.2" x14ac:dyDescent="0.3">
      <c r="A4417" s="16" t="s">
        <v>7766</v>
      </c>
      <c r="B4417" s="16" t="s">
        <v>7769</v>
      </c>
      <c r="C4417" s="16"/>
      <c r="D4417" s="16" t="s">
        <v>7597</v>
      </c>
      <c r="E4417" s="16" t="s">
        <v>4765</v>
      </c>
      <c r="F4417" s="16" t="s">
        <v>4766</v>
      </c>
      <c r="G4417" s="16" t="s">
        <v>32</v>
      </c>
      <c r="H4417" s="16"/>
      <c r="I4417" s="16"/>
      <c r="J4417" s="16" t="s">
        <v>106</v>
      </c>
      <c r="K4417" s="16"/>
      <c r="L4417" s="16"/>
      <c r="M4417" s="19" t="s">
        <v>4767</v>
      </c>
      <c r="N4417" s="16"/>
      <c r="O4417" s="16" t="s">
        <v>4768</v>
      </c>
      <c r="P4417" s="16" t="str">
        <f>HYPERLINK("https://ceds.ed.gov/cedselementdetails.aspx?termid=27137")</f>
        <v>https://ceds.ed.gov/cedselementdetails.aspx?termid=27137</v>
      </c>
      <c r="Q4417" s="16">
        <v>71554</v>
      </c>
    </row>
    <row r="4418" spans="1:17" ht="57.6" x14ac:dyDescent="0.3">
      <c r="A4418" s="16" t="s">
        <v>7766</v>
      </c>
      <c r="B4418" s="16" t="s">
        <v>7769</v>
      </c>
      <c r="C4418" s="16"/>
      <c r="D4418" s="16" t="s">
        <v>7597</v>
      </c>
      <c r="E4418" s="16" t="s">
        <v>5143</v>
      </c>
      <c r="F4418" s="16" t="s">
        <v>5144</v>
      </c>
      <c r="G4418" s="16" t="s">
        <v>32</v>
      </c>
      <c r="H4418" s="16"/>
      <c r="I4418" s="16"/>
      <c r="J4418" s="16" t="s">
        <v>106</v>
      </c>
      <c r="K4418" s="16"/>
      <c r="L4418" s="16"/>
      <c r="M4418" s="19" t="s">
        <v>5145</v>
      </c>
      <c r="N4418" s="16"/>
      <c r="O4418" s="16" t="s">
        <v>5146</v>
      </c>
      <c r="P4418" s="16" t="str">
        <f>HYPERLINK("https://ceds.ed.gov/cedselementdetails.aspx?termid=27135")</f>
        <v>https://ceds.ed.gov/cedselementdetails.aspx?termid=27135</v>
      </c>
      <c r="Q4418" s="16">
        <v>72485</v>
      </c>
    </row>
    <row r="4419" spans="1:17" ht="172.8" x14ac:dyDescent="0.3">
      <c r="A4419" s="16" t="s">
        <v>7766</v>
      </c>
      <c r="B4419" s="16" t="s">
        <v>7769</v>
      </c>
      <c r="C4419" s="16" t="s">
        <v>7770</v>
      </c>
      <c r="D4419" s="16" t="s">
        <v>7597</v>
      </c>
      <c r="E4419" s="16" t="s">
        <v>530</v>
      </c>
      <c r="F4419" s="16" t="s">
        <v>12972</v>
      </c>
      <c r="G4419" s="16" t="s">
        <v>32</v>
      </c>
      <c r="H4419" s="16"/>
      <c r="I4419" s="16"/>
      <c r="J4419" s="16" t="s">
        <v>120</v>
      </c>
      <c r="K4419" s="16"/>
      <c r="L4419" s="16" t="s">
        <v>7817</v>
      </c>
      <c r="M4419" s="19" t="s">
        <v>531</v>
      </c>
      <c r="N4419" s="16"/>
      <c r="O4419" s="16" t="s">
        <v>532</v>
      </c>
      <c r="P4419" s="16" t="str">
        <f>HYPERLINK("https://ceds.ed.gov/cedselementdetails.aspx?termid=27142")</f>
        <v>https://ceds.ed.gov/cedselementdetails.aspx?termid=27142</v>
      </c>
      <c r="Q4419" s="16">
        <v>71559</v>
      </c>
    </row>
    <row r="4420" spans="1:17" ht="72" x14ac:dyDescent="0.3">
      <c r="A4420" s="16" t="s">
        <v>7766</v>
      </c>
      <c r="B4420" s="16" t="s">
        <v>7769</v>
      </c>
      <c r="C4420" s="16" t="s">
        <v>7770</v>
      </c>
      <c r="D4420" s="16" t="s">
        <v>7597</v>
      </c>
      <c r="E4420" s="16" t="s">
        <v>4384</v>
      </c>
      <c r="F4420" s="16" t="s">
        <v>4385</v>
      </c>
      <c r="G4420" s="16" t="s">
        <v>8364</v>
      </c>
      <c r="H4420" s="16"/>
      <c r="I4420" s="16"/>
      <c r="J4420" s="16"/>
      <c r="K4420" s="16"/>
      <c r="L4420" s="16"/>
      <c r="M4420" s="19" t="s">
        <v>4386</v>
      </c>
      <c r="N4420" s="16"/>
      <c r="O4420" s="16" t="s">
        <v>4387</v>
      </c>
      <c r="P4420" s="16" t="str">
        <f>HYPERLINK("https://ceds.ed.gov/cedselementdetails.aspx?termid=27141")</f>
        <v>https://ceds.ed.gov/cedselementdetails.aspx?termid=27141</v>
      </c>
      <c r="Q4420" s="16">
        <v>71558</v>
      </c>
    </row>
    <row r="4421" spans="1:17" ht="115.2" x14ac:dyDescent="0.3">
      <c r="A4421" s="16" t="s">
        <v>7766</v>
      </c>
      <c r="B4421" s="16" t="s">
        <v>7769</v>
      </c>
      <c r="C4421" s="16" t="s">
        <v>7770</v>
      </c>
      <c r="D4421" s="16" t="s">
        <v>7597</v>
      </c>
      <c r="E4421" s="16" t="s">
        <v>525</v>
      </c>
      <c r="F4421" s="16" t="s">
        <v>526</v>
      </c>
      <c r="G4421" s="16" t="s">
        <v>32</v>
      </c>
      <c r="H4421" s="16"/>
      <c r="I4421" s="16"/>
      <c r="J4421" s="16" t="s">
        <v>120</v>
      </c>
      <c r="K4421" s="16"/>
      <c r="L4421" s="16" t="s">
        <v>7836</v>
      </c>
      <c r="M4421" s="19" t="s">
        <v>528</v>
      </c>
      <c r="N4421" s="16"/>
      <c r="O4421" s="16" t="s">
        <v>529</v>
      </c>
      <c r="P4421" s="16" t="str">
        <f>HYPERLINK("https://ceds.ed.gov/cedselementdetails.aspx?termid=26981")</f>
        <v>https://ceds.ed.gov/cedselementdetails.aspx?termid=26981</v>
      </c>
      <c r="Q4421" s="16">
        <v>71432</v>
      </c>
    </row>
    <row r="4422" spans="1:17" ht="244.8" x14ac:dyDescent="0.3">
      <c r="A4422" s="16" t="s">
        <v>7766</v>
      </c>
      <c r="B4422" s="16" t="s">
        <v>7769</v>
      </c>
      <c r="C4422" s="16" t="s">
        <v>7770</v>
      </c>
      <c r="D4422" s="16" t="s">
        <v>7597</v>
      </c>
      <c r="E4422" s="16" t="s">
        <v>493</v>
      </c>
      <c r="F4422" s="16" t="s">
        <v>494</v>
      </c>
      <c r="G4422" s="16" t="s">
        <v>32</v>
      </c>
      <c r="H4422" s="16"/>
      <c r="I4422" s="16"/>
      <c r="J4422" s="16" t="s">
        <v>120</v>
      </c>
      <c r="K4422" s="16"/>
      <c r="L4422" s="16" t="s">
        <v>7835</v>
      </c>
      <c r="M4422" s="19" t="s">
        <v>497</v>
      </c>
      <c r="N4422" s="16"/>
      <c r="O4422" s="16" t="s">
        <v>498</v>
      </c>
      <c r="P4422" s="16" t="str">
        <f>HYPERLINK("https://ceds.ed.gov/cedselementdetails.aspx?termid=27508")</f>
        <v>https://ceds.ed.gov/cedselementdetails.aspx?termid=27508</v>
      </c>
      <c r="Q4422" s="16">
        <v>73775</v>
      </c>
    </row>
    <row r="4423" spans="1:17" ht="288" x14ac:dyDescent="0.3">
      <c r="A4423" s="16" t="s">
        <v>7766</v>
      </c>
      <c r="B4423" s="16" t="s">
        <v>7769</v>
      </c>
      <c r="C4423" s="16" t="s">
        <v>7770</v>
      </c>
      <c r="D4423" s="16" t="s">
        <v>7597</v>
      </c>
      <c r="E4423" s="16" t="s">
        <v>377</v>
      </c>
      <c r="F4423" s="16" t="s">
        <v>378</v>
      </c>
      <c r="G4423" s="16" t="s">
        <v>8322</v>
      </c>
      <c r="H4423" s="16" t="s">
        <v>382</v>
      </c>
      <c r="I4423" s="16"/>
      <c r="J4423" s="16"/>
      <c r="K4423" s="16"/>
      <c r="L4423" s="16"/>
      <c r="M4423" s="19" t="s">
        <v>380</v>
      </c>
      <c r="N4423" s="16"/>
      <c r="O4423" s="16" t="s">
        <v>381</v>
      </c>
      <c r="P4423" s="16" t="str">
        <f>HYPERLINK("https://ceds.ed.gov/cedselementdetails.aspx?termid=26021")</f>
        <v>https://ceds.ed.gov/cedselementdetails.aspx?termid=26021</v>
      </c>
      <c r="Q4423" s="16">
        <v>71776</v>
      </c>
    </row>
    <row r="4424" spans="1:17" ht="43.2" x14ac:dyDescent="0.3">
      <c r="A4424" s="16" t="s">
        <v>7766</v>
      </c>
      <c r="B4424" s="16" t="s">
        <v>7769</v>
      </c>
      <c r="C4424" s="16" t="s">
        <v>7770</v>
      </c>
      <c r="D4424" s="16" t="s">
        <v>7597</v>
      </c>
      <c r="E4424" s="16" t="s">
        <v>546</v>
      </c>
      <c r="F4424" s="16" t="s">
        <v>547</v>
      </c>
      <c r="G4424" s="16" t="s">
        <v>32</v>
      </c>
      <c r="H4424" s="16"/>
      <c r="I4424" s="16"/>
      <c r="J4424" s="16" t="s">
        <v>136</v>
      </c>
      <c r="K4424" s="16"/>
      <c r="L4424" s="16"/>
      <c r="M4424" s="19" t="s">
        <v>548</v>
      </c>
      <c r="N4424" s="16"/>
      <c r="O4424" s="16" t="s">
        <v>549</v>
      </c>
      <c r="P4424" s="16" t="str">
        <f>HYPERLINK("https://ceds.ed.gov/cedselementdetails.aspx?termid=26980")</f>
        <v>https://ceds.ed.gov/cedselementdetails.aspx?termid=26980</v>
      </c>
      <c r="Q4424" s="16">
        <v>71431</v>
      </c>
    </row>
    <row r="4425" spans="1:17" ht="28.8" x14ac:dyDescent="0.3">
      <c r="A4425" s="16" t="s">
        <v>7766</v>
      </c>
      <c r="B4425" s="16" t="s">
        <v>7769</v>
      </c>
      <c r="C4425" s="16" t="s">
        <v>7770</v>
      </c>
      <c r="D4425" s="16" t="s">
        <v>7597</v>
      </c>
      <c r="E4425" s="16" t="s">
        <v>554</v>
      </c>
      <c r="F4425" s="16" t="s">
        <v>555</v>
      </c>
      <c r="G4425" s="16" t="s">
        <v>32</v>
      </c>
      <c r="H4425" s="16"/>
      <c r="I4425" s="16"/>
      <c r="J4425" s="16" t="s">
        <v>81</v>
      </c>
      <c r="K4425" s="16"/>
      <c r="L4425" s="16"/>
      <c r="M4425" s="19" t="s">
        <v>556</v>
      </c>
      <c r="N4425" s="16"/>
      <c r="O4425" s="16" t="s">
        <v>557</v>
      </c>
      <c r="P4425" s="16" t="str">
        <f>HYPERLINK("https://ceds.ed.gov/cedselementdetails.aspx?termid=27140")</f>
        <v>https://ceds.ed.gov/cedselementdetails.aspx?termid=27140</v>
      </c>
      <c r="Q4425" s="16">
        <v>71557</v>
      </c>
    </row>
    <row r="4426" spans="1:17" ht="43.2" x14ac:dyDescent="0.3">
      <c r="A4426" s="16" t="s">
        <v>7766</v>
      </c>
      <c r="B4426" s="16" t="s">
        <v>7769</v>
      </c>
      <c r="C4426" s="16" t="s">
        <v>7770</v>
      </c>
      <c r="D4426" s="16" t="s">
        <v>7597</v>
      </c>
      <c r="E4426" s="16" t="s">
        <v>550</v>
      </c>
      <c r="F4426" s="16" t="s">
        <v>551</v>
      </c>
      <c r="G4426" s="16" t="s">
        <v>32</v>
      </c>
      <c r="H4426" s="16"/>
      <c r="I4426" s="16"/>
      <c r="J4426" s="16" t="s">
        <v>403</v>
      </c>
      <c r="K4426" s="16"/>
      <c r="L4426" s="16"/>
      <c r="M4426" s="19" t="s">
        <v>552</v>
      </c>
      <c r="N4426" s="16"/>
      <c r="O4426" s="16" t="s">
        <v>553</v>
      </c>
      <c r="P4426" s="16" t="str">
        <f>HYPERLINK("https://ceds.ed.gov/cedselementdetails.aspx?termid=27143")</f>
        <v>https://ceds.ed.gov/cedselementdetails.aspx?termid=27143</v>
      </c>
      <c r="Q4426" s="16">
        <v>71560</v>
      </c>
    </row>
    <row r="4427" spans="1:17" ht="43.2" x14ac:dyDescent="0.3">
      <c r="A4427" s="16" t="s">
        <v>7766</v>
      </c>
      <c r="B4427" s="16" t="s">
        <v>7769</v>
      </c>
      <c r="C4427" s="16" t="s">
        <v>7770</v>
      </c>
      <c r="D4427" s="16" t="s">
        <v>7597</v>
      </c>
      <c r="E4427" s="16" t="s">
        <v>542</v>
      </c>
      <c r="F4427" s="16" t="s">
        <v>543</v>
      </c>
      <c r="G4427" s="16" t="s">
        <v>22</v>
      </c>
      <c r="H4427" s="16"/>
      <c r="I4427" s="16"/>
      <c r="J4427" s="16"/>
      <c r="K4427" s="16"/>
      <c r="L4427" s="16"/>
      <c r="M4427" s="19" t="s">
        <v>544</v>
      </c>
      <c r="N4427" s="16"/>
      <c r="O4427" s="16" t="s">
        <v>545</v>
      </c>
      <c r="P4427" s="16" t="str">
        <f>HYPERLINK("https://ceds.ed.gov/cedselementdetails.aspx?termid=27144")</f>
        <v>https://ceds.ed.gov/cedselementdetails.aspx?termid=27144</v>
      </c>
      <c r="Q4427" s="16">
        <v>71561</v>
      </c>
    </row>
    <row r="4428" spans="1:17" ht="129.6" x14ac:dyDescent="0.3">
      <c r="A4428" s="16" t="s">
        <v>7766</v>
      </c>
      <c r="B4428" s="16" t="s">
        <v>7769</v>
      </c>
      <c r="C4428" s="16" t="s">
        <v>7770</v>
      </c>
      <c r="D4428" s="16" t="s">
        <v>7597</v>
      </c>
      <c r="E4428" s="16" t="s">
        <v>538</v>
      </c>
      <c r="F4428" s="16" t="s">
        <v>539</v>
      </c>
      <c r="G4428" s="16" t="s">
        <v>22</v>
      </c>
      <c r="H4428" s="16"/>
      <c r="I4428" s="16"/>
      <c r="J4428" s="16"/>
      <c r="K4428" s="16"/>
      <c r="L4428" s="16"/>
      <c r="M4428" s="19" t="s">
        <v>540</v>
      </c>
      <c r="N4428" s="16"/>
      <c r="O4428" s="16" t="s">
        <v>541</v>
      </c>
      <c r="P4428" s="16" t="str">
        <f>HYPERLINK("https://ceds.ed.gov/cedselementdetails.aspx?termid=27145")</f>
        <v>https://ceds.ed.gov/cedselementdetails.aspx?termid=27145</v>
      </c>
      <c r="Q4428" s="16">
        <v>71562</v>
      </c>
    </row>
    <row r="4429" spans="1:17" ht="57.6" x14ac:dyDescent="0.3">
      <c r="A4429" s="16" t="s">
        <v>7766</v>
      </c>
      <c r="B4429" s="16" t="s">
        <v>7769</v>
      </c>
      <c r="C4429" s="16" t="s">
        <v>7770</v>
      </c>
      <c r="D4429" s="16" t="s">
        <v>7597</v>
      </c>
      <c r="E4429" s="16" t="s">
        <v>5143</v>
      </c>
      <c r="F4429" s="16" t="s">
        <v>5144</v>
      </c>
      <c r="G4429" s="16" t="s">
        <v>32</v>
      </c>
      <c r="H4429" s="16"/>
      <c r="I4429" s="16"/>
      <c r="J4429" s="16" t="s">
        <v>106</v>
      </c>
      <c r="K4429" s="16"/>
      <c r="L4429" s="16"/>
      <c r="M4429" s="19" t="s">
        <v>5145</v>
      </c>
      <c r="N4429" s="16"/>
      <c r="O4429" s="16" t="s">
        <v>5146</v>
      </c>
      <c r="P4429" s="16" t="str">
        <f>HYPERLINK("https://ceds.ed.gov/cedselementdetails.aspx?termid=27135")</f>
        <v>https://ceds.ed.gov/cedselementdetails.aspx?termid=27135</v>
      </c>
      <c r="Q4429" s="16">
        <v>72486</v>
      </c>
    </row>
    <row r="4430" spans="1:17" ht="43.2" x14ac:dyDescent="0.3">
      <c r="A4430" s="16" t="s">
        <v>7766</v>
      </c>
      <c r="B4430" s="16" t="s">
        <v>7769</v>
      </c>
      <c r="C4430" s="16" t="s">
        <v>7771</v>
      </c>
      <c r="D4430" s="16" t="s">
        <v>7597</v>
      </c>
      <c r="E4430" s="16" t="s">
        <v>533</v>
      </c>
      <c r="F4430" s="16" t="s">
        <v>534</v>
      </c>
      <c r="G4430" s="16" t="s">
        <v>22</v>
      </c>
      <c r="H4430" s="16"/>
      <c r="I4430" s="16"/>
      <c r="J4430" s="16"/>
      <c r="K4430" s="16"/>
      <c r="L4430" s="16"/>
      <c r="M4430" s="19" t="s">
        <v>536</v>
      </c>
      <c r="N4430" s="16"/>
      <c r="O4430" s="16" t="s">
        <v>537</v>
      </c>
      <c r="P4430" s="16" t="str">
        <f>HYPERLINK("https://ceds.ed.gov/cedselementdetails.aspx?termid=27511")</f>
        <v>https://ceds.ed.gov/cedselementdetails.aspx?termid=27511</v>
      </c>
      <c r="Q4430" s="16">
        <v>74116</v>
      </c>
    </row>
    <row r="4431" spans="1:17" ht="129.6" x14ac:dyDescent="0.3">
      <c r="A4431" s="16" t="s">
        <v>7766</v>
      </c>
      <c r="B4431" s="16" t="s">
        <v>7769</v>
      </c>
      <c r="C4431" s="16" t="s">
        <v>7772</v>
      </c>
      <c r="D4431" s="16" t="s">
        <v>7597</v>
      </c>
      <c r="E4431" s="16" t="s">
        <v>562</v>
      </c>
      <c r="F4431" s="16" t="s">
        <v>563</v>
      </c>
      <c r="G4431" s="16" t="s">
        <v>32</v>
      </c>
      <c r="H4431" s="16"/>
      <c r="I4431" s="16"/>
      <c r="J4431" s="16" t="s">
        <v>136</v>
      </c>
      <c r="K4431" s="16"/>
      <c r="L4431" s="16"/>
      <c r="M4431" s="19" t="s">
        <v>565</v>
      </c>
      <c r="N4431" s="16"/>
      <c r="O4431" s="16" t="s">
        <v>566</v>
      </c>
      <c r="P4431" s="16" t="str">
        <f>HYPERLINK("https://ceds.ed.gov/cedselementdetails.aspx?termid=27013")</f>
        <v>https://ceds.ed.gov/cedselementdetails.aspx?termid=27013</v>
      </c>
      <c r="Q4431" s="16">
        <v>71449</v>
      </c>
    </row>
    <row r="4432" spans="1:17" ht="72" x14ac:dyDescent="0.3">
      <c r="A4432" s="16" t="s">
        <v>7766</v>
      </c>
      <c r="B4432" s="16" t="s">
        <v>7769</v>
      </c>
      <c r="C4432" s="16" t="s">
        <v>7772</v>
      </c>
      <c r="D4432" s="16" t="s">
        <v>7597</v>
      </c>
      <c r="E4432" s="16" t="s">
        <v>567</v>
      </c>
      <c r="F4432" s="16" t="s">
        <v>568</v>
      </c>
      <c r="G4432" s="16" t="s">
        <v>32</v>
      </c>
      <c r="H4432" s="16"/>
      <c r="I4432" s="16"/>
      <c r="J4432" s="16" t="s">
        <v>136</v>
      </c>
      <c r="K4432" s="16"/>
      <c r="L4432" s="16"/>
      <c r="M4432" s="19" t="s">
        <v>569</v>
      </c>
      <c r="N4432" s="16"/>
      <c r="O4432" s="16" t="s">
        <v>570</v>
      </c>
      <c r="P4432" s="16" t="str">
        <f>HYPERLINK("https://ceds.ed.gov/cedselementdetails.aspx?termid=27014")</f>
        <v>https://ceds.ed.gov/cedselementdetails.aspx?termid=27014</v>
      </c>
      <c r="Q4432" s="16">
        <v>71450</v>
      </c>
    </row>
    <row r="4433" spans="1:17" ht="86.4" x14ac:dyDescent="0.3">
      <c r="A4433" s="16" t="s">
        <v>7766</v>
      </c>
      <c r="B4433" s="16" t="s">
        <v>7769</v>
      </c>
      <c r="C4433" s="16" t="s">
        <v>7772</v>
      </c>
      <c r="D4433" s="16" t="s">
        <v>7597</v>
      </c>
      <c r="E4433" s="16" t="s">
        <v>571</v>
      </c>
      <c r="F4433" s="16" t="s">
        <v>572</v>
      </c>
      <c r="G4433" s="16" t="s">
        <v>32</v>
      </c>
      <c r="H4433" s="16"/>
      <c r="I4433" s="16"/>
      <c r="J4433" s="16" t="s">
        <v>136</v>
      </c>
      <c r="K4433" s="16"/>
      <c r="L4433" s="16"/>
      <c r="M4433" s="19" t="s">
        <v>573</v>
      </c>
      <c r="N4433" s="16"/>
      <c r="O4433" s="16" t="s">
        <v>574</v>
      </c>
      <c r="P4433" s="16" t="str">
        <f>HYPERLINK("https://ceds.ed.gov/cedselementdetails.aspx?termid=27015")</f>
        <v>https://ceds.ed.gov/cedselementdetails.aspx?termid=27015</v>
      </c>
      <c r="Q4433" s="16">
        <v>71451</v>
      </c>
    </row>
    <row r="4434" spans="1:17" ht="172.8" x14ac:dyDescent="0.3">
      <c r="A4434" s="16" t="s">
        <v>7766</v>
      </c>
      <c r="B4434" s="16" t="s">
        <v>7773</v>
      </c>
      <c r="C4434" s="16"/>
      <c r="D4434" s="16" t="s">
        <v>7597</v>
      </c>
      <c r="E4434" s="16" t="s">
        <v>750</v>
      </c>
      <c r="F4434" s="16" t="s">
        <v>751</v>
      </c>
      <c r="G4434" s="16" t="s">
        <v>32</v>
      </c>
      <c r="H4434" s="16" t="s">
        <v>605</v>
      </c>
      <c r="I4434" s="16"/>
      <c r="J4434" s="16" t="s">
        <v>120</v>
      </c>
      <c r="K4434" s="16"/>
      <c r="L4434" s="16" t="s">
        <v>7817</v>
      </c>
      <c r="M4434" s="19" t="s">
        <v>752</v>
      </c>
      <c r="N4434" s="16"/>
      <c r="O4434" s="16" t="s">
        <v>753</v>
      </c>
      <c r="P4434" s="16" t="str">
        <f>HYPERLINK("https://ceds.ed.gov/cedselementdetails.aspx?termid=26623")</f>
        <v>https://ceds.ed.gov/cedselementdetails.aspx?termid=26623</v>
      </c>
      <c r="Q4434" s="16">
        <v>71202</v>
      </c>
    </row>
    <row r="4435" spans="1:17" ht="259.2" x14ac:dyDescent="0.3">
      <c r="A4435" s="16" t="s">
        <v>7766</v>
      </c>
      <c r="B4435" s="16" t="s">
        <v>7773</v>
      </c>
      <c r="C4435" s="16"/>
      <c r="D4435" s="16" t="s">
        <v>7597</v>
      </c>
      <c r="E4435" s="16" t="s">
        <v>928</v>
      </c>
      <c r="F4435" s="16" t="s">
        <v>929</v>
      </c>
      <c r="G4435" s="16" t="s">
        <v>8337</v>
      </c>
      <c r="H4435" s="16" t="s">
        <v>605</v>
      </c>
      <c r="I4435" s="16"/>
      <c r="J4435" s="16"/>
      <c r="K4435" s="16"/>
      <c r="L4435" s="16"/>
      <c r="M4435" s="19" t="s">
        <v>930</v>
      </c>
      <c r="N4435" s="16"/>
      <c r="O4435" s="16" t="s">
        <v>931</v>
      </c>
      <c r="P4435" s="16" t="str">
        <f>HYPERLINK("https://ceds.ed.gov/cedselementdetails.aspx?termid=26382")</f>
        <v>https://ceds.ed.gov/cedselementdetails.aspx?termid=26382</v>
      </c>
      <c r="Q4435" s="16">
        <v>71193</v>
      </c>
    </row>
    <row r="4436" spans="1:17" ht="172.8" x14ac:dyDescent="0.3">
      <c r="A4436" s="16" t="s">
        <v>7766</v>
      </c>
      <c r="B4436" s="16" t="s">
        <v>7773</v>
      </c>
      <c r="C4436" s="16"/>
      <c r="D4436" s="16" t="s">
        <v>7597</v>
      </c>
      <c r="E4436" s="16" t="s">
        <v>635</v>
      </c>
      <c r="F4436" s="16" t="s">
        <v>636</v>
      </c>
      <c r="G4436" s="16" t="s">
        <v>32</v>
      </c>
      <c r="H4436" s="16"/>
      <c r="I4436" s="16"/>
      <c r="J4436" s="16" t="s">
        <v>120</v>
      </c>
      <c r="K4436" s="16"/>
      <c r="L4436" s="16" t="s">
        <v>7817</v>
      </c>
      <c r="M4436" s="19" t="s">
        <v>637</v>
      </c>
      <c r="N4436" s="16"/>
      <c r="O4436" s="16" t="s">
        <v>638</v>
      </c>
      <c r="P4436" s="16" t="str">
        <f>HYPERLINK("https://ceds.ed.gov/cedselementdetails.aspx?termid=27132")</f>
        <v>https://ceds.ed.gov/cedselementdetails.aspx?termid=27132</v>
      </c>
      <c r="Q4436" s="16">
        <v>72480</v>
      </c>
    </row>
    <row r="4437" spans="1:17" ht="43.2" x14ac:dyDescent="0.3">
      <c r="A4437" s="16" t="s">
        <v>7766</v>
      </c>
      <c r="B4437" s="16" t="s">
        <v>7773</v>
      </c>
      <c r="C4437" s="16"/>
      <c r="D4437" s="16" t="s">
        <v>7597</v>
      </c>
      <c r="E4437" s="16" t="s">
        <v>639</v>
      </c>
      <c r="F4437" s="16" t="s">
        <v>640</v>
      </c>
      <c r="G4437" s="16" t="s">
        <v>32</v>
      </c>
      <c r="H4437" s="16"/>
      <c r="I4437" s="16"/>
      <c r="J4437" s="16" t="s">
        <v>145</v>
      </c>
      <c r="K4437" s="16"/>
      <c r="L4437" s="16"/>
      <c r="M4437" s="19" t="s">
        <v>641</v>
      </c>
      <c r="N4437" s="16"/>
      <c r="O4437" s="16" t="s">
        <v>642</v>
      </c>
      <c r="P4437" s="16" t="str">
        <f>HYPERLINK("https://ceds.ed.gov/cedselementdetails.aspx?termid=27133")</f>
        <v>https://ceds.ed.gov/cedselementdetails.aspx?termid=27133</v>
      </c>
      <c r="Q4437" s="16">
        <v>72482</v>
      </c>
    </row>
    <row r="4438" spans="1:17" ht="43.2" x14ac:dyDescent="0.3">
      <c r="A4438" s="16" t="s">
        <v>7766</v>
      </c>
      <c r="B4438" s="16" t="s">
        <v>7773</v>
      </c>
      <c r="C4438" s="16"/>
      <c r="D4438" s="16" t="s">
        <v>7597</v>
      </c>
      <c r="E4438" s="16" t="s">
        <v>792</v>
      </c>
      <c r="F4438" s="16" t="s">
        <v>793</v>
      </c>
      <c r="G4438" s="16" t="s">
        <v>22</v>
      </c>
      <c r="H4438" s="16"/>
      <c r="I4438" s="16"/>
      <c r="J4438" s="16"/>
      <c r="K4438" s="16"/>
      <c r="L4438" s="16"/>
      <c r="M4438" s="19" t="s">
        <v>794</v>
      </c>
      <c r="N4438" s="16"/>
      <c r="O4438" s="16" t="s">
        <v>795</v>
      </c>
      <c r="P4438" s="16" t="str">
        <f>HYPERLINK("https://ceds.ed.gov/cedselementdetails.aspx?termid=27229")</f>
        <v>https://ceds.ed.gov/cedselementdetails.aspx?termid=27229</v>
      </c>
      <c r="Q4438" s="16">
        <v>72116</v>
      </c>
    </row>
    <row r="4439" spans="1:17" ht="288" x14ac:dyDescent="0.3">
      <c r="A4439" s="16" t="s">
        <v>7766</v>
      </c>
      <c r="B4439" s="16" t="s">
        <v>7773</v>
      </c>
      <c r="C4439" s="16"/>
      <c r="D4439" s="16" t="s">
        <v>7597</v>
      </c>
      <c r="E4439" s="16" t="s">
        <v>377</v>
      </c>
      <c r="F4439" s="16" t="s">
        <v>378</v>
      </c>
      <c r="G4439" s="16" t="s">
        <v>8322</v>
      </c>
      <c r="H4439" s="16" t="s">
        <v>382</v>
      </c>
      <c r="I4439" s="16"/>
      <c r="J4439" s="16"/>
      <c r="K4439" s="16"/>
      <c r="L4439" s="16"/>
      <c r="M4439" s="19" t="s">
        <v>380</v>
      </c>
      <c r="N4439" s="16"/>
      <c r="O4439" s="16" t="s">
        <v>381</v>
      </c>
      <c r="P4439" s="16" t="str">
        <f>HYPERLINK("https://ceds.ed.gov/cedselementdetails.aspx?termid=26021")</f>
        <v>https://ceds.ed.gov/cedselementdetails.aspx?termid=26021</v>
      </c>
      <c r="Q4439" s="16">
        <v>72114</v>
      </c>
    </row>
    <row r="4440" spans="1:17" ht="57.6" x14ac:dyDescent="0.3">
      <c r="A4440" s="16" t="s">
        <v>7766</v>
      </c>
      <c r="B4440" s="16" t="s">
        <v>7773</v>
      </c>
      <c r="C4440" s="16"/>
      <c r="D4440" s="16" t="s">
        <v>7597</v>
      </c>
      <c r="E4440" s="16" t="s">
        <v>5423</v>
      </c>
      <c r="F4440" s="16" t="s">
        <v>5424</v>
      </c>
      <c r="G4440" s="16" t="s">
        <v>8731</v>
      </c>
      <c r="H4440" s="16"/>
      <c r="I4440" s="16"/>
      <c r="J4440" s="16"/>
      <c r="K4440" s="16"/>
      <c r="L4440" s="16"/>
      <c r="M4440" s="19" t="s">
        <v>5425</v>
      </c>
      <c r="N4440" s="16"/>
      <c r="O4440" s="16" t="s">
        <v>5426</v>
      </c>
      <c r="P4440" s="16" t="str">
        <f>HYPERLINK("https://ceds.ed.gov/cedselementdetails.aspx?termid=27166")</f>
        <v>https://ceds.ed.gov/cedselementdetails.aspx?termid=27166</v>
      </c>
      <c r="Q4440" s="16">
        <v>71782</v>
      </c>
    </row>
    <row r="4441" spans="1:17" ht="57.6" x14ac:dyDescent="0.3">
      <c r="A4441" s="16" t="s">
        <v>7766</v>
      </c>
      <c r="B4441" s="16" t="s">
        <v>7773</v>
      </c>
      <c r="C4441" s="16"/>
      <c r="D4441" s="16" t="s">
        <v>7597</v>
      </c>
      <c r="E4441" s="16" t="s">
        <v>5427</v>
      </c>
      <c r="F4441" s="16" t="s">
        <v>5428</v>
      </c>
      <c r="G4441" s="16" t="s">
        <v>8732</v>
      </c>
      <c r="H4441" s="16"/>
      <c r="I4441" s="16"/>
      <c r="J4441" s="16"/>
      <c r="K4441" s="16"/>
      <c r="L4441" s="16"/>
      <c r="M4441" s="19" t="s">
        <v>5429</v>
      </c>
      <c r="N4441" s="16"/>
      <c r="O4441" s="16" t="s">
        <v>5430</v>
      </c>
      <c r="P4441" s="16" t="str">
        <f>HYPERLINK("https://ceds.ed.gov/cedselementdetails.aspx?termid=27072")</f>
        <v>https://ceds.ed.gov/cedselementdetails.aspx?termid=27072</v>
      </c>
      <c r="Q4441" s="16">
        <v>71511</v>
      </c>
    </row>
    <row r="4442" spans="1:17" ht="360" x14ac:dyDescent="0.3">
      <c r="A4442" s="16" t="s">
        <v>7766</v>
      </c>
      <c r="B4442" s="16" t="s">
        <v>7773</v>
      </c>
      <c r="C4442" s="16"/>
      <c r="D4442" s="16" t="s">
        <v>7597</v>
      </c>
      <c r="E4442" s="16" t="s">
        <v>936</v>
      </c>
      <c r="F4442" s="16" t="s">
        <v>937</v>
      </c>
      <c r="G4442" s="16" t="s">
        <v>8207</v>
      </c>
      <c r="H4442" s="16" t="s">
        <v>940</v>
      </c>
      <c r="I4442" s="16"/>
      <c r="J4442" s="16"/>
      <c r="K4442" s="16"/>
      <c r="L4442" s="16"/>
      <c r="M4442" s="19" t="s">
        <v>938</v>
      </c>
      <c r="N4442" s="16"/>
      <c r="O4442" s="16" t="s">
        <v>939</v>
      </c>
      <c r="P4442" s="16" t="str">
        <f>HYPERLINK("https://ceds.ed.gov/cedselementdetails.aspx?termid=26177")</f>
        <v>https://ceds.ed.gov/cedselementdetails.aspx?termid=26177</v>
      </c>
      <c r="Q4442" s="16">
        <v>73795</v>
      </c>
    </row>
    <row r="4443" spans="1:17" ht="57.6" x14ac:dyDescent="0.3">
      <c r="A4443" s="16" t="s">
        <v>7766</v>
      </c>
      <c r="B4443" s="16" t="s">
        <v>7773</v>
      </c>
      <c r="C4443" s="16"/>
      <c r="D4443" s="16" t="s">
        <v>7597</v>
      </c>
      <c r="E4443" s="16" t="s">
        <v>758</v>
      </c>
      <c r="F4443" s="16" t="s">
        <v>759</v>
      </c>
      <c r="G4443" s="16" t="s">
        <v>22</v>
      </c>
      <c r="H4443" s="16"/>
      <c r="I4443" s="16"/>
      <c r="J4443" s="16"/>
      <c r="K4443" s="16"/>
      <c r="L4443" s="16"/>
      <c r="M4443" s="19" t="s">
        <v>760</v>
      </c>
      <c r="N4443" s="16"/>
      <c r="O4443" s="16" t="s">
        <v>761</v>
      </c>
      <c r="P4443" s="16" t="str">
        <f>HYPERLINK("https://ceds.ed.gov/cedselementdetails.aspx?termid=27227")</f>
        <v>https://ceds.ed.gov/cedselementdetails.aspx?termid=27227</v>
      </c>
      <c r="Q4443" s="16">
        <v>72111</v>
      </c>
    </row>
    <row r="4444" spans="1:17" ht="57.6" x14ac:dyDescent="0.3">
      <c r="A4444" s="16" t="s">
        <v>7766</v>
      </c>
      <c r="B4444" s="16" t="s">
        <v>7773</v>
      </c>
      <c r="C4444" s="16"/>
      <c r="D4444" s="16" t="s">
        <v>7597</v>
      </c>
      <c r="E4444" s="16" t="s">
        <v>719</v>
      </c>
      <c r="F4444" s="16" t="s">
        <v>720</v>
      </c>
      <c r="G4444" s="16" t="s">
        <v>32</v>
      </c>
      <c r="H4444" s="16"/>
      <c r="I4444" s="16"/>
      <c r="J4444" s="16" t="s">
        <v>316</v>
      </c>
      <c r="K4444" s="16"/>
      <c r="L4444" s="16"/>
      <c r="M4444" s="19" t="s">
        <v>721</v>
      </c>
      <c r="N4444" s="16"/>
      <c r="O4444" s="16" t="s">
        <v>722</v>
      </c>
      <c r="P4444" s="16" t="str">
        <f>HYPERLINK("https://ceds.ed.gov/cedselementdetails.aspx?termid=27233")</f>
        <v>https://ceds.ed.gov/cedselementdetails.aspx?termid=27233</v>
      </c>
      <c r="Q4444" s="16">
        <v>72124</v>
      </c>
    </row>
    <row r="4445" spans="1:17" ht="72" x14ac:dyDescent="0.3">
      <c r="A4445" s="16" t="s">
        <v>7766</v>
      </c>
      <c r="B4445" s="16" t="s">
        <v>7773</v>
      </c>
      <c r="C4445" s="16"/>
      <c r="D4445" s="16" t="s">
        <v>7597</v>
      </c>
      <c r="E4445" s="16" t="s">
        <v>917</v>
      </c>
      <c r="F4445" s="16" t="s">
        <v>7858</v>
      </c>
      <c r="G4445" s="16" t="s">
        <v>32</v>
      </c>
      <c r="H4445" s="16"/>
      <c r="I4445" s="16"/>
      <c r="J4445" s="16" t="s">
        <v>316</v>
      </c>
      <c r="K4445" s="16"/>
      <c r="L4445" s="16"/>
      <c r="M4445" s="19" t="s">
        <v>918</v>
      </c>
      <c r="N4445" s="16"/>
      <c r="O4445" s="16" t="s">
        <v>919</v>
      </c>
      <c r="P4445" s="16" t="str">
        <f>HYPERLINK("https://ceds.ed.gov/cedselementdetails.aspx?termid=27234")</f>
        <v>https://ceds.ed.gov/cedselementdetails.aspx?termid=27234</v>
      </c>
      <c r="Q4445" s="16">
        <v>72126</v>
      </c>
    </row>
    <row r="4446" spans="1:17" ht="43.2" x14ac:dyDescent="0.3">
      <c r="A4446" s="16" t="s">
        <v>7766</v>
      </c>
      <c r="B4446" s="16" t="s">
        <v>7773</v>
      </c>
      <c r="C4446" s="16"/>
      <c r="D4446" s="16" t="s">
        <v>7597</v>
      </c>
      <c r="E4446" s="16" t="s">
        <v>740</v>
      </c>
      <c r="F4446" s="16" t="s">
        <v>741</v>
      </c>
      <c r="G4446" s="16" t="s">
        <v>32</v>
      </c>
      <c r="H4446" s="16" t="s">
        <v>605</v>
      </c>
      <c r="I4446" s="16"/>
      <c r="J4446" s="16" t="s">
        <v>742</v>
      </c>
      <c r="K4446" s="16"/>
      <c r="L4446" s="16"/>
      <c r="M4446" s="19" t="s">
        <v>743</v>
      </c>
      <c r="N4446" s="16"/>
      <c r="O4446" s="16" t="s">
        <v>744</v>
      </c>
      <c r="P4446" s="16" t="str">
        <f>HYPERLINK("https://ceds.ed.gov/cedselementdetails.aspx?termid=26383")</f>
        <v>https://ceds.ed.gov/cedselementdetails.aspx?termid=26383</v>
      </c>
      <c r="Q4446" s="16">
        <v>71194</v>
      </c>
    </row>
    <row r="4447" spans="1:17" ht="28.8" x14ac:dyDescent="0.3">
      <c r="A4447" s="16" t="s">
        <v>7766</v>
      </c>
      <c r="B4447" s="16" t="s">
        <v>7773</v>
      </c>
      <c r="C4447" s="16"/>
      <c r="D4447" s="16" t="s">
        <v>7597</v>
      </c>
      <c r="E4447" s="16" t="s">
        <v>745</v>
      </c>
      <c r="F4447" s="16" t="s">
        <v>746</v>
      </c>
      <c r="G4447" s="16" t="s">
        <v>32</v>
      </c>
      <c r="H4447" s="16" t="s">
        <v>605</v>
      </c>
      <c r="I4447" s="16"/>
      <c r="J4447" s="16" t="s">
        <v>747</v>
      </c>
      <c r="K4447" s="16"/>
      <c r="L4447" s="16"/>
      <c r="M4447" s="19" t="s">
        <v>748</v>
      </c>
      <c r="N4447" s="16"/>
      <c r="O4447" s="16" t="s">
        <v>749</v>
      </c>
      <c r="P4447" s="16" t="str">
        <f>HYPERLINK("https://ceds.ed.gov/cedselementdetails.aspx?termid=26390")</f>
        <v>https://ceds.ed.gov/cedselementdetails.aspx?termid=26390</v>
      </c>
      <c r="Q4447" s="16">
        <v>71196</v>
      </c>
    </row>
    <row r="4448" spans="1:17" ht="43.2" x14ac:dyDescent="0.3">
      <c r="A4448" s="16" t="s">
        <v>7766</v>
      </c>
      <c r="B4448" s="16" t="s">
        <v>7773</v>
      </c>
      <c r="C4448" s="16"/>
      <c r="D4448" s="16" t="s">
        <v>7597</v>
      </c>
      <c r="E4448" s="16" t="s">
        <v>913</v>
      </c>
      <c r="F4448" s="16" t="s">
        <v>914</v>
      </c>
      <c r="G4448" s="16" t="s">
        <v>32</v>
      </c>
      <c r="H4448" s="16" t="s">
        <v>605</v>
      </c>
      <c r="I4448" s="16"/>
      <c r="J4448" s="16" t="s">
        <v>316</v>
      </c>
      <c r="K4448" s="16"/>
      <c r="L4448" s="16"/>
      <c r="M4448" s="19" t="s">
        <v>915</v>
      </c>
      <c r="N4448" s="16"/>
      <c r="O4448" s="16" t="s">
        <v>916</v>
      </c>
      <c r="P4448" s="16" t="str">
        <f>HYPERLINK("https://ceds.ed.gov/cedselementdetails.aspx?termid=26392")</f>
        <v>https://ceds.ed.gov/cedselementdetails.aspx?termid=26392</v>
      </c>
      <c r="Q4448" s="16">
        <v>71197</v>
      </c>
    </row>
    <row r="4449" spans="1:17" ht="28.8" x14ac:dyDescent="0.3">
      <c r="A4449" s="16" t="s">
        <v>7766</v>
      </c>
      <c r="B4449" s="16" t="s">
        <v>7773</v>
      </c>
      <c r="C4449" s="16"/>
      <c r="D4449" s="16" t="s">
        <v>7597</v>
      </c>
      <c r="E4449" s="16" t="s">
        <v>600</v>
      </c>
      <c r="F4449" s="16" t="s">
        <v>601</v>
      </c>
      <c r="G4449" s="16" t="s">
        <v>32</v>
      </c>
      <c r="H4449" s="16" t="s">
        <v>605</v>
      </c>
      <c r="I4449" s="16"/>
      <c r="J4449" s="16" t="s">
        <v>403</v>
      </c>
      <c r="K4449" s="16"/>
      <c r="L4449" s="16"/>
      <c r="M4449" s="19" t="s">
        <v>603</v>
      </c>
      <c r="N4449" s="16"/>
      <c r="O4449" s="16" t="s">
        <v>604</v>
      </c>
      <c r="P4449" s="16" t="str">
        <f>HYPERLINK("https://ceds.ed.gov/cedselementdetails.aspx?termid=26395")</f>
        <v>https://ceds.ed.gov/cedselementdetails.aspx?termid=26395</v>
      </c>
      <c r="Q4449" s="16">
        <v>71198</v>
      </c>
    </row>
    <row r="4450" spans="1:17" ht="57.6" x14ac:dyDescent="0.3">
      <c r="A4450" s="16" t="s">
        <v>7766</v>
      </c>
      <c r="B4450" s="16" t="s">
        <v>7773</v>
      </c>
      <c r="C4450" s="16"/>
      <c r="D4450" s="16" t="s">
        <v>7597</v>
      </c>
      <c r="E4450" s="16" t="s">
        <v>924</v>
      </c>
      <c r="F4450" s="16" t="s">
        <v>925</v>
      </c>
      <c r="G4450" s="16" t="s">
        <v>32</v>
      </c>
      <c r="H4450" s="16"/>
      <c r="I4450" s="16"/>
      <c r="J4450" s="16" t="s">
        <v>81</v>
      </c>
      <c r="K4450" s="16"/>
      <c r="L4450" s="16"/>
      <c r="M4450" s="19" t="s">
        <v>926</v>
      </c>
      <c r="N4450" s="16"/>
      <c r="O4450" s="16" t="s">
        <v>927</v>
      </c>
      <c r="P4450" s="16" t="str">
        <f>HYPERLINK("https://ceds.ed.gov/cedselementdetails.aspx?termid=26906")</f>
        <v>https://ceds.ed.gov/cedselementdetails.aspx?termid=26906</v>
      </c>
      <c r="Q4450" s="16">
        <v>71366</v>
      </c>
    </row>
    <row r="4451" spans="1:17" ht="288" x14ac:dyDescent="0.3">
      <c r="A4451" s="16" t="s">
        <v>7766</v>
      </c>
      <c r="B4451" s="16" t="s">
        <v>7773</v>
      </c>
      <c r="C4451" s="16"/>
      <c r="D4451" s="16" t="s">
        <v>7597</v>
      </c>
      <c r="E4451" s="16" t="s">
        <v>920</v>
      </c>
      <c r="F4451" s="16" t="s">
        <v>921</v>
      </c>
      <c r="G4451" s="16" t="s">
        <v>8336</v>
      </c>
      <c r="H4451" s="16"/>
      <c r="I4451" s="16"/>
      <c r="J4451" s="16"/>
      <c r="K4451" s="16"/>
      <c r="L4451" s="16"/>
      <c r="M4451" s="19" t="s">
        <v>922</v>
      </c>
      <c r="N4451" s="16"/>
      <c r="O4451" s="16" t="s">
        <v>923</v>
      </c>
      <c r="P4451" s="16" t="str">
        <f>HYPERLINK("https://ceds.ed.gov/cedselementdetails.aspx?termid=26907")</f>
        <v>https://ceds.ed.gov/cedselementdetails.aspx?termid=26907</v>
      </c>
      <c r="Q4451" s="16">
        <v>71367</v>
      </c>
    </row>
    <row r="4452" spans="1:17" ht="28.8" x14ac:dyDescent="0.3">
      <c r="A4452" s="16" t="s">
        <v>7766</v>
      </c>
      <c r="B4452" s="16" t="s">
        <v>7773</v>
      </c>
      <c r="C4452" s="16"/>
      <c r="D4452" s="16" t="s">
        <v>7597</v>
      </c>
      <c r="E4452" s="16" t="s">
        <v>766</v>
      </c>
      <c r="F4452" s="16" t="s">
        <v>767</v>
      </c>
      <c r="G4452" s="16" t="s">
        <v>32</v>
      </c>
      <c r="H4452" s="16"/>
      <c r="I4452" s="16"/>
      <c r="J4452" s="16" t="s">
        <v>136</v>
      </c>
      <c r="K4452" s="16"/>
      <c r="L4452" s="16"/>
      <c r="M4452" s="19" t="s">
        <v>768</v>
      </c>
      <c r="N4452" s="16"/>
      <c r="O4452" s="16" t="s">
        <v>769</v>
      </c>
      <c r="P4452" s="16" t="str">
        <f>HYPERLINK("https://ceds.ed.gov/cedselementdetails.aspx?termid=26684")</f>
        <v>https://ceds.ed.gov/cedselementdetails.aspx?termid=26684</v>
      </c>
      <c r="Q4452" s="16">
        <v>71204</v>
      </c>
    </row>
    <row r="4453" spans="1:17" ht="28.8" x14ac:dyDescent="0.3">
      <c r="A4453" s="16" t="s">
        <v>7766</v>
      </c>
      <c r="B4453" s="16" t="s">
        <v>7773</v>
      </c>
      <c r="C4453" s="16"/>
      <c r="D4453" s="16" t="s">
        <v>7597</v>
      </c>
      <c r="E4453" s="16" t="s">
        <v>762</v>
      </c>
      <c r="F4453" s="16" t="s">
        <v>763</v>
      </c>
      <c r="G4453" s="16" t="s">
        <v>32</v>
      </c>
      <c r="H4453" s="16"/>
      <c r="I4453" s="16"/>
      <c r="J4453" s="16" t="s">
        <v>136</v>
      </c>
      <c r="K4453" s="16"/>
      <c r="L4453" s="16"/>
      <c r="M4453" s="19" t="s">
        <v>764</v>
      </c>
      <c r="N4453" s="16"/>
      <c r="O4453" s="16" t="s">
        <v>765</v>
      </c>
      <c r="P4453" s="16" t="str">
        <f>HYPERLINK("https://ceds.ed.gov/cedselementdetails.aspx?termid=26683")</f>
        <v>https://ceds.ed.gov/cedselementdetails.aspx?termid=26683</v>
      </c>
      <c r="Q4453" s="16">
        <v>71203</v>
      </c>
    </row>
    <row r="4454" spans="1:17" ht="129.6" x14ac:dyDescent="0.3">
      <c r="A4454" s="16" t="s">
        <v>7766</v>
      </c>
      <c r="B4454" s="16" t="s">
        <v>7773</v>
      </c>
      <c r="C4454" s="16"/>
      <c r="D4454" s="16" t="s">
        <v>7597</v>
      </c>
      <c r="E4454" s="16" t="s">
        <v>841</v>
      </c>
      <c r="F4454" s="16" t="s">
        <v>842</v>
      </c>
      <c r="G4454" s="16" t="s">
        <v>32</v>
      </c>
      <c r="H4454" s="16"/>
      <c r="I4454" s="16"/>
      <c r="J4454" s="16" t="s">
        <v>101</v>
      </c>
      <c r="K4454" s="16"/>
      <c r="L4454" s="16" t="s">
        <v>843</v>
      </c>
      <c r="M4454" s="19" t="s">
        <v>844</v>
      </c>
      <c r="N4454" s="16"/>
      <c r="O4454" s="16" t="s">
        <v>845</v>
      </c>
      <c r="P4454" s="16" t="str">
        <f>HYPERLINK("https://ceds.ed.gov/cedselementdetails.aspx?termid=26970")</f>
        <v>https://ceds.ed.gov/cedselementdetails.aspx?termid=26970</v>
      </c>
      <c r="Q4454" s="16">
        <v>72855</v>
      </c>
    </row>
    <row r="4455" spans="1:17" ht="43.2" x14ac:dyDescent="0.3">
      <c r="A4455" s="16" t="s">
        <v>7766</v>
      </c>
      <c r="B4455" s="16" t="s">
        <v>7773</v>
      </c>
      <c r="C4455" s="16" t="s">
        <v>7774</v>
      </c>
      <c r="D4455" s="16" t="s">
        <v>7597</v>
      </c>
      <c r="E4455" s="16" t="s">
        <v>784</v>
      </c>
      <c r="F4455" s="16" t="s">
        <v>785</v>
      </c>
      <c r="G4455" s="16" t="s">
        <v>32</v>
      </c>
      <c r="H4455" s="16"/>
      <c r="I4455" s="16"/>
      <c r="J4455" s="16" t="s">
        <v>305</v>
      </c>
      <c r="K4455" s="16"/>
      <c r="L4455" s="16"/>
      <c r="M4455" s="19" t="s">
        <v>786</v>
      </c>
      <c r="N4455" s="16"/>
      <c r="O4455" s="16" t="s">
        <v>787</v>
      </c>
      <c r="P4455" s="16" t="str">
        <f>HYPERLINK("https://ceds.ed.gov/cedselementdetails.aspx?termid=26905")</f>
        <v>https://ceds.ed.gov/cedselementdetails.aspx?termid=26905</v>
      </c>
      <c r="Q4455" s="16">
        <v>71365</v>
      </c>
    </row>
    <row r="4456" spans="1:17" ht="43.2" x14ac:dyDescent="0.3">
      <c r="A4456" s="16" t="s">
        <v>7766</v>
      </c>
      <c r="B4456" s="16" t="s">
        <v>7773</v>
      </c>
      <c r="C4456" s="16" t="s">
        <v>7774</v>
      </c>
      <c r="D4456" s="16" t="s">
        <v>7597</v>
      </c>
      <c r="E4456" s="16" t="s">
        <v>788</v>
      </c>
      <c r="F4456" s="16" t="s">
        <v>789</v>
      </c>
      <c r="G4456" s="16" t="s">
        <v>32</v>
      </c>
      <c r="H4456" s="16"/>
      <c r="I4456" s="16"/>
      <c r="J4456" s="16" t="s">
        <v>101</v>
      </c>
      <c r="K4456" s="16"/>
      <c r="L4456" s="16"/>
      <c r="M4456" s="19" t="s">
        <v>790</v>
      </c>
      <c r="N4456" s="16"/>
      <c r="O4456" s="16" t="s">
        <v>791</v>
      </c>
      <c r="P4456" s="16" t="str">
        <f>HYPERLINK("https://ceds.ed.gov/cedselementdetails.aspx?termid=26908")</f>
        <v>https://ceds.ed.gov/cedselementdetails.aspx?termid=26908</v>
      </c>
      <c r="Q4456" s="16">
        <v>71368</v>
      </c>
    </row>
    <row r="4457" spans="1:17" ht="57.6" x14ac:dyDescent="0.3">
      <c r="A4457" s="16" t="s">
        <v>7766</v>
      </c>
      <c r="B4457" s="16" t="s">
        <v>7773</v>
      </c>
      <c r="C4457" s="16" t="s">
        <v>7774</v>
      </c>
      <c r="D4457" s="16" t="s">
        <v>7597</v>
      </c>
      <c r="E4457" s="16" t="s">
        <v>780</v>
      </c>
      <c r="F4457" s="16" t="s">
        <v>781</v>
      </c>
      <c r="G4457" s="16" t="s">
        <v>32</v>
      </c>
      <c r="H4457" s="16"/>
      <c r="I4457" s="16"/>
      <c r="J4457" s="16" t="s">
        <v>316</v>
      </c>
      <c r="K4457" s="16"/>
      <c r="L4457" s="16"/>
      <c r="M4457" s="19" t="s">
        <v>782</v>
      </c>
      <c r="N4457" s="16"/>
      <c r="O4457" s="16" t="s">
        <v>783</v>
      </c>
      <c r="P4457" s="16" t="str">
        <f>HYPERLINK("https://ceds.ed.gov/cedselementdetails.aspx?termid=27235")</f>
        <v>https://ceds.ed.gov/cedselementdetails.aspx?termid=27235</v>
      </c>
      <c r="Q4457" s="16">
        <v>72128</v>
      </c>
    </row>
    <row r="4458" spans="1:17" ht="43.2" x14ac:dyDescent="0.3">
      <c r="A4458" s="16" t="s">
        <v>7766</v>
      </c>
      <c r="B4458" s="16" t="s">
        <v>7773</v>
      </c>
      <c r="C4458" s="16" t="s">
        <v>7774</v>
      </c>
      <c r="D4458" s="16" t="s">
        <v>7597</v>
      </c>
      <c r="E4458" s="16" t="s">
        <v>770</v>
      </c>
      <c r="F4458" s="16" t="s">
        <v>771</v>
      </c>
      <c r="G4458" s="16" t="s">
        <v>22</v>
      </c>
      <c r="H4458" s="16"/>
      <c r="I4458" s="16"/>
      <c r="J4458" s="16"/>
      <c r="K4458" s="16"/>
      <c r="L4458" s="16"/>
      <c r="M4458" s="19" t="s">
        <v>773</v>
      </c>
      <c r="N4458" s="16"/>
      <c r="O4458" s="16" t="s">
        <v>774</v>
      </c>
      <c r="P4458" s="16" t="str">
        <f>HYPERLINK("https://ceds.ed.gov/cedselementdetails.aspx?termid=27183")</f>
        <v>https://ceds.ed.gov/cedselementdetails.aspx?termid=27183</v>
      </c>
      <c r="Q4458" s="16">
        <v>71628</v>
      </c>
    </row>
    <row r="4459" spans="1:17" ht="100.8" x14ac:dyDescent="0.3">
      <c r="A4459" s="16" t="s">
        <v>7766</v>
      </c>
      <c r="B4459" s="16" t="s">
        <v>7773</v>
      </c>
      <c r="C4459" s="16" t="s">
        <v>7774</v>
      </c>
      <c r="D4459" s="16" t="s">
        <v>7597</v>
      </c>
      <c r="E4459" s="16" t="s">
        <v>775</v>
      </c>
      <c r="F4459" s="16" t="s">
        <v>776</v>
      </c>
      <c r="G4459" s="16" t="s">
        <v>32</v>
      </c>
      <c r="H4459" s="16" t="s">
        <v>779</v>
      </c>
      <c r="I4459" s="16"/>
      <c r="J4459" s="16" t="s">
        <v>101</v>
      </c>
      <c r="K4459" s="16"/>
      <c r="L4459" s="16" t="s">
        <v>7843</v>
      </c>
      <c r="M4459" s="19" t="s">
        <v>777</v>
      </c>
      <c r="N4459" s="16"/>
      <c r="O4459" s="16" t="s">
        <v>778</v>
      </c>
      <c r="P4459" s="16" t="str">
        <f>HYPERLINK("https://ceds.ed.gov/cedselementdetails.aspx?termid=26904")</f>
        <v>https://ceds.ed.gov/cedselementdetails.aspx?termid=26904</v>
      </c>
      <c r="Q4459" s="16">
        <v>71364</v>
      </c>
    </row>
    <row r="4460" spans="1:17" ht="28.8" x14ac:dyDescent="0.3">
      <c r="A4460" s="16" t="s">
        <v>7766</v>
      </c>
      <c r="B4460" s="16" t="s">
        <v>7773</v>
      </c>
      <c r="C4460" s="16" t="s">
        <v>7775</v>
      </c>
      <c r="D4460" s="16" t="s">
        <v>7597</v>
      </c>
      <c r="E4460" s="16" t="s">
        <v>846</v>
      </c>
      <c r="F4460" s="16" t="s">
        <v>847</v>
      </c>
      <c r="G4460" s="16" t="s">
        <v>32</v>
      </c>
      <c r="H4460" s="16"/>
      <c r="I4460" s="16"/>
      <c r="J4460" s="16" t="s">
        <v>106</v>
      </c>
      <c r="K4460" s="16"/>
      <c r="L4460" s="16"/>
      <c r="M4460" s="19" t="s">
        <v>848</v>
      </c>
      <c r="N4460" s="16"/>
      <c r="O4460" s="16" t="s">
        <v>849</v>
      </c>
      <c r="P4460" s="16" t="str">
        <f>HYPERLINK("https://ceds.ed.gov/cedselementdetails.aspx?termid=26960")</f>
        <v>https://ceds.ed.gov/cedselementdetails.aspx?termid=26960</v>
      </c>
      <c r="Q4460" s="16">
        <v>71418</v>
      </c>
    </row>
    <row r="4461" spans="1:17" ht="28.8" x14ac:dyDescent="0.3">
      <c r="A4461" s="16" t="s">
        <v>7766</v>
      </c>
      <c r="B4461" s="16" t="s">
        <v>7773</v>
      </c>
      <c r="C4461" s="16" t="s">
        <v>7775</v>
      </c>
      <c r="D4461" s="16" t="s">
        <v>7597</v>
      </c>
      <c r="E4461" s="16" t="s">
        <v>850</v>
      </c>
      <c r="F4461" s="16" t="s">
        <v>851</v>
      </c>
      <c r="G4461" s="16" t="s">
        <v>32</v>
      </c>
      <c r="H4461" s="16"/>
      <c r="I4461" s="16"/>
      <c r="J4461" s="16" t="s">
        <v>816</v>
      </c>
      <c r="K4461" s="16"/>
      <c r="L4461" s="16"/>
      <c r="M4461" s="19" t="s">
        <v>852</v>
      </c>
      <c r="N4461" s="16"/>
      <c r="O4461" s="16" t="s">
        <v>853</v>
      </c>
      <c r="P4461" s="16" t="str">
        <f>HYPERLINK("https://ceds.ed.gov/cedselementdetails.aspx?termid=26959")</f>
        <v>https://ceds.ed.gov/cedselementdetails.aspx?termid=26959</v>
      </c>
      <c r="Q4461" s="16">
        <v>71417</v>
      </c>
    </row>
    <row r="4462" spans="1:17" ht="100.8" x14ac:dyDescent="0.3">
      <c r="A4462" s="16" t="s">
        <v>7766</v>
      </c>
      <c r="B4462" s="16" t="s">
        <v>7773</v>
      </c>
      <c r="C4462" s="16" t="s">
        <v>7775</v>
      </c>
      <c r="D4462" s="16" t="s">
        <v>7597</v>
      </c>
      <c r="E4462" s="16" t="s">
        <v>819</v>
      </c>
      <c r="F4462" s="16" t="s">
        <v>820</v>
      </c>
      <c r="G4462" s="16" t="s">
        <v>32</v>
      </c>
      <c r="H4462" s="16"/>
      <c r="I4462" s="16"/>
      <c r="J4462" s="16" t="s">
        <v>816</v>
      </c>
      <c r="K4462" s="16"/>
      <c r="L4462" s="16" t="s">
        <v>7845</v>
      </c>
      <c r="M4462" s="19" t="s">
        <v>821</v>
      </c>
      <c r="N4462" s="16"/>
      <c r="O4462" s="16" t="s">
        <v>822</v>
      </c>
      <c r="P4462" s="16" t="str">
        <f>HYPERLINK("https://ceds.ed.gov/cedselementdetails.aspx?termid=26958")</f>
        <v>https://ceds.ed.gov/cedselementdetails.aspx?termid=26958</v>
      </c>
      <c r="Q4462" s="16">
        <v>71416</v>
      </c>
    </row>
    <row r="4463" spans="1:17" ht="43.2" x14ac:dyDescent="0.3">
      <c r="A4463" s="16" t="s">
        <v>7766</v>
      </c>
      <c r="B4463" s="16" t="s">
        <v>7773</v>
      </c>
      <c r="C4463" s="16" t="s">
        <v>7775</v>
      </c>
      <c r="D4463" s="16" t="s">
        <v>7597</v>
      </c>
      <c r="E4463" s="16" t="s">
        <v>815</v>
      </c>
      <c r="F4463" s="16" t="s">
        <v>7844</v>
      </c>
      <c r="G4463" s="16" t="s">
        <v>32</v>
      </c>
      <c r="H4463" s="16" t="s">
        <v>605</v>
      </c>
      <c r="I4463" s="16"/>
      <c r="J4463" s="16" t="s">
        <v>816</v>
      </c>
      <c r="K4463" s="16"/>
      <c r="L4463" s="16"/>
      <c r="M4463" s="19" t="s">
        <v>817</v>
      </c>
      <c r="N4463" s="16"/>
      <c r="O4463" s="16" t="s">
        <v>818</v>
      </c>
      <c r="P4463" s="16" t="str">
        <f>HYPERLINK("https://ceds.ed.gov/cedselementdetails.aspx?termid=26394")</f>
        <v>https://ceds.ed.gov/cedselementdetails.aspx?termid=26394</v>
      </c>
      <c r="Q4463" s="16">
        <v>71920</v>
      </c>
    </row>
    <row r="4464" spans="1:17" ht="43.2" x14ac:dyDescent="0.3">
      <c r="A4464" s="16" t="s">
        <v>7766</v>
      </c>
      <c r="B4464" s="16" t="s">
        <v>7773</v>
      </c>
      <c r="C4464" s="16" t="s">
        <v>7775</v>
      </c>
      <c r="D4464" s="16" t="s">
        <v>7597</v>
      </c>
      <c r="E4464" s="16" t="s">
        <v>796</v>
      </c>
      <c r="F4464" s="16" t="s">
        <v>797</v>
      </c>
      <c r="G4464" s="16" t="s">
        <v>32</v>
      </c>
      <c r="H4464" s="16" t="s">
        <v>605</v>
      </c>
      <c r="I4464" s="16"/>
      <c r="J4464" s="16" t="s">
        <v>81</v>
      </c>
      <c r="K4464" s="16"/>
      <c r="L4464" s="16" t="s">
        <v>799</v>
      </c>
      <c r="M4464" s="19" t="s">
        <v>800</v>
      </c>
      <c r="N4464" s="16"/>
      <c r="O4464" s="16" t="s">
        <v>801</v>
      </c>
      <c r="P4464" s="16" t="str">
        <f>HYPERLINK("https://ceds.ed.gov/cedselementdetails.aspx?termid=26397")</f>
        <v>https://ceds.ed.gov/cedselementdetails.aspx?termid=26397</v>
      </c>
      <c r="Q4464" s="16">
        <v>71223</v>
      </c>
    </row>
    <row r="4465" spans="1:17" ht="28.8" x14ac:dyDescent="0.3">
      <c r="A4465" s="16" t="s">
        <v>7766</v>
      </c>
      <c r="B4465" s="16" t="s">
        <v>7773</v>
      </c>
      <c r="C4465" s="16" t="s">
        <v>7775</v>
      </c>
      <c r="D4465" s="16" t="s">
        <v>7597</v>
      </c>
      <c r="E4465" s="16" t="s">
        <v>802</v>
      </c>
      <c r="F4465" s="16" t="s">
        <v>803</v>
      </c>
      <c r="G4465" s="16" t="s">
        <v>32</v>
      </c>
      <c r="H4465" s="16" t="s">
        <v>605</v>
      </c>
      <c r="I4465" s="16"/>
      <c r="J4465" s="16" t="s">
        <v>747</v>
      </c>
      <c r="K4465" s="16"/>
      <c r="L4465" s="16"/>
      <c r="M4465" s="19" t="s">
        <v>804</v>
      </c>
      <c r="N4465" s="16"/>
      <c r="O4465" s="16" t="s">
        <v>805</v>
      </c>
      <c r="P4465" s="16" t="str">
        <f>HYPERLINK("https://ceds.ed.gov/cedselementdetails.aspx?termid=26385")</f>
        <v>https://ceds.ed.gov/cedselementdetails.aspx?termid=26385</v>
      </c>
      <c r="Q4465" s="16">
        <v>71919</v>
      </c>
    </row>
    <row r="4466" spans="1:17" ht="115.2" x14ac:dyDescent="0.3">
      <c r="A4466" s="16" t="s">
        <v>7766</v>
      </c>
      <c r="B4466" s="16" t="s">
        <v>7773</v>
      </c>
      <c r="C4466" s="16" t="s">
        <v>7775</v>
      </c>
      <c r="D4466" s="16" t="s">
        <v>7597</v>
      </c>
      <c r="E4466" s="16" t="s">
        <v>823</v>
      </c>
      <c r="F4466" s="16" t="s">
        <v>7846</v>
      </c>
      <c r="G4466" s="16" t="s">
        <v>32</v>
      </c>
      <c r="H4466" s="16"/>
      <c r="I4466" s="16"/>
      <c r="J4466" s="16" t="s">
        <v>305</v>
      </c>
      <c r="K4466" s="16"/>
      <c r="L4466" s="16"/>
      <c r="M4466" s="19" t="s">
        <v>824</v>
      </c>
      <c r="N4466" s="16"/>
      <c r="O4466" s="16" t="s">
        <v>825</v>
      </c>
      <c r="P4466" s="16" t="str">
        <f>HYPERLINK("https://ceds.ed.gov/cedselementdetails.aspx?termid=26956")</f>
        <v>https://ceds.ed.gov/cedselementdetails.aspx?termid=26956</v>
      </c>
      <c r="Q4466" s="16">
        <v>71414</v>
      </c>
    </row>
    <row r="4467" spans="1:17" ht="129.6" x14ac:dyDescent="0.3">
      <c r="A4467" s="16" t="s">
        <v>7766</v>
      </c>
      <c r="B4467" s="16" t="s">
        <v>7773</v>
      </c>
      <c r="C4467" s="16" t="s">
        <v>7775</v>
      </c>
      <c r="D4467" s="16" t="s">
        <v>7597</v>
      </c>
      <c r="E4467" s="16" t="s">
        <v>826</v>
      </c>
      <c r="F4467" s="16" t="s">
        <v>827</v>
      </c>
      <c r="G4467" s="16" t="s">
        <v>22</v>
      </c>
      <c r="H4467" s="16"/>
      <c r="I4467" s="16"/>
      <c r="J4467" s="16"/>
      <c r="K4467" s="16"/>
      <c r="L4467" s="16" t="s">
        <v>7847</v>
      </c>
      <c r="M4467" s="19" t="s">
        <v>828</v>
      </c>
      <c r="N4467" s="16"/>
      <c r="O4467" s="16" t="s">
        <v>829</v>
      </c>
      <c r="P4467" s="16" t="str">
        <f>HYPERLINK("https://ceds.ed.gov/cedselementdetails.aspx?termid=26957")</f>
        <v>https://ceds.ed.gov/cedselementdetails.aspx?termid=26957</v>
      </c>
      <c r="Q4467" s="16">
        <v>71415</v>
      </c>
    </row>
    <row r="4468" spans="1:17" ht="172.8" x14ac:dyDescent="0.3">
      <c r="A4468" s="16" t="s">
        <v>7766</v>
      </c>
      <c r="B4468" s="16" t="s">
        <v>7773</v>
      </c>
      <c r="C4468" s="16" t="s">
        <v>7775</v>
      </c>
      <c r="D4468" s="16" t="s">
        <v>7597</v>
      </c>
      <c r="E4468" s="16" t="s">
        <v>854</v>
      </c>
      <c r="F4468" s="16" t="s">
        <v>855</v>
      </c>
      <c r="G4468" s="16" t="s">
        <v>8333</v>
      </c>
      <c r="H4468" s="16" t="s">
        <v>605</v>
      </c>
      <c r="I4468" s="16"/>
      <c r="J4468" s="16"/>
      <c r="K4468" s="16"/>
      <c r="L4468" s="16"/>
      <c r="M4468" s="19" t="s">
        <v>856</v>
      </c>
      <c r="N4468" s="16"/>
      <c r="O4468" s="16" t="s">
        <v>857</v>
      </c>
      <c r="P4468" s="16" t="str">
        <f>HYPERLINK("https://ceds.ed.gov/cedselementdetails.aspx?termid=26396")</f>
        <v>https://ceds.ed.gov/cedselementdetails.aspx?termid=26396</v>
      </c>
      <c r="Q4468" s="16">
        <v>71222</v>
      </c>
    </row>
    <row r="4469" spans="1:17" ht="28.8" x14ac:dyDescent="0.3">
      <c r="A4469" s="16" t="s">
        <v>7766</v>
      </c>
      <c r="B4469" s="16" t="s">
        <v>7773</v>
      </c>
      <c r="C4469" s="16" t="s">
        <v>7775</v>
      </c>
      <c r="D4469" s="16" t="s">
        <v>7597</v>
      </c>
      <c r="E4469" s="16" t="s">
        <v>906</v>
      </c>
      <c r="F4469" s="16" t="s">
        <v>12974</v>
      </c>
      <c r="G4469" s="16" t="s">
        <v>32</v>
      </c>
      <c r="H4469" s="16" t="s">
        <v>779</v>
      </c>
      <c r="I4469" s="16"/>
      <c r="J4469" s="16" t="s">
        <v>101</v>
      </c>
      <c r="K4469" s="16"/>
      <c r="L4469" s="16"/>
      <c r="M4469" s="19" t="s">
        <v>907</v>
      </c>
      <c r="N4469" s="16"/>
      <c r="O4469" s="16" t="s">
        <v>908</v>
      </c>
      <c r="P4469" s="16" t="str">
        <f>HYPERLINK("https://ceds.ed.gov/cedselementdetails.aspx?termid=27069")</f>
        <v>https://ceds.ed.gov/cedselementdetails.aspx?termid=27069</v>
      </c>
      <c r="Q4469" s="16">
        <v>71504</v>
      </c>
    </row>
    <row r="4470" spans="1:17" ht="72" x14ac:dyDescent="0.3">
      <c r="A4470" s="16" t="s">
        <v>7766</v>
      </c>
      <c r="B4470" s="16" t="s">
        <v>7773</v>
      </c>
      <c r="C4470" s="16" t="s">
        <v>7775</v>
      </c>
      <c r="D4470" s="16" t="s">
        <v>7597</v>
      </c>
      <c r="E4470" s="16" t="s">
        <v>833</v>
      </c>
      <c r="F4470" s="16" t="s">
        <v>834</v>
      </c>
      <c r="G4470" s="16" t="s">
        <v>8332</v>
      </c>
      <c r="H4470" s="16"/>
      <c r="I4470" s="16"/>
      <c r="J4470" s="16"/>
      <c r="K4470" s="16"/>
      <c r="L4470" s="16"/>
      <c r="M4470" s="19" t="s">
        <v>835</v>
      </c>
      <c r="N4470" s="16"/>
      <c r="O4470" s="16" t="s">
        <v>836</v>
      </c>
      <c r="P4470" s="16" t="str">
        <f>HYPERLINK("https://ceds.ed.gov/cedselementdetails.aspx?termid=27513")</f>
        <v>https://ceds.ed.gov/cedselementdetails.aspx?termid=27513</v>
      </c>
      <c r="Q4470" s="16">
        <v>73790</v>
      </c>
    </row>
    <row r="4471" spans="1:17" ht="28.8" x14ac:dyDescent="0.3">
      <c r="A4471" s="16" t="s">
        <v>7766</v>
      </c>
      <c r="B4471" s="16" t="s">
        <v>7773</v>
      </c>
      <c r="C4471" s="16" t="s">
        <v>7775</v>
      </c>
      <c r="D4471" s="16" t="s">
        <v>7597</v>
      </c>
      <c r="E4471" s="16" t="s">
        <v>837</v>
      </c>
      <c r="F4471" s="16" t="s">
        <v>838</v>
      </c>
      <c r="G4471" s="16" t="s">
        <v>32</v>
      </c>
      <c r="H4471" s="16" t="s">
        <v>779</v>
      </c>
      <c r="I4471" s="16"/>
      <c r="J4471" s="16" t="s">
        <v>145</v>
      </c>
      <c r="K4471" s="16"/>
      <c r="L4471" s="16"/>
      <c r="M4471" s="19" t="s">
        <v>839</v>
      </c>
      <c r="N4471" s="16"/>
      <c r="O4471" s="16" t="s">
        <v>840</v>
      </c>
      <c r="P4471" s="16" t="str">
        <f>HYPERLINK("https://ceds.ed.gov/cedselementdetails.aspx?termid=26700")</f>
        <v>https://ceds.ed.gov/cedselementdetails.aspx?termid=26700</v>
      </c>
      <c r="Q4471" s="16">
        <v>71226</v>
      </c>
    </row>
    <row r="4472" spans="1:17" ht="43.2" x14ac:dyDescent="0.3">
      <c r="A4472" s="16" t="s">
        <v>7766</v>
      </c>
      <c r="B4472" s="16" t="s">
        <v>7773</v>
      </c>
      <c r="C4472" s="16" t="s">
        <v>7775</v>
      </c>
      <c r="D4472" s="16" t="s">
        <v>7597</v>
      </c>
      <c r="E4472" s="16" t="s">
        <v>6039</v>
      </c>
      <c r="F4472" s="16" t="s">
        <v>6040</v>
      </c>
      <c r="G4472" s="16" t="s">
        <v>8795</v>
      </c>
      <c r="H4472" s="16" t="s">
        <v>214</v>
      </c>
      <c r="I4472" s="16"/>
      <c r="J4472" s="16"/>
      <c r="K4472" s="16"/>
      <c r="L4472" s="16"/>
      <c r="M4472" s="19" t="s">
        <v>6042</v>
      </c>
      <c r="N4472" s="16"/>
      <c r="O4472" s="16" t="s">
        <v>6043</v>
      </c>
      <c r="P4472" s="16" t="str">
        <f>HYPERLINK("https://ceds.ed.gov/cedselementdetails.aspx?termid=26565")</f>
        <v>https://ceds.ed.gov/cedselementdetails.aspx?termid=26565</v>
      </c>
      <c r="Q4472" s="16">
        <v>71225</v>
      </c>
    </row>
    <row r="4473" spans="1:17" ht="115.2" x14ac:dyDescent="0.3">
      <c r="A4473" s="16" t="s">
        <v>7766</v>
      </c>
      <c r="B4473" s="16" t="s">
        <v>7773</v>
      </c>
      <c r="C4473" s="16" t="s">
        <v>7775</v>
      </c>
      <c r="D4473" s="16" t="s">
        <v>7597</v>
      </c>
      <c r="E4473" s="16" t="s">
        <v>830</v>
      </c>
      <c r="F4473" s="16" t="s">
        <v>7848</v>
      </c>
      <c r="G4473" s="16" t="s">
        <v>22</v>
      </c>
      <c r="H4473" s="16"/>
      <c r="I4473" s="16"/>
      <c r="J4473" s="16"/>
      <c r="K4473" s="16"/>
      <c r="L4473" s="16"/>
      <c r="M4473" s="19" t="s">
        <v>831</v>
      </c>
      <c r="N4473" s="16"/>
      <c r="O4473" s="16" t="s">
        <v>832</v>
      </c>
      <c r="P4473" s="16" t="str">
        <f>HYPERLINK("https://ceds.ed.gov/cedselementdetails.aspx?termid=26955")</f>
        <v>https://ceds.ed.gov/cedselementdetails.aspx?termid=26955</v>
      </c>
      <c r="Q4473" s="16">
        <v>71413</v>
      </c>
    </row>
    <row r="4474" spans="1:17" ht="57.6" x14ac:dyDescent="0.3">
      <c r="A4474" s="16" t="s">
        <v>7766</v>
      </c>
      <c r="B4474" s="16" t="s">
        <v>7773</v>
      </c>
      <c r="C4474" s="16" t="s">
        <v>7775</v>
      </c>
      <c r="D4474" s="16" t="s">
        <v>7597</v>
      </c>
      <c r="E4474" s="16" t="s">
        <v>806</v>
      </c>
      <c r="F4474" s="16" t="s">
        <v>807</v>
      </c>
      <c r="G4474" s="16" t="s">
        <v>32</v>
      </c>
      <c r="H4474" s="16" t="s">
        <v>779</v>
      </c>
      <c r="I4474" s="16"/>
      <c r="J4474" s="16" t="s">
        <v>101</v>
      </c>
      <c r="K4474" s="16"/>
      <c r="L4474" s="16"/>
      <c r="M4474" s="19" t="s">
        <v>808</v>
      </c>
      <c r="N4474" s="16"/>
      <c r="O4474" s="16" t="s">
        <v>809</v>
      </c>
      <c r="P4474" s="16" t="str">
        <f>HYPERLINK("https://ceds.ed.gov/cedselementdetails.aspx?termid=26891")</f>
        <v>https://ceds.ed.gov/cedselementdetails.aspx?termid=26891</v>
      </c>
      <c r="Q4474" s="16">
        <v>72342</v>
      </c>
    </row>
    <row r="4475" spans="1:17" ht="43.2" x14ac:dyDescent="0.3">
      <c r="A4475" s="16" t="s">
        <v>7766</v>
      </c>
      <c r="B4475" s="16" t="s">
        <v>7773</v>
      </c>
      <c r="C4475" s="16" t="s">
        <v>7775</v>
      </c>
      <c r="D4475" s="16" t="s">
        <v>7597</v>
      </c>
      <c r="E4475" s="16" t="s">
        <v>810</v>
      </c>
      <c r="F4475" s="16" t="s">
        <v>811</v>
      </c>
      <c r="G4475" s="16" t="s">
        <v>32</v>
      </c>
      <c r="H4475" s="16"/>
      <c r="I4475" s="16"/>
      <c r="J4475" s="16" t="s">
        <v>812</v>
      </c>
      <c r="K4475" s="16"/>
      <c r="L4475" s="16"/>
      <c r="M4475" s="19" t="s">
        <v>813</v>
      </c>
      <c r="N4475" s="16"/>
      <c r="O4475" s="16" t="s">
        <v>814</v>
      </c>
      <c r="P4475" s="16" t="str">
        <f>HYPERLINK("https://ceds.ed.gov/cedselementdetails.aspx?termid=27512")</f>
        <v>https://ceds.ed.gov/cedselementdetails.aspx?termid=27512</v>
      </c>
      <c r="Q4475" s="16">
        <v>73786</v>
      </c>
    </row>
    <row r="4476" spans="1:17" ht="43.2" x14ac:dyDescent="0.3">
      <c r="A4476" s="16" t="s">
        <v>7766</v>
      </c>
      <c r="B4476" s="16" t="s">
        <v>7773</v>
      </c>
      <c r="C4476" s="16" t="s">
        <v>7775</v>
      </c>
      <c r="D4476" s="16" t="s">
        <v>7597</v>
      </c>
      <c r="E4476" s="16" t="s">
        <v>1231</v>
      </c>
      <c r="F4476" s="16" t="s">
        <v>1232</v>
      </c>
      <c r="G4476" s="16" t="s">
        <v>32</v>
      </c>
      <c r="H4476" s="16"/>
      <c r="I4476" s="16"/>
      <c r="J4476" s="16" t="s">
        <v>812</v>
      </c>
      <c r="K4476" s="16"/>
      <c r="L4476" s="16"/>
      <c r="M4476" s="19" t="s">
        <v>1234</v>
      </c>
      <c r="N4476" s="16"/>
      <c r="O4476" s="16" t="s">
        <v>1235</v>
      </c>
      <c r="P4476" s="16" t="str">
        <f>HYPERLINK("https://ceds.ed.gov/cedselementdetails.aspx?termid=27520")</f>
        <v>https://ceds.ed.gov/cedselementdetails.aspx?termid=27520</v>
      </c>
      <c r="Q4476" s="16">
        <v>73817</v>
      </c>
    </row>
    <row r="4477" spans="1:17" ht="100.8" x14ac:dyDescent="0.3">
      <c r="A4477" s="16" t="s">
        <v>7766</v>
      </c>
      <c r="B4477" s="16" t="s">
        <v>7773</v>
      </c>
      <c r="C4477" s="16" t="s">
        <v>7776</v>
      </c>
      <c r="D4477" s="16" t="s">
        <v>7597</v>
      </c>
      <c r="E4477" s="16" t="s">
        <v>870</v>
      </c>
      <c r="F4477" s="16" t="s">
        <v>871</v>
      </c>
      <c r="G4477" s="16" t="s">
        <v>32</v>
      </c>
      <c r="H4477" s="16"/>
      <c r="I4477" s="16"/>
      <c r="J4477" s="16" t="s">
        <v>136</v>
      </c>
      <c r="K4477" s="16"/>
      <c r="L4477" s="16"/>
      <c r="M4477" s="19" t="s">
        <v>872</v>
      </c>
      <c r="N4477" s="16"/>
      <c r="O4477" s="16" t="s">
        <v>873</v>
      </c>
      <c r="P4477" s="16" t="str">
        <f>HYPERLINK("https://ceds.ed.gov/cedselementdetails.aspx?termid=27217")</f>
        <v>https://ceds.ed.gov/cedselementdetails.aspx?termid=27217</v>
      </c>
      <c r="Q4477" s="16">
        <v>72092</v>
      </c>
    </row>
    <row r="4478" spans="1:17" ht="72" x14ac:dyDescent="0.3">
      <c r="A4478" s="16" t="s">
        <v>7766</v>
      </c>
      <c r="B4478" s="16" t="s">
        <v>7773</v>
      </c>
      <c r="C4478" s="16" t="s">
        <v>7776</v>
      </c>
      <c r="D4478" s="16" t="s">
        <v>7597</v>
      </c>
      <c r="E4478" s="16" t="s">
        <v>874</v>
      </c>
      <c r="F4478" s="16" t="s">
        <v>7850</v>
      </c>
      <c r="G4478" s="16" t="s">
        <v>32</v>
      </c>
      <c r="H4478" s="16"/>
      <c r="I4478" s="16"/>
      <c r="J4478" s="16" t="s">
        <v>136</v>
      </c>
      <c r="K4478" s="16"/>
      <c r="L4478" s="16"/>
      <c r="M4478" s="19" t="s">
        <v>875</v>
      </c>
      <c r="N4478" s="16"/>
      <c r="O4478" s="16" t="s">
        <v>876</v>
      </c>
      <c r="P4478" s="16" t="str">
        <f>HYPERLINK("https://ceds.ed.gov/cedselementdetails.aspx?termid=27218")</f>
        <v>https://ceds.ed.gov/cedselementdetails.aspx?termid=27218</v>
      </c>
      <c r="Q4478" s="16">
        <v>72094</v>
      </c>
    </row>
    <row r="4479" spans="1:17" ht="115.2" x14ac:dyDescent="0.3">
      <c r="A4479" s="16" t="s">
        <v>7766</v>
      </c>
      <c r="B4479" s="16" t="s">
        <v>7773</v>
      </c>
      <c r="C4479" s="16" t="s">
        <v>7776</v>
      </c>
      <c r="D4479" s="16" t="s">
        <v>7597</v>
      </c>
      <c r="E4479" s="16" t="s">
        <v>899</v>
      </c>
      <c r="F4479" s="16" t="s">
        <v>900</v>
      </c>
      <c r="G4479" s="16" t="s">
        <v>8335</v>
      </c>
      <c r="H4479" s="16"/>
      <c r="I4479" s="16"/>
      <c r="J4479" s="16"/>
      <c r="K4479" s="16"/>
      <c r="L4479" s="16"/>
      <c r="M4479" s="19" t="s">
        <v>901</v>
      </c>
      <c r="N4479" s="16"/>
      <c r="O4479" s="16" t="s">
        <v>902</v>
      </c>
      <c r="P4479" s="16" t="str">
        <f>HYPERLINK("https://ceds.ed.gov/cedselementdetails.aspx?termid=27219")</f>
        <v>https://ceds.ed.gov/cedselementdetails.aspx?termid=27219</v>
      </c>
      <c r="Q4479" s="16">
        <v>72096</v>
      </c>
    </row>
    <row r="4480" spans="1:17" ht="115.2" x14ac:dyDescent="0.3">
      <c r="A4480" s="16" t="s">
        <v>7766</v>
      </c>
      <c r="B4480" s="16" t="s">
        <v>7773</v>
      </c>
      <c r="C4480" s="16" t="s">
        <v>7776</v>
      </c>
      <c r="D4480" s="16" t="s">
        <v>7597</v>
      </c>
      <c r="E4480" s="16" t="s">
        <v>877</v>
      </c>
      <c r="F4480" s="16" t="s">
        <v>878</v>
      </c>
      <c r="G4480" s="16" t="s">
        <v>32</v>
      </c>
      <c r="H4480" s="16"/>
      <c r="I4480" s="16"/>
      <c r="J4480" s="16" t="s">
        <v>136</v>
      </c>
      <c r="K4480" s="16"/>
      <c r="L4480" s="16"/>
      <c r="M4480" s="19" t="s">
        <v>879</v>
      </c>
      <c r="N4480" s="16"/>
      <c r="O4480" s="16" t="s">
        <v>880</v>
      </c>
      <c r="P4480" s="16" t="str">
        <f>HYPERLINK("https://ceds.ed.gov/cedselementdetails.aspx?termid=27220")</f>
        <v>https://ceds.ed.gov/cedselementdetails.aspx?termid=27220</v>
      </c>
      <c r="Q4480" s="16">
        <v>72098</v>
      </c>
    </row>
    <row r="4481" spans="1:17" ht="86.4" x14ac:dyDescent="0.3">
      <c r="A4481" s="16" t="s">
        <v>7766</v>
      </c>
      <c r="B4481" s="16" t="s">
        <v>7773</v>
      </c>
      <c r="C4481" s="16" t="s">
        <v>7776</v>
      </c>
      <c r="D4481" s="16" t="s">
        <v>7597</v>
      </c>
      <c r="E4481" s="16" t="s">
        <v>881</v>
      </c>
      <c r="F4481" s="16" t="s">
        <v>7851</v>
      </c>
      <c r="G4481" s="16" t="s">
        <v>32</v>
      </c>
      <c r="H4481" s="16"/>
      <c r="I4481" s="16"/>
      <c r="J4481" s="16" t="s">
        <v>136</v>
      </c>
      <c r="K4481" s="16"/>
      <c r="L4481" s="16"/>
      <c r="M4481" s="19" t="s">
        <v>882</v>
      </c>
      <c r="N4481" s="16"/>
      <c r="O4481" s="16" t="s">
        <v>883</v>
      </c>
      <c r="P4481" s="16" t="str">
        <f>HYPERLINK("https://ceds.ed.gov/cedselementdetails.aspx?termid=27221")</f>
        <v>https://ceds.ed.gov/cedselementdetails.aspx?termid=27221</v>
      </c>
      <c r="Q4481" s="16">
        <v>72100</v>
      </c>
    </row>
    <row r="4482" spans="1:17" ht="86.4" x14ac:dyDescent="0.3">
      <c r="A4482" s="16" t="s">
        <v>7766</v>
      </c>
      <c r="B4482" s="16" t="s">
        <v>7773</v>
      </c>
      <c r="C4482" s="16" t="s">
        <v>7776</v>
      </c>
      <c r="D4482" s="16" t="s">
        <v>7597</v>
      </c>
      <c r="E4482" s="16" t="s">
        <v>884</v>
      </c>
      <c r="F4482" s="16" t="s">
        <v>7852</v>
      </c>
      <c r="G4482" s="16" t="s">
        <v>32</v>
      </c>
      <c r="H4482" s="16"/>
      <c r="I4482" s="16"/>
      <c r="J4482" s="16" t="s">
        <v>136</v>
      </c>
      <c r="K4482" s="16"/>
      <c r="L4482" s="16"/>
      <c r="M4482" s="19" t="s">
        <v>885</v>
      </c>
      <c r="N4482" s="16"/>
      <c r="O4482" s="16" t="s">
        <v>886</v>
      </c>
      <c r="P4482" s="16" t="str">
        <f>HYPERLINK("https://ceds.ed.gov/cedselementdetails.aspx?termid=27222")</f>
        <v>https://ceds.ed.gov/cedselementdetails.aspx?termid=27222</v>
      </c>
      <c r="Q4482" s="16">
        <v>72102</v>
      </c>
    </row>
    <row r="4483" spans="1:17" ht="86.4" x14ac:dyDescent="0.3">
      <c r="A4483" s="16" t="s">
        <v>7766</v>
      </c>
      <c r="B4483" s="16" t="s">
        <v>7773</v>
      </c>
      <c r="C4483" s="16" t="s">
        <v>7776</v>
      </c>
      <c r="D4483" s="16" t="s">
        <v>7597</v>
      </c>
      <c r="E4483" s="16" t="s">
        <v>887</v>
      </c>
      <c r="F4483" s="16" t="s">
        <v>7853</v>
      </c>
      <c r="G4483" s="16" t="s">
        <v>32</v>
      </c>
      <c r="H4483" s="16"/>
      <c r="I4483" s="16"/>
      <c r="J4483" s="16" t="s">
        <v>136</v>
      </c>
      <c r="K4483" s="16"/>
      <c r="L4483" s="16"/>
      <c r="M4483" s="19" t="s">
        <v>888</v>
      </c>
      <c r="N4483" s="16"/>
      <c r="O4483" s="16" t="s">
        <v>889</v>
      </c>
      <c r="P4483" s="16" t="str">
        <f>HYPERLINK("https://ceds.ed.gov/cedselementdetails.aspx?termid=27223")</f>
        <v>https://ceds.ed.gov/cedselementdetails.aspx?termid=27223</v>
      </c>
      <c r="Q4483" s="16">
        <v>72104</v>
      </c>
    </row>
    <row r="4484" spans="1:17" ht="86.4" x14ac:dyDescent="0.3">
      <c r="A4484" s="16" t="s">
        <v>7766</v>
      </c>
      <c r="B4484" s="16" t="s">
        <v>7773</v>
      </c>
      <c r="C4484" s="16" t="s">
        <v>7776</v>
      </c>
      <c r="D4484" s="16" t="s">
        <v>7597</v>
      </c>
      <c r="E4484" s="16" t="s">
        <v>890</v>
      </c>
      <c r="F4484" s="16" t="s">
        <v>7854</v>
      </c>
      <c r="G4484" s="16" t="s">
        <v>32</v>
      </c>
      <c r="H4484" s="16"/>
      <c r="I4484" s="16"/>
      <c r="J4484" s="16" t="s">
        <v>136</v>
      </c>
      <c r="K4484" s="16"/>
      <c r="L4484" s="16"/>
      <c r="M4484" s="19" t="s">
        <v>891</v>
      </c>
      <c r="N4484" s="16"/>
      <c r="O4484" s="16" t="s">
        <v>892</v>
      </c>
      <c r="P4484" s="16" t="str">
        <f>HYPERLINK("https://ceds.ed.gov/cedselementdetails.aspx?termid=27224")</f>
        <v>https://ceds.ed.gov/cedselementdetails.aspx?termid=27224</v>
      </c>
      <c r="Q4484" s="16">
        <v>72106</v>
      </c>
    </row>
    <row r="4485" spans="1:17" ht="86.4" x14ac:dyDescent="0.3">
      <c r="A4485" s="16" t="s">
        <v>7766</v>
      </c>
      <c r="B4485" s="16" t="s">
        <v>7773</v>
      </c>
      <c r="C4485" s="16" t="s">
        <v>7776</v>
      </c>
      <c r="D4485" s="16" t="s">
        <v>7597</v>
      </c>
      <c r="E4485" s="16" t="s">
        <v>893</v>
      </c>
      <c r="F4485" s="16" t="s">
        <v>7855</v>
      </c>
      <c r="G4485" s="16" t="s">
        <v>32</v>
      </c>
      <c r="H4485" s="16"/>
      <c r="I4485" s="16"/>
      <c r="J4485" s="16" t="s">
        <v>136</v>
      </c>
      <c r="K4485" s="16"/>
      <c r="L4485" s="16"/>
      <c r="M4485" s="19" t="s">
        <v>894</v>
      </c>
      <c r="N4485" s="16"/>
      <c r="O4485" s="16" t="s">
        <v>895</v>
      </c>
      <c r="P4485" s="16" t="str">
        <f>HYPERLINK("https://ceds.ed.gov/cedselementdetails.aspx?termid=27225")</f>
        <v>https://ceds.ed.gov/cedselementdetails.aspx?termid=27225</v>
      </c>
      <c r="Q4485" s="16">
        <v>72108</v>
      </c>
    </row>
    <row r="4486" spans="1:17" ht="86.4" x14ac:dyDescent="0.3">
      <c r="A4486" s="16" t="s">
        <v>7766</v>
      </c>
      <c r="B4486" s="16" t="s">
        <v>7773</v>
      </c>
      <c r="C4486" s="16" t="s">
        <v>7776</v>
      </c>
      <c r="D4486" s="16" t="s">
        <v>7597</v>
      </c>
      <c r="E4486" s="16" t="s">
        <v>896</v>
      </c>
      <c r="F4486" s="16" t="s">
        <v>7856</v>
      </c>
      <c r="G4486" s="16" t="s">
        <v>32</v>
      </c>
      <c r="H4486" s="16"/>
      <c r="I4486" s="16"/>
      <c r="J4486" s="16" t="s">
        <v>136</v>
      </c>
      <c r="K4486" s="16"/>
      <c r="L4486" s="16"/>
      <c r="M4486" s="19" t="s">
        <v>897</v>
      </c>
      <c r="N4486" s="16"/>
      <c r="O4486" s="16" t="s">
        <v>898</v>
      </c>
      <c r="P4486" s="16" t="str">
        <f>HYPERLINK("https://ceds.ed.gov/cedselementdetails.aspx?termid=27226")</f>
        <v>https://ceds.ed.gov/cedselementdetails.aspx?termid=27226</v>
      </c>
      <c r="Q4486" s="16">
        <v>72110</v>
      </c>
    </row>
    <row r="4487" spans="1:17" ht="43.2" x14ac:dyDescent="0.3">
      <c r="A4487" s="16" t="s">
        <v>7766</v>
      </c>
      <c r="B4487" s="16" t="s">
        <v>7773</v>
      </c>
      <c r="C4487" s="16" t="s">
        <v>7776</v>
      </c>
      <c r="D4487" s="16" t="s">
        <v>7597</v>
      </c>
      <c r="E4487" s="16" t="s">
        <v>903</v>
      </c>
      <c r="F4487" s="16" t="s">
        <v>12973</v>
      </c>
      <c r="G4487" s="16" t="s">
        <v>32</v>
      </c>
      <c r="H4487" s="16"/>
      <c r="I4487" s="16"/>
      <c r="J4487" s="16" t="s">
        <v>136</v>
      </c>
      <c r="K4487" s="16"/>
      <c r="L4487" s="16"/>
      <c r="M4487" s="19" t="s">
        <v>904</v>
      </c>
      <c r="N4487" s="16"/>
      <c r="O4487" s="16" t="s">
        <v>905</v>
      </c>
      <c r="P4487" s="16" t="str">
        <f>HYPERLINK("https://ceds.ed.gov/cedselementdetails.aspx?termid=27228")</f>
        <v>https://ceds.ed.gov/cedselementdetails.aspx?termid=27228</v>
      </c>
      <c r="Q4487" s="16">
        <v>73026</v>
      </c>
    </row>
    <row r="4488" spans="1:17" ht="144" x14ac:dyDescent="0.3">
      <c r="A4488" s="16" t="s">
        <v>7766</v>
      </c>
      <c r="B4488" s="16" t="s">
        <v>7773</v>
      </c>
      <c r="C4488" s="16" t="s">
        <v>7776</v>
      </c>
      <c r="D4488" s="16" t="s">
        <v>7597</v>
      </c>
      <c r="E4488" s="16" t="s">
        <v>858</v>
      </c>
      <c r="F4488" s="16" t="s">
        <v>7849</v>
      </c>
      <c r="G4488" s="16" t="s">
        <v>32</v>
      </c>
      <c r="H4488" s="16"/>
      <c r="I4488" s="16"/>
      <c r="J4488" s="16" t="s">
        <v>136</v>
      </c>
      <c r="K4488" s="16"/>
      <c r="L4488" s="16"/>
      <c r="M4488" s="19" t="s">
        <v>860</v>
      </c>
      <c r="N4488" s="16"/>
      <c r="O4488" s="16" t="s">
        <v>861</v>
      </c>
      <c r="P4488" s="16" t="str">
        <f>HYPERLINK("https://ceds.ed.gov/cedselementdetails.aspx?termid=27230")</f>
        <v>https://ceds.ed.gov/cedselementdetails.aspx?termid=27230</v>
      </c>
      <c r="Q4488" s="16">
        <v>72118</v>
      </c>
    </row>
    <row r="4489" spans="1:17" ht="28.8" x14ac:dyDescent="0.3">
      <c r="A4489" s="16" t="s">
        <v>7766</v>
      </c>
      <c r="B4489" s="16" t="s">
        <v>7773</v>
      </c>
      <c r="C4489" s="16" t="s">
        <v>7776</v>
      </c>
      <c r="D4489" s="16" t="s">
        <v>7597</v>
      </c>
      <c r="E4489" s="16" t="s">
        <v>866</v>
      </c>
      <c r="F4489" s="16" t="s">
        <v>867</v>
      </c>
      <c r="G4489" s="16" t="s">
        <v>32</v>
      </c>
      <c r="H4489" s="16"/>
      <c r="I4489" s="16"/>
      <c r="J4489" s="16" t="s">
        <v>136</v>
      </c>
      <c r="K4489" s="16"/>
      <c r="L4489" s="16"/>
      <c r="M4489" s="19" t="s">
        <v>868</v>
      </c>
      <c r="N4489" s="16"/>
      <c r="O4489" s="16" t="s">
        <v>869</v>
      </c>
      <c r="P4489" s="16" t="str">
        <f>HYPERLINK("https://ceds.ed.gov/cedselementdetails.aspx?termid=27231")</f>
        <v>https://ceds.ed.gov/cedselementdetails.aspx?termid=27231</v>
      </c>
      <c r="Q4489" s="16">
        <v>72120</v>
      </c>
    </row>
    <row r="4490" spans="1:17" ht="57.6" x14ac:dyDescent="0.3">
      <c r="A4490" s="16" t="s">
        <v>7766</v>
      </c>
      <c r="B4490" s="16" t="s">
        <v>7773</v>
      </c>
      <c r="C4490" s="16" t="s">
        <v>7776</v>
      </c>
      <c r="D4490" s="16" t="s">
        <v>7597</v>
      </c>
      <c r="E4490" s="16" t="s">
        <v>862</v>
      </c>
      <c r="F4490" s="16" t="s">
        <v>863</v>
      </c>
      <c r="G4490" s="16" t="s">
        <v>8334</v>
      </c>
      <c r="H4490" s="16"/>
      <c r="I4490" s="16"/>
      <c r="J4490" s="16"/>
      <c r="K4490" s="16"/>
      <c r="L4490" s="16"/>
      <c r="M4490" s="19" t="s">
        <v>864</v>
      </c>
      <c r="N4490" s="16"/>
      <c r="O4490" s="16" t="s">
        <v>865</v>
      </c>
      <c r="P4490" s="16" t="str">
        <f>HYPERLINK("https://ceds.ed.gov/cedselementdetails.aspx?termid=27232")</f>
        <v>https://ceds.ed.gov/cedselementdetails.aspx?termid=27232</v>
      </c>
      <c r="Q4490" s="16">
        <v>72122</v>
      </c>
    </row>
    <row r="4491" spans="1:17" ht="86.4" x14ac:dyDescent="0.3">
      <c r="A4491" s="16" t="s">
        <v>7766</v>
      </c>
      <c r="B4491" s="16" t="s">
        <v>7773</v>
      </c>
      <c r="C4491" s="16" t="s">
        <v>7777</v>
      </c>
      <c r="D4491" s="16" t="s">
        <v>7597</v>
      </c>
      <c r="E4491" s="16" t="s">
        <v>651</v>
      </c>
      <c r="F4491" s="16" t="s">
        <v>7842</v>
      </c>
      <c r="G4491" s="16" t="s">
        <v>32</v>
      </c>
      <c r="H4491" s="16"/>
      <c r="I4491" s="16"/>
      <c r="J4491" s="16" t="s">
        <v>316</v>
      </c>
      <c r="K4491" s="16"/>
      <c r="L4491" s="16"/>
      <c r="M4491" s="19" t="s">
        <v>653</v>
      </c>
      <c r="N4491" s="16"/>
      <c r="O4491" s="16" t="s">
        <v>654</v>
      </c>
      <c r="P4491" s="16" t="str">
        <f>HYPERLINK("https://ceds.ed.gov/cedselementdetails.aspx?termid=27079")</f>
        <v>https://ceds.ed.gov/cedselementdetails.aspx?termid=27079</v>
      </c>
      <c r="Q4491" s="16">
        <v>71520</v>
      </c>
    </row>
    <row r="4492" spans="1:17" ht="28.8" x14ac:dyDescent="0.3">
      <c r="A4492" s="16" t="s">
        <v>7766</v>
      </c>
      <c r="B4492" s="16" t="s">
        <v>7773</v>
      </c>
      <c r="C4492" s="16" t="s">
        <v>7778</v>
      </c>
      <c r="D4492" s="16" t="s">
        <v>7597</v>
      </c>
      <c r="E4492" s="16" t="s">
        <v>736</v>
      </c>
      <c r="F4492" s="16" t="s">
        <v>737</v>
      </c>
      <c r="G4492" s="16" t="s">
        <v>32</v>
      </c>
      <c r="H4492" s="16"/>
      <c r="I4492" s="16"/>
      <c r="J4492" s="16" t="s">
        <v>81</v>
      </c>
      <c r="K4492" s="16"/>
      <c r="L4492" s="16"/>
      <c r="M4492" s="19" t="s">
        <v>738</v>
      </c>
      <c r="N4492" s="16"/>
      <c r="O4492" s="16" t="s">
        <v>739</v>
      </c>
      <c r="P4492" s="16" t="str">
        <f>HYPERLINK("https://ceds.ed.gov/cedselementdetails.aspx?termid=26685")</f>
        <v>https://ceds.ed.gov/cedselementdetails.aspx?termid=26685</v>
      </c>
      <c r="Q4492" s="16">
        <v>71205</v>
      </c>
    </row>
    <row r="4493" spans="1:17" ht="259.2" x14ac:dyDescent="0.3">
      <c r="A4493" s="16" t="s">
        <v>7766</v>
      </c>
      <c r="B4493" s="16" t="s">
        <v>7773</v>
      </c>
      <c r="C4493" s="16" t="s">
        <v>7778</v>
      </c>
      <c r="D4493" s="16" t="s">
        <v>7597</v>
      </c>
      <c r="E4493" s="16" t="s">
        <v>731</v>
      </c>
      <c r="F4493" s="16" t="s">
        <v>732</v>
      </c>
      <c r="G4493" s="16" t="s">
        <v>8330</v>
      </c>
      <c r="H4493" s="16" t="s">
        <v>605</v>
      </c>
      <c r="I4493" s="16"/>
      <c r="J4493" s="16"/>
      <c r="K4493" s="16"/>
      <c r="L4493" s="16"/>
      <c r="M4493" s="19" t="s">
        <v>734</v>
      </c>
      <c r="N4493" s="16"/>
      <c r="O4493" s="16" t="s">
        <v>735</v>
      </c>
      <c r="P4493" s="16" t="str">
        <f>HYPERLINK("https://ceds.ed.gov/cedselementdetails.aspx?termid=26384")</f>
        <v>https://ceds.ed.gov/cedselementdetails.aspx?termid=26384</v>
      </c>
      <c r="Q4493" s="16">
        <v>71195</v>
      </c>
    </row>
    <row r="4494" spans="1:17" ht="172.8" x14ac:dyDescent="0.3">
      <c r="A4494" s="16" t="s">
        <v>7766</v>
      </c>
      <c r="B4494" s="16" t="s">
        <v>7773</v>
      </c>
      <c r="C4494" s="16" t="s">
        <v>7779</v>
      </c>
      <c r="D4494" s="16" t="s">
        <v>7597</v>
      </c>
      <c r="E4494" s="16" t="s">
        <v>6417</v>
      </c>
      <c r="F4494" s="16" t="s">
        <v>6418</v>
      </c>
      <c r="G4494" s="16" t="s">
        <v>32</v>
      </c>
      <c r="H4494" s="16" t="s">
        <v>605</v>
      </c>
      <c r="I4494" s="16"/>
      <c r="J4494" s="16" t="s">
        <v>120</v>
      </c>
      <c r="K4494" s="16"/>
      <c r="L4494" s="16" t="s">
        <v>7817</v>
      </c>
      <c r="M4494" s="19" t="s">
        <v>6419</v>
      </c>
      <c r="N4494" s="16"/>
      <c r="O4494" s="16" t="s">
        <v>6420</v>
      </c>
      <c r="P4494" s="16" t="str">
        <f>HYPERLINK("https://ceds.ed.gov/cedselementdetails.aspx?termid=26412")</f>
        <v>https://ceds.ed.gov/cedselementdetails.aspx?termid=26412</v>
      </c>
      <c r="Q4494" s="16">
        <v>72419</v>
      </c>
    </row>
    <row r="4495" spans="1:17" ht="28.8" x14ac:dyDescent="0.3">
      <c r="A4495" s="16" t="s">
        <v>7766</v>
      </c>
      <c r="B4495" s="16" t="s">
        <v>7773</v>
      </c>
      <c r="C4495" s="16" t="s">
        <v>7779</v>
      </c>
      <c r="D4495" s="16" t="s">
        <v>7597</v>
      </c>
      <c r="E4495" s="16" t="s">
        <v>6421</v>
      </c>
      <c r="F4495" s="16" t="s">
        <v>6422</v>
      </c>
      <c r="G4495" s="16" t="s">
        <v>32</v>
      </c>
      <c r="H4495" s="16" t="s">
        <v>605</v>
      </c>
      <c r="I4495" s="16"/>
      <c r="J4495" s="16" t="s">
        <v>81</v>
      </c>
      <c r="K4495" s="16"/>
      <c r="L4495" s="16"/>
      <c r="M4495" s="19" t="s">
        <v>6423</v>
      </c>
      <c r="N4495" s="16"/>
      <c r="O4495" s="16" t="s">
        <v>6424</v>
      </c>
      <c r="P4495" s="16" t="str">
        <f>HYPERLINK("https://ceds.ed.gov/cedselementdetails.aspx?termid=26411")</f>
        <v>https://ceds.ed.gov/cedselementdetails.aspx?termid=26411</v>
      </c>
      <c r="Q4495" s="16">
        <v>72418</v>
      </c>
    </row>
    <row r="4496" spans="1:17" ht="28.8" x14ac:dyDescent="0.3">
      <c r="A4496" s="16" t="s">
        <v>7766</v>
      </c>
      <c r="B4496" s="16" t="s">
        <v>7773</v>
      </c>
      <c r="C4496" s="16" t="s">
        <v>7779</v>
      </c>
      <c r="D4496" s="16" t="s">
        <v>7597</v>
      </c>
      <c r="E4496" s="16" t="s">
        <v>6413</v>
      </c>
      <c r="F4496" s="16" t="s">
        <v>6414</v>
      </c>
      <c r="G4496" s="16" t="s">
        <v>32</v>
      </c>
      <c r="H4496" s="16"/>
      <c r="I4496" s="16"/>
      <c r="J4496" s="16" t="s">
        <v>316</v>
      </c>
      <c r="K4496" s="16"/>
      <c r="L4496" s="16"/>
      <c r="M4496" s="19" t="s">
        <v>6415</v>
      </c>
      <c r="N4496" s="16"/>
      <c r="O4496" s="16" t="s">
        <v>6416</v>
      </c>
      <c r="P4496" s="16" t="str">
        <f>HYPERLINK("https://ceds.ed.gov/cedselementdetails.aspx?termid=27451")</f>
        <v>https://ceds.ed.gov/cedselementdetails.aspx?termid=27451</v>
      </c>
      <c r="Q4496" s="16">
        <v>73407</v>
      </c>
    </row>
    <row r="4497" spans="1:17" ht="28.8" x14ac:dyDescent="0.3">
      <c r="A4497" s="16" t="s">
        <v>7766</v>
      </c>
      <c r="B4497" s="16" t="s">
        <v>7773</v>
      </c>
      <c r="C4497" s="16" t="s">
        <v>7779</v>
      </c>
      <c r="D4497" s="16" t="s">
        <v>7597</v>
      </c>
      <c r="E4497" s="16" t="s">
        <v>6425</v>
      </c>
      <c r="F4497" s="16" t="s">
        <v>6426</v>
      </c>
      <c r="G4497" s="16" t="s">
        <v>32</v>
      </c>
      <c r="H4497" s="16" t="s">
        <v>605</v>
      </c>
      <c r="I4497" s="16"/>
      <c r="J4497" s="16" t="s">
        <v>50</v>
      </c>
      <c r="K4497" s="16"/>
      <c r="L4497" s="16"/>
      <c r="M4497" s="19" t="s">
        <v>6427</v>
      </c>
      <c r="N4497" s="16"/>
      <c r="O4497" s="16" t="s">
        <v>6428</v>
      </c>
      <c r="P4497" s="16" t="str">
        <f>HYPERLINK("https://ceds.ed.gov/cedselementdetails.aspx?termid=26413")</f>
        <v>https://ceds.ed.gov/cedselementdetails.aspx?termid=26413</v>
      </c>
      <c r="Q4497" s="16">
        <v>72420</v>
      </c>
    </row>
    <row r="4498" spans="1:17" x14ac:dyDescent="0.3">
      <c r="A4498" s="16" t="s">
        <v>7766</v>
      </c>
      <c r="B4498" s="16" t="s">
        <v>7773</v>
      </c>
      <c r="C4498" s="16" t="s">
        <v>7779</v>
      </c>
      <c r="D4498" s="16" t="s">
        <v>7597</v>
      </c>
      <c r="E4498" s="16" t="s">
        <v>6405</v>
      </c>
      <c r="F4498" s="16" t="s">
        <v>6406</v>
      </c>
      <c r="G4498" s="16" t="s">
        <v>32</v>
      </c>
      <c r="H4498" s="16"/>
      <c r="I4498" s="16"/>
      <c r="J4498" s="16" t="s">
        <v>145</v>
      </c>
      <c r="K4498" s="16"/>
      <c r="L4498" s="16"/>
      <c r="M4498" s="19" t="s">
        <v>6407</v>
      </c>
      <c r="N4498" s="16"/>
      <c r="O4498" s="16" t="s">
        <v>6408</v>
      </c>
      <c r="P4498" s="16" t="str">
        <f>HYPERLINK("https://ceds.ed.gov/cedselementdetails.aspx?termid=27449")</f>
        <v>https://ceds.ed.gov/cedselementdetails.aspx?termid=27449</v>
      </c>
      <c r="Q4498" s="16">
        <v>73401</v>
      </c>
    </row>
    <row r="4499" spans="1:17" ht="43.2" x14ac:dyDescent="0.3">
      <c r="A4499" s="16" t="s">
        <v>7766</v>
      </c>
      <c r="B4499" s="16" t="s">
        <v>7773</v>
      </c>
      <c r="C4499" s="16" t="s">
        <v>7779</v>
      </c>
      <c r="D4499" s="16" t="s">
        <v>7597</v>
      </c>
      <c r="E4499" s="16" t="s">
        <v>6379</v>
      </c>
      <c r="F4499" s="16" t="s">
        <v>6380</v>
      </c>
      <c r="G4499" s="16" t="s">
        <v>32</v>
      </c>
      <c r="H4499" s="16"/>
      <c r="I4499" s="16"/>
      <c r="J4499" s="16" t="s">
        <v>316</v>
      </c>
      <c r="K4499" s="16"/>
      <c r="L4499" s="16"/>
      <c r="M4499" s="19" t="s">
        <v>6381</v>
      </c>
      <c r="N4499" s="16"/>
      <c r="O4499" s="16" t="s">
        <v>6382</v>
      </c>
      <c r="P4499" s="16" t="str">
        <f>HYPERLINK("https://ceds.ed.gov/cedselementdetails.aspx?termid=27442")</f>
        <v>https://ceds.ed.gov/cedselementdetails.aspx?termid=27442</v>
      </c>
      <c r="Q4499" s="16">
        <v>73379</v>
      </c>
    </row>
    <row r="4500" spans="1:17" ht="28.8" x14ac:dyDescent="0.3">
      <c r="A4500" s="16" t="s">
        <v>7766</v>
      </c>
      <c r="B4500" s="16" t="s">
        <v>7773</v>
      </c>
      <c r="C4500" s="16" t="s">
        <v>7779</v>
      </c>
      <c r="D4500" s="16" t="s">
        <v>7597</v>
      </c>
      <c r="E4500" s="16" t="s">
        <v>6374</v>
      </c>
      <c r="F4500" s="16" t="s">
        <v>6375</v>
      </c>
      <c r="G4500" s="16" t="s">
        <v>32</v>
      </c>
      <c r="H4500" s="16"/>
      <c r="I4500" s="16"/>
      <c r="J4500" s="16" t="s">
        <v>81</v>
      </c>
      <c r="K4500" s="16"/>
      <c r="L4500" s="16"/>
      <c r="M4500" s="19" t="s">
        <v>6377</v>
      </c>
      <c r="N4500" s="16"/>
      <c r="O4500" s="16" t="s">
        <v>6378</v>
      </c>
      <c r="P4500" s="16" t="str">
        <f>HYPERLINK("https://ceds.ed.gov/cedselementdetails.aspx?termid=27441")</f>
        <v>https://ceds.ed.gov/cedselementdetails.aspx?termid=27441</v>
      </c>
      <c r="Q4500" s="16">
        <v>73376</v>
      </c>
    </row>
    <row r="4501" spans="1:17" ht="43.2" x14ac:dyDescent="0.3">
      <c r="A4501" s="16" t="s">
        <v>7766</v>
      </c>
      <c r="B4501" s="16" t="s">
        <v>7773</v>
      </c>
      <c r="C4501" s="16" t="s">
        <v>7779</v>
      </c>
      <c r="D4501" s="16" t="s">
        <v>7597</v>
      </c>
      <c r="E4501" s="16" t="s">
        <v>6401</v>
      </c>
      <c r="F4501" s="16" t="s">
        <v>6402</v>
      </c>
      <c r="G4501" s="16" t="s">
        <v>32</v>
      </c>
      <c r="H4501" s="16"/>
      <c r="I4501" s="16"/>
      <c r="J4501" s="16" t="s">
        <v>136</v>
      </c>
      <c r="K4501" s="16"/>
      <c r="L4501" s="16"/>
      <c r="M4501" s="19" t="s">
        <v>6403</v>
      </c>
      <c r="N4501" s="16"/>
      <c r="O4501" s="16" t="s">
        <v>6404</v>
      </c>
      <c r="P4501" s="16" t="str">
        <f>HYPERLINK("https://ceds.ed.gov/cedselementdetails.aspx?termid=27448")</f>
        <v>https://ceds.ed.gov/cedselementdetails.aspx?termid=27448</v>
      </c>
      <c r="Q4501" s="16">
        <v>73398</v>
      </c>
    </row>
    <row r="4502" spans="1:17" ht="57.6" x14ac:dyDescent="0.3">
      <c r="A4502" s="16" t="s">
        <v>7766</v>
      </c>
      <c r="B4502" s="16" t="s">
        <v>7773</v>
      </c>
      <c r="C4502" s="16" t="s">
        <v>7779</v>
      </c>
      <c r="D4502" s="16" t="s">
        <v>7597</v>
      </c>
      <c r="E4502" s="16" t="s">
        <v>6383</v>
      </c>
      <c r="F4502" s="16" t="s">
        <v>8129</v>
      </c>
      <c r="G4502" s="16" t="s">
        <v>32</v>
      </c>
      <c r="H4502" s="16"/>
      <c r="I4502" s="16"/>
      <c r="J4502" s="16" t="s">
        <v>316</v>
      </c>
      <c r="K4502" s="16"/>
      <c r="L4502" s="16"/>
      <c r="M4502" s="19" t="s">
        <v>6384</v>
      </c>
      <c r="N4502" s="16"/>
      <c r="O4502" s="16" t="s">
        <v>6385</v>
      </c>
      <c r="P4502" s="16" t="str">
        <f>HYPERLINK("https://ceds.ed.gov/cedselementdetails.aspx?termid=27443")</f>
        <v>https://ceds.ed.gov/cedselementdetails.aspx?termid=27443</v>
      </c>
      <c r="Q4502" s="16">
        <v>73382</v>
      </c>
    </row>
    <row r="4503" spans="1:17" ht="72" x14ac:dyDescent="0.3">
      <c r="A4503" s="16" t="s">
        <v>7766</v>
      </c>
      <c r="B4503" s="16" t="s">
        <v>7773</v>
      </c>
      <c r="C4503" s="16" t="s">
        <v>7779</v>
      </c>
      <c r="D4503" s="16" t="s">
        <v>7597</v>
      </c>
      <c r="E4503" s="16" t="s">
        <v>6386</v>
      </c>
      <c r="F4503" s="16" t="s">
        <v>8130</v>
      </c>
      <c r="G4503" s="16" t="s">
        <v>32</v>
      </c>
      <c r="H4503" s="16"/>
      <c r="I4503" s="16"/>
      <c r="J4503" s="16" t="s">
        <v>316</v>
      </c>
      <c r="K4503" s="16"/>
      <c r="L4503" s="16"/>
      <c r="M4503" s="19" t="s">
        <v>6387</v>
      </c>
      <c r="N4503" s="16"/>
      <c r="O4503" s="16" t="s">
        <v>6388</v>
      </c>
      <c r="P4503" s="16" t="str">
        <f>HYPERLINK("https://ceds.ed.gov/cedselementdetails.aspx?termid=27444")</f>
        <v>https://ceds.ed.gov/cedselementdetails.aspx?termid=27444</v>
      </c>
      <c r="Q4503" s="16">
        <v>73386</v>
      </c>
    </row>
    <row r="4504" spans="1:17" ht="43.2" x14ac:dyDescent="0.3">
      <c r="A4504" s="16" t="s">
        <v>7766</v>
      </c>
      <c r="B4504" s="16" t="s">
        <v>7773</v>
      </c>
      <c r="C4504" s="16" t="s">
        <v>7779</v>
      </c>
      <c r="D4504" s="16" t="s">
        <v>7597</v>
      </c>
      <c r="E4504" s="16" t="s">
        <v>6389</v>
      </c>
      <c r="F4504" s="16" t="s">
        <v>6390</v>
      </c>
      <c r="G4504" s="16" t="s">
        <v>32</v>
      </c>
      <c r="H4504" s="16"/>
      <c r="I4504" s="16"/>
      <c r="J4504" s="16" t="s">
        <v>136</v>
      </c>
      <c r="K4504" s="16"/>
      <c r="L4504" s="16"/>
      <c r="M4504" s="19" t="s">
        <v>6391</v>
      </c>
      <c r="N4504" s="16"/>
      <c r="O4504" s="16" t="s">
        <v>6392</v>
      </c>
      <c r="P4504" s="16" t="str">
        <f>HYPERLINK("https://ceds.ed.gov/cedselementdetails.aspx?termid=27445")</f>
        <v>https://ceds.ed.gov/cedselementdetails.aspx?termid=27445</v>
      </c>
      <c r="Q4504" s="16">
        <v>73389</v>
      </c>
    </row>
    <row r="4505" spans="1:17" ht="43.2" x14ac:dyDescent="0.3">
      <c r="A4505" s="16" t="s">
        <v>7766</v>
      </c>
      <c r="B4505" s="16" t="s">
        <v>7773</v>
      </c>
      <c r="C4505" s="16" t="s">
        <v>7779</v>
      </c>
      <c r="D4505" s="16" t="s">
        <v>7597</v>
      </c>
      <c r="E4505" s="16" t="s">
        <v>6393</v>
      </c>
      <c r="F4505" s="16" t="s">
        <v>6394</v>
      </c>
      <c r="G4505" s="16" t="s">
        <v>32</v>
      </c>
      <c r="H4505" s="16"/>
      <c r="I4505" s="16"/>
      <c r="J4505" s="16" t="s">
        <v>145</v>
      </c>
      <c r="K4505" s="16"/>
      <c r="L4505" s="16"/>
      <c r="M4505" s="19" t="s">
        <v>6395</v>
      </c>
      <c r="N4505" s="16"/>
      <c r="O4505" s="16" t="s">
        <v>6396</v>
      </c>
      <c r="P4505" s="16" t="str">
        <f>HYPERLINK("https://ceds.ed.gov/cedselementdetails.aspx?termid=27446")</f>
        <v>https://ceds.ed.gov/cedselementdetails.aspx?termid=27446</v>
      </c>
      <c r="Q4505" s="16">
        <v>73392</v>
      </c>
    </row>
    <row r="4506" spans="1:17" ht="28.8" x14ac:dyDescent="0.3">
      <c r="A4506" s="16" t="s">
        <v>7766</v>
      </c>
      <c r="B4506" s="16" t="s">
        <v>7773</v>
      </c>
      <c r="C4506" s="16" t="s">
        <v>7779</v>
      </c>
      <c r="D4506" s="16" t="s">
        <v>7597</v>
      </c>
      <c r="E4506" s="16" t="s">
        <v>6397</v>
      </c>
      <c r="F4506" s="16" t="s">
        <v>6398</v>
      </c>
      <c r="G4506" s="16" t="s">
        <v>32</v>
      </c>
      <c r="H4506" s="16"/>
      <c r="I4506" s="16"/>
      <c r="J4506" s="16" t="s">
        <v>136</v>
      </c>
      <c r="K4506" s="16"/>
      <c r="L4506" s="16"/>
      <c r="M4506" s="19" t="s">
        <v>6399</v>
      </c>
      <c r="N4506" s="16"/>
      <c r="O4506" s="16" t="s">
        <v>6400</v>
      </c>
      <c r="P4506" s="16" t="str">
        <f>HYPERLINK("https://ceds.ed.gov/cedselementdetails.aspx?termid=27447")</f>
        <v>https://ceds.ed.gov/cedselementdetails.aspx?termid=27447</v>
      </c>
      <c r="Q4506" s="16">
        <v>73395</v>
      </c>
    </row>
    <row r="4507" spans="1:17" ht="28.8" x14ac:dyDescent="0.3">
      <c r="A4507" s="16" t="s">
        <v>7766</v>
      </c>
      <c r="B4507" s="16" t="s">
        <v>7773</v>
      </c>
      <c r="C4507" s="16" t="s">
        <v>7779</v>
      </c>
      <c r="D4507" s="16" t="s">
        <v>7597</v>
      </c>
      <c r="E4507" s="16" t="s">
        <v>6409</v>
      </c>
      <c r="F4507" s="16" t="s">
        <v>6410</v>
      </c>
      <c r="G4507" s="16" t="s">
        <v>32</v>
      </c>
      <c r="H4507" s="16"/>
      <c r="I4507" s="16"/>
      <c r="J4507" s="16" t="s">
        <v>136</v>
      </c>
      <c r="K4507" s="16"/>
      <c r="L4507" s="16"/>
      <c r="M4507" s="19" t="s">
        <v>6411</v>
      </c>
      <c r="N4507" s="16"/>
      <c r="O4507" s="16" t="s">
        <v>6412</v>
      </c>
      <c r="P4507" s="16" t="str">
        <f>HYPERLINK("https://ceds.ed.gov/cedselementdetails.aspx?termid=27450")</f>
        <v>https://ceds.ed.gov/cedselementdetails.aspx?termid=27450</v>
      </c>
      <c r="Q4507" s="16">
        <v>73404</v>
      </c>
    </row>
    <row r="4508" spans="1:17" ht="43.2" x14ac:dyDescent="0.3">
      <c r="A4508" s="16" t="s">
        <v>7766</v>
      </c>
      <c r="B4508" s="16" t="s">
        <v>7773</v>
      </c>
      <c r="C4508" s="16" t="s">
        <v>7780</v>
      </c>
      <c r="D4508" s="16" t="s">
        <v>7597</v>
      </c>
      <c r="E4508" s="16" t="s">
        <v>595</v>
      </c>
      <c r="F4508" s="16" t="s">
        <v>596</v>
      </c>
      <c r="G4508" s="16" t="s">
        <v>22</v>
      </c>
      <c r="H4508" s="16"/>
      <c r="I4508" s="16"/>
      <c r="J4508" s="16"/>
      <c r="K4508" s="16"/>
      <c r="L4508" s="16"/>
      <c r="M4508" s="19" t="s">
        <v>598</v>
      </c>
      <c r="N4508" s="16"/>
      <c r="O4508" s="16" t="s">
        <v>599</v>
      </c>
      <c r="P4508" s="16" t="str">
        <f>HYPERLINK("https://ceds.ed.gov/cedselementdetails.aspx?termid=27111")</f>
        <v>https://ceds.ed.gov/cedselementdetails.aspx?termid=27111</v>
      </c>
      <c r="Q4508" s="16">
        <v>71553</v>
      </c>
    </row>
    <row r="4509" spans="1:17" ht="172.8" x14ac:dyDescent="0.3">
      <c r="A4509" s="16" t="s">
        <v>7766</v>
      </c>
      <c r="B4509" s="16" t="s">
        <v>7773</v>
      </c>
      <c r="C4509" s="16" t="s">
        <v>7780</v>
      </c>
      <c r="D4509" s="16" t="s">
        <v>7597</v>
      </c>
      <c r="E4509" s="16" t="s">
        <v>606</v>
      </c>
      <c r="F4509" s="16" t="s">
        <v>607</v>
      </c>
      <c r="G4509" s="16" t="s">
        <v>32</v>
      </c>
      <c r="H4509" s="16"/>
      <c r="I4509" s="16"/>
      <c r="J4509" s="16" t="s">
        <v>316</v>
      </c>
      <c r="K4509" s="16"/>
      <c r="L4509" s="16"/>
      <c r="M4509" s="19" t="s">
        <v>608</v>
      </c>
      <c r="N4509" s="16"/>
      <c r="O4509" s="16" t="s">
        <v>609</v>
      </c>
      <c r="P4509" s="16" t="str">
        <f>HYPERLINK("https://ceds.ed.gov/cedselementdetails.aspx?termid=27110")</f>
        <v>https://ceds.ed.gov/cedselementdetails.aspx?termid=27110</v>
      </c>
      <c r="Q4509" s="16">
        <v>71552</v>
      </c>
    </row>
    <row r="4510" spans="1:17" ht="129.6" x14ac:dyDescent="0.3">
      <c r="A4510" s="16" t="s">
        <v>7766</v>
      </c>
      <c r="B4510" s="16" t="s">
        <v>7773</v>
      </c>
      <c r="C4510" s="16" t="s">
        <v>7780</v>
      </c>
      <c r="D4510" s="16" t="s">
        <v>7597</v>
      </c>
      <c r="E4510" s="16" t="s">
        <v>610</v>
      </c>
      <c r="F4510" s="16" t="s">
        <v>611</v>
      </c>
      <c r="G4510" s="16" t="s">
        <v>32</v>
      </c>
      <c r="H4510" s="16"/>
      <c r="I4510" s="16"/>
      <c r="J4510" s="16" t="s">
        <v>316</v>
      </c>
      <c r="K4510" s="16"/>
      <c r="L4510" s="16"/>
      <c r="M4510" s="19" t="s">
        <v>612</v>
      </c>
      <c r="N4510" s="16"/>
      <c r="O4510" s="16" t="s">
        <v>613</v>
      </c>
      <c r="P4510" s="16" t="str">
        <f>HYPERLINK("https://ceds.ed.gov/cedselementdetails.aspx?termid=27109")</f>
        <v>https://ceds.ed.gov/cedselementdetails.aspx?termid=27109</v>
      </c>
      <c r="Q4510" s="16">
        <v>71551</v>
      </c>
    </row>
    <row r="4511" spans="1:17" ht="100.8" x14ac:dyDescent="0.3">
      <c r="A4511" s="16" t="s">
        <v>7766</v>
      </c>
      <c r="B4511" s="16" t="s">
        <v>7773</v>
      </c>
      <c r="C4511" s="16" t="s">
        <v>7780</v>
      </c>
      <c r="D4511" s="16" t="s">
        <v>7597</v>
      </c>
      <c r="E4511" s="16" t="s">
        <v>614</v>
      </c>
      <c r="F4511" s="16" t="s">
        <v>7839</v>
      </c>
      <c r="G4511" s="16" t="s">
        <v>32</v>
      </c>
      <c r="H4511" s="16"/>
      <c r="I4511" s="16"/>
      <c r="J4511" s="16" t="s">
        <v>316</v>
      </c>
      <c r="K4511" s="16"/>
      <c r="L4511" s="16"/>
      <c r="M4511" s="19" t="s">
        <v>615</v>
      </c>
      <c r="N4511" s="16"/>
      <c r="O4511" s="16" t="s">
        <v>616</v>
      </c>
      <c r="P4511" s="16" t="str">
        <f>HYPERLINK("https://ceds.ed.gov/cedselementdetails.aspx?termid=27106")</f>
        <v>https://ceds.ed.gov/cedselementdetails.aspx?termid=27106</v>
      </c>
      <c r="Q4511" s="16">
        <v>71548</v>
      </c>
    </row>
    <row r="4512" spans="1:17" ht="72" x14ac:dyDescent="0.3">
      <c r="A4512" s="16" t="s">
        <v>7766</v>
      </c>
      <c r="B4512" s="16" t="s">
        <v>7773</v>
      </c>
      <c r="C4512" s="16" t="s">
        <v>7780</v>
      </c>
      <c r="D4512" s="16" t="s">
        <v>7597</v>
      </c>
      <c r="E4512" s="16" t="s">
        <v>617</v>
      </c>
      <c r="F4512" s="16" t="s">
        <v>7840</v>
      </c>
      <c r="G4512" s="16" t="s">
        <v>32</v>
      </c>
      <c r="H4512" s="16"/>
      <c r="I4512" s="16"/>
      <c r="J4512" s="16" t="s">
        <v>316</v>
      </c>
      <c r="K4512" s="16"/>
      <c r="L4512" s="16"/>
      <c r="M4512" s="19" t="s">
        <v>618</v>
      </c>
      <c r="N4512" s="16"/>
      <c r="O4512" s="16" t="s">
        <v>619</v>
      </c>
      <c r="P4512" s="16" t="str">
        <f>HYPERLINK("https://ceds.ed.gov/cedselementdetails.aspx?termid=27105")</f>
        <v>https://ceds.ed.gov/cedselementdetails.aspx?termid=27105</v>
      </c>
      <c r="Q4512" s="16">
        <v>71547</v>
      </c>
    </row>
    <row r="4513" spans="1:17" ht="158.4" x14ac:dyDescent="0.3">
      <c r="A4513" s="16" t="s">
        <v>7766</v>
      </c>
      <c r="B4513" s="16" t="s">
        <v>7773</v>
      </c>
      <c r="C4513" s="16" t="s">
        <v>7780</v>
      </c>
      <c r="D4513" s="16" t="s">
        <v>7597</v>
      </c>
      <c r="E4513" s="16" t="s">
        <v>620</v>
      </c>
      <c r="F4513" s="16" t="s">
        <v>621</v>
      </c>
      <c r="G4513" s="16" t="s">
        <v>32</v>
      </c>
      <c r="H4513" s="16"/>
      <c r="I4513" s="16"/>
      <c r="J4513" s="16" t="s">
        <v>50</v>
      </c>
      <c r="K4513" s="16"/>
      <c r="L4513" s="16"/>
      <c r="M4513" s="19" t="s">
        <v>622</v>
      </c>
      <c r="N4513" s="16"/>
      <c r="O4513" s="16" t="s">
        <v>623</v>
      </c>
      <c r="P4513" s="16" t="str">
        <f>HYPERLINK("https://ceds.ed.gov/cedselementdetails.aspx?termid=27103")</f>
        <v>https://ceds.ed.gov/cedselementdetails.aspx?termid=27103</v>
      </c>
      <c r="Q4513" s="16">
        <v>71545</v>
      </c>
    </row>
    <row r="4514" spans="1:17" ht="158.4" x14ac:dyDescent="0.3">
      <c r="A4514" s="16" t="s">
        <v>7766</v>
      </c>
      <c r="B4514" s="16" t="s">
        <v>7773</v>
      </c>
      <c r="C4514" s="16" t="s">
        <v>7780</v>
      </c>
      <c r="D4514" s="16" t="s">
        <v>7597</v>
      </c>
      <c r="E4514" s="16" t="s">
        <v>624</v>
      </c>
      <c r="F4514" s="16" t="s">
        <v>625</v>
      </c>
      <c r="G4514" s="16" t="s">
        <v>32</v>
      </c>
      <c r="H4514" s="16"/>
      <c r="I4514" s="16"/>
      <c r="J4514" s="16" t="s">
        <v>316</v>
      </c>
      <c r="K4514" s="16"/>
      <c r="L4514" s="16"/>
      <c r="M4514" s="19" t="s">
        <v>626</v>
      </c>
      <c r="N4514" s="16"/>
      <c r="O4514" s="16" t="s">
        <v>627</v>
      </c>
      <c r="P4514" s="16" t="str">
        <f>HYPERLINK("https://ceds.ed.gov/cedselementdetails.aspx?termid=27104")</f>
        <v>https://ceds.ed.gov/cedselementdetails.aspx?termid=27104</v>
      </c>
      <c r="Q4514" s="16">
        <v>71546</v>
      </c>
    </row>
    <row r="4515" spans="1:17" ht="158.4" x14ac:dyDescent="0.3">
      <c r="A4515" s="16" t="s">
        <v>7766</v>
      </c>
      <c r="B4515" s="16" t="s">
        <v>7773</v>
      </c>
      <c r="C4515" s="16" t="s">
        <v>7780</v>
      </c>
      <c r="D4515" s="16" t="s">
        <v>7597</v>
      </c>
      <c r="E4515" s="16" t="s">
        <v>628</v>
      </c>
      <c r="F4515" s="16" t="s">
        <v>7841</v>
      </c>
      <c r="G4515" s="16" t="s">
        <v>32</v>
      </c>
      <c r="H4515" s="16"/>
      <c r="I4515" s="16"/>
      <c r="J4515" s="16" t="s">
        <v>316</v>
      </c>
      <c r="K4515" s="16"/>
      <c r="L4515" s="16"/>
      <c r="M4515" s="19" t="s">
        <v>629</v>
      </c>
      <c r="N4515" s="16"/>
      <c r="O4515" s="16" t="s">
        <v>630</v>
      </c>
      <c r="P4515" s="16" t="str">
        <f>HYPERLINK("https://ceds.ed.gov/cedselementdetails.aspx?termid=27107")</f>
        <v>https://ceds.ed.gov/cedselementdetails.aspx?termid=27107</v>
      </c>
      <c r="Q4515" s="16">
        <v>71549</v>
      </c>
    </row>
    <row r="4516" spans="1:17" ht="144" x14ac:dyDescent="0.3">
      <c r="A4516" s="16" t="s">
        <v>7766</v>
      </c>
      <c r="B4516" s="16" t="s">
        <v>7773</v>
      </c>
      <c r="C4516" s="16" t="s">
        <v>7780</v>
      </c>
      <c r="D4516" s="16" t="s">
        <v>7597</v>
      </c>
      <c r="E4516" s="16" t="s">
        <v>631</v>
      </c>
      <c r="F4516" s="16" t="s">
        <v>632</v>
      </c>
      <c r="G4516" s="16" t="s">
        <v>32</v>
      </c>
      <c r="H4516" s="16"/>
      <c r="I4516" s="16"/>
      <c r="J4516" s="16" t="s">
        <v>316</v>
      </c>
      <c r="K4516" s="16"/>
      <c r="L4516" s="16"/>
      <c r="M4516" s="19" t="s">
        <v>633</v>
      </c>
      <c r="N4516" s="16"/>
      <c r="O4516" s="16" t="s">
        <v>634</v>
      </c>
      <c r="P4516" s="16" t="str">
        <f>HYPERLINK("https://ceds.ed.gov/cedselementdetails.aspx?termid=27108")</f>
        <v>https://ceds.ed.gov/cedselementdetails.aspx?termid=27108</v>
      </c>
      <c r="Q4516" s="16">
        <v>71550</v>
      </c>
    </row>
    <row r="4517" spans="1:17" ht="43.2" x14ac:dyDescent="0.3">
      <c r="A4517" s="16" t="s">
        <v>7766</v>
      </c>
      <c r="B4517" s="16" t="s">
        <v>7773</v>
      </c>
      <c r="C4517" s="16" t="s">
        <v>7780</v>
      </c>
      <c r="D4517" s="16" t="s">
        <v>7597</v>
      </c>
      <c r="E4517" s="16" t="s">
        <v>909</v>
      </c>
      <c r="F4517" s="16" t="s">
        <v>7857</v>
      </c>
      <c r="G4517" s="16" t="s">
        <v>32</v>
      </c>
      <c r="H4517" s="16"/>
      <c r="I4517" s="16"/>
      <c r="J4517" s="16" t="s">
        <v>316</v>
      </c>
      <c r="K4517" s="16"/>
      <c r="L4517" s="16" t="s">
        <v>910</v>
      </c>
      <c r="M4517" s="19" t="s">
        <v>911</v>
      </c>
      <c r="N4517" s="16"/>
      <c r="O4517" s="16" t="s">
        <v>912</v>
      </c>
      <c r="P4517" s="16" t="str">
        <f>HYPERLINK("https://ceds.ed.gov/cedselementdetails.aspx?termid=27250")</f>
        <v>https://ceds.ed.gov/cedselementdetails.aspx?termid=27250</v>
      </c>
      <c r="Q4517" s="16">
        <v>73067</v>
      </c>
    </row>
    <row r="4518" spans="1:17" ht="28.8" x14ac:dyDescent="0.3">
      <c r="A4518" s="16" t="s">
        <v>7766</v>
      </c>
      <c r="B4518" s="16" t="s">
        <v>7773</v>
      </c>
      <c r="C4518" s="16" t="s">
        <v>7781</v>
      </c>
      <c r="D4518" s="16" t="s">
        <v>7597</v>
      </c>
      <c r="E4518" s="16" t="s">
        <v>359</v>
      </c>
      <c r="F4518" s="16" t="s">
        <v>360</v>
      </c>
      <c r="G4518" s="16" t="s">
        <v>32</v>
      </c>
      <c r="H4518" s="16"/>
      <c r="I4518" s="16"/>
      <c r="J4518" s="16" t="s">
        <v>136</v>
      </c>
      <c r="K4518" s="16"/>
      <c r="L4518" s="16"/>
      <c r="M4518" s="19" t="s">
        <v>362</v>
      </c>
      <c r="N4518" s="16"/>
      <c r="O4518" s="16" t="s">
        <v>363</v>
      </c>
      <c r="P4518" s="16" t="str">
        <f>HYPERLINK("https://ceds.ed.gov/cedselementdetails.aspx?termid=27504")</f>
        <v>https://ceds.ed.gov/cedselementdetails.aspx?termid=27504</v>
      </c>
      <c r="Q4518" s="16">
        <v>73765</v>
      </c>
    </row>
    <row r="4519" spans="1:17" ht="86.4" x14ac:dyDescent="0.3">
      <c r="A4519" s="16" t="s">
        <v>7766</v>
      </c>
      <c r="B4519" s="16" t="s">
        <v>7773</v>
      </c>
      <c r="C4519" s="16" t="s">
        <v>7781</v>
      </c>
      <c r="D4519" s="16" t="s">
        <v>7597</v>
      </c>
      <c r="E4519" s="16" t="s">
        <v>643</v>
      </c>
      <c r="F4519" s="16" t="s">
        <v>644</v>
      </c>
      <c r="G4519" s="16" t="s">
        <v>32</v>
      </c>
      <c r="H4519" s="16"/>
      <c r="I4519" s="16"/>
      <c r="J4519" s="16" t="s">
        <v>316</v>
      </c>
      <c r="K4519" s="16"/>
      <c r="L4519" s="16"/>
      <c r="M4519" s="19" t="s">
        <v>645</v>
      </c>
      <c r="N4519" s="16"/>
      <c r="O4519" s="16" t="s">
        <v>646</v>
      </c>
      <c r="P4519" s="16" t="str">
        <f>HYPERLINK("https://ceds.ed.gov/cedselementdetails.aspx?termid=27100")</f>
        <v>https://ceds.ed.gov/cedselementdetails.aspx?termid=27100</v>
      </c>
      <c r="Q4519" s="16">
        <v>71540</v>
      </c>
    </row>
    <row r="4520" spans="1:17" ht="115.2" x14ac:dyDescent="0.3">
      <c r="A4520" s="16" t="s">
        <v>7766</v>
      </c>
      <c r="B4520" s="16" t="s">
        <v>7773</v>
      </c>
      <c r="C4520" s="16" t="s">
        <v>7781</v>
      </c>
      <c r="D4520" s="16" t="s">
        <v>7597</v>
      </c>
      <c r="E4520" s="16" t="s">
        <v>647</v>
      </c>
      <c r="F4520" s="16" t="s">
        <v>648</v>
      </c>
      <c r="G4520" s="16" t="s">
        <v>32</v>
      </c>
      <c r="H4520" s="16"/>
      <c r="I4520" s="16"/>
      <c r="J4520" s="16" t="s">
        <v>316</v>
      </c>
      <c r="K4520" s="16"/>
      <c r="L4520" s="16"/>
      <c r="M4520" s="19" t="s">
        <v>649</v>
      </c>
      <c r="N4520" s="16"/>
      <c r="O4520" s="16" t="s">
        <v>650</v>
      </c>
      <c r="P4520" s="16" t="str">
        <f>HYPERLINK("https://ceds.ed.gov/cedselementdetails.aspx?termid=27090")</f>
        <v>https://ceds.ed.gov/cedselementdetails.aspx?termid=27090</v>
      </c>
      <c r="Q4520" s="16">
        <v>71530</v>
      </c>
    </row>
    <row r="4521" spans="1:17" ht="129.6" x14ac:dyDescent="0.3">
      <c r="A4521" s="16" t="s">
        <v>7766</v>
      </c>
      <c r="B4521" s="16" t="s">
        <v>7773</v>
      </c>
      <c r="C4521" s="16" t="s">
        <v>7781</v>
      </c>
      <c r="D4521" s="16" t="s">
        <v>7597</v>
      </c>
      <c r="E4521" s="16" t="s">
        <v>655</v>
      </c>
      <c r="F4521" s="16" t="s">
        <v>656</v>
      </c>
      <c r="G4521" s="16" t="s">
        <v>32</v>
      </c>
      <c r="H4521" s="16"/>
      <c r="I4521" s="16"/>
      <c r="J4521" s="16" t="s">
        <v>316</v>
      </c>
      <c r="K4521" s="16"/>
      <c r="L4521" s="16"/>
      <c r="M4521" s="19" t="s">
        <v>657</v>
      </c>
      <c r="N4521" s="16"/>
      <c r="O4521" s="16" t="s">
        <v>658</v>
      </c>
      <c r="P4521" s="16" t="str">
        <f>HYPERLINK("https://ceds.ed.gov/cedselementdetails.aspx?termid=27080")</f>
        <v>https://ceds.ed.gov/cedselementdetails.aspx?termid=27080</v>
      </c>
      <c r="Q4521" s="16">
        <v>71521</v>
      </c>
    </row>
    <row r="4522" spans="1:17" ht="187.2" x14ac:dyDescent="0.3">
      <c r="A4522" s="16" t="s">
        <v>7766</v>
      </c>
      <c r="B4522" s="16" t="s">
        <v>7773</v>
      </c>
      <c r="C4522" s="16" t="s">
        <v>7781</v>
      </c>
      <c r="D4522" s="16" t="s">
        <v>7597</v>
      </c>
      <c r="E4522" s="16" t="s">
        <v>659</v>
      </c>
      <c r="F4522" s="16" t="s">
        <v>660</v>
      </c>
      <c r="G4522" s="16" t="s">
        <v>32</v>
      </c>
      <c r="H4522" s="16"/>
      <c r="I4522" s="16"/>
      <c r="J4522" s="16" t="s">
        <v>316</v>
      </c>
      <c r="K4522" s="16"/>
      <c r="L4522" s="16"/>
      <c r="M4522" s="19" t="s">
        <v>661</v>
      </c>
      <c r="N4522" s="16"/>
      <c r="O4522" s="16" t="s">
        <v>662</v>
      </c>
      <c r="P4522" s="16" t="str">
        <f>HYPERLINK("https://ceds.ed.gov/cedselementdetails.aspx?termid=27098")</f>
        <v>https://ceds.ed.gov/cedselementdetails.aspx?termid=27098</v>
      </c>
      <c r="Q4522" s="16">
        <v>71538</v>
      </c>
    </row>
    <row r="4523" spans="1:17" ht="57.6" x14ac:dyDescent="0.3">
      <c r="A4523" s="16" t="s">
        <v>7766</v>
      </c>
      <c r="B4523" s="16" t="s">
        <v>7773</v>
      </c>
      <c r="C4523" s="16" t="s">
        <v>7781</v>
      </c>
      <c r="D4523" s="16" t="s">
        <v>7597</v>
      </c>
      <c r="E4523" s="16" t="s">
        <v>663</v>
      </c>
      <c r="F4523" s="16" t="s">
        <v>664</v>
      </c>
      <c r="G4523" s="16" t="s">
        <v>32</v>
      </c>
      <c r="H4523" s="16"/>
      <c r="I4523" s="16"/>
      <c r="J4523" s="16" t="s">
        <v>316</v>
      </c>
      <c r="K4523" s="16"/>
      <c r="L4523" s="16"/>
      <c r="M4523" s="19" t="s">
        <v>665</v>
      </c>
      <c r="N4523" s="16"/>
      <c r="O4523" s="16" t="s">
        <v>666</v>
      </c>
      <c r="P4523" s="16" t="str">
        <f>HYPERLINK("https://ceds.ed.gov/cedselementdetails.aspx?termid=27097")</f>
        <v>https://ceds.ed.gov/cedselementdetails.aspx?termid=27097</v>
      </c>
      <c r="Q4523" s="16">
        <v>71537</v>
      </c>
    </row>
    <row r="4524" spans="1:17" ht="115.2" x14ac:dyDescent="0.3">
      <c r="A4524" s="16" t="s">
        <v>7766</v>
      </c>
      <c r="B4524" s="16" t="s">
        <v>7773</v>
      </c>
      <c r="C4524" s="16" t="s">
        <v>7781</v>
      </c>
      <c r="D4524" s="16" t="s">
        <v>7597</v>
      </c>
      <c r="E4524" s="16" t="s">
        <v>667</v>
      </c>
      <c r="F4524" s="16" t="s">
        <v>668</v>
      </c>
      <c r="G4524" s="16" t="s">
        <v>32</v>
      </c>
      <c r="H4524" s="16"/>
      <c r="I4524" s="16"/>
      <c r="J4524" s="16" t="s">
        <v>316</v>
      </c>
      <c r="K4524" s="16"/>
      <c r="L4524" s="16"/>
      <c r="M4524" s="19" t="s">
        <v>669</v>
      </c>
      <c r="N4524" s="16"/>
      <c r="O4524" s="16" t="s">
        <v>670</v>
      </c>
      <c r="P4524" s="16" t="str">
        <f>HYPERLINK("https://ceds.ed.gov/cedselementdetails.aspx?termid=27081")</f>
        <v>https://ceds.ed.gov/cedselementdetails.aspx?termid=27081</v>
      </c>
      <c r="Q4524" s="16">
        <v>71522</v>
      </c>
    </row>
    <row r="4525" spans="1:17" ht="374.4" x14ac:dyDescent="0.3">
      <c r="A4525" s="16" t="s">
        <v>7766</v>
      </c>
      <c r="B4525" s="16" t="s">
        <v>7773</v>
      </c>
      <c r="C4525" s="16" t="s">
        <v>7781</v>
      </c>
      <c r="D4525" s="16" t="s">
        <v>7597</v>
      </c>
      <c r="E4525" s="16" t="s">
        <v>671</v>
      </c>
      <c r="F4525" s="16" t="s">
        <v>672</v>
      </c>
      <c r="G4525" s="16" t="s">
        <v>32</v>
      </c>
      <c r="H4525" s="16"/>
      <c r="I4525" s="16"/>
      <c r="J4525" s="16" t="s">
        <v>316</v>
      </c>
      <c r="K4525" s="16"/>
      <c r="L4525" s="16"/>
      <c r="M4525" s="19" t="s">
        <v>673</v>
      </c>
      <c r="N4525" s="16"/>
      <c r="O4525" s="16" t="s">
        <v>674</v>
      </c>
      <c r="P4525" s="16" t="str">
        <f>HYPERLINK("https://ceds.ed.gov/cedselementdetails.aspx?termid=27083")</f>
        <v>https://ceds.ed.gov/cedselementdetails.aspx?termid=27083</v>
      </c>
      <c r="Q4525" s="16">
        <v>71524</v>
      </c>
    </row>
    <row r="4526" spans="1:17" ht="201.6" x14ac:dyDescent="0.3">
      <c r="A4526" s="16" t="s">
        <v>7766</v>
      </c>
      <c r="B4526" s="16" t="s">
        <v>7773</v>
      </c>
      <c r="C4526" s="16" t="s">
        <v>7781</v>
      </c>
      <c r="D4526" s="16" t="s">
        <v>7597</v>
      </c>
      <c r="E4526" s="16" t="s">
        <v>675</v>
      </c>
      <c r="F4526" s="16" t="s">
        <v>676</v>
      </c>
      <c r="G4526" s="16" t="s">
        <v>32</v>
      </c>
      <c r="H4526" s="16"/>
      <c r="I4526" s="16"/>
      <c r="J4526" s="16" t="s">
        <v>316</v>
      </c>
      <c r="K4526" s="16"/>
      <c r="L4526" s="16"/>
      <c r="M4526" s="19" t="s">
        <v>677</v>
      </c>
      <c r="N4526" s="16"/>
      <c r="O4526" s="16" t="s">
        <v>678</v>
      </c>
      <c r="P4526" s="16" t="str">
        <f>HYPERLINK("https://ceds.ed.gov/cedselementdetails.aspx?termid=27085")</f>
        <v>https://ceds.ed.gov/cedselementdetails.aspx?termid=27085</v>
      </c>
      <c r="Q4526" s="16">
        <v>71526</v>
      </c>
    </row>
    <row r="4527" spans="1:17" ht="201.6" x14ac:dyDescent="0.3">
      <c r="A4527" s="16" t="s">
        <v>7766</v>
      </c>
      <c r="B4527" s="16" t="s">
        <v>7773</v>
      </c>
      <c r="C4527" s="16" t="s">
        <v>7781</v>
      </c>
      <c r="D4527" s="16" t="s">
        <v>7597</v>
      </c>
      <c r="E4527" s="16" t="s">
        <v>679</v>
      </c>
      <c r="F4527" s="16" t="s">
        <v>680</v>
      </c>
      <c r="G4527" s="16" t="s">
        <v>32</v>
      </c>
      <c r="H4527" s="16"/>
      <c r="I4527" s="16"/>
      <c r="J4527" s="16" t="s">
        <v>316</v>
      </c>
      <c r="K4527" s="16"/>
      <c r="L4527" s="16"/>
      <c r="M4527" s="19" t="s">
        <v>681</v>
      </c>
      <c r="N4527" s="16"/>
      <c r="O4527" s="16" t="s">
        <v>682</v>
      </c>
      <c r="P4527" s="16" t="str">
        <f>HYPERLINK("https://ceds.ed.gov/cedselementdetails.aspx?termid=27084")</f>
        <v>https://ceds.ed.gov/cedselementdetails.aspx?termid=27084</v>
      </c>
      <c r="Q4527" s="16">
        <v>71525</v>
      </c>
    </row>
    <row r="4528" spans="1:17" ht="187.2" x14ac:dyDescent="0.3">
      <c r="A4528" s="16" t="s">
        <v>7766</v>
      </c>
      <c r="B4528" s="16" t="s">
        <v>7773</v>
      </c>
      <c r="C4528" s="16" t="s">
        <v>7781</v>
      </c>
      <c r="D4528" s="16" t="s">
        <v>7597</v>
      </c>
      <c r="E4528" s="16" t="s">
        <v>683</v>
      </c>
      <c r="F4528" s="16" t="s">
        <v>684</v>
      </c>
      <c r="G4528" s="16" t="s">
        <v>32</v>
      </c>
      <c r="H4528" s="16"/>
      <c r="I4528" s="16"/>
      <c r="J4528" s="16" t="s">
        <v>316</v>
      </c>
      <c r="K4528" s="16"/>
      <c r="L4528" s="16"/>
      <c r="M4528" s="19" t="s">
        <v>685</v>
      </c>
      <c r="N4528" s="16"/>
      <c r="O4528" s="16" t="s">
        <v>686</v>
      </c>
      <c r="P4528" s="16" t="str">
        <f>HYPERLINK("https://ceds.ed.gov/cedselementdetails.aspx?termid=27093")</f>
        <v>https://ceds.ed.gov/cedselementdetails.aspx?termid=27093</v>
      </c>
      <c r="Q4528" s="16">
        <v>71533</v>
      </c>
    </row>
    <row r="4529" spans="1:17" ht="115.2" x14ac:dyDescent="0.3">
      <c r="A4529" s="16" t="s">
        <v>7766</v>
      </c>
      <c r="B4529" s="16" t="s">
        <v>7773</v>
      </c>
      <c r="C4529" s="16" t="s">
        <v>7781</v>
      </c>
      <c r="D4529" s="16" t="s">
        <v>7597</v>
      </c>
      <c r="E4529" s="16" t="s">
        <v>687</v>
      </c>
      <c r="F4529" s="16" t="s">
        <v>688</v>
      </c>
      <c r="G4529" s="16" t="s">
        <v>32</v>
      </c>
      <c r="H4529" s="16"/>
      <c r="I4529" s="16"/>
      <c r="J4529" s="16" t="s">
        <v>316</v>
      </c>
      <c r="K4529" s="16"/>
      <c r="L4529" s="16"/>
      <c r="M4529" s="19" t="s">
        <v>689</v>
      </c>
      <c r="N4529" s="16"/>
      <c r="O4529" s="16" t="s">
        <v>690</v>
      </c>
      <c r="P4529" s="16" t="str">
        <f>HYPERLINK("https://ceds.ed.gov/cedselementdetails.aspx?termid=27091")</f>
        <v>https://ceds.ed.gov/cedselementdetails.aspx?termid=27091</v>
      </c>
      <c r="Q4529" s="16">
        <v>71531</v>
      </c>
    </row>
    <row r="4530" spans="1:17" ht="144" x14ac:dyDescent="0.3">
      <c r="A4530" s="16" t="s">
        <v>7766</v>
      </c>
      <c r="B4530" s="16" t="s">
        <v>7773</v>
      </c>
      <c r="C4530" s="16" t="s">
        <v>7781</v>
      </c>
      <c r="D4530" s="16" t="s">
        <v>7597</v>
      </c>
      <c r="E4530" s="16" t="s">
        <v>691</v>
      </c>
      <c r="F4530" s="16" t="s">
        <v>692</v>
      </c>
      <c r="G4530" s="16" t="s">
        <v>32</v>
      </c>
      <c r="H4530" s="16"/>
      <c r="I4530" s="16"/>
      <c r="J4530" s="16" t="s">
        <v>316</v>
      </c>
      <c r="K4530" s="16"/>
      <c r="L4530" s="16"/>
      <c r="M4530" s="19" t="s">
        <v>693</v>
      </c>
      <c r="N4530" s="16"/>
      <c r="O4530" s="16" t="s">
        <v>694</v>
      </c>
      <c r="P4530" s="16" t="str">
        <f>HYPERLINK("https://ceds.ed.gov/cedselementdetails.aspx?termid=27082")</f>
        <v>https://ceds.ed.gov/cedselementdetails.aspx?termid=27082</v>
      </c>
      <c r="Q4530" s="16">
        <v>71523</v>
      </c>
    </row>
    <row r="4531" spans="1:17" ht="129.6" x14ac:dyDescent="0.3">
      <c r="A4531" s="16" t="s">
        <v>7766</v>
      </c>
      <c r="B4531" s="16" t="s">
        <v>7773</v>
      </c>
      <c r="C4531" s="16" t="s">
        <v>7781</v>
      </c>
      <c r="D4531" s="16" t="s">
        <v>7597</v>
      </c>
      <c r="E4531" s="16" t="s">
        <v>695</v>
      </c>
      <c r="F4531" s="16" t="s">
        <v>696</v>
      </c>
      <c r="G4531" s="16" t="s">
        <v>32</v>
      </c>
      <c r="H4531" s="16"/>
      <c r="I4531" s="16"/>
      <c r="J4531" s="16" t="s">
        <v>316</v>
      </c>
      <c r="K4531" s="16"/>
      <c r="L4531" s="16"/>
      <c r="M4531" s="19" t="s">
        <v>697</v>
      </c>
      <c r="N4531" s="16"/>
      <c r="O4531" s="16" t="s">
        <v>698</v>
      </c>
      <c r="P4531" s="16" t="str">
        <f>HYPERLINK("https://ceds.ed.gov/cedselementdetails.aspx?termid=27092")</f>
        <v>https://ceds.ed.gov/cedselementdetails.aspx?termid=27092</v>
      </c>
      <c r="Q4531" s="16">
        <v>71532</v>
      </c>
    </row>
    <row r="4532" spans="1:17" ht="172.8" x14ac:dyDescent="0.3">
      <c r="A4532" s="16" t="s">
        <v>7766</v>
      </c>
      <c r="B4532" s="16" t="s">
        <v>7773</v>
      </c>
      <c r="C4532" s="16" t="s">
        <v>7781</v>
      </c>
      <c r="D4532" s="16" t="s">
        <v>7597</v>
      </c>
      <c r="E4532" s="16" t="s">
        <v>699</v>
      </c>
      <c r="F4532" s="16" t="s">
        <v>700</v>
      </c>
      <c r="G4532" s="16" t="s">
        <v>32</v>
      </c>
      <c r="H4532" s="16"/>
      <c r="I4532" s="16"/>
      <c r="J4532" s="16" t="s">
        <v>316</v>
      </c>
      <c r="K4532" s="16"/>
      <c r="L4532" s="16"/>
      <c r="M4532" s="19" t="s">
        <v>701</v>
      </c>
      <c r="N4532" s="16"/>
      <c r="O4532" s="16" t="s">
        <v>702</v>
      </c>
      <c r="P4532" s="16" t="str">
        <f>HYPERLINK("https://ceds.ed.gov/cedselementdetails.aspx?termid=27094")</f>
        <v>https://ceds.ed.gov/cedselementdetails.aspx?termid=27094</v>
      </c>
      <c r="Q4532" s="16">
        <v>71534</v>
      </c>
    </row>
    <row r="4533" spans="1:17" ht="187.2" x14ac:dyDescent="0.3">
      <c r="A4533" s="16" t="s">
        <v>7766</v>
      </c>
      <c r="B4533" s="16" t="s">
        <v>7773</v>
      </c>
      <c r="C4533" s="16" t="s">
        <v>7781</v>
      </c>
      <c r="D4533" s="16" t="s">
        <v>7597</v>
      </c>
      <c r="E4533" s="16" t="s">
        <v>703</v>
      </c>
      <c r="F4533" s="16" t="s">
        <v>704</v>
      </c>
      <c r="G4533" s="16" t="s">
        <v>32</v>
      </c>
      <c r="H4533" s="16"/>
      <c r="I4533" s="16"/>
      <c r="J4533" s="16" t="s">
        <v>316</v>
      </c>
      <c r="K4533" s="16"/>
      <c r="L4533" s="16"/>
      <c r="M4533" s="19" t="s">
        <v>705</v>
      </c>
      <c r="N4533" s="16"/>
      <c r="O4533" s="16" t="s">
        <v>706</v>
      </c>
      <c r="P4533" s="16" t="str">
        <f>HYPERLINK("https://ceds.ed.gov/cedselementdetails.aspx?termid=27095")</f>
        <v>https://ceds.ed.gov/cedselementdetails.aspx?termid=27095</v>
      </c>
      <c r="Q4533" s="16">
        <v>71535</v>
      </c>
    </row>
    <row r="4534" spans="1:17" ht="216" x14ac:dyDescent="0.3">
      <c r="A4534" s="16" t="s">
        <v>7766</v>
      </c>
      <c r="B4534" s="16" t="s">
        <v>7773</v>
      </c>
      <c r="C4534" s="16" t="s">
        <v>7781</v>
      </c>
      <c r="D4534" s="16" t="s">
        <v>7597</v>
      </c>
      <c r="E4534" s="16" t="s">
        <v>707</v>
      </c>
      <c r="F4534" s="16" t="s">
        <v>708</v>
      </c>
      <c r="G4534" s="16" t="s">
        <v>32</v>
      </c>
      <c r="H4534" s="16"/>
      <c r="I4534" s="16"/>
      <c r="J4534" s="16" t="s">
        <v>316</v>
      </c>
      <c r="K4534" s="16"/>
      <c r="L4534" s="16"/>
      <c r="M4534" s="19" t="s">
        <v>709</v>
      </c>
      <c r="N4534" s="16"/>
      <c r="O4534" s="16" t="s">
        <v>710</v>
      </c>
      <c r="P4534" s="16" t="str">
        <f>HYPERLINK("https://ceds.ed.gov/cedselementdetails.aspx?termid=27088")</f>
        <v>https://ceds.ed.gov/cedselementdetails.aspx?termid=27088</v>
      </c>
      <c r="Q4534" s="16">
        <v>71528</v>
      </c>
    </row>
    <row r="4535" spans="1:17" ht="172.8" x14ac:dyDescent="0.3">
      <c r="A4535" s="16" t="s">
        <v>7766</v>
      </c>
      <c r="B4535" s="16" t="s">
        <v>7773</v>
      </c>
      <c r="C4535" s="16" t="s">
        <v>7781</v>
      </c>
      <c r="D4535" s="16" t="s">
        <v>7597</v>
      </c>
      <c r="E4535" s="16" t="s">
        <v>711</v>
      </c>
      <c r="F4535" s="16" t="s">
        <v>712</v>
      </c>
      <c r="G4535" s="16" t="s">
        <v>32</v>
      </c>
      <c r="H4535" s="16"/>
      <c r="I4535" s="16"/>
      <c r="J4535" s="16" t="s">
        <v>316</v>
      </c>
      <c r="K4535" s="16"/>
      <c r="L4535" s="16"/>
      <c r="M4535" s="19" t="s">
        <v>713</v>
      </c>
      <c r="N4535" s="16"/>
      <c r="O4535" s="16" t="s">
        <v>714</v>
      </c>
      <c r="P4535" s="16" t="str">
        <f>HYPERLINK("https://ceds.ed.gov/cedselementdetails.aspx?termid=27087")</f>
        <v>https://ceds.ed.gov/cedselementdetails.aspx?termid=27087</v>
      </c>
      <c r="Q4535" s="16">
        <v>71527</v>
      </c>
    </row>
    <row r="4536" spans="1:17" ht="115.2" x14ac:dyDescent="0.3">
      <c r="A4536" s="16" t="s">
        <v>7766</v>
      </c>
      <c r="B4536" s="16" t="s">
        <v>7773</v>
      </c>
      <c r="C4536" s="16" t="s">
        <v>7781</v>
      </c>
      <c r="D4536" s="16" t="s">
        <v>7597</v>
      </c>
      <c r="E4536" s="16" t="s">
        <v>715</v>
      </c>
      <c r="F4536" s="16" t="s">
        <v>716</v>
      </c>
      <c r="G4536" s="16" t="s">
        <v>32</v>
      </c>
      <c r="H4536" s="16"/>
      <c r="I4536" s="16"/>
      <c r="J4536" s="16" t="s">
        <v>316</v>
      </c>
      <c r="K4536" s="16"/>
      <c r="L4536" s="16"/>
      <c r="M4536" s="19" t="s">
        <v>717</v>
      </c>
      <c r="N4536" s="16"/>
      <c r="O4536" s="16" t="s">
        <v>718</v>
      </c>
      <c r="P4536" s="16" t="str">
        <f>HYPERLINK("https://ceds.ed.gov/cedselementdetails.aspx?termid=27089")</f>
        <v>https://ceds.ed.gov/cedselementdetails.aspx?termid=27089</v>
      </c>
      <c r="Q4536" s="16">
        <v>71529</v>
      </c>
    </row>
    <row r="4537" spans="1:17" ht="115.2" x14ac:dyDescent="0.3">
      <c r="A4537" s="16" t="s">
        <v>7766</v>
      </c>
      <c r="B4537" s="16" t="s">
        <v>7773</v>
      </c>
      <c r="C4537" s="16" t="s">
        <v>7781</v>
      </c>
      <c r="D4537" s="16" t="s">
        <v>7597</v>
      </c>
      <c r="E4537" s="16" t="s">
        <v>723</v>
      </c>
      <c r="F4537" s="16" t="s">
        <v>724</v>
      </c>
      <c r="G4537" s="16" t="s">
        <v>32</v>
      </c>
      <c r="H4537" s="16"/>
      <c r="I4537" s="16"/>
      <c r="J4537" s="16" t="s">
        <v>316</v>
      </c>
      <c r="K4537" s="16"/>
      <c r="L4537" s="16"/>
      <c r="M4537" s="19" t="s">
        <v>725</v>
      </c>
      <c r="N4537" s="16"/>
      <c r="O4537" s="16" t="s">
        <v>726</v>
      </c>
      <c r="P4537" s="16" t="str">
        <f>HYPERLINK("https://ceds.ed.gov/cedselementdetails.aspx?termid=27096")</f>
        <v>https://ceds.ed.gov/cedselementdetails.aspx?termid=27096</v>
      </c>
      <c r="Q4537" s="16">
        <v>71536</v>
      </c>
    </row>
    <row r="4538" spans="1:17" ht="100.8" x14ac:dyDescent="0.3">
      <c r="A4538" s="16" t="s">
        <v>7766</v>
      </c>
      <c r="B4538" s="16" t="s">
        <v>7773</v>
      </c>
      <c r="C4538" s="16" t="s">
        <v>7781</v>
      </c>
      <c r="D4538" s="16" t="s">
        <v>7597</v>
      </c>
      <c r="E4538" s="16" t="s">
        <v>727</v>
      </c>
      <c r="F4538" s="16" t="s">
        <v>728</v>
      </c>
      <c r="G4538" s="16" t="s">
        <v>32</v>
      </c>
      <c r="H4538" s="16"/>
      <c r="I4538" s="16"/>
      <c r="J4538" s="16" t="s">
        <v>316</v>
      </c>
      <c r="K4538" s="16"/>
      <c r="L4538" s="16"/>
      <c r="M4538" s="19" t="s">
        <v>729</v>
      </c>
      <c r="N4538" s="16"/>
      <c r="O4538" s="16" t="s">
        <v>730</v>
      </c>
      <c r="P4538" s="16" t="str">
        <f>HYPERLINK("https://ceds.ed.gov/cedselementdetails.aspx?termid=27099")</f>
        <v>https://ceds.ed.gov/cedselementdetails.aspx?termid=27099</v>
      </c>
      <c r="Q4538" s="16">
        <v>71539</v>
      </c>
    </row>
    <row r="4539" spans="1:17" ht="288" x14ac:dyDescent="0.3">
      <c r="A4539" s="16" t="s">
        <v>7766</v>
      </c>
      <c r="B4539" s="16" t="s">
        <v>7773</v>
      </c>
      <c r="C4539" s="16" t="s">
        <v>7781</v>
      </c>
      <c r="D4539" s="16" t="s">
        <v>7597</v>
      </c>
      <c r="E4539" s="16" t="s">
        <v>754</v>
      </c>
      <c r="F4539" s="16" t="s">
        <v>755</v>
      </c>
      <c r="G4539" s="16" t="s">
        <v>8331</v>
      </c>
      <c r="H4539" s="16"/>
      <c r="I4539" s="16"/>
      <c r="J4539" s="16"/>
      <c r="K4539" s="16"/>
      <c r="L4539" s="16"/>
      <c r="M4539" s="19" t="s">
        <v>756</v>
      </c>
      <c r="N4539" s="16"/>
      <c r="O4539" s="16" t="s">
        <v>757</v>
      </c>
      <c r="P4539" s="16" t="str">
        <f>HYPERLINK("https://ceds.ed.gov/cedselementdetails.aspx?termid=27117")</f>
        <v>https://ceds.ed.gov/cedselementdetails.aspx?termid=27117</v>
      </c>
      <c r="Q4539" s="16">
        <v>72703</v>
      </c>
    </row>
    <row r="4540" spans="1:17" ht="172.8" x14ac:dyDescent="0.3">
      <c r="A4540" s="16" t="s">
        <v>7766</v>
      </c>
      <c r="B4540" s="16" t="s">
        <v>7782</v>
      </c>
      <c r="C4540" s="16"/>
      <c r="D4540" s="16" t="s">
        <v>7597</v>
      </c>
      <c r="E4540" s="16" t="s">
        <v>439</v>
      </c>
      <c r="F4540" s="16" t="s">
        <v>440</v>
      </c>
      <c r="G4540" s="16" t="s">
        <v>32</v>
      </c>
      <c r="H4540" s="16"/>
      <c r="I4540" s="16"/>
      <c r="J4540" s="16" t="s">
        <v>120</v>
      </c>
      <c r="K4540" s="16"/>
      <c r="L4540" s="16" t="s">
        <v>7817</v>
      </c>
      <c r="M4540" s="19" t="s">
        <v>441</v>
      </c>
      <c r="N4540" s="16"/>
      <c r="O4540" s="16" t="s">
        <v>442</v>
      </c>
      <c r="P4540" s="16" t="str">
        <f>HYPERLINK("https://ceds.ed.gov/cedselementdetails.aspx?termid=27149")</f>
        <v>https://ceds.ed.gov/cedselementdetails.aspx?termid=27149</v>
      </c>
      <c r="Q4540" s="16">
        <v>71567</v>
      </c>
    </row>
    <row r="4541" spans="1:17" ht="72" x14ac:dyDescent="0.3">
      <c r="A4541" s="16" t="s">
        <v>7766</v>
      </c>
      <c r="B4541" s="16" t="s">
        <v>7782</v>
      </c>
      <c r="C4541" s="16"/>
      <c r="D4541" s="16" t="s">
        <v>7597</v>
      </c>
      <c r="E4541" s="16" t="s">
        <v>443</v>
      </c>
      <c r="F4541" s="16" t="s">
        <v>444</v>
      </c>
      <c r="G4541" s="16" t="s">
        <v>8324</v>
      </c>
      <c r="H4541" s="16"/>
      <c r="I4541" s="16"/>
      <c r="J4541" s="16"/>
      <c r="K4541" s="16"/>
      <c r="L4541" s="16"/>
      <c r="M4541" s="19" t="s">
        <v>445</v>
      </c>
      <c r="N4541" s="16"/>
      <c r="O4541" s="16" t="s">
        <v>446</v>
      </c>
      <c r="P4541" s="16" t="str">
        <f>HYPERLINK("https://ceds.ed.gov/cedselementdetails.aspx?termid=27150")</f>
        <v>https://ceds.ed.gov/cedselementdetails.aspx?termid=27150</v>
      </c>
      <c r="Q4541" s="16">
        <v>71568</v>
      </c>
    </row>
    <row r="4542" spans="1:17" x14ac:dyDescent="0.3">
      <c r="A4542" s="16" t="s">
        <v>7766</v>
      </c>
      <c r="B4542" s="16" t="s">
        <v>7782</v>
      </c>
      <c r="C4542" s="16"/>
      <c r="D4542" s="16" t="s">
        <v>7597</v>
      </c>
      <c r="E4542" s="16" t="s">
        <v>447</v>
      </c>
      <c r="F4542" s="16" t="s">
        <v>448</v>
      </c>
      <c r="G4542" s="16" t="s">
        <v>32</v>
      </c>
      <c r="H4542" s="16"/>
      <c r="I4542" s="16"/>
      <c r="J4542" s="16" t="s">
        <v>145</v>
      </c>
      <c r="K4542" s="16"/>
      <c r="L4542" s="16"/>
      <c r="M4542" s="19" t="s">
        <v>449</v>
      </c>
      <c r="N4542" s="16"/>
      <c r="O4542" s="16" t="s">
        <v>450</v>
      </c>
      <c r="P4542" s="16" t="str">
        <f>HYPERLINK("https://ceds.ed.gov/cedselementdetails.aspx?termid=27151")</f>
        <v>https://ceds.ed.gov/cedselementdetails.aspx?termid=27151</v>
      </c>
      <c r="Q4542" s="16">
        <v>71569</v>
      </c>
    </row>
    <row r="4543" spans="1:17" ht="409.6" x14ac:dyDescent="0.3">
      <c r="A4543" s="16" t="s">
        <v>7766</v>
      </c>
      <c r="B4543" s="16" t="s">
        <v>7782</v>
      </c>
      <c r="C4543" s="16"/>
      <c r="D4543" s="16" t="s">
        <v>7597</v>
      </c>
      <c r="E4543" s="16" t="s">
        <v>459</v>
      </c>
      <c r="F4543" s="16" t="s">
        <v>7831</v>
      </c>
      <c r="G4543" s="16" t="s">
        <v>8325</v>
      </c>
      <c r="H4543" s="16"/>
      <c r="I4543" s="16"/>
      <c r="J4543" s="16"/>
      <c r="K4543" s="16"/>
      <c r="L4543" s="16" t="s">
        <v>7832</v>
      </c>
      <c r="M4543" s="19" t="s">
        <v>460</v>
      </c>
      <c r="N4543" s="16"/>
      <c r="O4543" s="16" t="s">
        <v>461</v>
      </c>
      <c r="P4543" s="16" t="str">
        <f>HYPERLINK("https://ceds.ed.gov/cedselementdetails.aspx?termid=27147")</f>
        <v>https://ceds.ed.gov/cedselementdetails.aspx?termid=27147</v>
      </c>
      <c r="Q4543" s="16">
        <v>71565</v>
      </c>
    </row>
    <row r="4544" spans="1:17" ht="115.2" x14ac:dyDescent="0.3">
      <c r="A4544" s="16" t="s">
        <v>7766</v>
      </c>
      <c r="B4544" s="16" t="s">
        <v>7782</v>
      </c>
      <c r="C4544" s="16"/>
      <c r="D4544" s="16" t="s">
        <v>7597</v>
      </c>
      <c r="E4544" s="16" t="s">
        <v>462</v>
      </c>
      <c r="F4544" s="16" t="s">
        <v>463</v>
      </c>
      <c r="G4544" s="16" t="s">
        <v>32</v>
      </c>
      <c r="H4544" s="16"/>
      <c r="I4544" s="16"/>
      <c r="J4544" s="16" t="s">
        <v>81</v>
      </c>
      <c r="K4544" s="16"/>
      <c r="L4544" s="16" t="s">
        <v>7833</v>
      </c>
      <c r="M4544" s="19" t="s">
        <v>464</v>
      </c>
      <c r="N4544" s="16"/>
      <c r="O4544" s="16" t="s">
        <v>465</v>
      </c>
      <c r="P4544" s="16" t="str">
        <f>HYPERLINK("https://ceds.ed.gov/cedselementdetails.aspx?termid=27146")</f>
        <v>https://ceds.ed.gov/cedselementdetails.aspx?termid=27146</v>
      </c>
      <c r="Q4544" s="16">
        <v>71563</v>
      </c>
    </row>
    <row r="4545" spans="1:17" ht="28.8" x14ac:dyDescent="0.3">
      <c r="A4545" s="16" t="s">
        <v>7766</v>
      </c>
      <c r="B4545" s="16" t="s">
        <v>7782</v>
      </c>
      <c r="C4545" s="16"/>
      <c r="D4545" s="16" t="s">
        <v>7597</v>
      </c>
      <c r="E4545" s="16" t="s">
        <v>451</v>
      </c>
      <c r="F4545" s="16" t="s">
        <v>452</v>
      </c>
      <c r="G4545" s="16" t="s">
        <v>32</v>
      </c>
      <c r="H4545" s="16"/>
      <c r="I4545" s="16"/>
      <c r="J4545" s="16" t="s">
        <v>145</v>
      </c>
      <c r="K4545" s="16"/>
      <c r="L4545" s="16"/>
      <c r="M4545" s="19" t="s">
        <v>453</v>
      </c>
      <c r="N4545" s="16"/>
      <c r="O4545" s="16" t="s">
        <v>454</v>
      </c>
      <c r="P4545" s="16" t="str">
        <f>HYPERLINK("https://ceds.ed.gov/cedselementdetails.aspx?termid=27152")</f>
        <v>https://ceds.ed.gov/cedselementdetails.aspx?termid=27152</v>
      </c>
      <c r="Q4545" s="16">
        <v>71570</v>
      </c>
    </row>
    <row r="4546" spans="1:17" ht="28.8" x14ac:dyDescent="0.3">
      <c r="A4546" s="16" t="s">
        <v>7766</v>
      </c>
      <c r="B4546" s="16" t="s">
        <v>7782</v>
      </c>
      <c r="C4546" s="16"/>
      <c r="D4546" s="16" t="s">
        <v>7597</v>
      </c>
      <c r="E4546" s="16" t="s">
        <v>455</v>
      </c>
      <c r="F4546" s="16" t="s">
        <v>456</v>
      </c>
      <c r="G4546" s="16" t="s">
        <v>32</v>
      </c>
      <c r="H4546" s="16"/>
      <c r="I4546" s="16"/>
      <c r="J4546" s="16" t="s">
        <v>106</v>
      </c>
      <c r="K4546" s="16"/>
      <c r="L4546" s="16"/>
      <c r="M4546" s="19" t="s">
        <v>457</v>
      </c>
      <c r="N4546" s="16"/>
      <c r="O4546" s="16" t="s">
        <v>458</v>
      </c>
      <c r="P4546" s="16" t="str">
        <f>HYPERLINK("https://ceds.ed.gov/cedselementdetails.aspx?termid=27148")</f>
        <v>https://ceds.ed.gov/cedselementdetails.aspx?termid=27148</v>
      </c>
      <c r="Q4546" s="16">
        <v>71566</v>
      </c>
    </row>
    <row r="4547" spans="1:17" ht="43.2" x14ac:dyDescent="0.3">
      <c r="A4547" s="16" t="s">
        <v>7766</v>
      </c>
      <c r="B4547" s="16" t="s">
        <v>7782</v>
      </c>
      <c r="C4547" s="16"/>
      <c r="D4547" s="16" t="s">
        <v>7597</v>
      </c>
      <c r="E4547" s="16" t="s">
        <v>431</v>
      </c>
      <c r="F4547" s="16" t="s">
        <v>432</v>
      </c>
      <c r="G4547" s="16" t="s">
        <v>32</v>
      </c>
      <c r="H4547" s="16"/>
      <c r="I4547" s="16"/>
      <c r="J4547" s="16" t="s">
        <v>50</v>
      </c>
      <c r="K4547" s="16"/>
      <c r="L4547" s="16"/>
      <c r="M4547" s="19" t="s">
        <v>433</v>
      </c>
      <c r="N4547" s="16"/>
      <c r="O4547" s="16" t="s">
        <v>434</v>
      </c>
      <c r="P4547" s="16" t="str">
        <f>HYPERLINK("https://ceds.ed.gov/cedselementdetails.aspx?termid=27155")</f>
        <v>https://ceds.ed.gov/cedselementdetails.aspx?termid=27155</v>
      </c>
      <c r="Q4547" s="16">
        <v>71573</v>
      </c>
    </row>
    <row r="4548" spans="1:17" ht="28.8" x14ac:dyDescent="0.3">
      <c r="A4548" s="16" t="s">
        <v>7766</v>
      </c>
      <c r="B4548" s="16" t="s">
        <v>7782</v>
      </c>
      <c r="C4548" s="16"/>
      <c r="D4548" s="16" t="s">
        <v>7597</v>
      </c>
      <c r="E4548" s="16" t="s">
        <v>435</v>
      </c>
      <c r="F4548" s="16" t="s">
        <v>436</v>
      </c>
      <c r="G4548" s="16" t="s">
        <v>32</v>
      </c>
      <c r="H4548" s="16"/>
      <c r="I4548" s="16"/>
      <c r="J4548" s="16" t="s">
        <v>316</v>
      </c>
      <c r="K4548" s="16"/>
      <c r="L4548" s="16"/>
      <c r="M4548" s="19" t="s">
        <v>437</v>
      </c>
      <c r="N4548" s="16"/>
      <c r="O4548" s="16" t="s">
        <v>438</v>
      </c>
      <c r="P4548" s="16" t="str">
        <f>HYPERLINK("https://ceds.ed.gov/cedselementdetails.aspx?termid=27153")</f>
        <v>https://ceds.ed.gov/cedselementdetails.aspx?termid=27153</v>
      </c>
      <c r="Q4548" s="16">
        <v>71571</v>
      </c>
    </row>
    <row r="4549" spans="1:17" ht="28.8" x14ac:dyDescent="0.3">
      <c r="A4549" s="16" t="s">
        <v>7766</v>
      </c>
      <c r="B4549" s="16" t="s">
        <v>7782</v>
      </c>
      <c r="C4549" s="16"/>
      <c r="D4549" s="16" t="s">
        <v>7597</v>
      </c>
      <c r="E4549" s="16" t="s">
        <v>426</v>
      </c>
      <c r="F4549" s="16" t="s">
        <v>427</v>
      </c>
      <c r="G4549" s="16" t="s">
        <v>32</v>
      </c>
      <c r="H4549" s="16"/>
      <c r="I4549" s="16"/>
      <c r="J4549" s="16" t="s">
        <v>316</v>
      </c>
      <c r="K4549" s="16"/>
      <c r="L4549" s="16"/>
      <c r="M4549" s="19" t="s">
        <v>429</v>
      </c>
      <c r="N4549" s="16"/>
      <c r="O4549" s="16" t="s">
        <v>430</v>
      </c>
      <c r="P4549" s="16" t="str">
        <f>HYPERLINK("https://ceds.ed.gov/cedselementdetails.aspx?termid=27154")</f>
        <v>https://ceds.ed.gov/cedselementdetails.aspx?termid=27154</v>
      </c>
      <c r="Q4549" s="16">
        <v>71572</v>
      </c>
    </row>
    <row r="4550" spans="1:17" ht="288" x14ac:dyDescent="0.3">
      <c r="A4550" s="16" t="s">
        <v>7766</v>
      </c>
      <c r="B4550" s="16" t="s">
        <v>7782</v>
      </c>
      <c r="C4550" s="16"/>
      <c r="D4550" s="16" t="s">
        <v>7597</v>
      </c>
      <c r="E4550" s="16" t="s">
        <v>377</v>
      </c>
      <c r="F4550" s="16" t="s">
        <v>378</v>
      </c>
      <c r="G4550" s="16" t="s">
        <v>8322</v>
      </c>
      <c r="H4550" s="16" t="s">
        <v>382</v>
      </c>
      <c r="I4550" s="16"/>
      <c r="J4550" s="16"/>
      <c r="K4550" s="16"/>
      <c r="L4550" s="16"/>
      <c r="M4550" s="19" t="s">
        <v>380</v>
      </c>
      <c r="N4550" s="16"/>
      <c r="O4550" s="16" t="s">
        <v>381</v>
      </c>
      <c r="P4550" s="16" t="str">
        <f>HYPERLINK("https://ceds.ed.gov/cedselementdetails.aspx?termid=26021")</f>
        <v>https://ceds.ed.gov/cedselementdetails.aspx?termid=26021</v>
      </c>
      <c r="Q4550" s="16">
        <v>73767</v>
      </c>
    </row>
    <row r="4551" spans="1:17" ht="360" x14ac:dyDescent="0.3">
      <c r="A4551" s="16" t="s">
        <v>7766</v>
      </c>
      <c r="B4551" s="16" t="s">
        <v>7782</v>
      </c>
      <c r="C4551" s="16"/>
      <c r="D4551" s="16" t="s">
        <v>7597</v>
      </c>
      <c r="E4551" s="16" t="s">
        <v>936</v>
      </c>
      <c r="F4551" s="16" t="s">
        <v>937</v>
      </c>
      <c r="G4551" s="16" t="s">
        <v>8207</v>
      </c>
      <c r="H4551" s="16" t="s">
        <v>940</v>
      </c>
      <c r="I4551" s="16"/>
      <c r="J4551" s="16"/>
      <c r="K4551" s="16"/>
      <c r="L4551" s="16"/>
      <c r="M4551" s="19" t="s">
        <v>938</v>
      </c>
      <c r="N4551" s="16"/>
      <c r="O4551" s="16" t="s">
        <v>939</v>
      </c>
      <c r="P4551" s="16" t="str">
        <f>HYPERLINK("https://ceds.ed.gov/cedselementdetails.aspx?termid=26177")</f>
        <v>https://ceds.ed.gov/cedselementdetails.aspx?termid=26177</v>
      </c>
      <c r="Q4551" s="16">
        <v>73800</v>
      </c>
    </row>
    <row r="4552" spans="1:17" ht="100.8" x14ac:dyDescent="0.3">
      <c r="A4552" s="16" t="s">
        <v>7766</v>
      </c>
      <c r="B4552" s="16" t="s">
        <v>7782</v>
      </c>
      <c r="C4552" s="16"/>
      <c r="D4552" s="16" t="s">
        <v>7597</v>
      </c>
      <c r="E4552" s="16" t="s">
        <v>4849</v>
      </c>
      <c r="F4552" s="16" t="s">
        <v>13082</v>
      </c>
      <c r="G4552" s="16" t="s">
        <v>7313</v>
      </c>
      <c r="H4552" s="16" t="s">
        <v>4851</v>
      </c>
      <c r="I4552" s="16" t="s">
        <v>160</v>
      </c>
      <c r="J4552" s="16"/>
      <c r="K4552" s="16" t="s">
        <v>12946</v>
      </c>
      <c r="L4552" s="16"/>
      <c r="M4552" s="19" t="s">
        <v>4850</v>
      </c>
      <c r="N4552" s="16"/>
      <c r="O4552" s="16"/>
      <c r="P4552" s="16" t="str">
        <f>HYPERLINK("https://ceds.ed.gov/cedselementdetails.aspx?termid=26317")</f>
        <v>https://ceds.ed.gov/cedselementdetails.aspx?termid=26317</v>
      </c>
      <c r="Q4552" s="16">
        <v>71598</v>
      </c>
    </row>
    <row r="4553" spans="1:17" ht="129.6" x14ac:dyDescent="0.3">
      <c r="A4553" s="16" t="s">
        <v>7766</v>
      </c>
      <c r="B4553" s="16" t="s">
        <v>7782</v>
      </c>
      <c r="C4553" s="16"/>
      <c r="D4553" s="16" t="s">
        <v>7597</v>
      </c>
      <c r="E4553" s="16" t="s">
        <v>4852</v>
      </c>
      <c r="F4553" s="16" t="s">
        <v>13083</v>
      </c>
      <c r="G4553" s="16" t="s">
        <v>7313</v>
      </c>
      <c r="H4553" s="16"/>
      <c r="I4553" s="16" t="s">
        <v>160</v>
      </c>
      <c r="J4553" s="16"/>
      <c r="K4553" s="16" t="s">
        <v>12947</v>
      </c>
      <c r="L4553" s="16" t="s">
        <v>13084</v>
      </c>
      <c r="M4553" s="19" t="s">
        <v>4853</v>
      </c>
      <c r="N4553" s="16"/>
      <c r="O4553" s="16"/>
      <c r="P4553" s="16" t="str">
        <f>HYPERLINK("https://ceds.ed.gov/cedselementdetails.aspx?termid=27618")</f>
        <v>https://ceds.ed.gov/cedselementdetails.aspx?termid=27618</v>
      </c>
      <c r="Q4553" s="16">
        <v>74217</v>
      </c>
    </row>
    <row r="4554" spans="1:17" ht="409.6" x14ac:dyDescent="0.3">
      <c r="A4554" s="16" t="s">
        <v>7766</v>
      </c>
      <c r="B4554" s="16" t="s">
        <v>7782</v>
      </c>
      <c r="C4554" s="16"/>
      <c r="D4554" s="16" t="s">
        <v>7597</v>
      </c>
      <c r="E4554" s="16" t="s">
        <v>4854</v>
      </c>
      <c r="F4554" s="16" t="s">
        <v>13085</v>
      </c>
      <c r="G4554" s="16" t="s">
        <v>8683</v>
      </c>
      <c r="H4554" s="16"/>
      <c r="I4554" s="16" t="s">
        <v>160</v>
      </c>
      <c r="J4554" s="16"/>
      <c r="K4554" s="16" t="s">
        <v>12948</v>
      </c>
      <c r="L4554" s="16" t="s">
        <v>13086</v>
      </c>
      <c r="M4554" s="19" t="s">
        <v>4855</v>
      </c>
      <c r="N4554" s="16"/>
      <c r="O4554" s="16"/>
      <c r="P4554" s="16" t="str">
        <f>HYPERLINK("https://ceds.ed.gov/cedselementdetails.aspx?termid=27619")</f>
        <v>https://ceds.ed.gov/cedselementdetails.aspx?termid=27619</v>
      </c>
      <c r="Q4554" s="16">
        <v>74224</v>
      </c>
    </row>
    <row r="4555" spans="1:17" ht="172.8" x14ac:dyDescent="0.3">
      <c r="A4555" s="16" t="s">
        <v>7766</v>
      </c>
      <c r="B4555" s="16" t="s">
        <v>7779</v>
      </c>
      <c r="C4555" s="16"/>
      <c r="D4555" s="16" t="s">
        <v>7597</v>
      </c>
      <c r="E4555" s="16" t="s">
        <v>6417</v>
      </c>
      <c r="F4555" s="16" t="s">
        <v>6418</v>
      </c>
      <c r="G4555" s="16" t="s">
        <v>32</v>
      </c>
      <c r="H4555" s="16" t="s">
        <v>605</v>
      </c>
      <c r="I4555" s="16"/>
      <c r="J4555" s="16" t="s">
        <v>120</v>
      </c>
      <c r="K4555" s="16"/>
      <c r="L4555" s="16" t="s">
        <v>7817</v>
      </c>
      <c r="M4555" s="19" t="s">
        <v>6419</v>
      </c>
      <c r="N4555" s="16"/>
      <c r="O4555" s="16" t="s">
        <v>6420</v>
      </c>
      <c r="P4555" s="16" t="str">
        <f>HYPERLINK("https://ceds.ed.gov/cedselementdetails.aspx?termid=26412")</f>
        <v>https://ceds.ed.gov/cedselementdetails.aspx?termid=26412</v>
      </c>
      <c r="Q4555" s="16">
        <v>72942</v>
      </c>
    </row>
    <row r="4556" spans="1:17" ht="28.8" x14ac:dyDescent="0.3">
      <c r="A4556" s="16" t="s">
        <v>7766</v>
      </c>
      <c r="B4556" s="16" t="s">
        <v>7779</v>
      </c>
      <c r="C4556" s="16"/>
      <c r="D4556" s="16" t="s">
        <v>7597</v>
      </c>
      <c r="E4556" s="16" t="s">
        <v>6421</v>
      </c>
      <c r="F4556" s="16" t="s">
        <v>6422</v>
      </c>
      <c r="G4556" s="16" t="s">
        <v>32</v>
      </c>
      <c r="H4556" s="16" t="s">
        <v>605</v>
      </c>
      <c r="I4556" s="16"/>
      <c r="J4556" s="16" t="s">
        <v>81</v>
      </c>
      <c r="K4556" s="16"/>
      <c r="L4556" s="16"/>
      <c r="M4556" s="19" t="s">
        <v>6423</v>
      </c>
      <c r="N4556" s="16"/>
      <c r="O4556" s="16" t="s">
        <v>6424</v>
      </c>
      <c r="P4556" s="16" t="str">
        <f>HYPERLINK("https://ceds.ed.gov/cedselementdetails.aspx?termid=26411")</f>
        <v>https://ceds.ed.gov/cedselementdetails.aspx?termid=26411</v>
      </c>
      <c r="Q4556" s="16">
        <v>72941</v>
      </c>
    </row>
    <row r="4557" spans="1:17" ht="28.8" x14ac:dyDescent="0.3">
      <c r="A4557" s="16" t="s">
        <v>7766</v>
      </c>
      <c r="B4557" s="16" t="s">
        <v>7779</v>
      </c>
      <c r="C4557" s="16"/>
      <c r="D4557" s="16" t="s">
        <v>7597</v>
      </c>
      <c r="E4557" s="16" t="s">
        <v>6413</v>
      </c>
      <c r="F4557" s="16" t="s">
        <v>6414</v>
      </c>
      <c r="G4557" s="16" t="s">
        <v>32</v>
      </c>
      <c r="H4557" s="16"/>
      <c r="I4557" s="16"/>
      <c r="J4557" s="16" t="s">
        <v>316</v>
      </c>
      <c r="K4557" s="16"/>
      <c r="L4557" s="16"/>
      <c r="M4557" s="19" t="s">
        <v>6415</v>
      </c>
      <c r="N4557" s="16"/>
      <c r="O4557" s="16" t="s">
        <v>6416</v>
      </c>
      <c r="P4557" s="16" t="str">
        <f>HYPERLINK("https://ceds.ed.gov/cedselementdetails.aspx?termid=27451")</f>
        <v>https://ceds.ed.gov/cedselementdetails.aspx?termid=27451</v>
      </c>
      <c r="Q4557" s="16">
        <v>73408</v>
      </c>
    </row>
    <row r="4558" spans="1:17" ht="28.8" x14ac:dyDescent="0.3">
      <c r="A4558" s="16" t="s">
        <v>7766</v>
      </c>
      <c r="B4558" s="16" t="s">
        <v>7779</v>
      </c>
      <c r="C4558" s="16"/>
      <c r="D4558" s="16" t="s">
        <v>7597</v>
      </c>
      <c r="E4558" s="16" t="s">
        <v>6425</v>
      </c>
      <c r="F4558" s="16" t="s">
        <v>6426</v>
      </c>
      <c r="G4558" s="16" t="s">
        <v>32</v>
      </c>
      <c r="H4558" s="16" t="s">
        <v>605</v>
      </c>
      <c r="I4558" s="16"/>
      <c r="J4558" s="16" t="s">
        <v>50</v>
      </c>
      <c r="K4558" s="16"/>
      <c r="L4558" s="16"/>
      <c r="M4558" s="19" t="s">
        <v>6427</v>
      </c>
      <c r="N4558" s="16"/>
      <c r="O4558" s="16" t="s">
        <v>6428</v>
      </c>
      <c r="P4558" s="16" t="str">
        <f>HYPERLINK("https://ceds.ed.gov/cedselementdetails.aspx?termid=26413")</f>
        <v>https://ceds.ed.gov/cedselementdetails.aspx?termid=26413</v>
      </c>
      <c r="Q4558" s="16">
        <v>72945</v>
      </c>
    </row>
    <row r="4559" spans="1:17" x14ac:dyDescent="0.3">
      <c r="A4559" s="16" t="s">
        <v>7766</v>
      </c>
      <c r="B4559" s="16" t="s">
        <v>7779</v>
      </c>
      <c r="C4559" s="16"/>
      <c r="D4559" s="16" t="s">
        <v>7597</v>
      </c>
      <c r="E4559" s="16" t="s">
        <v>6405</v>
      </c>
      <c r="F4559" s="16" t="s">
        <v>6406</v>
      </c>
      <c r="G4559" s="16" t="s">
        <v>32</v>
      </c>
      <c r="H4559" s="16"/>
      <c r="I4559" s="16"/>
      <c r="J4559" s="16" t="s">
        <v>145</v>
      </c>
      <c r="K4559" s="16"/>
      <c r="L4559" s="16"/>
      <c r="M4559" s="19" t="s">
        <v>6407</v>
      </c>
      <c r="N4559" s="16"/>
      <c r="O4559" s="16" t="s">
        <v>6408</v>
      </c>
      <c r="P4559" s="16" t="str">
        <f>HYPERLINK("https://ceds.ed.gov/cedselementdetails.aspx?termid=27449")</f>
        <v>https://ceds.ed.gov/cedselementdetails.aspx?termid=27449</v>
      </c>
      <c r="Q4559" s="16">
        <v>73402</v>
      </c>
    </row>
    <row r="4560" spans="1:17" ht="43.2" x14ac:dyDescent="0.3">
      <c r="A4560" s="16" t="s">
        <v>7766</v>
      </c>
      <c r="B4560" s="16" t="s">
        <v>7779</v>
      </c>
      <c r="C4560" s="16"/>
      <c r="D4560" s="16" t="s">
        <v>7597</v>
      </c>
      <c r="E4560" s="16" t="s">
        <v>6379</v>
      </c>
      <c r="F4560" s="16" t="s">
        <v>6380</v>
      </c>
      <c r="G4560" s="16" t="s">
        <v>32</v>
      </c>
      <c r="H4560" s="16"/>
      <c r="I4560" s="16"/>
      <c r="J4560" s="16" t="s">
        <v>316</v>
      </c>
      <c r="K4560" s="16"/>
      <c r="L4560" s="16"/>
      <c r="M4560" s="19" t="s">
        <v>6381</v>
      </c>
      <c r="N4560" s="16"/>
      <c r="O4560" s="16" t="s">
        <v>6382</v>
      </c>
      <c r="P4560" s="16" t="str">
        <f>HYPERLINK("https://ceds.ed.gov/cedselementdetails.aspx?termid=27442")</f>
        <v>https://ceds.ed.gov/cedselementdetails.aspx?termid=27442</v>
      </c>
      <c r="Q4560" s="16">
        <v>73380</v>
      </c>
    </row>
    <row r="4561" spans="1:17" ht="28.8" x14ac:dyDescent="0.3">
      <c r="A4561" s="16" t="s">
        <v>7766</v>
      </c>
      <c r="B4561" s="16" t="s">
        <v>7779</v>
      </c>
      <c r="C4561" s="16"/>
      <c r="D4561" s="16" t="s">
        <v>7597</v>
      </c>
      <c r="E4561" s="16" t="s">
        <v>6374</v>
      </c>
      <c r="F4561" s="16" t="s">
        <v>6375</v>
      </c>
      <c r="G4561" s="16" t="s">
        <v>32</v>
      </c>
      <c r="H4561" s="16"/>
      <c r="I4561" s="16"/>
      <c r="J4561" s="16" t="s">
        <v>81</v>
      </c>
      <c r="K4561" s="16"/>
      <c r="L4561" s="16"/>
      <c r="M4561" s="19" t="s">
        <v>6377</v>
      </c>
      <c r="N4561" s="16"/>
      <c r="O4561" s="16" t="s">
        <v>6378</v>
      </c>
      <c r="P4561" s="16" t="str">
        <f>HYPERLINK("https://ceds.ed.gov/cedselementdetails.aspx?termid=27441")</f>
        <v>https://ceds.ed.gov/cedselementdetails.aspx?termid=27441</v>
      </c>
      <c r="Q4561" s="16">
        <v>73377</v>
      </c>
    </row>
    <row r="4562" spans="1:17" ht="43.2" x14ac:dyDescent="0.3">
      <c r="A4562" s="16" t="s">
        <v>7766</v>
      </c>
      <c r="B4562" s="16" t="s">
        <v>7779</v>
      </c>
      <c r="C4562" s="16"/>
      <c r="D4562" s="16" t="s">
        <v>7597</v>
      </c>
      <c r="E4562" s="16" t="s">
        <v>6401</v>
      </c>
      <c r="F4562" s="16" t="s">
        <v>6402</v>
      </c>
      <c r="G4562" s="16" t="s">
        <v>32</v>
      </c>
      <c r="H4562" s="16"/>
      <c r="I4562" s="16"/>
      <c r="J4562" s="16" t="s">
        <v>136</v>
      </c>
      <c r="K4562" s="16"/>
      <c r="L4562" s="16"/>
      <c r="M4562" s="19" t="s">
        <v>6403</v>
      </c>
      <c r="N4562" s="16"/>
      <c r="O4562" s="16" t="s">
        <v>6404</v>
      </c>
      <c r="P4562" s="16" t="str">
        <f>HYPERLINK("https://ceds.ed.gov/cedselementdetails.aspx?termid=27448")</f>
        <v>https://ceds.ed.gov/cedselementdetails.aspx?termid=27448</v>
      </c>
      <c r="Q4562" s="16">
        <v>73399</v>
      </c>
    </row>
    <row r="4563" spans="1:17" ht="57.6" x14ac:dyDescent="0.3">
      <c r="A4563" s="16" t="s">
        <v>7766</v>
      </c>
      <c r="B4563" s="16" t="s">
        <v>7779</v>
      </c>
      <c r="C4563" s="16"/>
      <c r="D4563" s="16" t="s">
        <v>7597</v>
      </c>
      <c r="E4563" s="16" t="s">
        <v>6383</v>
      </c>
      <c r="F4563" s="16" t="s">
        <v>8129</v>
      </c>
      <c r="G4563" s="16" t="s">
        <v>32</v>
      </c>
      <c r="H4563" s="16"/>
      <c r="I4563" s="16"/>
      <c r="J4563" s="16" t="s">
        <v>316</v>
      </c>
      <c r="K4563" s="16"/>
      <c r="L4563" s="16"/>
      <c r="M4563" s="19" t="s">
        <v>6384</v>
      </c>
      <c r="N4563" s="16"/>
      <c r="O4563" s="16" t="s">
        <v>6385</v>
      </c>
      <c r="P4563" s="16" t="str">
        <f>HYPERLINK("https://ceds.ed.gov/cedselementdetails.aspx?termid=27443")</f>
        <v>https://ceds.ed.gov/cedselementdetails.aspx?termid=27443</v>
      </c>
      <c r="Q4563" s="16">
        <v>73383</v>
      </c>
    </row>
    <row r="4564" spans="1:17" ht="72" x14ac:dyDescent="0.3">
      <c r="A4564" s="16" t="s">
        <v>7766</v>
      </c>
      <c r="B4564" s="16" t="s">
        <v>7779</v>
      </c>
      <c r="C4564" s="16"/>
      <c r="D4564" s="16" t="s">
        <v>7597</v>
      </c>
      <c r="E4564" s="16" t="s">
        <v>6386</v>
      </c>
      <c r="F4564" s="16" t="s">
        <v>8130</v>
      </c>
      <c r="G4564" s="16" t="s">
        <v>32</v>
      </c>
      <c r="H4564" s="16"/>
      <c r="I4564" s="16"/>
      <c r="J4564" s="16" t="s">
        <v>316</v>
      </c>
      <c r="K4564" s="16"/>
      <c r="L4564" s="16"/>
      <c r="M4564" s="19" t="s">
        <v>6387</v>
      </c>
      <c r="N4564" s="16"/>
      <c r="O4564" s="16" t="s">
        <v>6388</v>
      </c>
      <c r="P4564" s="16" t="str">
        <f>HYPERLINK("https://ceds.ed.gov/cedselementdetails.aspx?termid=27444")</f>
        <v>https://ceds.ed.gov/cedselementdetails.aspx?termid=27444</v>
      </c>
      <c r="Q4564" s="16">
        <v>73387</v>
      </c>
    </row>
    <row r="4565" spans="1:17" ht="43.2" x14ac:dyDescent="0.3">
      <c r="A4565" s="16" t="s">
        <v>7766</v>
      </c>
      <c r="B4565" s="16" t="s">
        <v>7779</v>
      </c>
      <c r="C4565" s="16"/>
      <c r="D4565" s="16" t="s">
        <v>7597</v>
      </c>
      <c r="E4565" s="16" t="s">
        <v>6389</v>
      </c>
      <c r="F4565" s="16" t="s">
        <v>6390</v>
      </c>
      <c r="G4565" s="16" t="s">
        <v>32</v>
      </c>
      <c r="H4565" s="16"/>
      <c r="I4565" s="16"/>
      <c r="J4565" s="16" t="s">
        <v>136</v>
      </c>
      <c r="K4565" s="16"/>
      <c r="L4565" s="16"/>
      <c r="M4565" s="19" t="s">
        <v>6391</v>
      </c>
      <c r="N4565" s="16"/>
      <c r="O4565" s="16" t="s">
        <v>6392</v>
      </c>
      <c r="P4565" s="16" t="str">
        <f>HYPERLINK("https://ceds.ed.gov/cedselementdetails.aspx?termid=27445")</f>
        <v>https://ceds.ed.gov/cedselementdetails.aspx?termid=27445</v>
      </c>
      <c r="Q4565" s="16">
        <v>73390</v>
      </c>
    </row>
    <row r="4566" spans="1:17" ht="43.2" x14ac:dyDescent="0.3">
      <c r="A4566" s="16" t="s">
        <v>7766</v>
      </c>
      <c r="B4566" s="16" t="s">
        <v>7779</v>
      </c>
      <c r="C4566" s="16"/>
      <c r="D4566" s="16" t="s">
        <v>7597</v>
      </c>
      <c r="E4566" s="16" t="s">
        <v>6393</v>
      </c>
      <c r="F4566" s="16" t="s">
        <v>6394</v>
      </c>
      <c r="G4566" s="16" t="s">
        <v>32</v>
      </c>
      <c r="H4566" s="16"/>
      <c r="I4566" s="16"/>
      <c r="J4566" s="16" t="s">
        <v>145</v>
      </c>
      <c r="K4566" s="16"/>
      <c r="L4566" s="16"/>
      <c r="M4566" s="19" t="s">
        <v>6395</v>
      </c>
      <c r="N4566" s="16"/>
      <c r="O4566" s="16" t="s">
        <v>6396</v>
      </c>
      <c r="P4566" s="16" t="str">
        <f>HYPERLINK("https://ceds.ed.gov/cedselementdetails.aspx?termid=27446")</f>
        <v>https://ceds.ed.gov/cedselementdetails.aspx?termid=27446</v>
      </c>
      <c r="Q4566" s="16">
        <v>73393</v>
      </c>
    </row>
    <row r="4567" spans="1:17" ht="28.8" x14ac:dyDescent="0.3">
      <c r="A4567" s="16" t="s">
        <v>7766</v>
      </c>
      <c r="B4567" s="16" t="s">
        <v>7779</v>
      </c>
      <c r="C4567" s="16"/>
      <c r="D4567" s="16" t="s">
        <v>7597</v>
      </c>
      <c r="E4567" s="16" t="s">
        <v>6397</v>
      </c>
      <c r="F4567" s="16" t="s">
        <v>6398</v>
      </c>
      <c r="G4567" s="16" t="s">
        <v>32</v>
      </c>
      <c r="H4567" s="16"/>
      <c r="I4567" s="16"/>
      <c r="J4567" s="16" t="s">
        <v>136</v>
      </c>
      <c r="K4567" s="16"/>
      <c r="L4567" s="16"/>
      <c r="M4567" s="19" t="s">
        <v>6399</v>
      </c>
      <c r="N4567" s="16"/>
      <c r="O4567" s="16" t="s">
        <v>6400</v>
      </c>
      <c r="P4567" s="16" t="str">
        <f>HYPERLINK("https://ceds.ed.gov/cedselementdetails.aspx?termid=27447")</f>
        <v>https://ceds.ed.gov/cedselementdetails.aspx?termid=27447</v>
      </c>
      <c r="Q4567" s="16">
        <v>73396</v>
      </c>
    </row>
    <row r="4568" spans="1:17" ht="28.8" x14ac:dyDescent="0.3">
      <c r="A4568" s="16" t="s">
        <v>7766</v>
      </c>
      <c r="B4568" s="16" t="s">
        <v>7779</v>
      </c>
      <c r="C4568" s="16"/>
      <c r="D4568" s="16" t="s">
        <v>7597</v>
      </c>
      <c r="E4568" s="16" t="s">
        <v>6409</v>
      </c>
      <c r="F4568" s="16" t="s">
        <v>6410</v>
      </c>
      <c r="G4568" s="16" t="s">
        <v>32</v>
      </c>
      <c r="H4568" s="16"/>
      <c r="I4568" s="16"/>
      <c r="J4568" s="16" t="s">
        <v>136</v>
      </c>
      <c r="K4568" s="16"/>
      <c r="L4568" s="16"/>
      <c r="M4568" s="19" t="s">
        <v>6411</v>
      </c>
      <c r="N4568" s="16"/>
      <c r="O4568" s="16" t="s">
        <v>6412</v>
      </c>
      <c r="P4568" s="16" t="str">
        <f>HYPERLINK("https://ceds.ed.gov/cedselementdetails.aspx?termid=27450")</f>
        <v>https://ceds.ed.gov/cedselementdetails.aspx?termid=27450</v>
      </c>
      <c r="Q4568" s="16">
        <v>73405</v>
      </c>
    </row>
    <row r="4569" spans="1:17" ht="172.8" x14ac:dyDescent="0.3">
      <c r="A4569" s="16" t="s">
        <v>7766</v>
      </c>
      <c r="B4569" s="16" t="s">
        <v>7783</v>
      </c>
      <c r="C4569" s="16"/>
      <c r="D4569" s="16" t="s">
        <v>7597</v>
      </c>
      <c r="E4569" s="16" t="s">
        <v>1354</v>
      </c>
      <c r="F4569" s="16" t="s">
        <v>1355</v>
      </c>
      <c r="G4569" s="16" t="s">
        <v>32</v>
      </c>
      <c r="H4569" s="16" t="s">
        <v>1279</v>
      </c>
      <c r="I4569" s="16"/>
      <c r="J4569" s="16" t="s">
        <v>120</v>
      </c>
      <c r="K4569" s="16"/>
      <c r="L4569" s="16" t="s">
        <v>7817</v>
      </c>
      <c r="M4569" s="19" t="s">
        <v>1356</v>
      </c>
      <c r="N4569" s="16"/>
      <c r="O4569" s="16" t="s">
        <v>1357</v>
      </c>
      <c r="P4569" s="16" t="str">
        <f>HYPERLINK("https://ceds.ed.gov/cedselementdetails.aspx?termid=26366")</f>
        <v>https://ceds.ed.gov/cedselementdetails.aspx?termid=26366</v>
      </c>
      <c r="Q4569" s="16">
        <v>71210</v>
      </c>
    </row>
    <row r="4570" spans="1:17" ht="72" x14ac:dyDescent="0.3">
      <c r="A4570" s="16" t="s">
        <v>7766</v>
      </c>
      <c r="B4570" s="16" t="s">
        <v>7783</v>
      </c>
      <c r="C4570" s="16"/>
      <c r="D4570" s="16" t="s">
        <v>7597</v>
      </c>
      <c r="E4570" s="16" t="s">
        <v>1358</v>
      </c>
      <c r="F4570" s="16" t="s">
        <v>1359</v>
      </c>
      <c r="G4570" s="16" t="s">
        <v>8364</v>
      </c>
      <c r="H4570" s="16"/>
      <c r="I4570" s="16"/>
      <c r="J4570" s="16"/>
      <c r="K4570" s="16"/>
      <c r="L4570" s="16"/>
      <c r="M4570" s="19" t="s">
        <v>1360</v>
      </c>
      <c r="N4570" s="16"/>
      <c r="O4570" s="16" t="s">
        <v>1361</v>
      </c>
      <c r="P4570" s="16" t="str">
        <f>HYPERLINK("https://ceds.ed.gov/cedselementdetails.aspx?termid=27016")</f>
        <v>https://ceds.ed.gov/cedselementdetails.aspx?termid=27016</v>
      </c>
      <c r="Q4570" s="16">
        <v>71452</v>
      </c>
    </row>
    <row r="4571" spans="1:17" ht="144" x14ac:dyDescent="0.3">
      <c r="A4571" s="16" t="s">
        <v>7766</v>
      </c>
      <c r="B4571" s="16" t="s">
        <v>7783</v>
      </c>
      <c r="C4571" s="16"/>
      <c r="D4571" s="16" t="s">
        <v>7597</v>
      </c>
      <c r="E4571" s="16" t="s">
        <v>1383</v>
      </c>
      <c r="F4571" s="16" t="s">
        <v>1384</v>
      </c>
      <c r="G4571" s="16" t="s">
        <v>32</v>
      </c>
      <c r="H4571" s="16" t="s">
        <v>1387</v>
      </c>
      <c r="I4571" s="16"/>
      <c r="J4571" s="16" t="s">
        <v>9315</v>
      </c>
      <c r="K4571" s="16"/>
      <c r="L4571" s="16"/>
      <c r="M4571" s="19" t="s">
        <v>1385</v>
      </c>
      <c r="N4571" s="16"/>
      <c r="O4571" s="16" t="s">
        <v>1386</v>
      </c>
      <c r="P4571" s="16" t="str">
        <f>HYPERLINK("https://ceds.ed.gov/cedselementdetails.aspx?termid=26275")</f>
        <v>https://ceds.ed.gov/cedselementdetails.aspx?termid=26275</v>
      </c>
      <c r="Q4571" s="16">
        <v>71209</v>
      </c>
    </row>
    <row r="4572" spans="1:17" ht="28.8" x14ac:dyDescent="0.3">
      <c r="A4572" s="16" t="s">
        <v>7766</v>
      </c>
      <c r="B4572" s="16" t="s">
        <v>7783</v>
      </c>
      <c r="C4572" s="16"/>
      <c r="D4572" s="16" t="s">
        <v>7597</v>
      </c>
      <c r="E4572" s="16" t="s">
        <v>1347</v>
      </c>
      <c r="F4572" s="16"/>
      <c r="G4572" s="16" t="s">
        <v>32</v>
      </c>
      <c r="H4572" s="16" t="s">
        <v>1349</v>
      </c>
      <c r="I4572" s="16" t="s">
        <v>160</v>
      </c>
      <c r="J4572" s="16" t="s">
        <v>13076</v>
      </c>
      <c r="K4572" s="16" t="s">
        <v>12939</v>
      </c>
      <c r="L4572" s="16"/>
      <c r="M4572" s="19" t="s">
        <v>1348</v>
      </c>
      <c r="N4572" s="16"/>
      <c r="O4572" s="16"/>
      <c r="P4572" s="16" t="str">
        <f>HYPERLINK("https://ceds.ed.gov/cedselementdetails.aspx?termid=26367")</f>
        <v>https://ceds.ed.gov/cedselementdetails.aspx?termid=26367</v>
      </c>
      <c r="Q4572" s="16">
        <v>71211</v>
      </c>
    </row>
    <row r="4573" spans="1:17" ht="129.6" x14ac:dyDescent="0.3">
      <c r="A4573" s="16" t="s">
        <v>7766</v>
      </c>
      <c r="B4573" s="16" t="s">
        <v>7783</v>
      </c>
      <c r="C4573" s="16"/>
      <c r="D4573" s="16" t="s">
        <v>7597</v>
      </c>
      <c r="E4573" s="16" t="s">
        <v>1350</v>
      </c>
      <c r="F4573" s="16" t="s">
        <v>1351</v>
      </c>
      <c r="G4573" s="16" t="s">
        <v>32</v>
      </c>
      <c r="H4573" s="16" t="s">
        <v>515</v>
      </c>
      <c r="I4573" s="16"/>
      <c r="J4573" s="16" t="s">
        <v>145</v>
      </c>
      <c r="K4573" s="16"/>
      <c r="L4573" s="16"/>
      <c r="M4573" s="19" t="s">
        <v>1352</v>
      </c>
      <c r="N4573" s="16"/>
      <c r="O4573" s="16" t="s">
        <v>1353</v>
      </c>
      <c r="P4573" s="16" t="str">
        <f>HYPERLINK("https://ceds.ed.gov/cedselementdetails.aspx?termid=26274")</f>
        <v>https://ceds.ed.gov/cedselementdetails.aspx?termid=26274</v>
      </c>
      <c r="Q4573" s="16">
        <v>71208</v>
      </c>
    </row>
    <row r="4574" spans="1:17" ht="43.2" x14ac:dyDescent="0.3">
      <c r="A4574" s="16" t="s">
        <v>7766</v>
      </c>
      <c r="B4574" s="16" t="s">
        <v>7783</v>
      </c>
      <c r="C4574" s="16"/>
      <c r="D4574" s="16" t="s">
        <v>7597</v>
      </c>
      <c r="E4574" s="16" t="s">
        <v>1388</v>
      </c>
      <c r="F4574" s="16" t="s">
        <v>1389</v>
      </c>
      <c r="G4574" s="16" t="s">
        <v>32</v>
      </c>
      <c r="H4574" s="16" t="s">
        <v>1279</v>
      </c>
      <c r="I4574" s="16"/>
      <c r="J4574" s="16" t="s">
        <v>81</v>
      </c>
      <c r="K4574" s="16"/>
      <c r="L4574" s="16"/>
      <c r="M4574" s="19" t="s">
        <v>1390</v>
      </c>
      <c r="N4574" s="16"/>
      <c r="O4574" s="16" t="s">
        <v>1391</v>
      </c>
      <c r="P4574" s="16" t="str">
        <f>HYPERLINK("https://ceds.ed.gov/cedselementdetails.aspx?termid=26379")</f>
        <v>https://ceds.ed.gov/cedselementdetails.aspx?termid=26379</v>
      </c>
      <c r="Q4574" s="16">
        <v>71213</v>
      </c>
    </row>
    <row r="4575" spans="1:17" ht="360" x14ac:dyDescent="0.3">
      <c r="A4575" s="16" t="s">
        <v>7766</v>
      </c>
      <c r="B4575" s="16" t="s">
        <v>7783</v>
      </c>
      <c r="C4575" s="16"/>
      <c r="D4575" s="16" t="s">
        <v>7597</v>
      </c>
      <c r="E4575" s="16" t="s">
        <v>936</v>
      </c>
      <c r="F4575" s="16" t="s">
        <v>937</v>
      </c>
      <c r="G4575" s="16" t="s">
        <v>8207</v>
      </c>
      <c r="H4575" s="16" t="s">
        <v>940</v>
      </c>
      <c r="I4575" s="16"/>
      <c r="J4575" s="16"/>
      <c r="K4575" s="16"/>
      <c r="L4575" s="16"/>
      <c r="M4575" s="19" t="s">
        <v>938</v>
      </c>
      <c r="N4575" s="16"/>
      <c r="O4575" s="16" t="s">
        <v>939</v>
      </c>
      <c r="P4575" s="16" t="str">
        <f>HYPERLINK("https://ceds.ed.gov/cedselementdetails.aspx?termid=26177")</f>
        <v>https://ceds.ed.gov/cedselementdetails.aspx?termid=26177</v>
      </c>
      <c r="Q4575" s="16">
        <v>73798</v>
      </c>
    </row>
    <row r="4576" spans="1:17" ht="273.60000000000002" x14ac:dyDescent="0.3">
      <c r="A4576" s="16" t="s">
        <v>7766</v>
      </c>
      <c r="B4576" s="16" t="s">
        <v>7783</v>
      </c>
      <c r="C4576" s="16"/>
      <c r="D4576" s="16" t="s">
        <v>7597</v>
      </c>
      <c r="E4576" s="16" t="s">
        <v>472</v>
      </c>
      <c r="F4576" s="16" t="s">
        <v>473</v>
      </c>
      <c r="G4576" s="16" t="s">
        <v>8327</v>
      </c>
      <c r="H4576" s="16" t="s">
        <v>476</v>
      </c>
      <c r="I4576" s="16"/>
      <c r="J4576" s="16"/>
      <c r="K4576" s="16"/>
      <c r="L4576" s="16" t="s">
        <v>7834</v>
      </c>
      <c r="M4576" s="19" t="s">
        <v>474</v>
      </c>
      <c r="N4576" s="16"/>
      <c r="O4576" s="16" t="s">
        <v>475</v>
      </c>
      <c r="P4576" s="16" t="str">
        <f>HYPERLINK("https://ceds.ed.gov/cedselementdetails.aspx?termid=27003")</f>
        <v>https://ceds.ed.gov/cedselementdetails.aspx?termid=27003</v>
      </c>
      <c r="Q4576" s="16">
        <v>74304</v>
      </c>
    </row>
    <row r="4577" spans="1:17" ht="28.8" x14ac:dyDescent="0.3">
      <c r="A4577" s="16" t="s">
        <v>7766</v>
      </c>
      <c r="B4577" s="16" t="s">
        <v>7783</v>
      </c>
      <c r="C4577" s="16"/>
      <c r="D4577" s="16" t="s">
        <v>7597</v>
      </c>
      <c r="E4577" s="16" t="s">
        <v>1375</v>
      </c>
      <c r="F4577" s="16" t="s">
        <v>1376</v>
      </c>
      <c r="G4577" s="16" t="s">
        <v>32</v>
      </c>
      <c r="H4577" s="16"/>
      <c r="I4577" s="16"/>
      <c r="J4577" s="16" t="s">
        <v>106</v>
      </c>
      <c r="K4577" s="16"/>
      <c r="L4577" s="16"/>
      <c r="M4577" s="19" t="s">
        <v>1377</v>
      </c>
      <c r="N4577" s="16"/>
      <c r="O4577" s="16" t="s">
        <v>1378</v>
      </c>
      <c r="P4577" s="16" t="str">
        <f>HYPERLINK("https://ceds.ed.gov/cedselementdetails.aspx?termid=27075")</f>
        <v>https://ceds.ed.gov/cedselementdetails.aspx?termid=27075</v>
      </c>
      <c r="Q4577" s="16">
        <v>71507</v>
      </c>
    </row>
    <row r="4578" spans="1:17" ht="43.2" x14ac:dyDescent="0.3">
      <c r="A4578" s="16" t="s">
        <v>7766</v>
      </c>
      <c r="B4578" s="16" t="s">
        <v>7783</v>
      </c>
      <c r="C4578" s="16"/>
      <c r="D4578" s="16" t="s">
        <v>7597</v>
      </c>
      <c r="E4578" s="16" t="s">
        <v>1366</v>
      </c>
      <c r="F4578" s="16" t="s">
        <v>1367</v>
      </c>
      <c r="G4578" s="16" t="s">
        <v>32</v>
      </c>
      <c r="H4578" s="16" t="s">
        <v>84</v>
      </c>
      <c r="I4578" s="16"/>
      <c r="J4578" s="16" t="s">
        <v>81</v>
      </c>
      <c r="K4578" s="16"/>
      <c r="L4578" s="16"/>
      <c r="M4578" s="19" t="s">
        <v>1368</v>
      </c>
      <c r="N4578" s="16"/>
      <c r="O4578" s="16" t="s">
        <v>1369</v>
      </c>
      <c r="P4578" s="16" t="str">
        <f>HYPERLINK("https://ceds.ed.gov/cedselementdetails.aspx?termid=26387")</f>
        <v>https://ceds.ed.gov/cedselementdetails.aspx?termid=26387</v>
      </c>
      <c r="Q4578" s="16">
        <v>71214</v>
      </c>
    </row>
    <row r="4579" spans="1:17" ht="43.2" x14ac:dyDescent="0.3">
      <c r="A4579" s="16" t="s">
        <v>7766</v>
      </c>
      <c r="B4579" s="16" t="s">
        <v>7783</v>
      </c>
      <c r="C4579" s="16"/>
      <c r="D4579" s="16" t="s">
        <v>7597</v>
      </c>
      <c r="E4579" s="16" t="s">
        <v>1362</v>
      </c>
      <c r="F4579" s="16" t="s">
        <v>1363</v>
      </c>
      <c r="G4579" s="16" t="s">
        <v>32</v>
      </c>
      <c r="H4579" s="16" t="s">
        <v>84</v>
      </c>
      <c r="I4579" s="16"/>
      <c r="J4579" s="16" t="s">
        <v>81</v>
      </c>
      <c r="K4579" s="16"/>
      <c r="L4579" s="16"/>
      <c r="M4579" s="19" t="s">
        <v>1364</v>
      </c>
      <c r="N4579" s="16"/>
      <c r="O4579" s="16" t="s">
        <v>1365</v>
      </c>
      <c r="P4579" s="16" t="str">
        <f>HYPERLINK("https://ceds.ed.gov/cedselementdetails.aspx?termid=26388")</f>
        <v>https://ceds.ed.gov/cedselementdetails.aspx?termid=26388</v>
      </c>
      <c r="Q4579" s="16">
        <v>71215</v>
      </c>
    </row>
    <row r="4580" spans="1:17" ht="43.2" x14ac:dyDescent="0.3">
      <c r="A4580" s="16" t="s">
        <v>7766</v>
      </c>
      <c r="B4580" s="16" t="s">
        <v>7783</v>
      </c>
      <c r="C4580" s="16"/>
      <c r="D4580" s="16" t="s">
        <v>7597</v>
      </c>
      <c r="E4580" s="16" t="s">
        <v>1370</v>
      </c>
      <c r="F4580" s="16" t="s">
        <v>1371</v>
      </c>
      <c r="G4580" s="16" t="s">
        <v>32</v>
      </c>
      <c r="H4580" s="16" t="s">
        <v>605</v>
      </c>
      <c r="I4580" s="16"/>
      <c r="J4580" s="16" t="s">
        <v>81</v>
      </c>
      <c r="K4580" s="16"/>
      <c r="L4580" s="16" t="s">
        <v>1372</v>
      </c>
      <c r="M4580" s="19" t="s">
        <v>1373</v>
      </c>
      <c r="N4580" s="16"/>
      <c r="O4580" s="16" t="s">
        <v>1374</v>
      </c>
      <c r="P4580" s="16" t="str">
        <f>HYPERLINK("https://ceds.ed.gov/cedselementdetails.aspx?termid=26389")</f>
        <v>https://ceds.ed.gov/cedselementdetails.aspx?termid=26389</v>
      </c>
      <c r="Q4580" s="16">
        <v>71216</v>
      </c>
    </row>
    <row r="4581" spans="1:17" ht="288" x14ac:dyDescent="0.3">
      <c r="A4581" s="16" t="s">
        <v>7766</v>
      </c>
      <c r="B4581" s="16" t="s">
        <v>7783</v>
      </c>
      <c r="C4581" s="16"/>
      <c r="D4581" s="16" t="s">
        <v>7597</v>
      </c>
      <c r="E4581" s="16" t="s">
        <v>377</v>
      </c>
      <c r="F4581" s="16" t="s">
        <v>378</v>
      </c>
      <c r="G4581" s="16" t="s">
        <v>8322</v>
      </c>
      <c r="H4581" s="16" t="s">
        <v>382</v>
      </c>
      <c r="I4581" s="16"/>
      <c r="J4581" s="16"/>
      <c r="K4581" s="16"/>
      <c r="L4581" s="16"/>
      <c r="M4581" s="19" t="s">
        <v>380</v>
      </c>
      <c r="N4581" s="16"/>
      <c r="O4581" s="16" t="s">
        <v>381</v>
      </c>
      <c r="P4581" s="16" t="str">
        <f>HYPERLINK("https://ceds.ed.gov/cedselementdetails.aspx?termid=26021")</f>
        <v>https://ceds.ed.gov/cedselementdetails.aspx?termid=26021</v>
      </c>
      <c r="Q4581" s="16">
        <v>71206</v>
      </c>
    </row>
    <row r="4582" spans="1:17" ht="129.6" x14ac:dyDescent="0.3">
      <c r="A4582" s="16" t="s">
        <v>7766</v>
      </c>
      <c r="B4582" s="16" t="s">
        <v>7783</v>
      </c>
      <c r="C4582" s="16"/>
      <c r="D4582" s="16" t="s">
        <v>7597</v>
      </c>
      <c r="E4582" s="16" t="s">
        <v>466</v>
      </c>
      <c r="F4582" s="16" t="s">
        <v>467</v>
      </c>
      <c r="G4582" s="16" t="s">
        <v>8326</v>
      </c>
      <c r="H4582" s="16" t="s">
        <v>471</v>
      </c>
      <c r="I4582" s="16"/>
      <c r="J4582" s="16"/>
      <c r="K4582" s="16"/>
      <c r="L4582" s="16"/>
      <c r="M4582" s="19" t="s">
        <v>469</v>
      </c>
      <c r="N4582" s="16"/>
      <c r="O4582" s="16" t="s">
        <v>470</v>
      </c>
      <c r="P4582" s="16" t="str">
        <f>HYPERLINK("https://ceds.ed.gov/cedselementdetails.aspx?termid=26598")</f>
        <v>https://ceds.ed.gov/cedselementdetails.aspx?termid=26598</v>
      </c>
      <c r="Q4582" s="16">
        <v>71217</v>
      </c>
    </row>
    <row r="4583" spans="1:17" ht="331.2" x14ac:dyDescent="0.3">
      <c r="A4583" s="16" t="s">
        <v>7766</v>
      </c>
      <c r="B4583" s="16" t="s">
        <v>7783</v>
      </c>
      <c r="C4583" s="16"/>
      <c r="D4583" s="16" t="s">
        <v>7597</v>
      </c>
      <c r="E4583" s="16" t="s">
        <v>1159</v>
      </c>
      <c r="F4583" s="16" t="s">
        <v>1160</v>
      </c>
      <c r="G4583" s="16" t="s">
        <v>8354</v>
      </c>
      <c r="H4583" s="16" t="s">
        <v>471</v>
      </c>
      <c r="I4583" s="16"/>
      <c r="J4583" s="16"/>
      <c r="K4583" s="16"/>
      <c r="L4583" s="16" t="s">
        <v>1162</v>
      </c>
      <c r="M4583" s="19" t="s">
        <v>1163</v>
      </c>
      <c r="N4583" s="16"/>
      <c r="O4583" s="16" t="s">
        <v>1164</v>
      </c>
      <c r="P4583" s="16" t="str">
        <f>HYPERLINK("https://ceds.ed.gov/cedselementdetails.aspx?termid=26026")</f>
        <v>https://ceds.ed.gov/cedselementdetails.aspx?termid=26026</v>
      </c>
      <c r="Q4583" s="16">
        <v>71207</v>
      </c>
    </row>
    <row r="4584" spans="1:17" ht="43.2" x14ac:dyDescent="0.3">
      <c r="A4584" s="16" t="s">
        <v>7766</v>
      </c>
      <c r="B4584" s="16" t="s">
        <v>7783</v>
      </c>
      <c r="C4584" s="16"/>
      <c r="D4584" s="16" t="s">
        <v>7597</v>
      </c>
      <c r="E4584" s="16" t="s">
        <v>1379</v>
      </c>
      <c r="F4584" s="16" t="s">
        <v>1380</v>
      </c>
      <c r="G4584" s="16" t="s">
        <v>32</v>
      </c>
      <c r="H4584" s="16"/>
      <c r="I4584" s="16"/>
      <c r="J4584" s="16" t="s">
        <v>316</v>
      </c>
      <c r="K4584" s="16"/>
      <c r="L4584" s="16"/>
      <c r="M4584" s="19" t="s">
        <v>1381</v>
      </c>
      <c r="N4584" s="16"/>
      <c r="O4584" s="16" t="s">
        <v>1382</v>
      </c>
      <c r="P4584" s="16" t="str">
        <f>HYPERLINK("https://ceds.ed.gov/cedselementdetails.aspx?termid=26695")</f>
        <v>https://ceds.ed.gov/cedselementdetails.aspx?termid=26695</v>
      </c>
      <c r="Q4584" s="16">
        <v>71218</v>
      </c>
    </row>
    <row r="4585" spans="1:17" ht="43.2" x14ac:dyDescent="0.3">
      <c r="A4585" s="16" t="s">
        <v>7766</v>
      </c>
      <c r="B4585" s="16" t="s">
        <v>7783</v>
      </c>
      <c r="C4585" s="16"/>
      <c r="D4585" s="16" t="s">
        <v>7597</v>
      </c>
      <c r="E4585" s="16" t="s">
        <v>575</v>
      </c>
      <c r="F4585" s="16" t="s">
        <v>7837</v>
      </c>
      <c r="G4585" s="16" t="s">
        <v>32</v>
      </c>
      <c r="H4585" s="16"/>
      <c r="I4585" s="16"/>
      <c r="J4585" s="16" t="s">
        <v>305</v>
      </c>
      <c r="K4585" s="16"/>
      <c r="L4585" s="16"/>
      <c r="M4585" s="19" t="s">
        <v>576</v>
      </c>
      <c r="N4585" s="16"/>
      <c r="O4585" s="16" t="s">
        <v>577</v>
      </c>
      <c r="P4585" s="16" t="str">
        <f>HYPERLINK("https://ceds.ed.gov/cedselementdetails.aspx?termid=27180")</f>
        <v>https://ceds.ed.gov/cedselementdetails.aspx?termid=27180</v>
      </c>
      <c r="Q4585" s="16">
        <v>71625</v>
      </c>
    </row>
    <row r="4586" spans="1:17" ht="57.6" x14ac:dyDescent="0.3">
      <c r="A4586" s="16" t="s">
        <v>7766</v>
      </c>
      <c r="B4586" s="16" t="s">
        <v>7783</v>
      </c>
      <c r="C4586" s="16"/>
      <c r="D4586" s="16" t="s">
        <v>7597</v>
      </c>
      <c r="E4586" s="16" t="s">
        <v>558</v>
      </c>
      <c r="F4586" s="16" t="s">
        <v>559</v>
      </c>
      <c r="G4586" s="16" t="s">
        <v>22</v>
      </c>
      <c r="H4586" s="16"/>
      <c r="I4586" s="16"/>
      <c r="J4586" s="16"/>
      <c r="K4586" s="16"/>
      <c r="L4586" s="16"/>
      <c r="M4586" s="19" t="s">
        <v>560</v>
      </c>
      <c r="N4586" s="16"/>
      <c r="O4586" s="16" t="s">
        <v>561</v>
      </c>
      <c r="P4586" s="16" t="str">
        <f>HYPERLINK("https://ceds.ed.gov/cedselementdetails.aspx?termid=27181")</f>
        <v>https://ceds.ed.gov/cedselementdetails.aspx?termid=27181</v>
      </c>
      <c r="Q4586" s="16">
        <v>71626</v>
      </c>
    </row>
    <row r="4587" spans="1:17" ht="409.6" x14ac:dyDescent="0.3">
      <c r="A4587" s="16" t="s">
        <v>7766</v>
      </c>
      <c r="B4587" s="16" t="s">
        <v>7783</v>
      </c>
      <c r="C4587" s="16"/>
      <c r="D4587" s="16" t="s">
        <v>7597</v>
      </c>
      <c r="E4587" s="16" t="s">
        <v>1274</v>
      </c>
      <c r="F4587" s="16" t="s">
        <v>1275</v>
      </c>
      <c r="G4587" s="16" t="s">
        <v>9353</v>
      </c>
      <c r="H4587" s="16" t="s">
        <v>1279</v>
      </c>
      <c r="I4587" s="16"/>
      <c r="J4587" s="16"/>
      <c r="K4587" s="16"/>
      <c r="L4587" s="16"/>
      <c r="M4587" s="19" t="s">
        <v>1277</v>
      </c>
      <c r="N4587" s="16"/>
      <c r="O4587" s="16" t="s">
        <v>1278</v>
      </c>
      <c r="P4587" s="16" t="str">
        <f>HYPERLINK("https://ceds.ed.gov/cedselementdetails.aspx?termid=26368")</f>
        <v>https://ceds.ed.gov/cedselementdetails.aspx?termid=26368</v>
      </c>
      <c r="Q4587" s="16">
        <v>71212</v>
      </c>
    </row>
    <row r="4588" spans="1:17" ht="172.8" x14ac:dyDescent="0.3">
      <c r="A4588" s="16" t="s">
        <v>7766</v>
      </c>
      <c r="B4588" s="16" t="s">
        <v>7783</v>
      </c>
      <c r="C4588" s="16" t="s">
        <v>7784</v>
      </c>
      <c r="D4588" s="16" t="s">
        <v>7597</v>
      </c>
      <c r="E4588" s="16" t="s">
        <v>1124</v>
      </c>
      <c r="F4588" s="16" t="s">
        <v>1125</v>
      </c>
      <c r="G4588" s="16" t="s">
        <v>32</v>
      </c>
      <c r="H4588" s="16" t="s">
        <v>779</v>
      </c>
      <c r="I4588" s="16"/>
      <c r="J4588" s="16" t="s">
        <v>120</v>
      </c>
      <c r="K4588" s="16"/>
      <c r="L4588" s="16" t="s">
        <v>7817</v>
      </c>
      <c r="M4588" s="19" t="s">
        <v>1126</v>
      </c>
      <c r="N4588" s="16"/>
      <c r="O4588" s="16" t="s">
        <v>1127</v>
      </c>
      <c r="P4588" s="16" t="str">
        <f>HYPERLINK("https://ceds.ed.gov/cedselementdetails.aspx?termid=26693")</f>
        <v>https://ceds.ed.gov/cedselementdetails.aspx?termid=26693</v>
      </c>
      <c r="Q4588" s="16">
        <v>74706</v>
      </c>
    </row>
    <row r="4589" spans="1:17" ht="28.8" x14ac:dyDescent="0.3">
      <c r="A4589" s="16" t="s">
        <v>7766</v>
      </c>
      <c r="B4589" s="16" t="s">
        <v>7783</v>
      </c>
      <c r="C4589" s="16" t="s">
        <v>7784</v>
      </c>
      <c r="D4589" s="16" t="s">
        <v>7597</v>
      </c>
      <c r="E4589" s="16" t="s">
        <v>1128</v>
      </c>
      <c r="F4589" s="16" t="s">
        <v>1129</v>
      </c>
      <c r="G4589" s="16" t="s">
        <v>32</v>
      </c>
      <c r="H4589" s="16" t="s">
        <v>779</v>
      </c>
      <c r="I4589" s="16"/>
      <c r="J4589" s="16" t="s">
        <v>1130</v>
      </c>
      <c r="K4589" s="16"/>
      <c r="L4589" s="16"/>
      <c r="M4589" s="19" t="s">
        <v>1131</v>
      </c>
      <c r="N4589" s="16"/>
      <c r="O4589" s="16" t="s">
        <v>1132</v>
      </c>
      <c r="P4589" s="16" t="str">
        <f>HYPERLINK("https://ceds.ed.gov/cedselementdetails.aspx?termid=26694")</f>
        <v>https://ceds.ed.gov/cedselementdetails.aspx?termid=26694</v>
      </c>
      <c r="Q4589" s="16">
        <v>74707</v>
      </c>
    </row>
    <row r="4590" spans="1:17" ht="43.2" x14ac:dyDescent="0.3">
      <c r="A4590" s="16" t="s">
        <v>7766</v>
      </c>
      <c r="B4590" s="16" t="s">
        <v>7783</v>
      </c>
      <c r="C4590" s="16" t="s">
        <v>7784</v>
      </c>
      <c r="D4590" s="16" t="s">
        <v>7597</v>
      </c>
      <c r="E4590" s="16" t="s">
        <v>1133</v>
      </c>
      <c r="F4590" s="16" t="s">
        <v>1134</v>
      </c>
      <c r="G4590" s="16" t="s">
        <v>32</v>
      </c>
      <c r="H4590" s="16" t="s">
        <v>84</v>
      </c>
      <c r="I4590" s="16"/>
      <c r="J4590" s="16" t="s">
        <v>81</v>
      </c>
      <c r="K4590" s="16"/>
      <c r="L4590" s="16"/>
      <c r="M4590" s="19" t="s">
        <v>1135</v>
      </c>
      <c r="N4590" s="16"/>
      <c r="O4590" s="16" t="s">
        <v>1136</v>
      </c>
      <c r="P4590" s="16" t="str">
        <f>HYPERLINK("https://ceds.ed.gov/cedselementdetails.aspx?termid=26408")</f>
        <v>https://ceds.ed.gov/cedselementdetails.aspx?termid=26408</v>
      </c>
      <c r="Q4590" s="16">
        <v>74704</v>
      </c>
    </row>
    <row r="4591" spans="1:17" ht="43.2" x14ac:dyDescent="0.3">
      <c r="A4591" s="16" t="s">
        <v>7766</v>
      </c>
      <c r="B4591" s="16" t="s">
        <v>7783</v>
      </c>
      <c r="C4591" s="16" t="s">
        <v>7784</v>
      </c>
      <c r="D4591" s="16" t="s">
        <v>7597</v>
      </c>
      <c r="E4591" s="16" t="s">
        <v>1141</v>
      </c>
      <c r="F4591" s="16" t="s">
        <v>1142</v>
      </c>
      <c r="G4591" s="16" t="s">
        <v>32</v>
      </c>
      <c r="H4591" s="16" t="s">
        <v>84</v>
      </c>
      <c r="I4591" s="16"/>
      <c r="J4591" s="16" t="s">
        <v>81</v>
      </c>
      <c r="K4591" s="16"/>
      <c r="L4591" s="16"/>
      <c r="M4591" s="19" t="s">
        <v>1143</v>
      </c>
      <c r="N4591" s="16"/>
      <c r="O4591" s="16" t="s">
        <v>1144</v>
      </c>
      <c r="P4591" s="16" t="str">
        <f>HYPERLINK("https://ceds.ed.gov/cedselementdetails.aspx?termid=26409")</f>
        <v>https://ceds.ed.gov/cedselementdetails.aspx?termid=26409</v>
      </c>
      <c r="Q4591" s="16">
        <v>74705</v>
      </c>
    </row>
    <row r="4592" spans="1:17" ht="409.6" x14ac:dyDescent="0.3">
      <c r="A4592" s="16" t="s">
        <v>7766</v>
      </c>
      <c r="B4592" s="16" t="s">
        <v>7783</v>
      </c>
      <c r="C4592" s="16" t="s">
        <v>7784</v>
      </c>
      <c r="D4592" s="16" t="s">
        <v>7597</v>
      </c>
      <c r="E4592" s="16" t="s">
        <v>1137</v>
      </c>
      <c r="F4592" s="16" t="s">
        <v>1138</v>
      </c>
      <c r="G4592" s="16" t="s">
        <v>8353</v>
      </c>
      <c r="H4592" s="16" t="s">
        <v>84</v>
      </c>
      <c r="I4592" s="16"/>
      <c r="J4592" s="16" t="s">
        <v>81</v>
      </c>
      <c r="K4592" s="16"/>
      <c r="L4592" s="16"/>
      <c r="M4592" s="19" t="s">
        <v>1139</v>
      </c>
      <c r="N4592" s="16"/>
      <c r="O4592" s="16" t="s">
        <v>1140</v>
      </c>
      <c r="P4592" s="16" t="str">
        <f>HYPERLINK("https://ceds.ed.gov/cedselementdetails.aspx?termid=26407")</f>
        <v>https://ceds.ed.gov/cedselementdetails.aspx?termid=26407</v>
      </c>
      <c r="Q4592" s="16">
        <v>74703</v>
      </c>
    </row>
    <row r="4593" spans="1:17" ht="43.2" x14ac:dyDescent="0.3">
      <c r="A4593" s="16" t="s">
        <v>7766</v>
      </c>
      <c r="B4593" s="16" t="s">
        <v>7783</v>
      </c>
      <c r="C4593" s="16" t="s">
        <v>7784</v>
      </c>
      <c r="D4593" s="16" t="s">
        <v>7597</v>
      </c>
      <c r="E4593" s="16" t="s">
        <v>1119</v>
      </c>
      <c r="F4593" s="16" t="s">
        <v>1120</v>
      </c>
      <c r="G4593" s="16" t="s">
        <v>32</v>
      </c>
      <c r="H4593" s="16"/>
      <c r="I4593" s="16"/>
      <c r="J4593" s="16" t="s">
        <v>316</v>
      </c>
      <c r="K4593" s="16"/>
      <c r="L4593" s="16"/>
      <c r="M4593" s="19" t="s">
        <v>1122</v>
      </c>
      <c r="N4593" s="16"/>
      <c r="O4593" s="16" t="s">
        <v>1123</v>
      </c>
      <c r="P4593" s="16" t="str">
        <f>HYPERLINK("https://ceds.ed.gov/cedselementdetails.aspx?termid=27184")</f>
        <v>https://ceds.ed.gov/cedselementdetails.aspx?termid=27184</v>
      </c>
      <c r="Q4593" s="16">
        <v>74708</v>
      </c>
    </row>
    <row r="4594" spans="1:17" ht="72" x14ac:dyDescent="0.3">
      <c r="A4594" s="16" t="s">
        <v>7766</v>
      </c>
      <c r="B4594" s="16" t="s">
        <v>7785</v>
      </c>
      <c r="C4594" s="16"/>
      <c r="D4594" s="16" t="s">
        <v>7597</v>
      </c>
      <c r="E4594" s="16" t="s">
        <v>1247</v>
      </c>
      <c r="F4594" s="16" t="s">
        <v>7875</v>
      </c>
      <c r="G4594" s="16" t="s">
        <v>22</v>
      </c>
      <c r="H4594" s="16"/>
      <c r="I4594" s="16"/>
      <c r="J4594" s="16"/>
      <c r="K4594" s="16"/>
      <c r="L4594" s="16"/>
      <c r="M4594" s="19" t="s">
        <v>1248</v>
      </c>
      <c r="N4594" s="16"/>
      <c r="O4594" s="16" t="s">
        <v>1249</v>
      </c>
      <c r="P4594" s="16" t="str">
        <f>HYPERLINK("https://ceds.ed.gov/cedselementdetails.aspx?termid=27010")</f>
        <v>https://ceds.ed.gov/cedselementdetails.aspx?termid=27010</v>
      </c>
      <c r="Q4594" s="16">
        <v>71446</v>
      </c>
    </row>
    <row r="4595" spans="1:17" ht="172.8" x14ac:dyDescent="0.3">
      <c r="A4595" s="16" t="s">
        <v>7766</v>
      </c>
      <c r="B4595" s="16" t="s">
        <v>7785</v>
      </c>
      <c r="C4595" s="16"/>
      <c r="D4595" s="16" t="s">
        <v>7597</v>
      </c>
      <c r="E4595" s="16" t="s">
        <v>1264</v>
      </c>
      <c r="F4595" s="16" t="s">
        <v>1265</v>
      </c>
      <c r="G4595" s="16" t="s">
        <v>32</v>
      </c>
      <c r="H4595" s="16" t="s">
        <v>1269</v>
      </c>
      <c r="I4595" s="16"/>
      <c r="J4595" s="16" t="s">
        <v>1266</v>
      </c>
      <c r="K4595" s="16"/>
      <c r="L4595" s="16" t="s">
        <v>7876</v>
      </c>
      <c r="M4595" s="19" t="s">
        <v>1267</v>
      </c>
      <c r="N4595" s="16"/>
      <c r="O4595" s="16" t="s">
        <v>1268</v>
      </c>
      <c r="P4595" s="16" t="str">
        <f>HYPERLINK("https://ceds.ed.gov/cedselementdetails.aspx?termid=26245")</f>
        <v>https://ceds.ed.gov/cedselementdetails.aspx?termid=26245</v>
      </c>
      <c r="Q4595" s="16">
        <v>71227</v>
      </c>
    </row>
    <row r="4596" spans="1:17" ht="144" x14ac:dyDescent="0.3">
      <c r="A4596" s="16" t="s">
        <v>7766</v>
      </c>
      <c r="B4596" s="16" t="s">
        <v>7785</v>
      </c>
      <c r="C4596" s="16"/>
      <c r="D4596" s="16" t="s">
        <v>7597</v>
      </c>
      <c r="E4596" s="16" t="s">
        <v>1216</v>
      </c>
      <c r="F4596" s="16" t="s">
        <v>7870</v>
      </c>
      <c r="G4596" s="16" t="s">
        <v>8358</v>
      </c>
      <c r="H4596" s="16"/>
      <c r="I4596" s="16"/>
      <c r="J4596" s="16"/>
      <c r="K4596" s="16"/>
      <c r="L4596" s="16" t="s">
        <v>7871</v>
      </c>
      <c r="M4596" s="19" t="s">
        <v>1218</v>
      </c>
      <c r="N4596" s="16"/>
      <c r="O4596" s="16" t="s">
        <v>1219</v>
      </c>
      <c r="P4596" s="16" t="str">
        <f>HYPERLINK("https://ceds.ed.gov/cedselementdetails.aspx?termid=27518")</f>
        <v>https://ceds.ed.gov/cedselementdetails.aspx?termid=27518</v>
      </c>
      <c r="Q4596" s="16">
        <v>73813</v>
      </c>
    </row>
    <row r="4597" spans="1:17" ht="144" x14ac:dyDescent="0.3">
      <c r="A4597" s="16" t="s">
        <v>7766</v>
      </c>
      <c r="B4597" s="16" t="s">
        <v>7785</v>
      </c>
      <c r="C4597" s="16"/>
      <c r="D4597" s="16" t="s">
        <v>7597</v>
      </c>
      <c r="E4597" s="16" t="s">
        <v>1260</v>
      </c>
      <c r="F4597" s="16" t="s">
        <v>1261</v>
      </c>
      <c r="G4597" s="16" t="s">
        <v>8360</v>
      </c>
      <c r="H4597" s="16"/>
      <c r="I4597" s="16"/>
      <c r="J4597" s="16"/>
      <c r="K4597" s="16"/>
      <c r="L4597" s="16"/>
      <c r="M4597" s="19" t="s">
        <v>1262</v>
      </c>
      <c r="N4597" s="16"/>
      <c r="O4597" s="16" t="s">
        <v>1263</v>
      </c>
      <c r="P4597" s="16" t="str">
        <f>HYPERLINK("https://ceds.ed.gov/cedselementdetails.aspx?termid=27523")</f>
        <v>https://ceds.ed.gov/cedselementdetails.aspx?termid=27523</v>
      </c>
      <c r="Q4597" s="16">
        <v>73822</v>
      </c>
    </row>
    <row r="4598" spans="1:17" ht="57.6" x14ac:dyDescent="0.3">
      <c r="A4598" s="16" t="s">
        <v>7766</v>
      </c>
      <c r="B4598" s="16" t="s">
        <v>7785</v>
      </c>
      <c r="C4598" s="16"/>
      <c r="D4598" s="16" t="s">
        <v>7597</v>
      </c>
      <c r="E4598" s="16" t="s">
        <v>1255</v>
      </c>
      <c r="F4598" s="16" t="s">
        <v>1256</v>
      </c>
      <c r="G4598" s="16" t="s">
        <v>32</v>
      </c>
      <c r="H4598" s="16"/>
      <c r="I4598" s="16"/>
      <c r="J4598" s="16" t="s">
        <v>136</v>
      </c>
      <c r="K4598" s="16"/>
      <c r="L4598" s="16" t="s">
        <v>1257</v>
      </c>
      <c r="M4598" s="19" t="s">
        <v>1258</v>
      </c>
      <c r="N4598" s="16"/>
      <c r="O4598" s="16" t="s">
        <v>1259</v>
      </c>
      <c r="P4598" s="16" t="str">
        <f>HYPERLINK("https://ceds.ed.gov/cedselementdetails.aspx?termid=27522")</f>
        <v>https://ceds.ed.gov/cedselementdetails.aspx?termid=27522</v>
      </c>
      <c r="Q4598" s="16">
        <v>73820</v>
      </c>
    </row>
    <row r="4599" spans="1:17" ht="100.8" x14ac:dyDescent="0.3">
      <c r="A4599" s="16" t="s">
        <v>7766</v>
      </c>
      <c r="B4599" s="16" t="s">
        <v>7785</v>
      </c>
      <c r="C4599" s="16"/>
      <c r="D4599" s="16" t="s">
        <v>7597</v>
      </c>
      <c r="E4599" s="16" t="s">
        <v>1243</v>
      </c>
      <c r="F4599" s="16" t="s">
        <v>1244</v>
      </c>
      <c r="G4599" s="16" t="s">
        <v>32</v>
      </c>
      <c r="H4599" s="16"/>
      <c r="I4599" s="16"/>
      <c r="J4599" s="16" t="s">
        <v>305</v>
      </c>
      <c r="K4599" s="16"/>
      <c r="L4599" s="16"/>
      <c r="M4599" s="19" t="s">
        <v>1245</v>
      </c>
      <c r="N4599" s="16"/>
      <c r="O4599" s="16" t="s">
        <v>1246</v>
      </c>
      <c r="P4599" s="16" t="str">
        <f>HYPERLINK("https://ceds.ed.gov/cedselementdetails.aspx?termid=27012")</f>
        <v>https://ceds.ed.gov/cedselementdetails.aspx?termid=27012</v>
      </c>
      <c r="Q4599" s="16">
        <v>71448</v>
      </c>
    </row>
    <row r="4600" spans="1:17" ht="72" x14ac:dyDescent="0.3">
      <c r="A4600" s="16" t="s">
        <v>7766</v>
      </c>
      <c r="B4600" s="16" t="s">
        <v>7785</v>
      </c>
      <c r="C4600" s="16"/>
      <c r="D4600" s="16" t="s">
        <v>7597</v>
      </c>
      <c r="E4600" s="16" t="s">
        <v>1227</v>
      </c>
      <c r="F4600" s="16" t="s">
        <v>1228</v>
      </c>
      <c r="G4600" s="16" t="s">
        <v>32</v>
      </c>
      <c r="H4600" s="16" t="s">
        <v>779</v>
      </c>
      <c r="I4600" s="16"/>
      <c r="J4600" s="16" t="s">
        <v>101</v>
      </c>
      <c r="K4600" s="16"/>
      <c r="L4600" s="16"/>
      <c r="M4600" s="19" t="s">
        <v>1229</v>
      </c>
      <c r="N4600" s="16"/>
      <c r="O4600" s="16" t="s">
        <v>1230</v>
      </c>
      <c r="P4600" s="16" t="str">
        <f>HYPERLINK("https://ceds.ed.gov/cedselementdetails.aspx?termid=26890")</f>
        <v>https://ceds.ed.gov/cedselementdetails.aspx?termid=26890</v>
      </c>
      <c r="Q4600" s="16">
        <v>72341</v>
      </c>
    </row>
    <row r="4601" spans="1:17" ht="100.8" x14ac:dyDescent="0.3">
      <c r="A4601" s="16" t="s">
        <v>7766</v>
      </c>
      <c r="B4601" s="16" t="s">
        <v>7785</v>
      </c>
      <c r="C4601" s="16"/>
      <c r="D4601" s="16" t="s">
        <v>7597</v>
      </c>
      <c r="E4601" s="16" t="s">
        <v>1236</v>
      </c>
      <c r="F4601" s="16" t="s">
        <v>1237</v>
      </c>
      <c r="G4601" s="16" t="s">
        <v>32</v>
      </c>
      <c r="H4601" s="16"/>
      <c r="I4601" s="16"/>
      <c r="J4601" s="16" t="s">
        <v>145</v>
      </c>
      <c r="K4601" s="16"/>
      <c r="L4601" s="16"/>
      <c r="M4601" s="19" t="s">
        <v>1238</v>
      </c>
      <c r="N4601" s="16"/>
      <c r="O4601" s="16" t="s">
        <v>1239</v>
      </c>
      <c r="P4601" s="16" t="str">
        <f>HYPERLINK("https://ceds.ed.gov/cedselementdetails.aspx?termid=27076")</f>
        <v>https://ceds.ed.gov/cedselementdetails.aspx?termid=27076</v>
      </c>
      <c r="Q4601" s="16">
        <v>71508</v>
      </c>
    </row>
    <row r="4602" spans="1:17" ht="43.2" x14ac:dyDescent="0.3">
      <c r="A4602" s="16" t="s">
        <v>7766</v>
      </c>
      <c r="B4602" s="16" t="s">
        <v>7785</v>
      </c>
      <c r="C4602" s="16"/>
      <c r="D4602" s="16" t="s">
        <v>7597</v>
      </c>
      <c r="E4602" s="16" t="s">
        <v>1231</v>
      </c>
      <c r="F4602" s="16" t="s">
        <v>1232</v>
      </c>
      <c r="G4602" s="16" t="s">
        <v>32</v>
      </c>
      <c r="H4602" s="16"/>
      <c r="I4602" s="16"/>
      <c r="J4602" s="16" t="s">
        <v>812</v>
      </c>
      <c r="K4602" s="16"/>
      <c r="L4602" s="16"/>
      <c r="M4602" s="19" t="s">
        <v>1234</v>
      </c>
      <c r="N4602" s="16"/>
      <c r="O4602" s="16" t="s">
        <v>1235</v>
      </c>
      <c r="P4602" s="16" t="str">
        <f>HYPERLINK("https://ceds.ed.gov/cedselementdetails.aspx?termid=27520")</f>
        <v>https://ceds.ed.gov/cedselementdetails.aspx?termid=27520</v>
      </c>
      <c r="Q4602" s="16">
        <v>74118</v>
      </c>
    </row>
    <row r="4603" spans="1:17" ht="409.6" x14ac:dyDescent="0.3">
      <c r="A4603" s="16" t="s">
        <v>7766</v>
      </c>
      <c r="B4603" s="16" t="s">
        <v>7785</v>
      </c>
      <c r="C4603" s="16"/>
      <c r="D4603" s="16" t="s">
        <v>7597</v>
      </c>
      <c r="E4603" s="16" t="s">
        <v>1274</v>
      </c>
      <c r="F4603" s="16" t="s">
        <v>1275</v>
      </c>
      <c r="G4603" s="16" t="s">
        <v>9353</v>
      </c>
      <c r="H4603" s="16" t="s">
        <v>1279</v>
      </c>
      <c r="I4603" s="16"/>
      <c r="J4603" s="16"/>
      <c r="K4603" s="16"/>
      <c r="L4603" s="16"/>
      <c r="M4603" s="19" t="s">
        <v>1277</v>
      </c>
      <c r="N4603" s="16"/>
      <c r="O4603" s="16" t="s">
        <v>1278</v>
      </c>
      <c r="P4603" s="16" t="str">
        <f>HYPERLINK("https://ceds.ed.gov/cedselementdetails.aspx?termid=26368")</f>
        <v>https://ceds.ed.gov/cedselementdetails.aspx?termid=26368</v>
      </c>
      <c r="Q4603" s="16">
        <v>71515</v>
      </c>
    </row>
    <row r="4604" spans="1:17" ht="115.2" x14ac:dyDescent="0.3">
      <c r="A4604" s="16" t="s">
        <v>7766</v>
      </c>
      <c r="B4604" s="16" t="s">
        <v>7785</v>
      </c>
      <c r="C4604" s="16"/>
      <c r="D4604" s="16" t="s">
        <v>7597</v>
      </c>
      <c r="E4604" s="16" t="s">
        <v>1224</v>
      </c>
      <c r="F4604" s="16" t="s">
        <v>7872</v>
      </c>
      <c r="G4604" s="16" t="s">
        <v>32</v>
      </c>
      <c r="H4604" s="16"/>
      <c r="I4604" s="16"/>
      <c r="J4604" s="16" t="s">
        <v>106</v>
      </c>
      <c r="K4604" s="16"/>
      <c r="L4604" s="16" t="s">
        <v>7873</v>
      </c>
      <c r="M4604" s="19" t="s">
        <v>1225</v>
      </c>
      <c r="N4604" s="16"/>
      <c r="O4604" s="16" t="s">
        <v>1226</v>
      </c>
      <c r="P4604" s="16" t="str">
        <f>HYPERLINK("https://ceds.ed.gov/cedselementdetails.aspx?termid=26971")</f>
        <v>https://ceds.ed.gov/cedselementdetails.aspx?termid=26971</v>
      </c>
      <c r="Q4604" s="16">
        <v>71422</v>
      </c>
    </row>
    <row r="4605" spans="1:17" ht="28.8" x14ac:dyDescent="0.3">
      <c r="A4605" s="16" t="s">
        <v>7766</v>
      </c>
      <c r="B4605" s="16" t="s">
        <v>7785</v>
      </c>
      <c r="C4605" s="16"/>
      <c r="D4605" s="16" t="s">
        <v>7597</v>
      </c>
      <c r="E4605" s="16" t="s">
        <v>1220</v>
      </c>
      <c r="F4605" s="16" t="s">
        <v>1221</v>
      </c>
      <c r="G4605" s="16" t="s">
        <v>32</v>
      </c>
      <c r="H4605" s="16"/>
      <c r="I4605" s="16"/>
      <c r="J4605" s="16" t="s">
        <v>106</v>
      </c>
      <c r="K4605" s="16"/>
      <c r="L4605" s="16"/>
      <c r="M4605" s="19" t="s">
        <v>1222</v>
      </c>
      <c r="N4605" s="16"/>
      <c r="O4605" s="16" t="s">
        <v>1223</v>
      </c>
      <c r="P4605" s="16" t="str">
        <f>HYPERLINK("https://ceds.ed.gov/cedselementdetails.aspx?termid=26972")</f>
        <v>https://ceds.ed.gov/cedselementdetails.aspx?termid=26972</v>
      </c>
      <c r="Q4605" s="16">
        <v>71423</v>
      </c>
    </row>
    <row r="4606" spans="1:17" ht="100.8" x14ac:dyDescent="0.3">
      <c r="A4606" s="16" t="s">
        <v>7766</v>
      </c>
      <c r="B4606" s="16" t="s">
        <v>7785</v>
      </c>
      <c r="C4606" s="16"/>
      <c r="D4606" s="16" t="s">
        <v>7597</v>
      </c>
      <c r="E4606" s="16" t="s">
        <v>1240</v>
      </c>
      <c r="F4606" s="16" t="s">
        <v>7874</v>
      </c>
      <c r="G4606" s="16" t="s">
        <v>32</v>
      </c>
      <c r="H4606" s="16"/>
      <c r="I4606" s="16"/>
      <c r="J4606" s="16" t="s">
        <v>316</v>
      </c>
      <c r="K4606" s="16"/>
      <c r="L4606" s="16"/>
      <c r="M4606" s="19" t="s">
        <v>1241</v>
      </c>
      <c r="N4606" s="16"/>
      <c r="O4606" s="16" t="s">
        <v>1242</v>
      </c>
      <c r="P4606" s="16" t="str">
        <f>HYPERLINK("https://ceds.ed.gov/cedselementdetails.aspx?termid=27185")</f>
        <v>https://ceds.ed.gov/cedselementdetails.aspx?termid=27185</v>
      </c>
      <c r="Q4606" s="16">
        <v>72844</v>
      </c>
    </row>
    <row r="4607" spans="1:17" ht="57.6" x14ac:dyDescent="0.3">
      <c r="A4607" s="16" t="s">
        <v>7766</v>
      </c>
      <c r="B4607" s="16" t="s">
        <v>7785</v>
      </c>
      <c r="C4607" s="16"/>
      <c r="D4607" s="16" t="s">
        <v>7597</v>
      </c>
      <c r="E4607" s="16" t="s">
        <v>1250</v>
      </c>
      <c r="F4607" s="16" t="s">
        <v>1251</v>
      </c>
      <c r="G4607" s="16" t="s">
        <v>8359</v>
      </c>
      <c r="H4607" s="16" t="s">
        <v>1254</v>
      </c>
      <c r="I4607" s="16"/>
      <c r="J4607" s="16"/>
      <c r="K4607" s="16"/>
      <c r="L4607" s="16"/>
      <c r="M4607" s="19" t="s">
        <v>1252</v>
      </c>
      <c r="N4607" s="16"/>
      <c r="O4607" s="16" t="s">
        <v>1253</v>
      </c>
      <c r="P4607" s="16" t="str">
        <f>HYPERLINK("https://ceds.ed.gov/cedselementdetails.aspx?termid=26564")</f>
        <v>https://ceds.ed.gov/cedselementdetails.aspx?termid=26564</v>
      </c>
      <c r="Q4607" s="16">
        <v>71224</v>
      </c>
    </row>
    <row r="4608" spans="1:17" ht="43.2" x14ac:dyDescent="0.3">
      <c r="A4608" s="16" t="s">
        <v>7766</v>
      </c>
      <c r="B4608" s="16" t="s">
        <v>7785</v>
      </c>
      <c r="C4608" s="16"/>
      <c r="D4608" s="16" t="s">
        <v>7597</v>
      </c>
      <c r="E4608" s="16" t="s">
        <v>3082</v>
      </c>
      <c r="F4608" s="16" t="s">
        <v>3083</v>
      </c>
      <c r="G4608" s="16" t="s">
        <v>32</v>
      </c>
      <c r="H4608" s="16"/>
      <c r="I4608" s="16"/>
      <c r="J4608" s="16" t="s">
        <v>101</v>
      </c>
      <c r="K4608" s="16"/>
      <c r="L4608" s="16"/>
      <c r="M4608" s="19" t="s">
        <v>3084</v>
      </c>
      <c r="N4608" s="16"/>
      <c r="O4608" s="16" t="s">
        <v>3085</v>
      </c>
      <c r="P4608" s="16" t="str">
        <f>HYPERLINK("https://ceds.ed.gov/cedselementdetails.aspx?termid=27011")</f>
        <v>https://ceds.ed.gov/cedselementdetails.aspx?termid=27011</v>
      </c>
      <c r="Q4608" s="16">
        <v>71447</v>
      </c>
    </row>
    <row r="4609" spans="1:17" ht="43.2" x14ac:dyDescent="0.3">
      <c r="A4609" s="16" t="s">
        <v>7766</v>
      </c>
      <c r="B4609" s="16" t="s">
        <v>7785</v>
      </c>
      <c r="C4609" s="16"/>
      <c r="D4609" s="16" t="s">
        <v>7597</v>
      </c>
      <c r="E4609" s="16" t="s">
        <v>4737</v>
      </c>
      <c r="F4609" s="16" t="s">
        <v>4738</v>
      </c>
      <c r="G4609" s="16" t="s">
        <v>32</v>
      </c>
      <c r="H4609" s="16" t="s">
        <v>605</v>
      </c>
      <c r="I4609" s="16"/>
      <c r="J4609" s="16" t="s">
        <v>747</v>
      </c>
      <c r="K4609" s="16"/>
      <c r="L4609" s="16"/>
      <c r="M4609" s="19" t="s">
        <v>4739</v>
      </c>
      <c r="N4609" s="16"/>
      <c r="O4609" s="16" t="s">
        <v>4740</v>
      </c>
      <c r="P4609" s="16" t="str">
        <f>HYPERLINK("https://ceds.ed.gov/cedselementdetails.aspx?termid=26369")</f>
        <v>https://ceds.ed.gov/cedselementdetails.aspx?termid=26369</v>
      </c>
      <c r="Q4609" s="16">
        <v>73027</v>
      </c>
    </row>
    <row r="4610" spans="1:17" ht="158.4" x14ac:dyDescent="0.3">
      <c r="A4610" s="16" t="s">
        <v>7766</v>
      </c>
      <c r="B4610" s="16" t="s">
        <v>7785</v>
      </c>
      <c r="C4610" s="16" t="s">
        <v>7786</v>
      </c>
      <c r="D4610" s="16" t="s">
        <v>7597</v>
      </c>
      <c r="E4610" s="16" t="s">
        <v>3990</v>
      </c>
      <c r="F4610" s="16" t="s">
        <v>3991</v>
      </c>
      <c r="G4610" s="16" t="s">
        <v>32</v>
      </c>
      <c r="H4610" s="16" t="s">
        <v>3994</v>
      </c>
      <c r="I4610" s="16"/>
      <c r="J4610" s="16" t="s">
        <v>7426</v>
      </c>
      <c r="K4610" s="16"/>
      <c r="L4610" s="16" t="s">
        <v>8047</v>
      </c>
      <c r="M4610" s="19" t="s">
        <v>3992</v>
      </c>
      <c r="N4610" s="16"/>
      <c r="O4610" s="16" t="s">
        <v>3993</v>
      </c>
      <c r="P4610" s="16" t="str">
        <f>HYPERLINK("https://ceds.ed.gov/cedselementdetails.aspx?termid=26115")</f>
        <v>https://ceds.ed.gov/cedselementdetails.aspx?termid=26115</v>
      </c>
      <c r="Q4610" s="16">
        <v>73860</v>
      </c>
    </row>
    <row r="4611" spans="1:17" ht="158.4" x14ac:dyDescent="0.3">
      <c r="A4611" s="16" t="s">
        <v>7766</v>
      </c>
      <c r="B4611" s="16" t="s">
        <v>7785</v>
      </c>
      <c r="C4611" s="16" t="s">
        <v>7786</v>
      </c>
      <c r="D4611" s="16" t="s">
        <v>7597</v>
      </c>
      <c r="E4611" s="16" t="s">
        <v>4893</v>
      </c>
      <c r="F4611" s="16" t="s">
        <v>4894</v>
      </c>
      <c r="G4611" s="16" t="s">
        <v>32</v>
      </c>
      <c r="H4611" s="16" t="s">
        <v>3994</v>
      </c>
      <c r="I4611" s="16"/>
      <c r="J4611" s="16" t="s">
        <v>7426</v>
      </c>
      <c r="K4611" s="16"/>
      <c r="L4611" s="16" t="s">
        <v>8053</v>
      </c>
      <c r="M4611" s="19" t="s">
        <v>4895</v>
      </c>
      <c r="N4611" s="16" t="s">
        <v>4896</v>
      </c>
      <c r="O4611" s="16" t="s">
        <v>4897</v>
      </c>
      <c r="P4611" s="16" t="str">
        <f>HYPERLINK("https://ceds.ed.gov/cedselementdetails.aspx?termid=26172")</f>
        <v>https://ceds.ed.gov/cedselementdetails.aspx?termid=26172</v>
      </c>
      <c r="Q4611" s="16">
        <v>73864</v>
      </c>
    </row>
    <row r="4612" spans="1:17" ht="172.8" x14ac:dyDescent="0.3">
      <c r="A4612" s="16" t="s">
        <v>7766</v>
      </c>
      <c r="B4612" s="16" t="s">
        <v>7785</v>
      </c>
      <c r="C4612" s="16" t="s">
        <v>7786</v>
      </c>
      <c r="D4612" s="16" t="s">
        <v>7597</v>
      </c>
      <c r="E4612" s="16" t="s">
        <v>5738</v>
      </c>
      <c r="F4612" s="16" t="s">
        <v>5739</v>
      </c>
      <c r="G4612" s="16" t="s">
        <v>32</v>
      </c>
      <c r="H4612" s="16"/>
      <c r="I4612" s="16"/>
      <c r="J4612" s="16" t="s">
        <v>120</v>
      </c>
      <c r="K4612" s="16"/>
      <c r="L4612" s="16" t="s">
        <v>7905</v>
      </c>
      <c r="M4612" s="19" t="s">
        <v>5740</v>
      </c>
      <c r="N4612" s="16"/>
      <c r="O4612" s="16" t="s">
        <v>5741</v>
      </c>
      <c r="P4612" s="16" t="str">
        <f>HYPERLINK("https://ceds.ed.gov/cedselementdetails.aspx?termid=27551")</f>
        <v>https://ceds.ed.gov/cedselementdetails.aspx?termid=27551</v>
      </c>
      <c r="Q4612" s="16">
        <v>73911</v>
      </c>
    </row>
    <row r="4613" spans="1:17" ht="273.60000000000002" x14ac:dyDescent="0.3">
      <c r="A4613" s="16" t="s">
        <v>7766</v>
      </c>
      <c r="B4613" s="16" t="s">
        <v>7785</v>
      </c>
      <c r="C4613" s="16" t="s">
        <v>7786</v>
      </c>
      <c r="D4613" s="16" t="s">
        <v>7597</v>
      </c>
      <c r="E4613" s="16" t="s">
        <v>5734</v>
      </c>
      <c r="F4613" s="16" t="s">
        <v>5735</v>
      </c>
      <c r="G4613" s="16" t="s">
        <v>9336</v>
      </c>
      <c r="H4613" s="16"/>
      <c r="I4613" s="16"/>
      <c r="J4613" s="16"/>
      <c r="K4613" s="16"/>
      <c r="L4613" s="16"/>
      <c r="M4613" s="19" t="s">
        <v>5736</v>
      </c>
      <c r="N4613" s="16"/>
      <c r="O4613" s="16" t="s">
        <v>5737</v>
      </c>
      <c r="P4613" s="16" t="str">
        <f>HYPERLINK("https://ceds.ed.gov/cedselementdetails.aspx?termid=27550")</f>
        <v>https://ceds.ed.gov/cedselementdetails.aspx?termid=27550</v>
      </c>
      <c r="Q4613" s="16">
        <v>73906</v>
      </c>
    </row>
    <row r="4614" spans="1:17" ht="172.8" x14ac:dyDescent="0.3">
      <c r="A4614" s="16" t="s">
        <v>7766</v>
      </c>
      <c r="B4614" s="16" t="s">
        <v>7785</v>
      </c>
      <c r="C4614" s="16" t="s">
        <v>7784</v>
      </c>
      <c r="D4614" s="16" t="s">
        <v>7597</v>
      </c>
      <c r="E4614" s="16" t="s">
        <v>1124</v>
      </c>
      <c r="F4614" s="16" t="s">
        <v>1125</v>
      </c>
      <c r="G4614" s="16" t="s">
        <v>32</v>
      </c>
      <c r="H4614" s="16" t="s">
        <v>779</v>
      </c>
      <c r="I4614" s="16"/>
      <c r="J4614" s="16" t="s">
        <v>120</v>
      </c>
      <c r="K4614" s="16"/>
      <c r="L4614" s="16" t="s">
        <v>7817</v>
      </c>
      <c r="M4614" s="19" t="s">
        <v>1126</v>
      </c>
      <c r="N4614" s="16"/>
      <c r="O4614" s="16" t="s">
        <v>1127</v>
      </c>
      <c r="P4614" s="16" t="str">
        <f>HYPERLINK("https://ceds.ed.gov/cedselementdetails.aspx?termid=26693")</f>
        <v>https://ceds.ed.gov/cedselementdetails.aspx?termid=26693</v>
      </c>
      <c r="Q4614" s="16">
        <v>74700</v>
      </c>
    </row>
    <row r="4615" spans="1:17" ht="28.8" x14ac:dyDescent="0.3">
      <c r="A4615" s="16" t="s">
        <v>7766</v>
      </c>
      <c r="B4615" s="16" t="s">
        <v>7785</v>
      </c>
      <c r="C4615" s="16" t="s">
        <v>7784</v>
      </c>
      <c r="D4615" s="16" t="s">
        <v>7597</v>
      </c>
      <c r="E4615" s="16" t="s">
        <v>1128</v>
      </c>
      <c r="F4615" s="16" t="s">
        <v>1129</v>
      </c>
      <c r="G4615" s="16" t="s">
        <v>32</v>
      </c>
      <c r="H4615" s="16" t="s">
        <v>779</v>
      </c>
      <c r="I4615" s="16"/>
      <c r="J4615" s="16" t="s">
        <v>1130</v>
      </c>
      <c r="K4615" s="16"/>
      <c r="L4615" s="16"/>
      <c r="M4615" s="19" t="s">
        <v>1131</v>
      </c>
      <c r="N4615" s="16"/>
      <c r="O4615" s="16" t="s">
        <v>1132</v>
      </c>
      <c r="P4615" s="16" t="str">
        <f>HYPERLINK("https://ceds.ed.gov/cedselementdetails.aspx?termid=26694")</f>
        <v>https://ceds.ed.gov/cedselementdetails.aspx?termid=26694</v>
      </c>
      <c r="Q4615" s="16">
        <v>74701</v>
      </c>
    </row>
    <row r="4616" spans="1:17" ht="43.2" x14ac:dyDescent="0.3">
      <c r="A4616" s="16" t="s">
        <v>7766</v>
      </c>
      <c r="B4616" s="16" t="s">
        <v>7785</v>
      </c>
      <c r="C4616" s="16" t="s">
        <v>7784</v>
      </c>
      <c r="D4616" s="16" t="s">
        <v>7597</v>
      </c>
      <c r="E4616" s="16" t="s">
        <v>1133</v>
      </c>
      <c r="F4616" s="16" t="s">
        <v>1134</v>
      </c>
      <c r="G4616" s="16" t="s">
        <v>32</v>
      </c>
      <c r="H4616" s="16" t="s">
        <v>84</v>
      </c>
      <c r="I4616" s="16"/>
      <c r="J4616" s="16" t="s">
        <v>81</v>
      </c>
      <c r="K4616" s="16"/>
      <c r="L4616" s="16"/>
      <c r="M4616" s="19" t="s">
        <v>1135</v>
      </c>
      <c r="N4616" s="16"/>
      <c r="O4616" s="16" t="s">
        <v>1136</v>
      </c>
      <c r="P4616" s="16" t="str">
        <f>HYPERLINK("https://ceds.ed.gov/cedselementdetails.aspx?termid=26408")</f>
        <v>https://ceds.ed.gov/cedselementdetails.aspx?termid=26408</v>
      </c>
      <c r="Q4616" s="16">
        <v>74698</v>
      </c>
    </row>
    <row r="4617" spans="1:17" ht="43.2" x14ac:dyDescent="0.3">
      <c r="A4617" s="16" t="s">
        <v>7766</v>
      </c>
      <c r="B4617" s="16" t="s">
        <v>7785</v>
      </c>
      <c r="C4617" s="16" t="s">
        <v>7784</v>
      </c>
      <c r="D4617" s="16" t="s">
        <v>7597</v>
      </c>
      <c r="E4617" s="16" t="s">
        <v>1141</v>
      </c>
      <c r="F4617" s="16" t="s">
        <v>1142</v>
      </c>
      <c r="G4617" s="16" t="s">
        <v>32</v>
      </c>
      <c r="H4617" s="16" t="s">
        <v>84</v>
      </c>
      <c r="I4617" s="16"/>
      <c r="J4617" s="16" t="s">
        <v>81</v>
      </c>
      <c r="K4617" s="16"/>
      <c r="L4617" s="16"/>
      <c r="M4617" s="19" t="s">
        <v>1143</v>
      </c>
      <c r="N4617" s="16"/>
      <c r="O4617" s="16" t="s">
        <v>1144</v>
      </c>
      <c r="P4617" s="16" t="str">
        <f>HYPERLINK("https://ceds.ed.gov/cedselementdetails.aspx?termid=26409")</f>
        <v>https://ceds.ed.gov/cedselementdetails.aspx?termid=26409</v>
      </c>
      <c r="Q4617" s="16">
        <v>74699</v>
      </c>
    </row>
    <row r="4618" spans="1:17" ht="409.6" x14ac:dyDescent="0.3">
      <c r="A4618" s="16" t="s">
        <v>7766</v>
      </c>
      <c r="B4618" s="16" t="s">
        <v>7785</v>
      </c>
      <c r="C4618" s="16" t="s">
        <v>7784</v>
      </c>
      <c r="D4618" s="16" t="s">
        <v>7597</v>
      </c>
      <c r="E4618" s="16" t="s">
        <v>1137</v>
      </c>
      <c r="F4618" s="16" t="s">
        <v>1138</v>
      </c>
      <c r="G4618" s="16" t="s">
        <v>8353</v>
      </c>
      <c r="H4618" s="16" t="s">
        <v>84</v>
      </c>
      <c r="I4618" s="16"/>
      <c r="J4618" s="16" t="s">
        <v>81</v>
      </c>
      <c r="K4618" s="16"/>
      <c r="L4618" s="16"/>
      <c r="M4618" s="19" t="s">
        <v>1139</v>
      </c>
      <c r="N4618" s="16"/>
      <c r="O4618" s="16" t="s">
        <v>1140</v>
      </c>
      <c r="P4618" s="16" t="str">
        <f>HYPERLINK("https://ceds.ed.gov/cedselementdetails.aspx?termid=26407")</f>
        <v>https://ceds.ed.gov/cedselementdetails.aspx?termid=26407</v>
      </c>
      <c r="Q4618" s="16">
        <v>74697</v>
      </c>
    </row>
    <row r="4619" spans="1:17" ht="43.2" x14ac:dyDescent="0.3">
      <c r="A4619" s="16" t="s">
        <v>7766</v>
      </c>
      <c r="B4619" s="16" t="s">
        <v>7785</v>
      </c>
      <c r="C4619" s="16" t="s">
        <v>7784</v>
      </c>
      <c r="D4619" s="16" t="s">
        <v>7597</v>
      </c>
      <c r="E4619" s="16" t="s">
        <v>1119</v>
      </c>
      <c r="F4619" s="16" t="s">
        <v>1120</v>
      </c>
      <c r="G4619" s="16" t="s">
        <v>32</v>
      </c>
      <c r="H4619" s="16"/>
      <c r="I4619" s="16"/>
      <c r="J4619" s="16" t="s">
        <v>316</v>
      </c>
      <c r="K4619" s="16"/>
      <c r="L4619" s="16"/>
      <c r="M4619" s="19" t="s">
        <v>1122</v>
      </c>
      <c r="N4619" s="16"/>
      <c r="O4619" s="16" t="s">
        <v>1123</v>
      </c>
      <c r="P4619" s="16" t="str">
        <f>HYPERLINK("https://ceds.ed.gov/cedselementdetails.aspx?termid=27184")</f>
        <v>https://ceds.ed.gov/cedselementdetails.aspx?termid=27184</v>
      </c>
      <c r="Q4619" s="16">
        <v>74702</v>
      </c>
    </row>
    <row r="4620" spans="1:17" ht="57.6" x14ac:dyDescent="0.3">
      <c r="A4620" s="16" t="s">
        <v>7766</v>
      </c>
      <c r="B4620" s="16" t="s">
        <v>7787</v>
      </c>
      <c r="C4620" s="16"/>
      <c r="D4620" s="16" t="s">
        <v>7597</v>
      </c>
      <c r="E4620" s="16" t="s">
        <v>1211</v>
      </c>
      <c r="F4620" s="16" t="s">
        <v>1212</v>
      </c>
      <c r="G4620" s="16" t="s">
        <v>32</v>
      </c>
      <c r="H4620" s="16"/>
      <c r="I4620" s="16"/>
      <c r="J4620" s="16" t="s">
        <v>101</v>
      </c>
      <c r="K4620" s="16"/>
      <c r="L4620" s="16" t="s">
        <v>1213</v>
      </c>
      <c r="M4620" s="19" t="s">
        <v>1214</v>
      </c>
      <c r="N4620" s="16"/>
      <c r="O4620" s="16" t="s">
        <v>1215</v>
      </c>
      <c r="P4620" s="16" t="str">
        <f>HYPERLINK("https://ceds.ed.gov/cedselementdetails.aspx?termid=27061")</f>
        <v>https://ceds.ed.gov/cedselementdetails.aspx?termid=27061</v>
      </c>
      <c r="Q4620" s="16">
        <v>71496</v>
      </c>
    </row>
    <row r="4621" spans="1:17" ht="115.2" x14ac:dyDescent="0.3">
      <c r="A4621" s="16" t="s">
        <v>7766</v>
      </c>
      <c r="B4621" s="16" t="s">
        <v>7787</v>
      </c>
      <c r="C4621" s="16"/>
      <c r="D4621" s="16" t="s">
        <v>7597</v>
      </c>
      <c r="E4621" s="16" t="s">
        <v>586</v>
      </c>
      <c r="F4621" s="16" t="s">
        <v>587</v>
      </c>
      <c r="G4621" s="16" t="s">
        <v>8329</v>
      </c>
      <c r="H4621" s="16" t="s">
        <v>590</v>
      </c>
      <c r="I4621" s="16"/>
      <c r="J4621" s="16"/>
      <c r="K4621" s="16"/>
      <c r="L4621" s="16"/>
      <c r="M4621" s="19" t="s">
        <v>588</v>
      </c>
      <c r="N4621" s="16"/>
      <c r="O4621" s="16" t="s">
        <v>589</v>
      </c>
      <c r="P4621" s="16" t="str">
        <f>HYPERLINK("https://ceds.ed.gov/cedselementdetails.aspx?termid=26158")</f>
        <v>https://ceds.ed.gov/cedselementdetails.aspx?termid=26158</v>
      </c>
      <c r="Q4621" s="16">
        <v>73785</v>
      </c>
    </row>
    <row r="4622" spans="1:17" x14ac:dyDescent="0.3">
      <c r="A4622" s="16" t="s">
        <v>7766</v>
      </c>
      <c r="B4622" s="16" t="s">
        <v>7787</v>
      </c>
      <c r="C4622" s="16"/>
      <c r="D4622" s="16" t="s">
        <v>7597</v>
      </c>
      <c r="E4622" s="16" t="s">
        <v>1178</v>
      </c>
      <c r="F4622" s="16" t="s">
        <v>1179</v>
      </c>
      <c r="G4622" s="16" t="s">
        <v>32</v>
      </c>
      <c r="H4622" s="16"/>
      <c r="I4622" s="16"/>
      <c r="J4622" s="16" t="s">
        <v>812</v>
      </c>
      <c r="K4622" s="16"/>
      <c r="L4622" s="16"/>
      <c r="M4622" s="19" t="s">
        <v>1180</v>
      </c>
      <c r="N4622" s="16"/>
      <c r="O4622" s="16" t="s">
        <v>1181</v>
      </c>
      <c r="P4622" s="16" t="str">
        <f>HYPERLINK("https://ceds.ed.gov/cedselementdetails.aspx?termid=27019")</f>
        <v>https://ceds.ed.gov/cedselementdetails.aspx?termid=27019</v>
      </c>
      <c r="Q4622" s="16">
        <v>71455</v>
      </c>
    </row>
    <row r="4623" spans="1:17" ht="72" x14ac:dyDescent="0.3">
      <c r="A4623" s="16" t="s">
        <v>7766</v>
      </c>
      <c r="B4623" s="16" t="s">
        <v>7787</v>
      </c>
      <c r="C4623" s="16"/>
      <c r="D4623" s="16" t="s">
        <v>7597</v>
      </c>
      <c r="E4623" s="16" t="s">
        <v>1200</v>
      </c>
      <c r="F4623" s="16" t="s">
        <v>1201</v>
      </c>
      <c r="G4623" s="16" t="s">
        <v>22</v>
      </c>
      <c r="H4623" s="16"/>
      <c r="I4623" s="16"/>
      <c r="J4623" s="16"/>
      <c r="K4623" s="16"/>
      <c r="L4623" s="16"/>
      <c r="M4623" s="19" t="s">
        <v>1202</v>
      </c>
      <c r="N4623" s="16"/>
      <c r="O4623" s="16" t="s">
        <v>1203</v>
      </c>
      <c r="P4623" s="16" t="str">
        <f>HYPERLINK("https://ceds.ed.gov/cedselementdetails.aspx?termid=27018")</f>
        <v>https://ceds.ed.gov/cedselementdetails.aspx?termid=27018</v>
      </c>
      <c r="Q4623" s="16">
        <v>71454</v>
      </c>
    </row>
    <row r="4624" spans="1:17" ht="244.8" x14ac:dyDescent="0.3">
      <c r="A4624" s="16" t="s">
        <v>7766</v>
      </c>
      <c r="B4624" s="16" t="s">
        <v>7787</v>
      </c>
      <c r="C4624" s="16"/>
      <c r="D4624" s="16" t="s">
        <v>7597</v>
      </c>
      <c r="E4624" s="16" t="s">
        <v>1207</v>
      </c>
      <c r="F4624" s="16" t="s">
        <v>1208</v>
      </c>
      <c r="G4624" s="16" t="s">
        <v>32</v>
      </c>
      <c r="H4624" s="16"/>
      <c r="I4624" s="16"/>
      <c r="J4624" s="16" t="s">
        <v>120</v>
      </c>
      <c r="K4624" s="16"/>
      <c r="L4624" s="16" t="s">
        <v>7869</v>
      </c>
      <c r="M4624" s="19" t="s">
        <v>1209</v>
      </c>
      <c r="N4624" s="16"/>
      <c r="O4624" s="16" t="s">
        <v>1210</v>
      </c>
      <c r="P4624" s="16" t="str">
        <f>HYPERLINK("https://ceds.ed.gov/cedselementdetails.aspx?termid=27119")</f>
        <v>https://ceds.ed.gov/cedselementdetails.aspx?termid=27119</v>
      </c>
      <c r="Q4624" s="16">
        <v>72477</v>
      </c>
    </row>
    <row r="4625" spans="1:17" ht="144" x14ac:dyDescent="0.3">
      <c r="A4625" s="16" t="s">
        <v>7766</v>
      </c>
      <c r="B4625" s="16" t="s">
        <v>7787</v>
      </c>
      <c r="C4625" s="16"/>
      <c r="D4625" s="16" t="s">
        <v>7597</v>
      </c>
      <c r="E4625" s="16" t="s">
        <v>383</v>
      </c>
      <c r="F4625" s="16" t="s">
        <v>384</v>
      </c>
      <c r="G4625" s="16" t="s">
        <v>8323</v>
      </c>
      <c r="H4625" s="16" t="s">
        <v>84</v>
      </c>
      <c r="I4625" s="16"/>
      <c r="J4625" s="16"/>
      <c r="K4625" s="16"/>
      <c r="L4625" s="16"/>
      <c r="M4625" s="19" t="s">
        <v>386</v>
      </c>
      <c r="N4625" s="16"/>
      <c r="O4625" s="16" t="s">
        <v>387</v>
      </c>
      <c r="P4625" s="16" t="str">
        <f>HYPERLINK("https://ceds.ed.gov/cedselementdetails.aspx?termid=26374")</f>
        <v>https://ceds.ed.gov/cedselementdetails.aspx?termid=26374</v>
      </c>
      <c r="Q4625" s="16">
        <v>71220</v>
      </c>
    </row>
    <row r="4626" spans="1:17" ht="43.2" x14ac:dyDescent="0.3">
      <c r="A4626" s="16" t="s">
        <v>7766</v>
      </c>
      <c r="B4626" s="16" t="s">
        <v>7787</v>
      </c>
      <c r="C4626" s="16"/>
      <c r="D4626" s="16" t="s">
        <v>7597</v>
      </c>
      <c r="E4626" s="16" t="s">
        <v>12929</v>
      </c>
      <c r="F4626" s="16" t="s">
        <v>13071</v>
      </c>
      <c r="G4626" s="16" t="s">
        <v>32</v>
      </c>
      <c r="H4626" s="16"/>
      <c r="I4626" s="16" t="s">
        <v>160</v>
      </c>
      <c r="J4626" s="16" t="s">
        <v>316</v>
      </c>
      <c r="K4626" s="16" t="s">
        <v>12930</v>
      </c>
      <c r="L4626" s="16"/>
      <c r="M4626" s="19" t="s">
        <v>82</v>
      </c>
      <c r="N4626" s="16"/>
      <c r="O4626" s="16" t="s">
        <v>13072</v>
      </c>
      <c r="P4626" s="16" t="str">
        <f>HYPERLINK("https://ceds.ed.gov/cedselementdetails.aspx?termid=27116")</f>
        <v>https://ceds.ed.gov/cedselementdetails.aspx?termid=27116</v>
      </c>
      <c r="Q4626" s="16">
        <v>72701</v>
      </c>
    </row>
    <row r="4627" spans="1:17" ht="172.8" x14ac:dyDescent="0.3">
      <c r="A4627" s="16" t="s">
        <v>7766</v>
      </c>
      <c r="B4627" s="16" t="s">
        <v>7787</v>
      </c>
      <c r="C4627" s="16"/>
      <c r="D4627" s="16" t="s">
        <v>7597</v>
      </c>
      <c r="E4627" s="16" t="s">
        <v>6524</v>
      </c>
      <c r="F4627" s="16" t="s">
        <v>268</v>
      </c>
      <c r="G4627" s="16" t="s">
        <v>32</v>
      </c>
      <c r="H4627" s="16" t="s">
        <v>6523</v>
      </c>
      <c r="I4627" s="16"/>
      <c r="J4627" s="16" t="s">
        <v>120</v>
      </c>
      <c r="K4627" s="16"/>
      <c r="L4627" s="16" t="s">
        <v>7817</v>
      </c>
      <c r="M4627" s="19" t="s">
        <v>6525</v>
      </c>
      <c r="N4627" s="16"/>
      <c r="O4627" s="16" t="s">
        <v>6526</v>
      </c>
      <c r="P4627" s="16" t="str">
        <f>HYPERLINK("https://ceds.ed.gov/cedselementdetails.aspx?termid=26155")</f>
        <v>https://ceds.ed.gov/cedselementdetails.aspx?termid=26155</v>
      </c>
      <c r="Q4627" s="16">
        <v>71588</v>
      </c>
    </row>
    <row r="4628" spans="1:17" ht="187.2" x14ac:dyDescent="0.3">
      <c r="A4628" s="16" t="s">
        <v>7766</v>
      </c>
      <c r="B4628" s="16" t="s">
        <v>7787</v>
      </c>
      <c r="C4628" s="16"/>
      <c r="D4628" s="16" t="s">
        <v>7597</v>
      </c>
      <c r="E4628" s="16" t="s">
        <v>6520</v>
      </c>
      <c r="F4628" s="16" t="s">
        <v>263</v>
      </c>
      <c r="G4628" s="16" t="s">
        <v>8261</v>
      </c>
      <c r="H4628" s="16" t="s">
        <v>6523</v>
      </c>
      <c r="I4628" s="16"/>
      <c r="J4628" s="16"/>
      <c r="K4628" s="16"/>
      <c r="L4628" s="16"/>
      <c r="M4628" s="19" t="s">
        <v>6521</v>
      </c>
      <c r="N4628" s="16"/>
      <c r="O4628" s="16" t="s">
        <v>6522</v>
      </c>
      <c r="P4628" s="16" t="str">
        <f>HYPERLINK("https://ceds.ed.gov/cedselementdetails.aspx?termid=26161")</f>
        <v>https://ceds.ed.gov/cedselementdetails.aspx?termid=26161</v>
      </c>
      <c r="Q4628" s="16">
        <v>71585</v>
      </c>
    </row>
    <row r="4629" spans="1:17" ht="172.8" x14ac:dyDescent="0.3">
      <c r="A4629" s="16" t="s">
        <v>7766</v>
      </c>
      <c r="B4629" s="16" t="s">
        <v>7787</v>
      </c>
      <c r="C4629" s="16"/>
      <c r="D4629" s="16" t="s">
        <v>7597</v>
      </c>
      <c r="E4629" s="16" t="s">
        <v>5257</v>
      </c>
      <c r="F4629" s="16" t="s">
        <v>5258</v>
      </c>
      <c r="G4629" s="16" t="s">
        <v>32</v>
      </c>
      <c r="H4629" s="16" t="s">
        <v>5256</v>
      </c>
      <c r="I4629" s="16"/>
      <c r="J4629" s="16" t="s">
        <v>120</v>
      </c>
      <c r="K4629" s="16"/>
      <c r="L4629" s="16" t="s">
        <v>7905</v>
      </c>
      <c r="M4629" s="19" t="s">
        <v>5259</v>
      </c>
      <c r="N4629" s="16" t="s">
        <v>5260</v>
      </c>
      <c r="O4629" s="16" t="s">
        <v>5261</v>
      </c>
      <c r="P4629" s="16" t="str">
        <f>HYPERLINK("https://ceds.ed.gov/cedselementdetails.aspx?termid=26153")</f>
        <v>https://ceds.ed.gov/cedselementdetails.aspx?termid=26153</v>
      </c>
      <c r="Q4629" s="16">
        <v>71594</v>
      </c>
    </row>
    <row r="4630" spans="1:17" ht="172.8" x14ac:dyDescent="0.3">
      <c r="A4630" s="16" t="s">
        <v>7766</v>
      </c>
      <c r="B4630" s="16" t="s">
        <v>7787</v>
      </c>
      <c r="C4630" s="16"/>
      <c r="D4630" s="16" t="s">
        <v>7597</v>
      </c>
      <c r="E4630" s="16" t="s">
        <v>5251</v>
      </c>
      <c r="F4630" s="16" t="s">
        <v>5252</v>
      </c>
      <c r="G4630" s="16" t="s">
        <v>8242</v>
      </c>
      <c r="H4630" s="16" t="s">
        <v>5256</v>
      </c>
      <c r="I4630" s="16"/>
      <c r="J4630" s="16"/>
      <c r="K4630" s="16"/>
      <c r="L4630" s="16"/>
      <c r="M4630" s="19" t="s">
        <v>5253</v>
      </c>
      <c r="N4630" s="16" t="s">
        <v>5254</v>
      </c>
      <c r="O4630" s="16" t="s">
        <v>5255</v>
      </c>
      <c r="P4630" s="16" t="str">
        <f>HYPERLINK("https://ceds.ed.gov/cedselementdetails.aspx?termid=26159")</f>
        <v>https://ceds.ed.gov/cedselementdetails.aspx?termid=26159</v>
      </c>
      <c r="Q4630" s="16">
        <v>71591</v>
      </c>
    </row>
    <row r="4631" spans="1:17" ht="172.8" x14ac:dyDescent="0.3">
      <c r="A4631" s="16" t="s">
        <v>7766</v>
      </c>
      <c r="B4631" s="16" t="s">
        <v>7787</v>
      </c>
      <c r="C4631" s="16"/>
      <c r="D4631" s="16" t="s">
        <v>7597</v>
      </c>
      <c r="E4631" s="16" t="s">
        <v>6848</v>
      </c>
      <c r="F4631" s="16" t="s">
        <v>6849</v>
      </c>
      <c r="G4631" s="16" t="s">
        <v>32</v>
      </c>
      <c r="H4631" s="16"/>
      <c r="I4631" s="16"/>
      <c r="J4631" s="16" t="s">
        <v>120</v>
      </c>
      <c r="K4631" s="16"/>
      <c r="L4631" s="16" t="s">
        <v>7905</v>
      </c>
      <c r="M4631" s="19" t="s">
        <v>6850</v>
      </c>
      <c r="N4631" s="16"/>
      <c r="O4631" s="16" t="s">
        <v>6851</v>
      </c>
      <c r="P4631" s="16" t="str">
        <f>HYPERLINK("https://ceds.ed.gov/cedselementdetails.aspx?termid=27462")</f>
        <v>https://ceds.ed.gov/cedselementdetails.aspx?termid=27462</v>
      </c>
      <c r="Q4631" s="16">
        <v>73921</v>
      </c>
    </row>
    <row r="4632" spans="1:17" ht="100.8" x14ac:dyDescent="0.3">
      <c r="A4632" s="16" t="s">
        <v>7766</v>
      </c>
      <c r="B4632" s="16" t="s">
        <v>7787</v>
      </c>
      <c r="C4632" s="16"/>
      <c r="D4632" s="16" t="s">
        <v>7597</v>
      </c>
      <c r="E4632" s="16" t="s">
        <v>6845</v>
      </c>
      <c r="F4632" s="16" t="s">
        <v>8156</v>
      </c>
      <c r="G4632" s="16" t="s">
        <v>8267</v>
      </c>
      <c r="H4632" s="16"/>
      <c r="I4632" s="16"/>
      <c r="J4632" s="16"/>
      <c r="K4632" s="16"/>
      <c r="L4632" s="16"/>
      <c r="M4632" s="19" t="s">
        <v>6846</v>
      </c>
      <c r="N4632" s="16"/>
      <c r="O4632" s="16" t="s">
        <v>6847</v>
      </c>
      <c r="P4632" s="16" t="str">
        <f>HYPERLINK("https://ceds.ed.gov/cedselementdetails.aspx?termid=27463")</f>
        <v>https://ceds.ed.gov/cedselementdetails.aspx?termid=27463</v>
      </c>
      <c r="Q4632" s="16">
        <v>73920</v>
      </c>
    </row>
    <row r="4633" spans="1:17" ht="43.2" x14ac:dyDescent="0.3">
      <c r="A4633" s="16" t="s">
        <v>7766</v>
      </c>
      <c r="B4633" s="16" t="s">
        <v>7787</v>
      </c>
      <c r="C4633" s="16"/>
      <c r="D4633" s="16" t="s">
        <v>7597</v>
      </c>
      <c r="E4633" s="16" t="s">
        <v>516</v>
      </c>
      <c r="F4633" s="16" t="s">
        <v>517</v>
      </c>
      <c r="G4633" s="16" t="s">
        <v>32</v>
      </c>
      <c r="H4633" s="16" t="s">
        <v>84</v>
      </c>
      <c r="I4633" s="16"/>
      <c r="J4633" s="16" t="s">
        <v>81</v>
      </c>
      <c r="K4633" s="16"/>
      <c r="L4633" s="16"/>
      <c r="M4633" s="19" t="s">
        <v>519</v>
      </c>
      <c r="N4633" s="16"/>
      <c r="O4633" s="16" t="s">
        <v>520</v>
      </c>
      <c r="P4633" s="16" t="str">
        <f>HYPERLINK("https://ceds.ed.gov/cedselementdetails.aspx?termid=26365")</f>
        <v>https://ceds.ed.gov/cedselementdetails.aspx?termid=26365</v>
      </c>
      <c r="Q4633" s="16">
        <v>73781</v>
      </c>
    </row>
    <row r="4634" spans="1:17" ht="216" x14ac:dyDescent="0.3">
      <c r="A4634" s="16" t="s">
        <v>7766</v>
      </c>
      <c r="B4634" s="16" t="s">
        <v>7787</v>
      </c>
      <c r="C4634" s="16"/>
      <c r="D4634" s="16" t="s">
        <v>7597</v>
      </c>
      <c r="E4634" s="16" t="s">
        <v>1165</v>
      </c>
      <c r="F4634" s="16" t="s">
        <v>1166</v>
      </c>
      <c r="G4634" s="16" t="s">
        <v>32</v>
      </c>
      <c r="H4634" s="16"/>
      <c r="I4634" s="16"/>
      <c r="J4634" s="16" t="s">
        <v>120</v>
      </c>
      <c r="K4634" s="16"/>
      <c r="L4634" s="16" t="s">
        <v>7866</v>
      </c>
      <c r="M4634" s="19" t="s">
        <v>1168</v>
      </c>
      <c r="N4634" s="16"/>
      <c r="O4634" s="16" t="s">
        <v>1169</v>
      </c>
      <c r="P4634" s="16" t="str">
        <f>HYPERLINK("https://ceds.ed.gov/cedselementdetails.aspx?termid=26889")</f>
        <v>https://ceds.ed.gov/cedselementdetails.aspx?termid=26889</v>
      </c>
      <c r="Q4634" s="16">
        <v>72340</v>
      </c>
    </row>
    <row r="4635" spans="1:17" ht="409.6" x14ac:dyDescent="0.3">
      <c r="A4635" s="16" t="s">
        <v>7766</v>
      </c>
      <c r="B4635" s="16" t="s">
        <v>7787</v>
      </c>
      <c r="C4635" s="16"/>
      <c r="D4635" s="16" t="s">
        <v>7597</v>
      </c>
      <c r="E4635" s="16" t="s">
        <v>1186</v>
      </c>
      <c r="F4635" s="16" t="s">
        <v>1187</v>
      </c>
      <c r="G4635" s="16" t="s">
        <v>8209</v>
      </c>
      <c r="H4635" s="16"/>
      <c r="I4635" s="16"/>
      <c r="J4635" s="16"/>
      <c r="K4635" s="16"/>
      <c r="L4635" s="16" t="s">
        <v>7867</v>
      </c>
      <c r="M4635" s="19" t="s">
        <v>1188</v>
      </c>
      <c r="N4635" s="16"/>
      <c r="O4635" s="16" t="s">
        <v>1189</v>
      </c>
      <c r="P4635" s="16" t="str">
        <f>HYPERLINK("https://ceds.ed.gov/cedselementdetails.aspx?termid=27063")</f>
        <v>https://ceds.ed.gov/cedselementdetails.aspx?termid=27063</v>
      </c>
      <c r="Q4635" s="16">
        <v>71498</v>
      </c>
    </row>
    <row r="4636" spans="1:17" ht="28.8" x14ac:dyDescent="0.3">
      <c r="A4636" s="16" t="s">
        <v>7766</v>
      </c>
      <c r="B4636" s="16" t="s">
        <v>7787</v>
      </c>
      <c r="C4636" s="16"/>
      <c r="D4636" s="16" t="s">
        <v>7597</v>
      </c>
      <c r="E4636" s="16" t="s">
        <v>1182</v>
      </c>
      <c r="F4636" s="16" t="s">
        <v>1183</v>
      </c>
      <c r="G4636" s="16" t="s">
        <v>32</v>
      </c>
      <c r="H4636" s="16"/>
      <c r="I4636" s="16"/>
      <c r="J4636" s="16" t="s">
        <v>305</v>
      </c>
      <c r="K4636" s="16"/>
      <c r="L4636" s="16"/>
      <c r="M4636" s="19" t="s">
        <v>1184</v>
      </c>
      <c r="N4636" s="16"/>
      <c r="O4636" s="16" t="s">
        <v>1185</v>
      </c>
      <c r="P4636" s="16" t="str">
        <f>HYPERLINK("https://ceds.ed.gov/cedselementdetails.aspx?termid=27017")</f>
        <v>https://ceds.ed.gov/cedselementdetails.aspx?termid=27017</v>
      </c>
      <c r="Q4636" s="16">
        <v>71453</v>
      </c>
    </row>
    <row r="4637" spans="1:17" ht="43.2" x14ac:dyDescent="0.3">
      <c r="A4637" s="16" t="s">
        <v>7766</v>
      </c>
      <c r="B4637" s="16" t="s">
        <v>7787</v>
      </c>
      <c r="C4637" s="16"/>
      <c r="D4637" s="16" t="s">
        <v>7597</v>
      </c>
      <c r="E4637" s="16" t="s">
        <v>1190</v>
      </c>
      <c r="F4637" s="16" t="s">
        <v>1191</v>
      </c>
      <c r="G4637" s="16" t="s">
        <v>8356</v>
      </c>
      <c r="H4637" s="16" t="s">
        <v>476</v>
      </c>
      <c r="I4637" s="16"/>
      <c r="J4637" s="16"/>
      <c r="K4637" s="16"/>
      <c r="L4637" s="16"/>
      <c r="M4637" s="19" t="s">
        <v>1192</v>
      </c>
      <c r="N4637" s="16"/>
      <c r="O4637" s="16" t="s">
        <v>1193</v>
      </c>
      <c r="P4637" s="16" t="str">
        <f>HYPERLINK("https://ceds.ed.gov/cedselementdetails.aspx?termid=26025")</f>
        <v>https://ceds.ed.gov/cedselementdetails.aspx?termid=26025</v>
      </c>
      <c r="Q4637" s="16">
        <v>71185</v>
      </c>
    </row>
    <row r="4638" spans="1:17" ht="115.2" x14ac:dyDescent="0.3">
      <c r="A4638" s="16" t="s">
        <v>7766</v>
      </c>
      <c r="B4638" s="16" t="s">
        <v>7787</v>
      </c>
      <c r="C4638" s="16"/>
      <c r="D4638" s="16" t="s">
        <v>7597</v>
      </c>
      <c r="E4638" s="16" t="s">
        <v>1104</v>
      </c>
      <c r="F4638" s="16" t="s">
        <v>1105</v>
      </c>
      <c r="G4638" s="16" t="s">
        <v>8352</v>
      </c>
      <c r="H4638" s="16" t="s">
        <v>605</v>
      </c>
      <c r="I4638" s="16"/>
      <c r="J4638" s="16"/>
      <c r="K4638" s="16"/>
      <c r="L4638" s="16"/>
      <c r="M4638" s="19" t="s">
        <v>1107</v>
      </c>
      <c r="N4638" s="16"/>
      <c r="O4638" s="16" t="s">
        <v>1108</v>
      </c>
      <c r="P4638" s="16" t="str">
        <f>HYPERLINK("https://ceds.ed.gov/cedselementdetails.aspx?termid=26377")</f>
        <v>https://ceds.ed.gov/cedselementdetails.aspx?termid=26377</v>
      </c>
      <c r="Q4638" s="16">
        <v>73806</v>
      </c>
    </row>
    <row r="4639" spans="1:17" ht="345.6" x14ac:dyDescent="0.3">
      <c r="A4639" s="16" t="s">
        <v>7766</v>
      </c>
      <c r="B4639" s="16" t="s">
        <v>7787</v>
      </c>
      <c r="C4639" s="16"/>
      <c r="D4639" s="16" t="s">
        <v>7597</v>
      </c>
      <c r="E4639" s="16" t="s">
        <v>4129</v>
      </c>
      <c r="F4639" s="16" t="s">
        <v>4130</v>
      </c>
      <c r="G4639" s="16" t="s">
        <v>8234</v>
      </c>
      <c r="H4639" s="16" t="s">
        <v>4133</v>
      </c>
      <c r="I4639" s="16"/>
      <c r="J4639" s="16"/>
      <c r="K4639" s="16"/>
      <c r="L4639" s="16"/>
      <c r="M4639" s="19" t="s">
        <v>4131</v>
      </c>
      <c r="N4639" s="16"/>
      <c r="O4639" s="16" t="s">
        <v>4132</v>
      </c>
      <c r="P4639" s="16" t="str">
        <f>HYPERLINK("https://ceds.ed.gov/cedselementdetails.aspx?termid=26126")</f>
        <v>https://ceds.ed.gov/cedselementdetails.aspx?termid=26126</v>
      </c>
      <c r="Q4639" s="16">
        <v>71219</v>
      </c>
    </row>
    <row r="4640" spans="1:17" ht="158.4" x14ac:dyDescent="0.3">
      <c r="A4640" s="16" t="s">
        <v>7766</v>
      </c>
      <c r="B4640" s="16" t="s">
        <v>7787</v>
      </c>
      <c r="C4640" s="16"/>
      <c r="D4640" s="16" t="s">
        <v>7597</v>
      </c>
      <c r="E4640" s="16" t="s">
        <v>1170</v>
      </c>
      <c r="F4640" s="16" t="s">
        <v>1171</v>
      </c>
      <c r="G4640" s="16" t="s">
        <v>8355</v>
      </c>
      <c r="H4640" s="16"/>
      <c r="I4640" s="16"/>
      <c r="J4640" s="16"/>
      <c r="K4640" s="16"/>
      <c r="L4640" s="16"/>
      <c r="M4640" s="19" t="s">
        <v>1172</v>
      </c>
      <c r="N4640" s="16"/>
      <c r="O4640" s="16" t="s">
        <v>1173</v>
      </c>
      <c r="P4640" s="16" t="str">
        <f>HYPERLINK("https://ceds.ed.gov/cedselementdetails.aspx?termid=27516")</f>
        <v>https://ceds.ed.gov/cedselementdetails.aspx?termid=27516</v>
      </c>
      <c r="Q4640" s="16">
        <v>73808</v>
      </c>
    </row>
    <row r="4641" spans="1:17" ht="43.2" x14ac:dyDescent="0.3">
      <c r="A4641" s="16" t="s">
        <v>7766</v>
      </c>
      <c r="B4641" s="16" t="s">
        <v>7787</v>
      </c>
      <c r="C4641" s="16"/>
      <c r="D4641" s="16" t="s">
        <v>7597</v>
      </c>
      <c r="E4641" s="16" t="s">
        <v>1174</v>
      </c>
      <c r="F4641" s="16" t="s">
        <v>1175</v>
      </c>
      <c r="G4641" s="16" t="s">
        <v>32</v>
      </c>
      <c r="H4641" s="16"/>
      <c r="I4641" s="16"/>
      <c r="J4641" s="16" t="s">
        <v>812</v>
      </c>
      <c r="K4641" s="16"/>
      <c r="L4641" s="16"/>
      <c r="M4641" s="19" t="s">
        <v>1176</v>
      </c>
      <c r="N4641" s="16"/>
      <c r="O4641" s="16" t="s">
        <v>1177</v>
      </c>
      <c r="P4641" s="16" t="str">
        <f>HYPERLINK("https://ceds.ed.gov/cedselementdetails.aspx?termid=27517")</f>
        <v>https://ceds.ed.gov/cedselementdetails.aspx?termid=27517</v>
      </c>
      <c r="Q4641" s="16">
        <v>73810</v>
      </c>
    </row>
    <row r="4642" spans="1:17" ht="129.6" x14ac:dyDescent="0.3">
      <c r="A4642" s="16" t="s">
        <v>7766</v>
      </c>
      <c r="B4642" s="16" t="s">
        <v>7787</v>
      </c>
      <c r="C4642" s="16"/>
      <c r="D4642" s="16" t="s">
        <v>7597</v>
      </c>
      <c r="E4642" s="16" t="s">
        <v>1194</v>
      </c>
      <c r="F4642" s="16" t="s">
        <v>1195</v>
      </c>
      <c r="G4642" s="16" t="s">
        <v>8357</v>
      </c>
      <c r="H4642" s="16" t="s">
        <v>1199</v>
      </c>
      <c r="I4642" s="16"/>
      <c r="J4642" s="16"/>
      <c r="K4642" s="16"/>
      <c r="L4642" s="16" t="s">
        <v>1196</v>
      </c>
      <c r="M4642" s="19" t="s">
        <v>1197</v>
      </c>
      <c r="N4642" s="16"/>
      <c r="O4642" s="16" t="s">
        <v>1198</v>
      </c>
      <c r="P4642" s="16" t="str">
        <f>HYPERLINK("https://ceds.ed.gov/cedselementdetails.aspx?termid=26531")</f>
        <v>https://ceds.ed.gov/cedselementdetails.aspx?termid=26531</v>
      </c>
      <c r="Q4642" s="16">
        <v>71221</v>
      </c>
    </row>
    <row r="4643" spans="1:17" ht="115.2" x14ac:dyDescent="0.3">
      <c r="A4643" s="16" t="s">
        <v>7766</v>
      </c>
      <c r="B4643" s="16" t="s">
        <v>7787</v>
      </c>
      <c r="C4643" s="16"/>
      <c r="D4643" s="16" t="s">
        <v>7597</v>
      </c>
      <c r="E4643" s="16" t="s">
        <v>6257</v>
      </c>
      <c r="F4643" s="16" t="s">
        <v>6258</v>
      </c>
      <c r="G4643" s="16" t="s">
        <v>8814</v>
      </c>
      <c r="H4643" s="16"/>
      <c r="I4643" s="16"/>
      <c r="J4643" s="16"/>
      <c r="K4643" s="16"/>
      <c r="L4643" s="16"/>
      <c r="M4643" s="19" t="s">
        <v>6259</v>
      </c>
      <c r="N4643" s="16"/>
      <c r="O4643" s="16" t="s">
        <v>6260</v>
      </c>
      <c r="P4643" s="16" t="str">
        <f>HYPERLINK("https://ceds.ed.gov/cedselementdetails.aspx?termid=26228")</f>
        <v>https://ceds.ed.gov/cedselementdetails.aspx?termid=26228</v>
      </c>
      <c r="Q4643" s="16">
        <v>73028</v>
      </c>
    </row>
    <row r="4644" spans="1:17" ht="115.2" x14ac:dyDescent="0.3">
      <c r="A4644" s="16" t="s">
        <v>7766</v>
      </c>
      <c r="B4644" s="16" t="s">
        <v>7787</v>
      </c>
      <c r="C4644" s="16"/>
      <c r="D4644" s="16" t="s">
        <v>7597</v>
      </c>
      <c r="E4644" s="16" t="s">
        <v>1204</v>
      </c>
      <c r="F4644" s="16" t="s">
        <v>7868</v>
      </c>
      <c r="G4644" s="16" t="s">
        <v>32</v>
      </c>
      <c r="H4644" s="16"/>
      <c r="I4644" s="16"/>
      <c r="J4644" s="16" t="s">
        <v>106</v>
      </c>
      <c r="K4644" s="16"/>
      <c r="L4644" s="16"/>
      <c r="M4644" s="19" t="s">
        <v>1205</v>
      </c>
      <c r="N4644" s="16"/>
      <c r="O4644" s="16" t="s">
        <v>1206</v>
      </c>
      <c r="P4644" s="16" t="str">
        <f>HYPERLINK("https://ceds.ed.gov/cedselementdetails.aspx?termid=27062")</f>
        <v>https://ceds.ed.gov/cedselementdetails.aspx?termid=27062</v>
      </c>
      <c r="Q4644" s="16">
        <v>71497</v>
      </c>
    </row>
    <row r="4645" spans="1:17" ht="57.6" x14ac:dyDescent="0.3">
      <c r="A4645" s="16" t="s">
        <v>7766</v>
      </c>
      <c r="B4645" s="16" t="s">
        <v>7787</v>
      </c>
      <c r="C4645" s="16"/>
      <c r="D4645" s="16" t="s">
        <v>7597</v>
      </c>
      <c r="E4645" s="16" t="s">
        <v>6516</v>
      </c>
      <c r="F4645" s="16" t="s">
        <v>6517</v>
      </c>
      <c r="G4645" s="16" t="s">
        <v>22</v>
      </c>
      <c r="H4645" s="16"/>
      <c r="I4645" s="16"/>
      <c r="J4645" s="16"/>
      <c r="K4645" s="16"/>
      <c r="L4645" s="16"/>
      <c r="M4645" s="19" t="s">
        <v>6518</v>
      </c>
      <c r="N4645" s="16"/>
      <c r="O4645" s="16" t="s">
        <v>6519</v>
      </c>
      <c r="P4645" s="16" t="str">
        <f>HYPERLINK("https://ceds.ed.gov/cedselementdetails.aspx?termid=27744")</f>
        <v>https://ceds.ed.gov/cedselementdetails.aspx?termid=27744</v>
      </c>
      <c r="Q4645" s="16">
        <v>74991</v>
      </c>
    </row>
    <row r="4646" spans="1:17" ht="57.6" x14ac:dyDescent="0.3">
      <c r="A4646" s="16" t="s">
        <v>7766</v>
      </c>
      <c r="B4646" s="16" t="s">
        <v>7787</v>
      </c>
      <c r="C4646" s="16"/>
      <c r="D4646" s="16" t="s">
        <v>7597</v>
      </c>
      <c r="E4646" s="16" t="s">
        <v>4905</v>
      </c>
      <c r="F4646" s="16" t="s">
        <v>4906</v>
      </c>
      <c r="G4646" s="16" t="s">
        <v>22</v>
      </c>
      <c r="H4646" s="16"/>
      <c r="I4646" s="16"/>
      <c r="J4646" s="16"/>
      <c r="K4646" s="16"/>
      <c r="L4646" s="16"/>
      <c r="M4646" s="19" t="s">
        <v>4907</v>
      </c>
      <c r="N4646" s="16"/>
      <c r="O4646" s="16" t="s">
        <v>4908</v>
      </c>
      <c r="P4646" s="16" t="str">
        <f>HYPERLINK("https://ceds.ed.gov/cedselementdetails.aspx?termid=27743")</f>
        <v>https://ceds.ed.gov/cedselementdetails.aspx?termid=27743</v>
      </c>
      <c r="Q4646" s="16">
        <v>74972</v>
      </c>
    </row>
    <row r="4647" spans="1:17" ht="57.6" x14ac:dyDescent="0.3">
      <c r="A4647" s="16" t="s">
        <v>7766</v>
      </c>
      <c r="B4647" s="16" t="s">
        <v>7787</v>
      </c>
      <c r="C4647" s="16"/>
      <c r="D4647" s="16" t="s">
        <v>7597</v>
      </c>
      <c r="E4647" s="16" t="s">
        <v>6874</v>
      </c>
      <c r="F4647" s="16" t="s">
        <v>6875</v>
      </c>
      <c r="G4647" s="16" t="s">
        <v>22</v>
      </c>
      <c r="H4647" s="16"/>
      <c r="I4647" s="16"/>
      <c r="J4647" s="16"/>
      <c r="K4647" s="16"/>
      <c r="L4647" s="16"/>
      <c r="M4647" s="19" t="s">
        <v>6876</v>
      </c>
      <c r="N4647" s="16"/>
      <c r="O4647" s="16" t="s">
        <v>6877</v>
      </c>
      <c r="P4647" s="16" t="str">
        <f>HYPERLINK("https://ceds.ed.gov/cedselementdetails.aspx?termid=27742")</f>
        <v>https://ceds.ed.gov/cedselementdetails.aspx?termid=27742</v>
      </c>
      <c r="Q4647" s="16">
        <v>74994</v>
      </c>
    </row>
    <row r="4648" spans="1:17" ht="172.8" x14ac:dyDescent="0.3">
      <c r="A4648" s="16" t="s">
        <v>7766</v>
      </c>
      <c r="B4648" s="16" t="s">
        <v>7787</v>
      </c>
      <c r="C4648" s="16"/>
      <c r="D4648" s="16" t="s">
        <v>7597</v>
      </c>
      <c r="E4648" s="16" t="s">
        <v>591</v>
      </c>
      <c r="F4648" s="16" t="s">
        <v>7838</v>
      </c>
      <c r="G4648" s="16" t="s">
        <v>32</v>
      </c>
      <c r="H4648" s="16" t="s">
        <v>594</v>
      </c>
      <c r="I4648" s="16"/>
      <c r="J4648" s="16" t="s">
        <v>747</v>
      </c>
      <c r="K4648" s="16"/>
      <c r="L4648" s="16" t="s">
        <v>7817</v>
      </c>
      <c r="M4648" s="19" t="s">
        <v>592</v>
      </c>
      <c r="N4648" s="16"/>
      <c r="O4648" s="16" t="s">
        <v>593</v>
      </c>
      <c r="P4648" s="16" t="str">
        <f>HYPERLINK("https://ceds.ed.gov/cedselementdetails.aspx?termid=26152")</f>
        <v>https://ceds.ed.gov/cedselementdetails.aspx?termid=26152</v>
      </c>
      <c r="Q4648" s="16">
        <v>76015</v>
      </c>
    </row>
    <row r="4649" spans="1:17" ht="115.2" x14ac:dyDescent="0.3">
      <c r="A4649" s="16" t="s">
        <v>7766</v>
      </c>
      <c r="B4649" s="16" t="s">
        <v>7788</v>
      </c>
      <c r="C4649" s="16"/>
      <c r="D4649" s="16" t="s">
        <v>7597</v>
      </c>
      <c r="E4649" s="16" t="s">
        <v>998</v>
      </c>
      <c r="F4649" s="16" t="s">
        <v>999</v>
      </c>
      <c r="G4649" s="16" t="s">
        <v>7313</v>
      </c>
      <c r="H4649" s="16"/>
      <c r="I4649" s="16"/>
      <c r="J4649" s="16"/>
      <c r="K4649" s="16"/>
      <c r="L4649" s="16" t="s">
        <v>7859</v>
      </c>
      <c r="M4649" s="19" t="s">
        <v>1001</v>
      </c>
      <c r="N4649" s="16"/>
      <c r="O4649" s="16" t="s">
        <v>1002</v>
      </c>
      <c r="P4649" s="16" t="str">
        <f>HYPERLINK("https://ceds.ed.gov/cedselementdetails.aspx?termid=27025")</f>
        <v>https://ceds.ed.gov/cedselementdetails.aspx?termid=27025</v>
      </c>
      <c r="Q4649" s="16">
        <v>71463</v>
      </c>
    </row>
    <row r="4650" spans="1:17" ht="28.8" x14ac:dyDescent="0.3">
      <c r="A4650" s="16" t="s">
        <v>7766</v>
      </c>
      <c r="B4650" s="16" t="s">
        <v>7788</v>
      </c>
      <c r="C4650" s="16"/>
      <c r="D4650" s="16" t="s">
        <v>7597</v>
      </c>
      <c r="E4650" s="16" t="s">
        <v>1066</v>
      </c>
      <c r="F4650" s="16" t="s">
        <v>1067</v>
      </c>
      <c r="G4650" s="16" t="s">
        <v>32</v>
      </c>
      <c r="H4650" s="16"/>
      <c r="I4650" s="16"/>
      <c r="J4650" s="16" t="s">
        <v>316</v>
      </c>
      <c r="K4650" s="16"/>
      <c r="L4650" s="16"/>
      <c r="M4650" s="19" t="s">
        <v>1068</v>
      </c>
      <c r="N4650" s="16"/>
      <c r="O4650" s="16" t="s">
        <v>1069</v>
      </c>
      <c r="P4650" s="16" t="str">
        <f>HYPERLINK("https://ceds.ed.gov/cedselementdetails.aspx?termid=27101")</f>
        <v>https://ceds.ed.gov/cedselementdetails.aspx?termid=27101</v>
      </c>
      <c r="Q4650" s="16">
        <v>71541</v>
      </c>
    </row>
    <row r="4651" spans="1:17" ht="43.2" x14ac:dyDescent="0.3">
      <c r="A4651" s="16" t="s">
        <v>7766</v>
      </c>
      <c r="B4651" s="16" t="s">
        <v>7788</v>
      </c>
      <c r="C4651" s="16"/>
      <c r="D4651" s="16" t="s">
        <v>7597</v>
      </c>
      <c r="E4651" s="16" t="s">
        <v>1145</v>
      </c>
      <c r="F4651" s="16" t="s">
        <v>1146</v>
      </c>
      <c r="G4651" s="16" t="s">
        <v>22</v>
      </c>
      <c r="H4651" s="16"/>
      <c r="I4651" s="16"/>
      <c r="J4651" s="16"/>
      <c r="K4651" s="16"/>
      <c r="L4651" s="16" t="s">
        <v>1147</v>
      </c>
      <c r="M4651" s="19" t="s">
        <v>1148</v>
      </c>
      <c r="N4651" s="16"/>
      <c r="O4651" s="16" t="s">
        <v>1149</v>
      </c>
      <c r="P4651" s="16" t="str">
        <f>HYPERLINK("https://ceds.ed.gov/cedselementdetails.aspx?termid=27008")</f>
        <v>https://ceds.ed.gov/cedselementdetails.aspx?termid=27008</v>
      </c>
      <c r="Q4651" s="16">
        <v>71444</v>
      </c>
    </row>
    <row r="4652" spans="1:17" ht="43.2" x14ac:dyDescent="0.3">
      <c r="A4652" s="16" t="s">
        <v>7766</v>
      </c>
      <c r="B4652" s="16" t="s">
        <v>7788</v>
      </c>
      <c r="C4652" s="16"/>
      <c r="D4652" s="16" t="s">
        <v>7597</v>
      </c>
      <c r="E4652" s="16" t="s">
        <v>1150</v>
      </c>
      <c r="F4652" s="16" t="s">
        <v>1151</v>
      </c>
      <c r="G4652" s="16" t="s">
        <v>22</v>
      </c>
      <c r="H4652" s="16"/>
      <c r="I4652" s="16"/>
      <c r="J4652" s="16"/>
      <c r="K4652" s="16"/>
      <c r="L4652" s="16" t="s">
        <v>1147</v>
      </c>
      <c r="M4652" s="19" t="s">
        <v>1152</v>
      </c>
      <c r="N4652" s="16"/>
      <c r="O4652" s="16" t="s">
        <v>1153</v>
      </c>
      <c r="P4652" s="16" t="str">
        <f>HYPERLINK("https://ceds.ed.gov/cedselementdetails.aspx?termid=27007")</f>
        <v>https://ceds.ed.gov/cedselementdetails.aspx?termid=27007</v>
      </c>
      <c r="Q4652" s="16">
        <v>71443</v>
      </c>
    </row>
    <row r="4653" spans="1:17" ht="86.4" x14ac:dyDescent="0.3">
      <c r="A4653" s="16" t="s">
        <v>7766</v>
      </c>
      <c r="B4653" s="16" t="s">
        <v>7788</v>
      </c>
      <c r="C4653" s="16" t="s">
        <v>7789</v>
      </c>
      <c r="D4653" s="16" t="s">
        <v>7597</v>
      </c>
      <c r="E4653" s="16" t="s">
        <v>941</v>
      </c>
      <c r="F4653" s="16" t="s">
        <v>942</v>
      </c>
      <c r="G4653" s="16" t="s">
        <v>8338</v>
      </c>
      <c r="H4653" s="16"/>
      <c r="I4653" s="16"/>
      <c r="J4653" s="16"/>
      <c r="K4653" s="16"/>
      <c r="L4653" s="16"/>
      <c r="M4653" s="19" t="s">
        <v>944</v>
      </c>
      <c r="N4653" s="16"/>
      <c r="O4653" s="16" t="s">
        <v>945</v>
      </c>
      <c r="P4653" s="16" t="str">
        <f>HYPERLINK("https://ceds.ed.gov/cedselementdetails.aspx?termid=27045")</f>
        <v>https://ceds.ed.gov/cedselementdetails.aspx?termid=27045</v>
      </c>
      <c r="Q4653" s="16">
        <v>71482</v>
      </c>
    </row>
    <row r="4654" spans="1:17" ht="57.6" x14ac:dyDescent="0.3">
      <c r="A4654" s="16" t="s">
        <v>7766</v>
      </c>
      <c r="B4654" s="16" t="s">
        <v>7788</v>
      </c>
      <c r="C4654" s="16" t="s">
        <v>7789</v>
      </c>
      <c r="D4654" s="16" t="s">
        <v>7597</v>
      </c>
      <c r="E4654" s="16" t="s">
        <v>970</v>
      </c>
      <c r="F4654" s="16" t="s">
        <v>971</v>
      </c>
      <c r="G4654" s="16" t="s">
        <v>22</v>
      </c>
      <c r="H4654" s="16"/>
      <c r="I4654" s="16"/>
      <c r="J4654" s="16"/>
      <c r="K4654" s="16"/>
      <c r="L4654" s="16"/>
      <c r="M4654" s="19" t="s">
        <v>972</v>
      </c>
      <c r="N4654" s="16"/>
      <c r="O4654" s="16" t="s">
        <v>973</v>
      </c>
      <c r="P4654" s="16" t="str">
        <f>HYPERLINK("https://ceds.ed.gov/cedselementdetails.aspx?termid=27050")</f>
        <v>https://ceds.ed.gov/cedselementdetails.aspx?termid=27050</v>
      </c>
      <c r="Q4654" s="16">
        <v>71486</v>
      </c>
    </row>
    <row r="4655" spans="1:17" ht="72" x14ac:dyDescent="0.3">
      <c r="A4655" s="16" t="s">
        <v>7766</v>
      </c>
      <c r="B4655" s="16" t="s">
        <v>7788</v>
      </c>
      <c r="C4655" s="16" t="s">
        <v>7789</v>
      </c>
      <c r="D4655" s="16" t="s">
        <v>7597</v>
      </c>
      <c r="E4655" s="16" t="s">
        <v>978</v>
      </c>
      <c r="F4655" s="16" t="s">
        <v>979</v>
      </c>
      <c r="G4655" s="16" t="s">
        <v>8342</v>
      </c>
      <c r="H4655" s="16"/>
      <c r="I4655" s="16"/>
      <c r="J4655" s="16"/>
      <c r="K4655" s="16"/>
      <c r="L4655" s="16"/>
      <c r="M4655" s="19" t="s">
        <v>980</v>
      </c>
      <c r="N4655" s="16"/>
      <c r="O4655" s="16" t="s">
        <v>981</v>
      </c>
      <c r="P4655" s="16" t="str">
        <f>HYPERLINK("https://ceds.ed.gov/cedselementdetails.aspx?termid=27026")</f>
        <v>https://ceds.ed.gov/cedselementdetails.aspx?termid=27026</v>
      </c>
      <c r="Q4655" s="16">
        <v>71464</v>
      </c>
    </row>
    <row r="4656" spans="1:17" ht="115.2" x14ac:dyDescent="0.3">
      <c r="A4656" s="16" t="s">
        <v>7766</v>
      </c>
      <c r="B4656" s="16" t="s">
        <v>7788</v>
      </c>
      <c r="C4656" s="16" t="s">
        <v>7789</v>
      </c>
      <c r="D4656" s="16" t="s">
        <v>7597</v>
      </c>
      <c r="E4656" s="16" t="s">
        <v>990</v>
      </c>
      <c r="F4656" s="16" t="s">
        <v>991</v>
      </c>
      <c r="G4656" s="16" t="s">
        <v>7313</v>
      </c>
      <c r="H4656" s="16"/>
      <c r="I4656" s="16"/>
      <c r="J4656" s="16"/>
      <c r="K4656" s="16"/>
      <c r="L4656" s="16" t="s">
        <v>7859</v>
      </c>
      <c r="M4656" s="19" t="s">
        <v>992</v>
      </c>
      <c r="N4656" s="16"/>
      <c r="O4656" s="16" t="s">
        <v>993</v>
      </c>
      <c r="P4656" s="16" t="str">
        <f>HYPERLINK("https://ceds.ed.gov/cedselementdetails.aspx?termid=27042")</f>
        <v>https://ceds.ed.gov/cedselementdetails.aspx?termid=27042</v>
      </c>
      <c r="Q4656" s="16">
        <v>71479</v>
      </c>
    </row>
    <row r="4657" spans="1:17" ht="115.2" x14ac:dyDescent="0.3">
      <c r="A4657" s="16" t="s">
        <v>7766</v>
      </c>
      <c r="B4657" s="16" t="s">
        <v>7788</v>
      </c>
      <c r="C4657" s="16" t="s">
        <v>7789</v>
      </c>
      <c r="D4657" s="16" t="s">
        <v>7597</v>
      </c>
      <c r="E4657" s="16" t="s">
        <v>994</v>
      </c>
      <c r="F4657" s="16" t="s">
        <v>995</v>
      </c>
      <c r="G4657" s="16" t="s">
        <v>7313</v>
      </c>
      <c r="H4657" s="16"/>
      <c r="I4657" s="16"/>
      <c r="J4657" s="16"/>
      <c r="K4657" s="16"/>
      <c r="L4657" s="16" t="s">
        <v>7859</v>
      </c>
      <c r="M4657" s="19" t="s">
        <v>996</v>
      </c>
      <c r="N4657" s="16"/>
      <c r="O4657" s="16" t="s">
        <v>997</v>
      </c>
      <c r="P4657" s="16" t="str">
        <f>HYPERLINK("https://ceds.ed.gov/cedselementdetails.aspx?termid=27043")</f>
        <v>https://ceds.ed.gov/cedselementdetails.aspx?termid=27043</v>
      </c>
      <c r="Q4657" s="16">
        <v>71480</v>
      </c>
    </row>
    <row r="4658" spans="1:17" ht="158.4" x14ac:dyDescent="0.3">
      <c r="A4658" s="16" t="s">
        <v>7766</v>
      </c>
      <c r="B4658" s="16" t="s">
        <v>7788</v>
      </c>
      <c r="C4658" s="16" t="s">
        <v>7789</v>
      </c>
      <c r="D4658" s="16" t="s">
        <v>7597</v>
      </c>
      <c r="E4658" s="16" t="s">
        <v>1054</v>
      </c>
      <c r="F4658" s="16" t="s">
        <v>1055</v>
      </c>
      <c r="G4658" s="16" t="s">
        <v>8349</v>
      </c>
      <c r="H4658" s="16"/>
      <c r="I4658" s="16"/>
      <c r="J4658" s="16"/>
      <c r="K4658" s="16"/>
      <c r="L4658" s="16"/>
      <c r="M4658" s="19" t="s">
        <v>1056</v>
      </c>
      <c r="N4658" s="16"/>
      <c r="O4658" s="16" t="s">
        <v>1057</v>
      </c>
      <c r="P4658" s="16" t="str">
        <f>HYPERLINK("https://ceds.ed.gov/cedselementdetails.aspx?termid=27027")</f>
        <v>https://ceds.ed.gov/cedselementdetails.aspx?termid=27027</v>
      </c>
      <c r="Q4658" s="16">
        <v>71465</v>
      </c>
    </row>
    <row r="4659" spans="1:17" ht="72" x14ac:dyDescent="0.3">
      <c r="A4659" s="16" t="s">
        <v>7766</v>
      </c>
      <c r="B4659" s="16" t="s">
        <v>7788</v>
      </c>
      <c r="C4659" s="16" t="s">
        <v>7789</v>
      </c>
      <c r="D4659" s="16" t="s">
        <v>7597</v>
      </c>
      <c r="E4659" s="16" t="s">
        <v>1074</v>
      </c>
      <c r="F4659" s="16" t="s">
        <v>1075</v>
      </c>
      <c r="G4659" s="16" t="s">
        <v>8351</v>
      </c>
      <c r="H4659" s="16"/>
      <c r="I4659" s="16"/>
      <c r="J4659" s="16"/>
      <c r="K4659" s="16"/>
      <c r="L4659" s="16"/>
      <c r="M4659" s="19" t="s">
        <v>1076</v>
      </c>
      <c r="N4659" s="16"/>
      <c r="O4659" s="16" t="s">
        <v>1077</v>
      </c>
      <c r="P4659" s="16" t="str">
        <f>HYPERLINK("https://ceds.ed.gov/cedselementdetails.aspx?termid=27049")</f>
        <v>https://ceds.ed.gov/cedselementdetails.aspx?termid=27049</v>
      </c>
      <c r="Q4659" s="16">
        <v>71485</v>
      </c>
    </row>
    <row r="4660" spans="1:17" ht="100.8" x14ac:dyDescent="0.3">
      <c r="A4660" s="16" t="s">
        <v>7766</v>
      </c>
      <c r="B4660" s="16" t="s">
        <v>7788</v>
      </c>
      <c r="C4660" s="16" t="s">
        <v>7790</v>
      </c>
      <c r="D4660" s="16" t="s">
        <v>7597</v>
      </c>
      <c r="E4660" s="16" t="s">
        <v>1061</v>
      </c>
      <c r="F4660" s="16" t="s">
        <v>7862</v>
      </c>
      <c r="G4660" s="16" t="s">
        <v>32</v>
      </c>
      <c r="H4660" s="16"/>
      <c r="I4660" s="16"/>
      <c r="J4660" s="16" t="s">
        <v>1063</v>
      </c>
      <c r="K4660" s="16"/>
      <c r="L4660" s="16"/>
      <c r="M4660" s="19" t="s">
        <v>1064</v>
      </c>
      <c r="N4660" s="16"/>
      <c r="O4660" s="16" t="s">
        <v>1065</v>
      </c>
      <c r="P4660" s="16" t="str">
        <f>HYPERLINK("https://ceds.ed.gov/cedselementdetails.aspx?termid=27055")</f>
        <v>https://ceds.ed.gov/cedselementdetails.aspx?termid=27055</v>
      </c>
      <c r="Q4660" s="16">
        <v>71490</v>
      </c>
    </row>
    <row r="4661" spans="1:17" ht="43.2" x14ac:dyDescent="0.3">
      <c r="A4661" s="16" t="s">
        <v>7766</v>
      </c>
      <c r="B4661" s="16" t="s">
        <v>7788</v>
      </c>
      <c r="C4661" s="16" t="s">
        <v>7791</v>
      </c>
      <c r="D4661" s="16" t="s">
        <v>7597</v>
      </c>
      <c r="E4661" s="16" t="s">
        <v>1018</v>
      </c>
      <c r="F4661" s="16" t="s">
        <v>1019</v>
      </c>
      <c r="G4661" s="16" t="s">
        <v>32</v>
      </c>
      <c r="H4661" s="16"/>
      <c r="I4661" s="16"/>
      <c r="J4661" s="16" t="s">
        <v>305</v>
      </c>
      <c r="K4661" s="16"/>
      <c r="L4661" s="16"/>
      <c r="M4661" s="19" t="s">
        <v>1020</v>
      </c>
      <c r="N4661" s="16"/>
      <c r="O4661" s="16" t="s">
        <v>1021</v>
      </c>
      <c r="P4661" s="16" t="str">
        <f>HYPERLINK("https://ceds.ed.gov/cedselementdetails.aspx?termid=27037")</f>
        <v>https://ceds.ed.gov/cedselementdetails.aspx?termid=27037</v>
      </c>
      <c r="Q4661" s="16">
        <v>71475</v>
      </c>
    </row>
    <row r="4662" spans="1:17" ht="43.2" x14ac:dyDescent="0.3">
      <c r="A4662" s="16" t="s">
        <v>7766</v>
      </c>
      <c r="B4662" s="16" t="s">
        <v>7788</v>
      </c>
      <c r="C4662" s="16" t="s">
        <v>7791</v>
      </c>
      <c r="D4662" s="16" t="s">
        <v>7597</v>
      </c>
      <c r="E4662" s="16" t="s">
        <v>1022</v>
      </c>
      <c r="F4662" s="16" t="s">
        <v>1023</v>
      </c>
      <c r="G4662" s="16" t="s">
        <v>8346</v>
      </c>
      <c r="H4662" s="16"/>
      <c r="I4662" s="16"/>
      <c r="J4662" s="16"/>
      <c r="K4662" s="16"/>
      <c r="L4662" s="16"/>
      <c r="M4662" s="19" t="s">
        <v>1024</v>
      </c>
      <c r="N4662" s="16"/>
      <c r="O4662" s="16" t="s">
        <v>1025</v>
      </c>
      <c r="P4662" s="16" t="str">
        <f>HYPERLINK("https://ceds.ed.gov/cedselementdetails.aspx?termid=27036")</f>
        <v>https://ceds.ed.gov/cedselementdetails.aspx?termid=27036</v>
      </c>
      <c r="Q4662" s="16">
        <v>71474</v>
      </c>
    </row>
    <row r="4663" spans="1:17" ht="43.2" x14ac:dyDescent="0.3">
      <c r="A4663" s="16" t="s">
        <v>7766</v>
      </c>
      <c r="B4663" s="16" t="s">
        <v>7788</v>
      </c>
      <c r="C4663" s="16" t="s">
        <v>7791</v>
      </c>
      <c r="D4663" s="16" t="s">
        <v>7597</v>
      </c>
      <c r="E4663" s="16" t="s">
        <v>952</v>
      </c>
      <c r="F4663" s="16" t="s">
        <v>953</v>
      </c>
      <c r="G4663" s="16" t="s">
        <v>32</v>
      </c>
      <c r="H4663" s="16"/>
      <c r="I4663" s="16"/>
      <c r="J4663" s="16" t="s">
        <v>955</v>
      </c>
      <c r="K4663" s="16"/>
      <c r="L4663" s="16"/>
      <c r="M4663" s="19" t="s">
        <v>956</v>
      </c>
      <c r="N4663" s="16"/>
      <c r="O4663" s="16" t="s">
        <v>957</v>
      </c>
      <c r="P4663" s="16" t="str">
        <f>HYPERLINK("https://ceds.ed.gov/cedselementdetails.aspx?termid=27040")</f>
        <v>https://ceds.ed.gov/cedselementdetails.aspx?termid=27040</v>
      </c>
      <c r="Q4663" s="16">
        <v>71477</v>
      </c>
    </row>
    <row r="4664" spans="1:17" ht="43.2" x14ac:dyDescent="0.3">
      <c r="A4664" s="16" t="s">
        <v>7766</v>
      </c>
      <c r="B4664" s="16" t="s">
        <v>7788</v>
      </c>
      <c r="C4664" s="16" t="s">
        <v>7791</v>
      </c>
      <c r="D4664" s="16" t="s">
        <v>7597</v>
      </c>
      <c r="E4664" s="16" t="s">
        <v>958</v>
      </c>
      <c r="F4664" s="16" t="s">
        <v>959</v>
      </c>
      <c r="G4664" s="16" t="s">
        <v>8339</v>
      </c>
      <c r="H4664" s="16"/>
      <c r="I4664" s="16"/>
      <c r="J4664" s="16"/>
      <c r="K4664" s="16"/>
      <c r="L4664" s="16"/>
      <c r="M4664" s="19" t="s">
        <v>960</v>
      </c>
      <c r="N4664" s="16"/>
      <c r="O4664" s="16" t="s">
        <v>961</v>
      </c>
      <c r="P4664" s="16" t="str">
        <f>HYPERLINK("https://ceds.ed.gov/cedselementdetails.aspx?termid=27035")</f>
        <v>https://ceds.ed.gov/cedselementdetails.aspx?termid=27035</v>
      </c>
      <c r="Q4664" s="16">
        <v>71473</v>
      </c>
    </row>
    <row r="4665" spans="1:17" ht="100.8" x14ac:dyDescent="0.3">
      <c r="A4665" s="16" t="s">
        <v>7766</v>
      </c>
      <c r="B4665" s="16" t="s">
        <v>7788</v>
      </c>
      <c r="C4665" s="16" t="s">
        <v>7791</v>
      </c>
      <c r="D4665" s="16" t="s">
        <v>7597</v>
      </c>
      <c r="E4665" s="16" t="s">
        <v>962</v>
      </c>
      <c r="F4665" s="16" t="s">
        <v>963</v>
      </c>
      <c r="G4665" s="16" t="s">
        <v>8340</v>
      </c>
      <c r="H4665" s="16"/>
      <c r="I4665" s="16"/>
      <c r="J4665" s="16"/>
      <c r="K4665" s="16"/>
      <c r="L4665" s="16"/>
      <c r="M4665" s="19" t="s">
        <v>964</v>
      </c>
      <c r="N4665" s="16"/>
      <c r="O4665" s="16" t="s">
        <v>965</v>
      </c>
      <c r="P4665" s="16" t="str">
        <f>HYPERLINK("https://ceds.ed.gov/cedselementdetails.aspx?termid=27038")</f>
        <v>https://ceds.ed.gov/cedselementdetails.aspx?termid=27038</v>
      </c>
      <c r="Q4665" s="16">
        <v>71476</v>
      </c>
    </row>
    <row r="4666" spans="1:17" ht="57.6" x14ac:dyDescent="0.3">
      <c r="A4666" s="16" t="s">
        <v>7766</v>
      </c>
      <c r="B4666" s="16" t="s">
        <v>7788</v>
      </c>
      <c r="C4666" s="16" t="s">
        <v>7791</v>
      </c>
      <c r="D4666" s="16" t="s">
        <v>7597</v>
      </c>
      <c r="E4666" s="16" t="s">
        <v>966</v>
      </c>
      <c r="F4666" s="16" t="s">
        <v>967</v>
      </c>
      <c r="G4666" s="16" t="s">
        <v>8341</v>
      </c>
      <c r="H4666" s="16"/>
      <c r="I4666" s="16"/>
      <c r="J4666" s="16"/>
      <c r="K4666" s="16"/>
      <c r="L4666" s="16"/>
      <c r="M4666" s="19" t="s">
        <v>968</v>
      </c>
      <c r="N4666" s="16"/>
      <c r="O4666" s="16" t="s">
        <v>969</v>
      </c>
      <c r="P4666" s="16" t="str">
        <f>HYPERLINK("https://ceds.ed.gov/cedselementdetails.aspx?termid=27041")</f>
        <v>https://ceds.ed.gov/cedselementdetails.aspx?termid=27041</v>
      </c>
      <c r="Q4666" s="16">
        <v>71478</v>
      </c>
    </row>
    <row r="4667" spans="1:17" ht="57.6" x14ac:dyDescent="0.3">
      <c r="A4667" s="16" t="s">
        <v>7766</v>
      </c>
      <c r="B4667" s="16" t="s">
        <v>7788</v>
      </c>
      <c r="C4667" s="16" t="s">
        <v>7791</v>
      </c>
      <c r="D4667" s="16" t="s">
        <v>7597</v>
      </c>
      <c r="E4667" s="16" t="s">
        <v>986</v>
      </c>
      <c r="F4667" s="16" t="s">
        <v>987</v>
      </c>
      <c r="G4667" s="16" t="s">
        <v>22</v>
      </c>
      <c r="H4667" s="16"/>
      <c r="I4667" s="16"/>
      <c r="J4667" s="16"/>
      <c r="K4667" s="16"/>
      <c r="L4667" s="16"/>
      <c r="M4667" s="19" t="s">
        <v>988</v>
      </c>
      <c r="N4667" s="16"/>
      <c r="O4667" s="16" t="s">
        <v>989</v>
      </c>
      <c r="P4667" s="16" t="str">
        <f>HYPERLINK("https://ceds.ed.gov/cedselementdetails.aspx?termid=27033")</f>
        <v>https://ceds.ed.gov/cedselementdetails.aspx?termid=27033</v>
      </c>
      <c r="Q4667" s="16">
        <v>71471</v>
      </c>
    </row>
    <row r="4668" spans="1:17" ht="57.6" x14ac:dyDescent="0.3">
      <c r="A4668" s="16" t="s">
        <v>7766</v>
      </c>
      <c r="B4668" s="16" t="s">
        <v>7788</v>
      </c>
      <c r="C4668" s="16" t="s">
        <v>7791</v>
      </c>
      <c r="D4668" s="16" t="s">
        <v>7597</v>
      </c>
      <c r="E4668" s="16" t="s">
        <v>1003</v>
      </c>
      <c r="F4668" s="16" t="s">
        <v>1004</v>
      </c>
      <c r="G4668" s="16" t="s">
        <v>32</v>
      </c>
      <c r="H4668" s="16"/>
      <c r="I4668" s="16"/>
      <c r="J4668" s="16" t="s">
        <v>949</v>
      </c>
      <c r="K4668" s="16"/>
      <c r="L4668" s="16"/>
      <c r="M4668" s="19" t="s">
        <v>1005</v>
      </c>
      <c r="N4668" s="16"/>
      <c r="O4668" s="16" t="s">
        <v>1006</v>
      </c>
      <c r="P4668" s="16" t="str">
        <f>HYPERLINK("https://ceds.ed.gov/cedselementdetails.aspx?termid=27056")</f>
        <v>https://ceds.ed.gov/cedselementdetails.aspx?termid=27056</v>
      </c>
      <c r="Q4668" s="16">
        <v>71491</v>
      </c>
    </row>
    <row r="4669" spans="1:17" ht="72" x14ac:dyDescent="0.3">
      <c r="A4669" s="16" t="s">
        <v>7766</v>
      </c>
      <c r="B4669" s="16" t="s">
        <v>7788</v>
      </c>
      <c r="C4669" s="16" t="s">
        <v>7791</v>
      </c>
      <c r="D4669" s="16" t="s">
        <v>7597</v>
      </c>
      <c r="E4669" s="16" t="s">
        <v>1007</v>
      </c>
      <c r="F4669" s="16" t="s">
        <v>1008</v>
      </c>
      <c r="G4669" s="16" t="s">
        <v>8344</v>
      </c>
      <c r="H4669" s="16"/>
      <c r="I4669" s="16"/>
      <c r="J4669" s="16"/>
      <c r="K4669" s="16"/>
      <c r="L4669" s="16"/>
      <c r="M4669" s="19" t="s">
        <v>1009</v>
      </c>
      <c r="N4669" s="16"/>
      <c r="O4669" s="16" t="s">
        <v>1010</v>
      </c>
      <c r="P4669" s="16" t="str">
        <f>HYPERLINK("https://ceds.ed.gov/cedselementdetails.aspx?termid=27029")</f>
        <v>https://ceds.ed.gov/cedselementdetails.aspx?termid=27029</v>
      </c>
      <c r="Q4669" s="16">
        <v>71467</v>
      </c>
    </row>
    <row r="4670" spans="1:17" ht="57.6" x14ac:dyDescent="0.3">
      <c r="A4670" s="16" t="s">
        <v>7766</v>
      </c>
      <c r="B4670" s="16" t="s">
        <v>7788</v>
      </c>
      <c r="C4670" s="16" t="s">
        <v>7791</v>
      </c>
      <c r="D4670" s="16" t="s">
        <v>7597</v>
      </c>
      <c r="E4670" s="16" t="s">
        <v>1011</v>
      </c>
      <c r="F4670" s="16" t="s">
        <v>1012</v>
      </c>
      <c r="G4670" s="16" t="s">
        <v>32</v>
      </c>
      <c r="H4670" s="16"/>
      <c r="I4670" s="16"/>
      <c r="J4670" s="16" t="s">
        <v>955</v>
      </c>
      <c r="K4670" s="16"/>
      <c r="L4670" s="16"/>
      <c r="M4670" s="19" t="s">
        <v>1013</v>
      </c>
      <c r="N4670" s="16"/>
      <c r="O4670" s="16" t="s">
        <v>1014</v>
      </c>
      <c r="P4670" s="16" t="str">
        <f>HYPERLINK("https://ceds.ed.gov/cedselementdetails.aspx?termid=27034")</f>
        <v>https://ceds.ed.gov/cedselementdetails.aspx?termid=27034</v>
      </c>
      <c r="Q4670" s="16">
        <v>71472</v>
      </c>
    </row>
    <row r="4671" spans="1:17" ht="57.6" x14ac:dyDescent="0.3">
      <c r="A4671" s="16" t="s">
        <v>7766</v>
      </c>
      <c r="B4671" s="16" t="s">
        <v>7788</v>
      </c>
      <c r="C4671" s="16" t="s">
        <v>7791</v>
      </c>
      <c r="D4671" s="16" t="s">
        <v>7597</v>
      </c>
      <c r="E4671" s="16" t="s">
        <v>1015</v>
      </c>
      <c r="F4671" s="16" t="s">
        <v>7860</v>
      </c>
      <c r="G4671" s="16" t="s">
        <v>8345</v>
      </c>
      <c r="H4671" s="16"/>
      <c r="I4671" s="16"/>
      <c r="J4671" s="16"/>
      <c r="K4671" s="16"/>
      <c r="L4671" s="16"/>
      <c r="M4671" s="19" t="s">
        <v>1016</v>
      </c>
      <c r="N4671" s="16"/>
      <c r="O4671" s="16" t="s">
        <v>1017</v>
      </c>
      <c r="P4671" s="16" t="str">
        <f>HYPERLINK("https://ceds.ed.gov/cedselementdetails.aspx?termid=27051")</f>
        <v>https://ceds.ed.gov/cedselementdetails.aspx?termid=27051</v>
      </c>
      <c r="Q4671" s="16">
        <v>71487</v>
      </c>
    </row>
    <row r="4672" spans="1:17" ht="43.2" x14ac:dyDescent="0.3">
      <c r="A4672" s="16" t="s">
        <v>7766</v>
      </c>
      <c r="B4672" s="16" t="s">
        <v>7788</v>
      </c>
      <c r="C4672" s="16" t="s">
        <v>7791</v>
      </c>
      <c r="D4672" s="16" t="s">
        <v>7597</v>
      </c>
      <c r="E4672" s="16" t="s">
        <v>1030</v>
      </c>
      <c r="F4672" s="16" t="s">
        <v>1031</v>
      </c>
      <c r="G4672" s="16" t="s">
        <v>32</v>
      </c>
      <c r="H4672" s="16"/>
      <c r="I4672" s="16"/>
      <c r="J4672" s="16" t="s">
        <v>955</v>
      </c>
      <c r="K4672" s="16"/>
      <c r="L4672" s="16"/>
      <c r="M4672" s="19" t="s">
        <v>1032</v>
      </c>
      <c r="N4672" s="16"/>
      <c r="O4672" s="16" t="s">
        <v>1033</v>
      </c>
      <c r="P4672" s="16" t="str">
        <f>HYPERLINK("https://ceds.ed.gov/cedselementdetails.aspx?termid=27031")</f>
        <v>https://ceds.ed.gov/cedselementdetails.aspx?termid=27031</v>
      </c>
      <c r="Q4672" s="16">
        <v>71469</v>
      </c>
    </row>
    <row r="4673" spans="1:17" ht="57.6" x14ac:dyDescent="0.3">
      <c r="A4673" s="16" t="s">
        <v>7766</v>
      </c>
      <c r="B4673" s="16" t="s">
        <v>7788</v>
      </c>
      <c r="C4673" s="16" t="s">
        <v>7791</v>
      </c>
      <c r="D4673" s="16" t="s">
        <v>7597</v>
      </c>
      <c r="E4673" s="16" t="s">
        <v>1034</v>
      </c>
      <c r="F4673" s="16" t="s">
        <v>1035</v>
      </c>
      <c r="G4673" s="16" t="s">
        <v>22</v>
      </c>
      <c r="H4673" s="16"/>
      <c r="I4673" s="16"/>
      <c r="J4673" s="16"/>
      <c r="K4673" s="16"/>
      <c r="L4673" s="16"/>
      <c r="M4673" s="19" t="s">
        <v>1036</v>
      </c>
      <c r="N4673" s="16"/>
      <c r="O4673" s="16" t="s">
        <v>1037</v>
      </c>
      <c r="P4673" s="16" t="str">
        <f>HYPERLINK("https://ceds.ed.gov/cedselementdetails.aspx?termid=27048")</f>
        <v>https://ceds.ed.gov/cedselementdetails.aspx?termid=27048</v>
      </c>
      <c r="Q4673" s="16">
        <v>71484</v>
      </c>
    </row>
    <row r="4674" spans="1:17" ht="43.2" x14ac:dyDescent="0.3">
      <c r="A4674" s="16" t="s">
        <v>7766</v>
      </c>
      <c r="B4674" s="16" t="s">
        <v>7788</v>
      </c>
      <c r="C4674" s="16" t="s">
        <v>7791</v>
      </c>
      <c r="D4674" s="16" t="s">
        <v>7597</v>
      </c>
      <c r="E4674" s="16" t="s">
        <v>1038</v>
      </c>
      <c r="F4674" s="16" t="s">
        <v>1039</v>
      </c>
      <c r="G4674" s="16" t="s">
        <v>8347</v>
      </c>
      <c r="H4674" s="16"/>
      <c r="I4674" s="16"/>
      <c r="J4674" s="16"/>
      <c r="K4674" s="16"/>
      <c r="L4674" s="16"/>
      <c r="M4674" s="19" t="s">
        <v>1040</v>
      </c>
      <c r="N4674" s="16"/>
      <c r="O4674" s="16" t="s">
        <v>1041</v>
      </c>
      <c r="P4674" s="16" t="str">
        <f>HYPERLINK("https://ceds.ed.gov/cedselementdetails.aspx?termid=27044")</f>
        <v>https://ceds.ed.gov/cedselementdetails.aspx?termid=27044</v>
      </c>
      <c r="Q4674" s="16">
        <v>71481</v>
      </c>
    </row>
    <row r="4675" spans="1:17" ht="86.4" x14ac:dyDescent="0.3">
      <c r="A4675" s="16" t="s">
        <v>7766</v>
      </c>
      <c r="B4675" s="16" t="s">
        <v>7788</v>
      </c>
      <c r="C4675" s="16" t="s">
        <v>7791</v>
      </c>
      <c r="D4675" s="16" t="s">
        <v>7597</v>
      </c>
      <c r="E4675" s="16" t="s">
        <v>1042</v>
      </c>
      <c r="F4675" s="16" t="s">
        <v>1043</v>
      </c>
      <c r="G4675" s="16" t="s">
        <v>32</v>
      </c>
      <c r="H4675" s="16"/>
      <c r="I4675" s="16"/>
      <c r="J4675" s="16" t="s">
        <v>50</v>
      </c>
      <c r="K4675" s="16"/>
      <c r="L4675" s="16"/>
      <c r="M4675" s="19" t="s">
        <v>1044</v>
      </c>
      <c r="N4675" s="16"/>
      <c r="O4675" s="16" t="s">
        <v>1045</v>
      </c>
      <c r="P4675" s="16" t="str">
        <f>HYPERLINK("https://ceds.ed.gov/cedselementdetails.aspx?termid=27053")</f>
        <v>https://ceds.ed.gov/cedselementdetails.aspx?termid=27053</v>
      </c>
      <c r="Q4675" s="16">
        <v>71489</v>
      </c>
    </row>
    <row r="4676" spans="1:17" ht="43.2" x14ac:dyDescent="0.3">
      <c r="A4676" s="16" t="s">
        <v>7766</v>
      </c>
      <c r="B4676" s="16" t="s">
        <v>7788</v>
      </c>
      <c r="C4676" s="16" t="s">
        <v>7791</v>
      </c>
      <c r="D4676" s="16" t="s">
        <v>7597</v>
      </c>
      <c r="E4676" s="16" t="s">
        <v>1046</v>
      </c>
      <c r="F4676" s="16" t="s">
        <v>1047</v>
      </c>
      <c r="G4676" s="16" t="s">
        <v>32</v>
      </c>
      <c r="H4676" s="16"/>
      <c r="I4676" s="16"/>
      <c r="J4676" s="16" t="s">
        <v>305</v>
      </c>
      <c r="K4676" s="16"/>
      <c r="L4676" s="16"/>
      <c r="M4676" s="19" t="s">
        <v>1048</v>
      </c>
      <c r="N4676" s="16"/>
      <c r="O4676" s="16" t="s">
        <v>1049</v>
      </c>
      <c r="P4676" s="16" t="str">
        <f>HYPERLINK("https://ceds.ed.gov/cedselementdetails.aspx?termid=27030")</f>
        <v>https://ceds.ed.gov/cedselementdetails.aspx?termid=27030</v>
      </c>
      <c r="Q4676" s="16">
        <v>71468</v>
      </c>
    </row>
    <row r="4677" spans="1:17" ht="43.2" x14ac:dyDescent="0.3">
      <c r="A4677" s="16" t="s">
        <v>7766</v>
      </c>
      <c r="B4677" s="16" t="s">
        <v>7788</v>
      </c>
      <c r="C4677" s="16" t="s">
        <v>7791</v>
      </c>
      <c r="D4677" s="16" t="s">
        <v>7597</v>
      </c>
      <c r="E4677" s="16" t="s">
        <v>1050</v>
      </c>
      <c r="F4677" s="16" t="s">
        <v>1051</v>
      </c>
      <c r="G4677" s="16" t="s">
        <v>8348</v>
      </c>
      <c r="H4677" s="16"/>
      <c r="I4677" s="16"/>
      <c r="J4677" s="16"/>
      <c r="K4677" s="16"/>
      <c r="L4677" s="16"/>
      <c r="M4677" s="19" t="s">
        <v>1052</v>
      </c>
      <c r="N4677" s="16"/>
      <c r="O4677" s="16" t="s">
        <v>1053</v>
      </c>
      <c r="P4677" s="16" t="str">
        <f>HYPERLINK("https://ceds.ed.gov/cedselementdetails.aspx?termid=27046")</f>
        <v>https://ceds.ed.gov/cedselementdetails.aspx?termid=27046</v>
      </c>
      <c r="Q4677" s="16">
        <v>71483</v>
      </c>
    </row>
    <row r="4678" spans="1:17" ht="43.2" x14ac:dyDescent="0.3">
      <c r="A4678" s="16" t="s">
        <v>7766</v>
      </c>
      <c r="B4678" s="16" t="s">
        <v>7788</v>
      </c>
      <c r="C4678" s="16" t="s">
        <v>7791</v>
      </c>
      <c r="D4678" s="16" t="s">
        <v>7597</v>
      </c>
      <c r="E4678" s="16" t="s">
        <v>1078</v>
      </c>
      <c r="F4678" s="16" t="s">
        <v>1079</v>
      </c>
      <c r="G4678" s="16" t="s">
        <v>32</v>
      </c>
      <c r="H4678" s="16"/>
      <c r="I4678" s="16"/>
      <c r="J4678" s="16" t="s">
        <v>955</v>
      </c>
      <c r="K4678" s="16"/>
      <c r="L4678" s="16"/>
      <c r="M4678" s="19" t="s">
        <v>1080</v>
      </c>
      <c r="N4678" s="16"/>
      <c r="O4678" s="16" t="s">
        <v>1081</v>
      </c>
      <c r="P4678" s="16" t="str">
        <f>HYPERLINK("https://ceds.ed.gov/cedselementdetails.aspx?termid=27032")</f>
        <v>https://ceds.ed.gov/cedselementdetails.aspx?termid=27032</v>
      </c>
      <c r="Q4678" s="16">
        <v>71470</v>
      </c>
    </row>
    <row r="4679" spans="1:17" ht="86.4" x14ac:dyDescent="0.3">
      <c r="A4679" s="16" t="s">
        <v>7766</v>
      </c>
      <c r="B4679" s="16" t="s">
        <v>7788</v>
      </c>
      <c r="C4679" s="16" t="s">
        <v>7791</v>
      </c>
      <c r="D4679" s="16" t="s">
        <v>7597</v>
      </c>
      <c r="E4679" s="16" t="s">
        <v>1058</v>
      </c>
      <c r="F4679" s="16" t="s">
        <v>7861</v>
      </c>
      <c r="G4679" s="16" t="s">
        <v>32</v>
      </c>
      <c r="H4679" s="16"/>
      <c r="I4679" s="16"/>
      <c r="J4679" s="16" t="s">
        <v>316</v>
      </c>
      <c r="K4679" s="16"/>
      <c r="L4679" s="16"/>
      <c r="M4679" s="19" t="s">
        <v>1059</v>
      </c>
      <c r="N4679" s="16"/>
      <c r="O4679" s="16" t="s">
        <v>1060</v>
      </c>
      <c r="P4679" s="16" t="str">
        <f>HYPERLINK("https://ceds.ed.gov/cedselementdetails.aspx?termid=27052")</f>
        <v>https://ceds.ed.gov/cedselementdetails.aspx?termid=27052</v>
      </c>
      <c r="Q4679" s="16">
        <v>71488</v>
      </c>
    </row>
    <row r="4680" spans="1:17" ht="72" x14ac:dyDescent="0.3">
      <c r="A4680" s="16" t="s">
        <v>7766</v>
      </c>
      <c r="B4680" s="16" t="s">
        <v>7788</v>
      </c>
      <c r="C4680" s="16" t="s">
        <v>7791</v>
      </c>
      <c r="D4680" s="16" t="s">
        <v>7597</v>
      </c>
      <c r="E4680" s="16" t="s">
        <v>1070</v>
      </c>
      <c r="F4680" s="16" t="s">
        <v>1071</v>
      </c>
      <c r="G4680" s="16" t="s">
        <v>8350</v>
      </c>
      <c r="H4680" s="16"/>
      <c r="I4680" s="16"/>
      <c r="J4680" s="16"/>
      <c r="K4680" s="16"/>
      <c r="L4680" s="16"/>
      <c r="M4680" s="19" t="s">
        <v>1072</v>
      </c>
      <c r="N4680" s="16"/>
      <c r="O4680" s="16" t="s">
        <v>1073</v>
      </c>
      <c r="P4680" s="16" t="str">
        <f>HYPERLINK("https://ceds.ed.gov/cedselementdetails.aspx?termid=27028")</f>
        <v>https://ceds.ed.gov/cedselementdetails.aspx?termid=27028</v>
      </c>
      <c r="Q4680" s="16">
        <v>71466</v>
      </c>
    </row>
    <row r="4681" spans="1:17" ht="43.2" x14ac:dyDescent="0.3">
      <c r="A4681" s="16" t="s">
        <v>7766</v>
      </c>
      <c r="B4681" s="16" t="s">
        <v>7788</v>
      </c>
      <c r="C4681" s="16" t="s">
        <v>7792</v>
      </c>
      <c r="D4681" s="16" t="s">
        <v>7597</v>
      </c>
      <c r="E4681" s="16" t="s">
        <v>946</v>
      </c>
      <c r="F4681" s="16" t="s">
        <v>947</v>
      </c>
      <c r="G4681" s="16" t="s">
        <v>32</v>
      </c>
      <c r="H4681" s="16"/>
      <c r="I4681" s="16"/>
      <c r="J4681" s="16" t="s">
        <v>949</v>
      </c>
      <c r="K4681" s="16"/>
      <c r="L4681" s="16"/>
      <c r="M4681" s="19" t="s">
        <v>950</v>
      </c>
      <c r="N4681" s="16"/>
      <c r="O4681" s="16" t="s">
        <v>951</v>
      </c>
      <c r="P4681" s="16" t="str">
        <f>HYPERLINK("https://ceds.ed.gov/cedselementdetails.aspx?termid=27059")</f>
        <v>https://ceds.ed.gov/cedselementdetails.aspx?termid=27059</v>
      </c>
      <c r="Q4681" s="16">
        <v>71494</v>
      </c>
    </row>
    <row r="4682" spans="1:17" ht="43.2" x14ac:dyDescent="0.3">
      <c r="A4682" s="16" t="s">
        <v>7766</v>
      </c>
      <c r="B4682" s="16" t="s">
        <v>7788</v>
      </c>
      <c r="C4682" s="16" t="s">
        <v>7792</v>
      </c>
      <c r="D4682" s="16" t="s">
        <v>7597</v>
      </c>
      <c r="E4682" s="16" t="s">
        <v>974</v>
      </c>
      <c r="F4682" s="16" t="s">
        <v>975</v>
      </c>
      <c r="G4682" s="16" t="s">
        <v>32</v>
      </c>
      <c r="H4682" s="16"/>
      <c r="I4682" s="16"/>
      <c r="J4682" s="16" t="s">
        <v>949</v>
      </c>
      <c r="K4682" s="16"/>
      <c r="L4682" s="16"/>
      <c r="M4682" s="19" t="s">
        <v>976</v>
      </c>
      <c r="N4682" s="16"/>
      <c r="O4682" s="16" t="s">
        <v>977</v>
      </c>
      <c r="P4682" s="16" t="str">
        <f>HYPERLINK("https://ceds.ed.gov/cedselementdetails.aspx?termid=27058")</f>
        <v>https://ceds.ed.gov/cedselementdetails.aspx?termid=27058</v>
      </c>
      <c r="Q4682" s="16">
        <v>71493</v>
      </c>
    </row>
    <row r="4683" spans="1:17" ht="57.6" x14ac:dyDescent="0.3">
      <c r="A4683" s="16" t="s">
        <v>7766</v>
      </c>
      <c r="B4683" s="16" t="s">
        <v>7788</v>
      </c>
      <c r="C4683" s="16" t="s">
        <v>7792</v>
      </c>
      <c r="D4683" s="16" t="s">
        <v>7597</v>
      </c>
      <c r="E4683" s="16" t="s">
        <v>982</v>
      </c>
      <c r="F4683" s="16" t="s">
        <v>983</v>
      </c>
      <c r="G4683" s="16" t="s">
        <v>8343</v>
      </c>
      <c r="H4683" s="16"/>
      <c r="I4683" s="16"/>
      <c r="J4683" s="16"/>
      <c r="K4683" s="16"/>
      <c r="L4683" s="16"/>
      <c r="M4683" s="19" t="s">
        <v>984</v>
      </c>
      <c r="N4683" s="16"/>
      <c r="O4683" s="16" t="s">
        <v>985</v>
      </c>
      <c r="P4683" s="16" t="str">
        <f>HYPERLINK("https://ceds.ed.gov/cedselementdetails.aspx?termid=27060")</f>
        <v>https://ceds.ed.gov/cedselementdetails.aspx?termid=27060</v>
      </c>
      <c r="Q4683" s="16">
        <v>71495</v>
      </c>
    </row>
    <row r="4684" spans="1:17" ht="43.2" x14ac:dyDescent="0.3">
      <c r="A4684" s="16" t="s">
        <v>7766</v>
      </c>
      <c r="B4684" s="16" t="s">
        <v>7788</v>
      </c>
      <c r="C4684" s="16" t="s">
        <v>7792</v>
      </c>
      <c r="D4684" s="16" t="s">
        <v>7597</v>
      </c>
      <c r="E4684" s="16" t="s">
        <v>1026</v>
      </c>
      <c r="F4684" s="16" t="s">
        <v>1027</v>
      </c>
      <c r="G4684" s="16" t="s">
        <v>32</v>
      </c>
      <c r="H4684" s="16"/>
      <c r="I4684" s="16"/>
      <c r="J4684" s="16" t="s">
        <v>949</v>
      </c>
      <c r="K4684" s="16"/>
      <c r="L4684" s="16"/>
      <c r="M4684" s="19" t="s">
        <v>1028</v>
      </c>
      <c r="N4684" s="16"/>
      <c r="O4684" s="16" t="s">
        <v>1029</v>
      </c>
      <c r="P4684" s="16" t="str">
        <f>HYPERLINK("https://ceds.ed.gov/cedselementdetails.aspx?termid=27057")</f>
        <v>https://ceds.ed.gov/cedselementdetails.aspx?termid=27057</v>
      </c>
      <c r="Q4684" s="16">
        <v>71492</v>
      </c>
    </row>
    <row r="4685" spans="1:17" ht="172.8" x14ac:dyDescent="0.3">
      <c r="A4685" s="16" t="s">
        <v>7766</v>
      </c>
      <c r="B4685" s="16" t="s">
        <v>7793</v>
      </c>
      <c r="C4685" s="16"/>
      <c r="D4685" s="16" t="s">
        <v>7597</v>
      </c>
      <c r="E4685" s="16" t="s">
        <v>591</v>
      </c>
      <c r="F4685" s="16" t="s">
        <v>7838</v>
      </c>
      <c r="G4685" s="16" t="s">
        <v>32</v>
      </c>
      <c r="H4685" s="16" t="s">
        <v>594</v>
      </c>
      <c r="I4685" s="16"/>
      <c r="J4685" s="16" t="s">
        <v>747</v>
      </c>
      <c r="K4685" s="16"/>
      <c r="L4685" s="16" t="s">
        <v>7817</v>
      </c>
      <c r="M4685" s="19" t="s">
        <v>592</v>
      </c>
      <c r="N4685" s="16"/>
      <c r="O4685" s="16" t="s">
        <v>593</v>
      </c>
      <c r="P4685" s="16" t="str">
        <f>HYPERLINK("https://ceds.ed.gov/cedselementdetails.aspx?termid=26152")</f>
        <v>https://ceds.ed.gov/cedselementdetails.aspx?termid=26152</v>
      </c>
      <c r="Q4685" s="16">
        <v>71542</v>
      </c>
    </row>
    <row r="4686" spans="1:17" ht="115.2" x14ac:dyDescent="0.3">
      <c r="A4686" s="16" t="s">
        <v>7766</v>
      </c>
      <c r="B4686" s="16" t="s">
        <v>7793</v>
      </c>
      <c r="C4686" s="16"/>
      <c r="D4686" s="16" t="s">
        <v>7597</v>
      </c>
      <c r="E4686" s="16" t="s">
        <v>586</v>
      </c>
      <c r="F4686" s="16" t="s">
        <v>587</v>
      </c>
      <c r="G4686" s="16" t="s">
        <v>8329</v>
      </c>
      <c r="H4686" s="16" t="s">
        <v>590</v>
      </c>
      <c r="I4686" s="16"/>
      <c r="J4686" s="16"/>
      <c r="K4686" s="16"/>
      <c r="L4686" s="16"/>
      <c r="M4686" s="19" t="s">
        <v>588</v>
      </c>
      <c r="N4686" s="16"/>
      <c r="O4686" s="16" t="s">
        <v>589</v>
      </c>
      <c r="P4686" s="16" t="str">
        <f>HYPERLINK("https://ceds.ed.gov/cedselementdetails.aspx?termid=26158")</f>
        <v>https://ceds.ed.gov/cedselementdetails.aspx?termid=26158</v>
      </c>
      <c r="Q4686" s="16">
        <v>71183</v>
      </c>
    </row>
    <row r="4687" spans="1:17" ht="43.2" x14ac:dyDescent="0.3">
      <c r="A4687" s="16" t="s">
        <v>7766</v>
      </c>
      <c r="B4687" s="16" t="s">
        <v>7793</v>
      </c>
      <c r="C4687" s="16"/>
      <c r="D4687" s="16" t="s">
        <v>7597</v>
      </c>
      <c r="E4687" s="16" t="s">
        <v>393</v>
      </c>
      <c r="F4687" s="16" t="s">
        <v>394</v>
      </c>
      <c r="G4687" s="16" t="s">
        <v>32</v>
      </c>
      <c r="H4687" s="16"/>
      <c r="I4687" s="16"/>
      <c r="J4687" s="16" t="s">
        <v>81</v>
      </c>
      <c r="K4687" s="16"/>
      <c r="L4687" s="16"/>
      <c r="M4687" s="19" t="s">
        <v>395</v>
      </c>
      <c r="N4687" s="16"/>
      <c r="O4687" s="16" t="s">
        <v>396</v>
      </c>
      <c r="P4687" s="16" t="str">
        <f>HYPERLINK("https://ceds.ed.gov/cedselementdetails.aspx?termid=26962")</f>
        <v>https://ceds.ed.gov/cedselementdetails.aspx?termid=26962</v>
      </c>
      <c r="Q4687" s="16">
        <v>72849</v>
      </c>
    </row>
    <row r="4688" spans="1:17" x14ac:dyDescent="0.3">
      <c r="A4688" s="16" t="s">
        <v>7766</v>
      </c>
      <c r="B4688" s="16" t="s">
        <v>7793</v>
      </c>
      <c r="C4688" s="16"/>
      <c r="D4688" s="16" t="s">
        <v>7597</v>
      </c>
      <c r="E4688" s="16" t="s">
        <v>406</v>
      </c>
      <c r="F4688" s="16" t="s">
        <v>407</v>
      </c>
      <c r="G4688" s="16" t="s">
        <v>32</v>
      </c>
      <c r="H4688" s="16"/>
      <c r="I4688" s="16"/>
      <c r="J4688" s="16" t="s">
        <v>81</v>
      </c>
      <c r="K4688" s="16"/>
      <c r="L4688" s="16"/>
      <c r="M4688" s="19" t="s">
        <v>408</v>
      </c>
      <c r="N4688" s="16"/>
      <c r="O4688" s="16" t="s">
        <v>409</v>
      </c>
      <c r="P4688" s="16" t="str">
        <f>HYPERLINK("https://ceds.ed.gov/cedselementdetails.aspx?termid=26978")</f>
        <v>https://ceds.ed.gov/cedselementdetails.aspx?termid=26978</v>
      </c>
      <c r="Q4688" s="16">
        <v>71429</v>
      </c>
    </row>
    <row r="4689" spans="1:17" ht="43.2" x14ac:dyDescent="0.3">
      <c r="A4689" s="16" t="s">
        <v>7766</v>
      </c>
      <c r="B4689" s="16" t="s">
        <v>7793</v>
      </c>
      <c r="C4689" s="16"/>
      <c r="D4689" s="16" t="s">
        <v>7597</v>
      </c>
      <c r="E4689" s="16" t="s">
        <v>422</v>
      </c>
      <c r="F4689" s="16" t="s">
        <v>423</v>
      </c>
      <c r="G4689" s="16" t="s">
        <v>32</v>
      </c>
      <c r="H4689" s="16"/>
      <c r="I4689" s="16"/>
      <c r="J4689" s="16" t="s">
        <v>403</v>
      </c>
      <c r="K4689" s="16"/>
      <c r="L4689" s="16"/>
      <c r="M4689" s="19" t="s">
        <v>424</v>
      </c>
      <c r="N4689" s="16"/>
      <c r="O4689" s="16" t="s">
        <v>425</v>
      </c>
      <c r="P4689" s="16" t="str">
        <f>HYPERLINK("https://ceds.ed.gov/cedselementdetails.aspx?termid=26964")</f>
        <v>https://ceds.ed.gov/cedselementdetails.aspx?termid=26964</v>
      </c>
      <c r="Q4689" s="16">
        <v>72854</v>
      </c>
    </row>
    <row r="4690" spans="1:17" ht="43.2" x14ac:dyDescent="0.3">
      <c r="A4690" s="16" t="s">
        <v>7766</v>
      </c>
      <c r="B4690" s="16" t="s">
        <v>7793</v>
      </c>
      <c r="C4690" s="16"/>
      <c r="D4690" s="16" t="s">
        <v>7597</v>
      </c>
      <c r="E4690" s="16" t="s">
        <v>401</v>
      </c>
      <c r="F4690" s="16" t="s">
        <v>402</v>
      </c>
      <c r="G4690" s="16" t="s">
        <v>32</v>
      </c>
      <c r="H4690" s="16"/>
      <c r="I4690" s="16"/>
      <c r="J4690" s="16" t="s">
        <v>403</v>
      </c>
      <c r="K4690" s="16"/>
      <c r="L4690" s="16"/>
      <c r="M4690" s="19" t="s">
        <v>404</v>
      </c>
      <c r="N4690" s="16"/>
      <c r="O4690" s="16" t="s">
        <v>405</v>
      </c>
      <c r="P4690" s="16" t="str">
        <f>HYPERLINK("https://ceds.ed.gov/cedselementdetails.aspx?termid=26966")</f>
        <v>https://ceds.ed.gov/cedselementdetails.aspx?termid=26966</v>
      </c>
      <c r="Q4690" s="16">
        <v>72851</v>
      </c>
    </row>
    <row r="4691" spans="1:17" ht="43.2" x14ac:dyDescent="0.3">
      <c r="A4691" s="16" t="s">
        <v>7766</v>
      </c>
      <c r="B4691" s="16" t="s">
        <v>7793</v>
      </c>
      <c r="C4691" s="16"/>
      <c r="D4691" s="16" t="s">
        <v>7597</v>
      </c>
      <c r="E4691" s="16" t="s">
        <v>418</v>
      </c>
      <c r="F4691" s="16" t="s">
        <v>419</v>
      </c>
      <c r="G4691" s="16" t="s">
        <v>32</v>
      </c>
      <c r="H4691" s="16"/>
      <c r="I4691" s="16"/>
      <c r="J4691" s="16" t="s">
        <v>106</v>
      </c>
      <c r="K4691" s="16"/>
      <c r="L4691" s="16"/>
      <c r="M4691" s="19" t="s">
        <v>420</v>
      </c>
      <c r="N4691" s="16"/>
      <c r="O4691" s="16" t="s">
        <v>421</v>
      </c>
      <c r="P4691" s="16" t="str">
        <f>HYPERLINK("https://ceds.ed.gov/cedselementdetails.aspx?termid=26963")</f>
        <v>https://ceds.ed.gov/cedselementdetails.aspx?termid=26963</v>
      </c>
      <c r="Q4691" s="16">
        <v>72853</v>
      </c>
    </row>
    <row r="4692" spans="1:17" ht="43.2" x14ac:dyDescent="0.3">
      <c r="A4692" s="16" t="s">
        <v>7766</v>
      </c>
      <c r="B4692" s="16" t="s">
        <v>7793</v>
      </c>
      <c r="C4692" s="16"/>
      <c r="D4692" s="16" t="s">
        <v>7597</v>
      </c>
      <c r="E4692" s="16" t="s">
        <v>397</v>
      </c>
      <c r="F4692" s="16" t="s">
        <v>398</v>
      </c>
      <c r="G4692" s="16" t="s">
        <v>32</v>
      </c>
      <c r="H4692" s="16"/>
      <c r="I4692" s="16"/>
      <c r="J4692" s="16" t="s">
        <v>106</v>
      </c>
      <c r="K4692" s="16"/>
      <c r="L4692" s="16"/>
      <c r="M4692" s="19" t="s">
        <v>399</v>
      </c>
      <c r="N4692" s="16"/>
      <c r="O4692" s="16" t="s">
        <v>400</v>
      </c>
      <c r="P4692" s="16" t="str">
        <f>HYPERLINK("https://ceds.ed.gov/cedselementdetails.aspx?termid=26965")</f>
        <v>https://ceds.ed.gov/cedselementdetails.aspx?termid=26965</v>
      </c>
      <c r="Q4692" s="16">
        <v>72850</v>
      </c>
    </row>
    <row r="4693" spans="1:17" ht="72" x14ac:dyDescent="0.3">
      <c r="A4693" s="16" t="s">
        <v>7766</v>
      </c>
      <c r="B4693" s="16" t="s">
        <v>7793</v>
      </c>
      <c r="C4693" s="16"/>
      <c r="D4693" s="16" t="s">
        <v>7597</v>
      </c>
      <c r="E4693" s="16" t="s">
        <v>388</v>
      </c>
      <c r="F4693" s="16" t="s">
        <v>389</v>
      </c>
      <c r="G4693" s="16" t="s">
        <v>32</v>
      </c>
      <c r="H4693" s="16"/>
      <c r="I4693" s="16"/>
      <c r="J4693" s="16" t="s">
        <v>145</v>
      </c>
      <c r="K4693" s="16"/>
      <c r="L4693" s="16" t="s">
        <v>7830</v>
      </c>
      <c r="M4693" s="19" t="s">
        <v>391</v>
      </c>
      <c r="N4693" s="16"/>
      <c r="O4693" s="16" t="s">
        <v>392</v>
      </c>
      <c r="P4693" s="16" t="str">
        <f>HYPERLINK("https://ceds.ed.gov/cedselementdetails.aspx?termid=26968")</f>
        <v>https://ceds.ed.gov/cedselementdetails.aspx?termid=26968</v>
      </c>
      <c r="Q4693" s="16">
        <v>72848</v>
      </c>
    </row>
    <row r="4694" spans="1:17" ht="172.8" x14ac:dyDescent="0.3">
      <c r="A4694" s="16" t="s">
        <v>7766</v>
      </c>
      <c r="B4694" s="16" t="s">
        <v>7793</v>
      </c>
      <c r="C4694" s="16"/>
      <c r="D4694" s="16" t="s">
        <v>7597</v>
      </c>
      <c r="E4694" s="16" t="s">
        <v>6524</v>
      </c>
      <c r="F4694" s="16" t="s">
        <v>268</v>
      </c>
      <c r="G4694" s="16" t="s">
        <v>32</v>
      </c>
      <c r="H4694" s="16" t="s">
        <v>6523</v>
      </c>
      <c r="I4694" s="16"/>
      <c r="J4694" s="16" t="s">
        <v>120</v>
      </c>
      <c r="K4694" s="16"/>
      <c r="L4694" s="16" t="s">
        <v>7817</v>
      </c>
      <c r="M4694" s="19" t="s">
        <v>6525</v>
      </c>
      <c r="N4694" s="16"/>
      <c r="O4694" s="16" t="s">
        <v>6526</v>
      </c>
      <c r="P4694" s="16" t="str">
        <f>HYPERLINK("https://ceds.ed.gov/cedselementdetails.aspx?termid=26155")</f>
        <v>https://ceds.ed.gov/cedselementdetails.aspx?termid=26155</v>
      </c>
      <c r="Q4694" s="16">
        <v>71590</v>
      </c>
    </row>
    <row r="4695" spans="1:17" ht="187.2" x14ac:dyDescent="0.3">
      <c r="A4695" s="16" t="s">
        <v>7766</v>
      </c>
      <c r="B4695" s="16" t="s">
        <v>7793</v>
      </c>
      <c r="C4695" s="16"/>
      <c r="D4695" s="16" t="s">
        <v>7597</v>
      </c>
      <c r="E4695" s="16" t="s">
        <v>6520</v>
      </c>
      <c r="F4695" s="16" t="s">
        <v>263</v>
      </c>
      <c r="G4695" s="16" t="s">
        <v>8261</v>
      </c>
      <c r="H4695" s="16" t="s">
        <v>6523</v>
      </c>
      <c r="I4695" s="16"/>
      <c r="J4695" s="16"/>
      <c r="K4695" s="16"/>
      <c r="L4695" s="16"/>
      <c r="M4695" s="19" t="s">
        <v>6521</v>
      </c>
      <c r="N4695" s="16"/>
      <c r="O4695" s="16" t="s">
        <v>6522</v>
      </c>
      <c r="P4695" s="16" t="str">
        <f>HYPERLINK("https://ceds.ed.gov/cedselementdetails.aspx?termid=26161")</f>
        <v>https://ceds.ed.gov/cedselementdetails.aspx?termid=26161</v>
      </c>
      <c r="Q4695" s="16">
        <v>71587</v>
      </c>
    </row>
    <row r="4696" spans="1:17" ht="172.8" x14ac:dyDescent="0.3">
      <c r="A4696" s="16" t="s">
        <v>7766</v>
      </c>
      <c r="B4696" s="16" t="s">
        <v>7793</v>
      </c>
      <c r="C4696" s="16"/>
      <c r="D4696" s="16" t="s">
        <v>7597</v>
      </c>
      <c r="E4696" s="16" t="s">
        <v>5257</v>
      </c>
      <c r="F4696" s="16" t="s">
        <v>5258</v>
      </c>
      <c r="G4696" s="16" t="s">
        <v>32</v>
      </c>
      <c r="H4696" s="16" t="s">
        <v>5256</v>
      </c>
      <c r="I4696" s="16"/>
      <c r="J4696" s="16" t="s">
        <v>120</v>
      </c>
      <c r="K4696" s="16"/>
      <c r="L4696" s="16" t="s">
        <v>7905</v>
      </c>
      <c r="M4696" s="19" t="s">
        <v>5259</v>
      </c>
      <c r="N4696" s="16" t="s">
        <v>5260</v>
      </c>
      <c r="O4696" s="16" t="s">
        <v>5261</v>
      </c>
      <c r="P4696" s="16" t="str">
        <f>HYPERLINK("https://ceds.ed.gov/cedselementdetails.aspx?termid=26153")</f>
        <v>https://ceds.ed.gov/cedselementdetails.aspx?termid=26153</v>
      </c>
      <c r="Q4696" s="16">
        <v>71596</v>
      </c>
    </row>
    <row r="4697" spans="1:17" ht="172.8" x14ac:dyDescent="0.3">
      <c r="A4697" s="16" t="s">
        <v>7766</v>
      </c>
      <c r="B4697" s="16" t="s">
        <v>7793</v>
      </c>
      <c r="C4697" s="16"/>
      <c r="D4697" s="16" t="s">
        <v>7597</v>
      </c>
      <c r="E4697" s="16" t="s">
        <v>5251</v>
      </c>
      <c r="F4697" s="16" t="s">
        <v>5252</v>
      </c>
      <c r="G4697" s="16" t="s">
        <v>8242</v>
      </c>
      <c r="H4697" s="16" t="s">
        <v>5256</v>
      </c>
      <c r="I4697" s="16"/>
      <c r="J4697" s="16"/>
      <c r="K4697" s="16"/>
      <c r="L4697" s="16"/>
      <c r="M4697" s="19" t="s">
        <v>5253</v>
      </c>
      <c r="N4697" s="16" t="s">
        <v>5254</v>
      </c>
      <c r="O4697" s="16" t="s">
        <v>5255</v>
      </c>
      <c r="P4697" s="16" t="str">
        <f>HYPERLINK("https://ceds.ed.gov/cedselementdetails.aspx?termid=26159")</f>
        <v>https://ceds.ed.gov/cedselementdetails.aspx?termid=26159</v>
      </c>
      <c r="Q4697" s="16">
        <v>71593</v>
      </c>
    </row>
    <row r="4698" spans="1:17" ht="28.8" x14ac:dyDescent="0.3">
      <c r="A4698" s="16" t="s">
        <v>7766</v>
      </c>
      <c r="B4698" s="16" t="s">
        <v>7793</v>
      </c>
      <c r="C4698" s="16"/>
      <c r="D4698" s="16" t="s">
        <v>7597</v>
      </c>
      <c r="E4698" s="16" t="s">
        <v>410</v>
      </c>
      <c r="F4698" s="16" t="s">
        <v>411</v>
      </c>
      <c r="G4698" s="16" t="s">
        <v>32</v>
      </c>
      <c r="H4698" s="16"/>
      <c r="I4698" s="16"/>
      <c r="J4698" s="16" t="s">
        <v>145</v>
      </c>
      <c r="K4698" s="16"/>
      <c r="L4698" s="16"/>
      <c r="M4698" s="19" t="s">
        <v>412</v>
      </c>
      <c r="N4698" s="16"/>
      <c r="O4698" s="16" t="s">
        <v>413</v>
      </c>
      <c r="P4698" s="16" t="str">
        <f>HYPERLINK("https://ceds.ed.gov/cedselementdetails.aspx?termid=26967")</f>
        <v>https://ceds.ed.gov/cedselementdetails.aspx?termid=26967</v>
      </c>
      <c r="Q4698" s="16">
        <v>72852</v>
      </c>
    </row>
    <row r="4699" spans="1:17" ht="43.2" x14ac:dyDescent="0.3">
      <c r="A4699" s="16" t="s">
        <v>7766</v>
      </c>
      <c r="B4699" s="16" t="s">
        <v>7793</v>
      </c>
      <c r="C4699" s="16"/>
      <c r="D4699" s="16" t="s">
        <v>7597</v>
      </c>
      <c r="E4699" s="16" t="s">
        <v>414</v>
      </c>
      <c r="F4699" s="16" t="s">
        <v>415</v>
      </c>
      <c r="G4699" s="16" t="s">
        <v>32</v>
      </c>
      <c r="H4699" s="16"/>
      <c r="I4699" s="16"/>
      <c r="J4699" s="16" t="s">
        <v>101</v>
      </c>
      <c r="K4699" s="16"/>
      <c r="L4699" s="16"/>
      <c r="M4699" s="19" t="s">
        <v>416</v>
      </c>
      <c r="N4699" s="16"/>
      <c r="O4699" s="16" t="s">
        <v>417</v>
      </c>
      <c r="P4699" s="16" t="str">
        <f>HYPERLINK("https://ceds.ed.gov/cedselementdetails.aspx?termid=27506")</f>
        <v>https://ceds.ed.gov/cedselementdetails.aspx?termid=27506</v>
      </c>
      <c r="Q4699" s="16">
        <v>74114</v>
      </c>
    </row>
    <row r="4700" spans="1:17" ht="43.2" x14ac:dyDescent="0.3">
      <c r="A4700" s="16" t="s">
        <v>7766</v>
      </c>
      <c r="B4700" s="16" t="s">
        <v>7793</v>
      </c>
      <c r="C4700" s="16"/>
      <c r="D4700" s="16" t="s">
        <v>7597</v>
      </c>
      <c r="E4700" s="16" t="s">
        <v>1280</v>
      </c>
      <c r="F4700" s="16" t="s">
        <v>1281</v>
      </c>
      <c r="G4700" s="16" t="s">
        <v>22</v>
      </c>
      <c r="H4700" s="16" t="s">
        <v>84</v>
      </c>
      <c r="I4700" s="16"/>
      <c r="J4700" s="16"/>
      <c r="K4700" s="16"/>
      <c r="L4700" s="16"/>
      <c r="M4700" s="19" t="s">
        <v>1283</v>
      </c>
      <c r="N4700" s="16"/>
      <c r="O4700" s="16" t="s">
        <v>1284</v>
      </c>
      <c r="P4700" s="16" t="str">
        <f>HYPERLINK("https://ceds.ed.gov/cedselementdetails.aspx?termid=26375")</f>
        <v>https://ceds.ed.gov/cedselementdetails.aspx?termid=26375</v>
      </c>
      <c r="Q4700" s="16">
        <v>71187</v>
      </c>
    </row>
    <row r="4701" spans="1:17" ht="43.2" x14ac:dyDescent="0.3">
      <c r="A4701" s="16" t="s">
        <v>7766</v>
      </c>
      <c r="B4701" s="16" t="s">
        <v>7794</v>
      </c>
      <c r="C4701" s="16"/>
      <c r="D4701" s="16" t="s">
        <v>7597</v>
      </c>
      <c r="E4701" s="16" t="s">
        <v>1335</v>
      </c>
      <c r="F4701" s="16" t="s">
        <v>1336</v>
      </c>
      <c r="G4701" s="16" t="s">
        <v>8363</v>
      </c>
      <c r="H4701" s="16"/>
      <c r="I4701" s="16"/>
      <c r="J4701" s="16"/>
      <c r="K4701" s="16"/>
      <c r="L4701" s="16"/>
      <c r="M4701" s="19" t="s">
        <v>1337</v>
      </c>
      <c r="N4701" s="16"/>
      <c r="O4701" s="16" t="s">
        <v>1338</v>
      </c>
      <c r="P4701" s="16" t="str">
        <f>HYPERLINK("https://ceds.ed.gov/cedselementdetails.aspx?termid=27020")</f>
        <v>https://ceds.ed.gov/cedselementdetails.aspx?termid=27020</v>
      </c>
      <c r="Q4701" s="16">
        <v>71456</v>
      </c>
    </row>
    <row r="4702" spans="1:17" ht="43.2" x14ac:dyDescent="0.3">
      <c r="A4702" s="16" t="s">
        <v>7766</v>
      </c>
      <c r="B4702" s="16" t="s">
        <v>7794</v>
      </c>
      <c r="C4702" s="16"/>
      <c r="D4702" s="16" t="s">
        <v>7597</v>
      </c>
      <c r="E4702" s="16" t="s">
        <v>1303</v>
      </c>
      <c r="F4702" s="16" t="s">
        <v>7879</v>
      </c>
      <c r="G4702" s="16" t="s">
        <v>32</v>
      </c>
      <c r="H4702" s="16" t="s">
        <v>84</v>
      </c>
      <c r="I4702" s="16"/>
      <c r="J4702" s="16" t="s">
        <v>1304</v>
      </c>
      <c r="K4702" s="16"/>
      <c r="L4702" s="16"/>
      <c r="M4702" s="19" t="s">
        <v>1305</v>
      </c>
      <c r="N4702" s="16"/>
      <c r="O4702" s="16" t="s">
        <v>1306</v>
      </c>
      <c r="P4702" s="16" t="str">
        <f>HYPERLINK("https://ceds.ed.gov/cedselementdetails.aspx?termid=26590")</f>
        <v>https://ceds.ed.gov/cedselementdetails.aspx?termid=26590</v>
      </c>
      <c r="Q4702" s="16">
        <v>71441</v>
      </c>
    </row>
    <row r="4703" spans="1:17" ht="172.8" x14ac:dyDescent="0.3">
      <c r="A4703" s="16" t="s">
        <v>7766</v>
      </c>
      <c r="B4703" s="16" t="s">
        <v>7794</v>
      </c>
      <c r="C4703" s="16"/>
      <c r="D4703" s="16" t="s">
        <v>7597</v>
      </c>
      <c r="E4703" s="16" t="s">
        <v>6524</v>
      </c>
      <c r="F4703" s="16" t="s">
        <v>268</v>
      </c>
      <c r="G4703" s="16" t="s">
        <v>32</v>
      </c>
      <c r="H4703" s="16" t="s">
        <v>6523</v>
      </c>
      <c r="I4703" s="16"/>
      <c r="J4703" s="16" t="s">
        <v>120</v>
      </c>
      <c r="K4703" s="16"/>
      <c r="L4703" s="16" t="s">
        <v>7817</v>
      </c>
      <c r="M4703" s="19" t="s">
        <v>6525</v>
      </c>
      <c r="N4703" s="16"/>
      <c r="O4703" s="16" t="s">
        <v>6526</v>
      </c>
      <c r="P4703" s="16" t="str">
        <f>HYPERLINK("https://ceds.ed.gov/cedselementdetails.aspx?termid=26155")</f>
        <v>https://ceds.ed.gov/cedselementdetails.aspx?termid=26155</v>
      </c>
      <c r="Q4703" s="16">
        <v>71589</v>
      </c>
    </row>
    <row r="4704" spans="1:17" ht="187.2" x14ac:dyDescent="0.3">
      <c r="A4704" s="16" t="s">
        <v>7766</v>
      </c>
      <c r="B4704" s="16" t="s">
        <v>7794</v>
      </c>
      <c r="C4704" s="16"/>
      <c r="D4704" s="16" t="s">
        <v>7597</v>
      </c>
      <c r="E4704" s="16" t="s">
        <v>6520</v>
      </c>
      <c r="F4704" s="16" t="s">
        <v>263</v>
      </c>
      <c r="G4704" s="16" t="s">
        <v>8261</v>
      </c>
      <c r="H4704" s="16" t="s">
        <v>6523</v>
      </c>
      <c r="I4704" s="16"/>
      <c r="J4704" s="16"/>
      <c r="K4704" s="16"/>
      <c r="L4704" s="16"/>
      <c r="M4704" s="19" t="s">
        <v>6521</v>
      </c>
      <c r="N4704" s="16"/>
      <c r="O4704" s="16" t="s">
        <v>6522</v>
      </c>
      <c r="P4704" s="16" t="str">
        <f>HYPERLINK("https://ceds.ed.gov/cedselementdetails.aspx?termid=26161")</f>
        <v>https://ceds.ed.gov/cedselementdetails.aspx?termid=26161</v>
      </c>
      <c r="Q4704" s="16">
        <v>71586</v>
      </c>
    </row>
    <row r="4705" spans="1:17" ht="172.8" x14ac:dyDescent="0.3">
      <c r="A4705" s="16" t="s">
        <v>7766</v>
      </c>
      <c r="B4705" s="16" t="s">
        <v>7794</v>
      </c>
      <c r="C4705" s="16"/>
      <c r="D4705" s="16" t="s">
        <v>7597</v>
      </c>
      <c r="E4705" s="16" t="s">
        <v>5257</v>
      </c>
      <c r="F4705" s="16" t="s">
        <v>5258</v>
      </c>
      <c r="G4705" s="16" t="s">
        <v>32</v>
      </c>
      <c r="H4705" s="16" t="s">
        <v>5256</v>
      </c>
      <c r="I4705" s="16"/>
      <c r="J4705" s="16" t="s">
        <v>120</v>
      </c>
      <c r="K4705" s="16"/>
      <c r="L4705" s="16" t="s">
        <v>7905</v>
      </c>
      <c r="M4705" s="19" t="s">
        <v>5259</v>
      </c>
      <c r="N4705" s="16" t="s">
        <v>5260</v>
      </c>
      <c r="O4705" s="16" t="s">
        <v>5261</v>
      </c>
      <c r="P4705" s="16" t="str">
        <f>HYPERLINK("https://ceds.ed.gov/cedselementdetails.aspx?termid=26153")</f>
        <v>https://ceds.ed.gov/cedselementdetails.aspx?termid=26153</v>
      </c>
      <c r="Q4705" s="16">
        <v>71595</v>
      </c>
    </row>
    <row r="4706" spans="1:17" ht="172.8" x14ac:dyDescent="0.3">
      <c r="A4706" s="16" t="s">
        <v>7766</v>
      </c>
      <c r="B4706" s="16" t="s">
        <v>7794</v>
      </c>
      <c r="C4706" s="16"/>
      <c r="D4706" s="16" t="s">
        <v>7597</v>
      </c>
      <c r="E4706" s="16" t="s">
        <v>5251</v>
      </c>
      <c r="F4706" s="16" t="s">
        <v>5252</v>
      </c>
      <c r="G4706" s="16" t="s">
        <v>8242</v>
      </c>
      <c r="H4706" s="16" t="s">
        <v>5256</v>
      </c>
      <c r="I4706" s="16"/>
      <c r="J4706" s="16"/>
      <c r="K4706" s="16"/>
      <c r="L4706" s="16"/>
      <c r="M4706" s="19" t="s">
        <v>5253</v>
      </c>
      <c r="N4706" s="16" t="s">
        <v>5254</v>
      </c>
      <c r="O4706" s="16" t="s">
        <v>5255</v>
      </c>
      <c r="P4706" s="16" t="str">
        <f>HYPERLINK("https://ceds.ed.gov/cedselementdetails.aspx?termid=26159")</f>
        <v>https://ceds.ed.gov/cedselementdetails.aspx?termid=26159</v>
      </c>
      <c r="Q4706" s="16">
        <v>71592</v>
      </c>
    </row>
    <row r="4707" spans="1:17" ht="28.8" x14ac:dyDescent="0.3">
      <c r="A4707" s="16" t="s">
        <v>7766</v>
      </c>
      <c r="B4707" s="16" t="s">
        <v>7794</v>
      </c>
      <c r="C4707" s="16"/>
      <c r="D4707" s="16" t="s">
        <v>7597</v>
      </c>
      <c r="E4707" s="16" t="s">
        <v>1315</v>
      </c>
      <c r="F4707" s="16" t="s">
        <v>1316</v>
      </c>
      <c r="G4707" s="16" t="s">
        <v>32</v>
      </c>
      <c r="H4707" s="16"/>
      <c r="I4707" s="16"/>
      <c r="J4707" s="16" t="s">
        <v>812</v>
      </c>
      <c r="K4707" s="16"/>
      <c r="L4707" s="16"/>
      <c r="M4707" s="19" t="s">
        <v>1317</v>
      </c>
      <c r="N4707" s="16"/>
      <c r="O4707" s="16" t="s">
        <v>1318</v>
      </c>
      <c r="P4707" s="16" t="str">
        <f>HYPERLINK("https://ceds.ed.gov/cedselementdetails.aspx?termid=27021")</f>
        <v>https://ceds.ed.gov/cedselementdetails.aspx?termid=27021</v>
      </c>
      <c r="Q4707" s="16">
        <v>71457</v>
      </c>
    </row>
    <row r="4708" spans="1:17" ht="57.6" x14ac:dyDescent="0.3">
      <c r="A4708" s="16" t="s">
        <v>7766</v>
      </c>
      <c r="B4708" s="16" t="s">
        <v>7794</v>
      </c>
      <c r="C4708" s="16"/>
      <c r="D4708" s="16" t="s">
        <v>7597</v>
      </c>
      <c r="E4708" s="16" t="s">
        <v>1311</v>
      </c>
      <c r="F4708" s="16" t="s">
        <v>1312</v>
      </c>
      <c r="G4708" s="16" t="s">
        <v>32</v>
      </c>
      <c r="H4708" s="16"/>
      <c r="I4708" s="16"/>
      <c r="J4708" s="16" t="s">
        <v>812</v>
      </c>
      <c r="K4708" s="16"/>
      <c r="L4708" s="16" t="s">
        <v>131</v>
      </c>
      <c r="M4708" s="19" t="s">
        <v>1313</v>
      </c>
      <c r="N4708" s="16"/>
      <c r="O4708" s="16" t="s">
        <v>1314</v>
      </c>
      <c r="P4708" s="16" t="str">
        <f>HYPERLINK("https://ceds.ed.gov/cedselementdetails.aspx?termid=27022")</f>
        <v>https://ceds.ed.gov/cedselementdetails.aspx?termid=27022</v>
      </c>
      <c r="Q4708" s="16">
        <v>71458</v>
      </c>
    </row>
    <row r="4709" spans="1:17" ht="43.2" x14ac:dyDescent="0.3">
      <c r="A4709" s="16" t="s">
        <v>7766</v>
      </c>
      <c r="B4709" s="16" t="s">
        <v>7794</v>
      </c>
      <c r="C4709" s="16"/>
      <c r="D4709" s="16" t="s">
        <v>7597</v>
      </c>
      <c r="E4709" s="16" t="s">
        <v>1299</v>
      </c>
      <c r="F4709" s="16" t="s">
        <v>1300</v>
      </c>
      <c r="G4709" s="16" t="s">
        <v>32</v>
      </c>
      <c r="H4709" s="16" t="s">
        <v>84</v>
      </c>
      <c r="I4709" s="16"/>
      <c r="J4709" s="16" t="s">
        <v>816</v>
      </c>
      <c r="K4709" s="16"/>
      <c r="L4709" s="16"/>
      <c r="M4709" s="19" t="s">
        <v>1301</v>
      </c>
      <c r="N4709" s="16"/>
      <c r="O4709" s="16" t="s">
        <v>1302</v>
      </c>
      <c r="P4709" s="16" t="str">
        <f>HYPERLINK("https://ceds.ed.gov/cedselementdetails.aspx?termid=26399")</f>
        <v>https://ceds.ed.gov/cedselementdetails.aspx?termid=26399</v>
      </c>
      <c r="Q4709" s="16">
        <v>71189</v>
      </c>
    </row>
    <row r="4710" spans="1:17" ht="72" x14ac:dyDescent="0.3">
      <c r="A4710" s="16" t="s">
        <v>7766</v>
      </c>
      <c r="B4710" s="16" t="s">
        <v>7794</v>
      </c>
      <c r="C4710" s="16"/>
      <c r="D4710" s="16" t="s">
        <v>7597</v>
      </c>
      <c r="E4710" s="16" t="s">
        <v>1290</v>
      </c>
      <c r="F4710" s="16" t="s">
        <v>1291</v>
      </c>
      <c r="G4710" s="16" t="s">
        <v>32</v>
      </c>
      <c r="H4710" s="16"/>
      <c r="I4710" s="16"/>
      <c r="J4710" s="16" t="s">
        <v>812</v>
      </c>
      <c r="K4710" s="16"/>
      <c r="L4710" s="16" t="s">
        <v>7878</v>
      </c>
      <c r="M4710" s="19" t="s">
        <v>1292</v>
      </c>
      <c r="N4710" s="16"/>
      <c r="O4710" s="16" t="s">
        <v>1293</v>
      </c>
      <c r="P4710" s="16" t="str">
        <f>HYPERLINK("https://ceds.ed.gov/cedselementdetails.aspx?termid=27023")</f>
        <v>https://ceds.ed.gov/cedselementdetails.aspx?termid=27023</v>
      </c>
      <c r="Q4710" s="16">
        <v>71459</v>
      </c>
    </row>
    <row r="4711" spans="1:17" ht="72" x14ac:dyDescent="0.3">
      <c r="A4711" s="16" t="s">
        <v>7766</v>
      </c>
      <c r="B4711" s="16" t="s">
        <v>7794</v>
      </c>
      <c r="C4711" s="16"/>
      <c r="D4711" s="16" t="s">
        <v>7597</v>
      </c>
      <c r="E4711" s="16" t="s">
        <v>1285</v>
      </c>
      <c r="F4711" s="16" t="s">
        <v>1286</v>
      </c>
      <c r="G4711" s="16" t="s">
        <v>32</v>
      </c>
      <c r="H4711" s="16"/>
      <c r="I4711" s="16"/>
      <c r="J4711" s="16" t="s">
        <v>812</v>
      </c>
      <c r="K4711" s="16"/>
      <c r="L4711" s="16" t="s">
        <v>7877</v>
      </c>
      <c r="M4711" s="19" t="s">
        <v>1288</v>
      </c>
      <c r="N4711" s="16"/>
      <c r="O4711" s="16" t="s">
        <v>1289</v>
      </c>
      <c r="P4711" s="16" t="str">
        <f>HYPERLINK("https://ceds.ed.gov/cedselementdetails.aspx?termid=27024")</f>
        <v>https://ceds.ed.gov/cedselementdetails.aspx?termid=27024</v>
      </c>
      <c r="Q4711" s="16">
        <v>71461</v>
      </c>
    </row>
    <row r="4712" spans="1:17" ht="172.8" x14ac:dyDescent="0.3">
      <c r="A4712" s="16" t="s">
        <v>7766</v>
      </c>
      <c r="B4712" s="16" t="s">
        <v>7794</v>
      </c>
      <c r="C4712" s="16"/>
      <c r="D4712" s="16" t="s">
        <v>7597</v>
      </c>
      <c r="E4712" s="16" t="s">
        <v>1294</v>
      </c>
      <c r="F4712" s="16" t="s">
        <v>1295</v>
      </c>
      <c r="G4712" s="16" t="s">
        <v>32</v>
      </c>
      <c r="H4712" s="16" t="s">
        <v>84</v>
      </c>
      <c r="I4712" s="16"/>
      <c r="J4712" s="16" t="s">
        <v>120</v>
      </c>
      <c r="K4712" s="16"/>
      <c r="L4712" s="16" t="s">
        <v>7817</v>
      </c>
      <c r="M4712" s="19" t="s">
        <v>1297</v>
      </c>
      <c r="N4712" s="16"/>
      <c r="O4712" s="16" t="s">
        <v>1298</v>
      </c>
      <c r="P4712" s="16" t="str">
        <f>HYPERLINK("https://ceds.ed.gov/cedselementdetails.aspx?termid=26400")</f>
        <v>https://ceds.ed.gov/cedselementdetails.aspx?termid=26400</v>
      </c>
      <c r="Q4712" s="16">
        <v>71921</v>
      </c>
    </row>
    <row r="4713" spans="1:17" ht="201.6" x14ac:dyDescent="0.3">
      <c r="A4713" s="16" t="s">
        <v>7766</v>
      </c>
      <c r="B4713" s="16" t="s">
        <v>7794</v>
      </c>
      <c r="C4713" s="16"/>
      <c r="D4713" s="16" t="s">
        <v>7597</v>
      </c>
      <c r="E4713" s="16" t="s">
        <v>1307</v>
      </c>
      <c r="F4713" s="16" t="s">
        <v>1308</v>
      </c>
      <c r="G4713" s="16" t="s">
        <v>32</v>
      </c>
      <c r="H4713" s="16" t="s">
        <v>84</v>
      </c>
      <c r="I4713" s="16"/>
      <c r="J4713" s="16" t="s">
        <v>120</v>
      </c>
      <c r="K4713" s="16"/>
      <c r="L4713" s="16" t="s">
        <v>7880</v>
      </c>
      <c r="M4713" s="19" t="s">
        <v>1309</v>
      </c>
      <c r="N4713" s="16"/>
      <c r="O4713" s="16" t="s">
        <v>1310</v>
      </c>
      <c r="P4713" s="16" t="str">
        <f>HYPERLINK("https://ceds.ed.gov/cedselementdetails.aspx?termid=26401")</f>
        <v>https://ceds.ed.gov/cedselementdetails.aspx?termid=26401</v>
      </c>
      <c r="Q4713" s="16">
        <v>71190</v>
      </c>
    </row>
    <row r="4714" spans="1:17" ht="115.2" x14ac:dyDescent="0.3">
      <c r="A4714" s="16" t="s">
        <v>7766</v>
      </c>
      <c r="B4714" s="16" t="s">
        <v>7794</v>
      </c>
      <c r="C4714" s="16"/>
      <c r="D4714" s="16" t="s">
        <v>7597</v>
      </c>
      <c r="E4714" s="16" t="s">
        <v>1331</v>
      </c>
      <c r="F4714" s="16" t="s">
        <v>1332</v>
      </c>
      <c r="G4714" s="16" t="s">
        <v>8362</v>
      </c>
      <c r="H4714" s="16"/>
      <c r="I4714" s="16"/>
      <c r="J4714" s="16"/>
      <c r="K4714" s="16"/>
      <c r="L4714" s="16"/>
      <c r="M4714" s="19" t="s">
        <v>1333</v>
      </c>
      <c r="N4714" s="16"/>
      <c r="O4714" s="16" t="s">
        <v>1334</v>
      </c>
      <c r="P4714" s="16" t="str">
        <f>HYPERLINK("https://ceds.ed.gov/cedselementdetails.aspx?termid=27179")</f>
        <v>https://ceds.ed.gov/cedselementdetails.aspx?termid=27179</v>
      </c>
      <c r="Q4714" s="16">
        <v>71622</v>
      </c>
    </row>
    <row r="4715" spans="1:17" ht="409.6" x14ac:dyDescent="0.3">
      <c r="A4715" s="16" t="s">
        <v>7766</v>
      </c>
      <c r="B4715" s="16" t="s">
        <v>7794</v>
      </c>
      <c r="C4715" s="16"/>
      <c r="D4715" s="16" t="s">
        <v>7597</v>
      </c>
      <c r="E4715" s="16" t="s">
        <v>1323</v>
      </c>
      <c r="F4715" s="16" t="s">
        <v>1324</v>
      </c>
      <c r="G4715" s="16" t="s">
        <v>8361</v>
      </c>
      <c r="H4715" s="16" t="s">
        <v>84</v>
      </c>
      <c r="I4715" s="16"/>
      <c r="J4715" s="16"/>
      <c r="K4715" s="16"/>
      <c r="L4715" s="16"/>
      <c r="M4715" s="19" t="s">
        <v>1325</v>
      </c>
      <c r="N4715" s="16"/>
      <c r="O4715" s="16" t="s">
        <v>1326</v>
      </c>
      <c r="P4715" s="16" t="str">
        <f>HYPERLINK("https://ceds.ed.gov/cedselementdetails.aspx?termid=26380")</f>
        <v>https://ceds.ed.gov/cedselementdetails.aspx?termid=26380</v>
      </c>
      <c r="Q4715" s="16">
        <v>72846</v>
      </c>
    </row>
    <row r="4716" spans="1:17" ht="72" x14ac:dyDescent="0.3">
      <c r="A4716" s="16" t="s">
        <v>7766</v>
      </c>
      <c r="B4716" s="16" t="s">
        <v>7794</v>
      </c>
      <c r="C4716" s="16"/>
      <c r="D4716" s="16" t="s">
        <v>7597</v>
      </c>
      <c r="E4716" s="16" t="s">
        <v>1327</v>
      </c>
      <c r="F4716" s="16" t="s">
        <v>1328</v>
      </c>
      <c r="G4716" s="16" t="s">
        <v>32</v>
      </c>
      <c r="H4716" s="16"/>
      <c r="I4716" s="16"/>
      <c r="J4716" s="16" t="s">
        <v>145</v>
      </c>
      <c r="K4716" s="16"/>
      <c r="L4716" s="16"/>
      <c r="M4716" s="19" t="s">
        <v>1329</v>
      </c>
      <c r="N4716" s="16"/>
      <c r="O4716" s="16" t="s">
        <v>1330</v>
      </c>
      <c r="P4716" s="16" t="str">
        <f>HYPERLINK("https://ceds.ed.gov/cedselementdetails.aspx?termid=27077")</f>
        <v>https://ceds.ed.gov/cedselementdetails.aspx?termid=27077</v>
      </c>
      <c r="Q4716" s="16">
        <v>71518</v>
      </c>
    </row>
    <row r="4717" spans="1:17" ht="129.6" x14ac:dyDescent="0.3">
      <c r="A4717" s="16" t="s">
        <v>7766</v>
      </c>
      <c r="B4717" s="16" t="s">
        <v>7794</v>
      </c>
      <c r="C4717" s="16"/>
      <c r="D4717" s="16" t="s">
        <v>7597</v>
      </c>
      <c r="E4717" s="16" t="s">
        <v>1319</v>
      </c>
      <c r="F4717" s="16" t="s">
        <v>1320</v>
      </c>
      <c r="G4717" s="16" t="s">
        <v>32</v>
      </c>
      <c r="H4717" s="16"/>
      <c r="I4717" s="16"/>
      <c r="J4717" s="16" t="s">
        <v>101</v>
      </c>
      <c r="K4717" s="16"/>
      <c r="L4717" s="16" t="s">
        <v>843</v>
      </c>
      <c r="M4717" s="19" t="s">
        <v>1321</v>
      </c>
      <c r="N4717" s="16"/>
      <c r="O4717" s="16" t="s">
        <v>1322</v>
      </c>
      <c r="P4717" s="16" t="str">
        <f>HYPERLINK("https://ceds.ed.gov/cedselementdetails.aspx?termid=26969")</f>
        <v>https://ceds.ed.gov/cedselementdetails.aspx?termid=26969</v>
      </c>
      <c r="Q4717" s="16">
        <v>71421</v>
      </c>
    </row>
    <row r="4718" spans="1:17" ht="172.8" x14ac:dyDescent="0.3">
      <c r="A4718" s="16" t="s">
        <v>7766</v>
      </c>
      <c r="B4718" s="16" t="s">
        <v>7784</v>
      </c>
      <c r="C4718" s="16"/>
      <c r="D4718" s="16" t="s">
        <v>7597</v>
      </c>
      <c r="E4718" s="16" t="s">
        <v>1124</v>
      </c>
      <c r="F4718" s="16" t="s">
        <v>1125</v>
      </c>
      <c r="G4718" s="16" t="s">
        <v>32</v>
      </c>
      <c r="H4718" s="16" t="s">
        <v>779</v>
      </c>
      <c r="I4718" s="16"/>
      <c r="J4718" s="16" t="s">
        <v>120</v>
      </c>
      <c r="K4718" s="16"/>
      <c r="L4718" s="16" t="s">
        <v>7817</v>
      </c>
      <c r="M4718" s="19" t="s">
        <v>1126</v>
      </c>
      <c r="N4718" s="16"/>
      <c r="O4718" s="16" t="s">
        <v>1127</v>
      </c>
      <c r="P4718" s="16" t="str">
        <f>HYPERLINK("https://ceds.ed.gov/cedselementdetails.aspx?termid=26693")</f>
        <v>https://ceds.ed.gov/cedselementdetails.aspx?termid=26693</v>
      </c>
      <c r="Q4718" s="16">
        <v>71253</v>
      </c>
    </row>
    <row r="4719" spans="1:17" ht="28.8" x14ac:dyDescent="0.3">
      <c r="A4719" s="16" t="s">
        <v>7766</v>
      </c>
      <c r="B4719" s="16" t="s">
        <v>7784</v>
      </c>
      <c r="C4719" s="16"/>
      <c r="D4719" s="16" t="s">
        <v>7597</v>
      </c>
      <c r="E4719" s="16" t="s">
        <v>1128</v>
      </c>
      <c r="F4719" s="16" t="s">
        <v>1129</v>
      </c>
      <c r="G4719" s="16" t="s">
        <v>32</v>
      </c>
      <c r="H4719" s="16" t="s">
        <v>779</v>
      </c>
      <c r="I4719" s="16"/>
      <c r="J4719" s="16" t="s">
        <v>1130</v>
      </c>
      <c r="K4719" s="16"/>
      <c r="L4719" s="16"/>
      <c r="M4719" s="19" t="s">
        <v>1131</v>
      </c>
      <c r="N4719" s="16"/>
      <c r="O4719" s="16" t="s">
        <v>1132</v>
      </c>
      <c r="P4719" s="16" t="str">
        <f>HYPERLINK("https://ceds.ed.gov/cedselementdetails.aspx?termid=26694")</f>
        <v>https://ceds.ed.gov/cedselementdetails.aspx?termid=26694</v>
      </c>
      <c r="Q4719" s="16">
        <v>71254</v>
      </c>
    </row>
    <row r="4720" spans="1:17" ht="43.2" x14ac:dyDescent="0.3">
      <c r="A4720" s="16" t="s">
        <v>7766</v>
      </c>
      <c r="B4720" s="16" t="s">
        <v>7784</v>
      </c>
      <c r="C4720" s="16"/>
      <c r="D4720" s="16" t="s">
        <v>7597</v>
      </c>
      <c r="E4720" s="16" t="s">
        <v>1133</v>
      </c>
      <c r="F4720" s="16" t="s">
        <v>1134</v>
      </c>
      <c r="G4720" s="16" t="s">
        <v>32</v>
      </c>
      <c r="H4720" s="16" t="s">
        <v>84</v>
      </c>
      <c r="I4720" s="16"/>
      <c r="J4720" s="16" t="s">
        <v>81</v>
      </c>
      <c r="K4720" s="16"/>
      <c r="L4720" s="16"/>
      <c r="M4720" s="19" t="s">
        <v>1135</v>
      </c>
      <c r="N4720" s="16"/>
      <c r="O4720" s="16" t="s">
        <v>1136</v>
      </c>
      <c r="P4720" s="16" t="str">
        <f>HYPERLINK("https://ceds.ed.gov/cedselementdetails.aspx?termid=26408")</f>
        <v>https://ceds.ed.gov/cedselementdetails.aspx?termid=26408</v>
      </c>
      <c r="Q4720" s="16">
        <v>71251</v>
      </c>
    </row>
    <row r="4721" spans="1:17" ht="43.2" x14ac:dyDescent="0.3">
      <c r="A4721" s="16" t="s">
        <v>7766</v>
      </c>
      <c r="B4721" s="16" t="s">
        <v>7784</v>
      </c>
      <c r="C4721" s="16"/>
      <c r="D4721" s="16" t="s">
        <v>7597</v>
      </c>
      <c r="E4721" s="16" t="s">
        <v>1141</v>
      </c>
      <c r="F4721" s="16" t="s">
        <v>1142</v>
      </c>
      <c r="G4721" s="16" t="s">
        <v>32</v>
      </c>
      <c r="H4721" s="16" t="s">
        <v>84</v>
      </c>
      <c r="I4721" s="16"/>
      <c r="J4721" s="16" t="s">
        <v>81</v>
      </c>
      <c r="K4721" s="16"/>
      <c r="L4721" s="16"/>
      <c r="M4721" s="19" t="s">
        <v>1143</v>
      </c>
      <c r="N4721" s="16"/>
      <c r="O4721" s="16" t="s">
        <v>1144</v>
      </c>
      <c r="P4721" s="16" t="str">
        <f>HYPERLINK("https://ceds.ed.gov/cedselementdetails.aspx?termid=26409")</f>
        <v>https://ceds.ed.gov/cedselementdetails.aspx?termid=26409</v>
      </c>
      <c r="Q4721" s="16">
        <v>71252</v>
      </c>
    </row>
    <row r="4722" spans="1:17" ht="409.6" x14ac:dyDescent="0.3">
      <c r="A4722" s="16" t="s">
        <v>7766</v>
      </c>
      <c r="B4722" s="16" t="s">
        <v>7784</v>
      </c>
      <c r="C4722" s="16"/>
      <c r="D4722" s="16" t="s">
        <v>7597</v>
      </c>
      <c r="E4722" s="16" t="s">
        <v>1137</v>
      </c>
      <c r="F4722" s="16" t="s">
        <v>1138</v>
      </c>
      <c r="G4722" s="16" t="s">
        <v>8353</v>
      </c>
      <c r="H4722" s="16" t="s">
        <v>84</v>
      </c>
      <c r="I4722" s="16"/>
      <c r="J4722" s="16" t="s">
        <v>81</v>
      </c>
      <c r="K4722" s="16"/>
      <c r="L4722" s="16"/>
      <c r="M4722" s="19" t="s">
        <v>1139</v>
      </c>
      <c r="N4722" s="16"/>
      <c r="O4722" s="16" t="s">
        <v>1140</v>
      </c>
      <c r="P4722" s="16" t="str">
        <f>HYPERLINK("https://ceds.ed.gov/cedselementdetails.aspx?termid=26407")</f>
        <v>https://ceds.ed.gov/cedselementdetails.aspx?termid=26407</v>
      </c>
      <c r="Q4722" s="16">
        <v>71250</v>
      </c>
    </row>
    <row r="4723" spans="1:17" ht="43.2" x14ac:dyDescent="0.3">
      <c r="A4723" s="16" t="s">
        <v>7766</v>
      </c>
      <c r="B4723" s="16" t="s">
        <v>7784</v>
      </c>
      <c r="C4723" s="16"/>
      <c r="D4723" s="16" t="s">
        <v>7597</v>
      </c>
      <c r="E4723" s="16" t="s">
        <v>1119</v>
      </c>
      <c r="F4723" s="16" t="s">
        <v>1120</v>
      </c>
      <c r="G4723" s="16" t="s">
        <v>32</v>
      </c>
      <c r="H4723" s="16"/>
      <c r="I4723" s="16"/>
      <c r="J4723" s="16" t="s">
        <v>316</v>
      </c>
      <c r="K4723" s="16"/>
      <c r="L4723" s="16"/>
      <c r="M4723" s="19" t="s">
        <v>1122</v>
      </c>
      <c r="N4723" s="16"/>
      <c r="O4723" s="16" t="s">
        <v>1123</v>
      </c>
      <c r="P4723" s="16" t="str">
        <f>HYPERLINK("https://ceds.ed.gov/cedselementdetails.aspx?termid=27184")</f>
        <v>https://ceds.ed.gov/cedselementdetails.aspx?termid=27184</v>
      </c>
      <c r="Q4723" s="16">
        <v>72843</v>
      </c>
    </row>
    <row r="4724" spans="1:17" ht="115.2" x14ac:dyDescent="0.3">
      <c r="A4724" s="16" t="s">
        <v>7766</v>
      </c>
      <c r="B4724" s="16" t="s">
        <v>7795</v>
      </c>
      <c r="C4724" s="16"/>
      <c r="D4724" s="16" t="s">
        <v>7597</v>
      </c>
      <c r="E4724" s="16" t="s">
        <v>1096</v>
      </c>
      <c r="F4724" s="16" t="s">
        <v>1097</v>
      </c>
      <c r="G4724" s="16" t="s">
        <v>32</v>
      </c>
      <c r="H4724" s="16"/>
      <c r="I4724" s="16"/>
      <c r="J4724" s="16" t="s">
        <v>120</v>
      </c>
      <c r="K4724" s="16"/>
      <c r="L4724" s="16" t="s">
        <v>7836</v>
      </c>
      <c r="M4724" s="19" t="s">
        <v>1098</v>
      </c>
      <c r="N4724" s="16"/>
      <c r="O4724" s="16" t="s">
        <v>1099</v>
      </c>
      <c r="P4724" s="16" t="str">
        <f>HYPERLINK("https://ceds.ed.gov/cedselementdetails.aspx?termid=27515")</f>
        <v>https://ceds.ed.gov/cedselementdetails.aspx?termid=27515</v>
      </c>
      <c r="Q4724" s="16">
        <v>73804</v>
      </c>
    </row>
    <row r="4725" spans="1:17" ht="28.8" x14ac:dyDescent="0.3">
      <c r="A4725" s="16" t="s">
        <v>7766</v>
      </c>
      <c r="B4725" s="16" t="s">
        <v>7795</v>
      </c>
      <c r="C4725" s="16"/>
      <c r="D4725" s="16" t="s">
        <v>7597</v>
      </c>
      <c r="E4725" s="16" t="s">
        <v>1086</v>
      </c>
      <c r="F4725" s="16" t="s">
        <v>1087</v>
      </c>
      <c r="G4725" s="16" t="s">
        <v>32</v>
      </c>
      <c r="H4725" s="16"/>
      <c r="I4725" s="16"/>
      <c r="J4725" s="16" t="s">
        <v>101</v>
      </c>
      <c r="K4725" s="16"/>
      <c r="L4725" s="16"/>
      <c r="M4725" s="19" t="s">
        <v>1089</v>
      </c>
      <c r="N4725" s="16"/>
      <c r="O4725" s="16" t="s">
        <v>1090</v>
      </c>
      <c r="P4725" s="16" t="str">
        <f>HYPERLINK("https://ceds.ed.gov/cedselementdetails.aspx?termid=27514")</f>
        <v>https://ceds.ed.gov/cedselementdetails.aspx?termid=27514</v>
      </c>
      <c r="Q4725" s="16">
        <v>73802</v>
      </c>
    </row>
    <row r="4726" spans="1:17" ht="72" x14ac:dyDescent="0.3">
      <c r="A4726" s="16" t="s">
        <v>7766</v>
      </c>
      <c r="B4726" s="16" t="s">
        <v>7795</v>
      </c>
      <c r="C4726" s="16"/>
      <c r="D4726" s="16" t="s">
        <v>7597</v>
      </c>
      <c r="E4726" s="16" t="s">
        <v>1290</v>
      </c>
      <c r="F4726" s="16" t="s">
        <v>1291</v>
      </c>
      <c r="G4726" s="16" t="s">
        <v>32</v>
      </c>
      <c r="H4726" s="16"/>
      <c r="I4726" s="16"/>
      <c r="J4726" s="16" t="s">
        <v>812</v>
      </c>
      <c r="K4726" s="16"/>
      <c r="L4726" s="16" t="s">
        <v>7878</v>
      </c>
      <c r="M4726" s="19" t="s">
        <v>1292</v>
      </c>
      <c r="N4726" s="16"/>
      <c r="O4726" s="16" t="s">
        <v>1293</v>
      </c>
      <c r="P4726" s="16" t="str">
        <f>HYPERLINK("https://ceds.ed.gov/cedselementdetails.aspx?termid=27023")</f>
        <v>https://ceds.ed.gov/cedselementdetails.aspx?termid=27023</v>
      </c>
      <c r="Q4726" s="16">
        <v>71460</v>
      </c>
    </row>
    <row r="4727" spans="1:17" ht="72" x14ac:dyDescent="0.3">
      <c r="A4727" s="16" t="s">
        <v>7766</v>
      </c>
      <c r="B4727" s="16" t="s">
        <v>7795</v>
      </c>
      <c r="C4727" s="16"/>
      <c r="D4727" s="16" t="s">
        <v>7597</v>
      </c>
      <c r="E4727" s="16" t="s">
        <v>1285</v>
      </c>
      <c r="F4727" s="16" t="s">
        <v>1286</v>
      </c>
      <c r="G4727" s="16" t="s">
        <v>32</v>
      </c>
      <c r="H4727" s="16"/>
      <c r="I4727" s="16"/>
      <c r="J4727" s="16" t="s">
        <v>812</v>
      </c>
      <c r="K4727" s="16"/>
      <c r="L4727" s="16" t="s">
        <v>7877</v>
      </c>
      <c r="M4727" s="19" t="s">
        <v>1288</v>
      </c>
      <c r="N4727" s="16"/>
      <c r="O4727" s="16" t="s">
        <v>1289</v>
      </c>
      <c r="P4727" s="16" t="str">
        <f>HYPERLINK("https://ceds.ed.gov/cedselementdetails.aspx?termid=27024")</f>
        <v>https://ceds.ed.gov/cedselementdetails.aspx?termid=27024</v>
      </c>
      <c r="Q4727" s="16">
        <v>71462</v>
      </c>
    </row>
    <row r="4728" spans="1:17" ht="43.2" x14ac:dyDescent="0.3">
      <c r="A4728" s="16" t="s">
        <v>7766</v>
      </c>
      <c r="B4728" s="16" t="s">
        <v>7795</v>
      </c>
      <c r="C4728" s="16"/>
      <c r="D4728" s="16" t="s">
        <v>7597</v>
      </c>
      <c r="E4728" s="16" t="s">
        <v>1091</v>
      </c>
      <c r="F4728" s="16" t="s">
        <v>1092</v>
      </c>
      <c r="G4728" s="16" t="s">
        <v>32</v>
      </c>
      <c r="H4728" s="16"/>
      <c r="I4728" s="16"/>
      <c r="J4728" s="16" t="s">
        <v>101</v>
      </c>
      <c r="K4728" s="16"/>
      <c r="L4728" s="16" t="s">
        <v>1093</v>
      </c>
      <c r="M4728" s="19" t="s">
        <v>1094</v>
      </c>
      <c r="N4728" s="16"/>
      <c r="O4728" s="16" t="s">
        <v>1095</v>
      </c>
      <c r="P4728" s="16" t="str">
        <f>HYPERLINK("https://ceds.ed.gov/cedselementdetails.aspx?termid=27006")</f>
        <v>https://ceds.ed.gov/cedselementdetails.aspx?termid=27006</v>
      </c>
      <c r="Q4728" s="16">
        <v>71442</v>
      </c>
    </row>
    <row r="4729" spans="1:17" ht="43.2" x14ac:dyDescent="0.3">
      <c r="A4729" s="16" t="s">
        <v>7766</v>
      </c>
      <c r="B4729" s="16" t="s">
        <v>7795</v>
      </c>
      <c r="C4729" s="16"/>
      <c r="D4729" s="16" t="s">
        <v>7597</v>
      </c>
      <c r="E4729" s="16" t="s">
        <v>1303</v>
      </c>
      <c r="F4729" s="16" t="s">
        <v>7879</v>
      </c>
      <c r="G4729" s="16" t="s">
        <v>32</v>
      </c>
      <c r="H4729" s="16" t="s">
        <v>84</v>
      </c>
      <c r="I4729" s="16"/>
      <c r="J4729" s="16" t="s">
        <v>1304</v>
      </c>
      <c r="K4729" s="16"/>
      <c r="L4729" s="16"/>
      <c r="M4729" s="19" t="s">
        <v>1305</v>
      </c>
      <c r="N4729" s="16"/>
      <c r="O4729" s="16" t="s">
        <v>1306</v>
      </c>
      <c r="P4729" s="16" t="str">
        <f>HYPERLINK("https://ceds.ed.gov/cedselementdetails.aspx?termid=26590")</f>
        <v>https://ceds.ed.gov/cedselementdetails.aspx?termid=26590</v>
      </c>
      <c r="Q4729" s="16">
        <v>71922</v>
      </c>
    </row>
    <row r="4730" spans="1:17" ht="115.2" x14ac:dyDescent="0.3">
      <c r="A4730" s="16" t="s">
        <v>7766</v>
      </c>
      <c r="B4730" s="16" t="s">
        <v>7795</v>
      </c>
      <c r="C4730" s="16"/>
      <c r="D4730" s="16" t="s">
        <v>7597</v>
      </c>
      <c r="E4730" s="16" t="s">
        <v>1104</v>
      </c>
      <c r="F4730" s="16" t="s">
        <v>1105</v>
      </c>
      <c r="G4730" s="16" t="s">
        <v>8352</v>
      </c>
      <c r="H4730" s="16" t="s">
        <v>605</v>
      </c>
      <c r="I4730" s="16"/>
      <c r="J4730" s="16"/>
      <c r="K4730" s="16"/>
      <c r="L4730" s="16"/>
      <c r="M4730" s="19" t="s">
        <v>1107</v>
      </c>
      <c r="N4730" s="16"/>
      <c r="O4730" s="16" t="s">
        <v>1108</v>
      </c>
      <c r="P4730" s="16" t="str">
        <f>HYPERLINK("https://ceds.ed.gov/cedselementdetails.aspx?termid=26377")</f>
        <v>https://ceds.ed.gov/cedselementdetails.aspx?termid=26377</v>
      </c>
      <c r="Q4730" s="16">
        <v>71188</v>
      </c>
    </row>
    <row r="4731" spans="1:17" ht="115.2" x14ac:dyDescent="0.3">
      <c r="A4731" s="16" t="s">
        <v>7766</v>
      </c>
      <c r="B4731" s="16" t="s">
        <v>7795</v>
      </c>
      <c r="C4731" s="16"/>
      <c r="D4731" s="16" t="s">
        <v>7597</v>
      </c>
      <c r="E4731" s="16" t="s">
        <v>1109</v>
      </c>
      <c r="F4731" s="16" t="s">
        <v>7863</v>
      </c>
      <c r="G4731" s="16" t="s">
        <v>32</v>
      </c>
      <c r="H4731" s="16"/>
      <c r="I4731" s="16"/>
      <c r="J4731" s="16" t="s">
        <v>50</v>
      </c>
      <c r="K4731" s="16"/>
      <c r="L4731" s="16" t="s">
        <v>7864</v>
      </c>
      <c r="M4731" s="19" t="s">
        <v>1110</v>
      </c>
      <c r="N4731" s="16"/>
      <c r="O4731" s="16" t="s">
        <v>1111</v>
      </c>
      <c r="P4731" s="16" t="str">
        <f>HYPERLINK("https://ceds.ed.gov/cedselementdetails.aspx?termid=27112")</f>
        <v>https://ceds.ed.gov/cedselementdetails.aspx?termid=27112</v>
      </c>
      <c r="Q4731" s="16">
        <v>72473</v>
      </c>
    </row>
    <row r="4732" spans="1:17" ht="115.2" x14ac:dyDescent="0.3">
      <c r="A4732" s="16" t="s">
        <v>7766</v>
      </c>
      <c r="B4732" s="16" t="s">
        <v>7795</v>
      </c>
      <c r="C4732" s="16"/>
      <c r="D4732" s="16" t="s">
        <v>7597</v>
      </c>
      <c r="E4732" s="16" t="s">
        <v>1100</v>
      </c>
      <c r="F4732" s="16" t="s">
        <v>1101</v>
      </c>
      <c r="G4732" s="16" t="s">
        <v>7313</v>
      </c>
      <c r="H4732" s="16" t="s">
        <v>84</v>
      </c>
      <c r="I4732" s="16"/>
      <c r="J4732" s="16"/>
      <c r="K4732" s="16"/>
      <c r="L4732" s="16" t="s">
        <v>7859</v>
      </c>
      <c r="M4732" s="19" t="s">
        <v>1102</v>
      </c>
      <c r="N4732" s="16"/>
      <c r="O4732" s="16" t="s">
        <v>1103</v>
      </c>
      <c r="P4732" s="16" t="str">
        <f>HYPERLINK("https://ceds.ed.gov/cedselementdetails.aspx?termid=26370")</f>
        <v>https://ceds.ed.gov/cedselementdetails.aspx?termid=26370</v>
      </c>
      <c r="Q4732" s="16">
        <v>71918</v>
      </c>
    </row>
    <row r="4733" spans="1:17" ht="144" x14ac:dyDescent="0.3">
      <c r="A4733" s="16" t="s">
        <v>7766</v>
      </c>
      <c r="B4733" s="16" t="s">
        <v>7795</v>
      </c>
      <c r="C4733" s="16"/>
      <c r="D4733" s="16" t="s">
        <v>7597</v>
      </c>
      <c r="E4733" s="16" t="s">
        <v>383</v>
      </c>
      <c r="F4733" s="16" t="s">
        <v>384</v>
      </c>
      <c r="G4733" s="16" t="s">
        <v>8323</v>
      </c>
      <c r="H4733" s="16" t="s">
        <v>84</v>
      </c>
      <c r="I4733" s="16"/>
      <c r="J4733" s="16"/>
      <c r="K4733" s="16"/>
      <c r="L4733" s="16"/>
      <c r="M4733" s="19" t="s">
        <v>386</v>
      </c>
      <c r="N4733" s="16"/>
      <c r="O4733" s="16" t="s">
        <v>387</v>
      </c>
      <c r="P4733" s="16" t="str">
        <f>HYPERLINK("https://ceds.ed.gov/cedselementdetails.aspx?termid=26374")</f>
        <v>https://ceds.ed.gov/cedselementdetails.aspx?termid=26374</v>
      </c>
      <c r="Q4733" s="16">
        <v>71833</v>
      </c>
    </row>
    <row r="4734" spans="1:17" ht="409.6" x14ac:dyDescent="0.3">
      <c r="A4734" s="16" t="s">
        <v>7766</v>
      </c>
      <c r="B4734" s="16" t="s">
        <v>7795</v>
      </c>
      <c r="C4734" s="16"/>
      <c r="D4734" s="16" t="s">
        <v>7597</v>
      </c>
      <c r="E4734" s="16" t="s">
        <v>12931</v>
      </c>
      <c r="F4734" s="16" t="s">
        <v>13073</v>
      </c>
      <c r="G4734" s="16" t="s">
        <v>13480</v>
      </c>
      <c r="H4734" s="16" t="s">
        <v>84</v>
      </c>
      <c r="I4734" s="16" t="s">
        <v>160</v>
      </c>
      <c r="J4734" s="16"/>
      <c r="K4734" s="16" t="s">
        <v>12932</v>
      </c>
      <c r="L4734" s="16"/>
      <c r="M4734" s="19" t="s">
        <v>83</v>
      </c>
      <c r="N4734" s="16"/>
      <c r="O4734" s="16" t="s">
        <v>13074</v>
      </c>
      <c r="P4734" s="16" t="str">
        <f>HYPERLINK("https://ceds.ed.gov/cedselementdetails.aspx?termid=26376")</f>
        <v>https://ceds.ed.gov/cedselementdetails.aspx?termid=26376</v>
      </c>
      <c r="Q4734" s="16">
        <v>72355</v>
      </c>
    </row>
    <row r="4735" spans="1:17" ht="43.2" x14ac:dyDescent="0.3">
      <c r="A4735" s="16" t="s">
        <v>7766</v>
      </c>
      <c r="B4735" s="16" t="s">
        <v>7795</v>
      </c>
      <c r="C4735" s="16"/>
      <c r="D4735" s="16" t="s">
        <v>7597</v>
      </c>
      <c r="E4735" s="16" t="s">
        <v>12929</v>
      </c>
      <c r="F4735" s="16" t="s">
        <v>13071</v>
      </c>
      <c r="G4735" s="16" t="s">
        <v>32</v>
      </c>
      <c r="H4735" s="16"/>
      <c r="I4735" s="16" t="s">
        <v>160</v>
      </c>
      <c r="J4735" s="16" t="s">
        <v>316</v>
      </c>
      <c r="K4735" s="16" t="s">
        <v>12930</v>
      </c>
      <c r="L4735" s="16"/>
      <c r="M4735" s="19" t="s">
        <v>82</v>
      </c>
      <c r="N4735" s="16"/>
      <c r="O4735" s="16" t="s">
        <v>13072</v>
      </c>
      <c r="P4735" s="16" t="str">
        <f>HYPERLINK("https://ceds.ed.gov/cedselementdetails.aspx?termid=27116")</f>
        <v>https://ceds.ed.gov/cedselementdetails.aspx?termid=27116</v>
      </c>
      <c r="Q4735" s="16">
        <v>72702</v>
      </c>
    </row>
    <row r="4736" spans="1:17" ht="43.2" x14ac:dyDescent="0.3">
      <c r="A4736" s="16" t="s">
        <v>7766</v>
      </c>
      <c r="B4736" s="16" t="s">
        <v>7795</v>
      </c>
      <c r="C4736" s="16"/>
      <c r="D4736" s="16" t="s">
        <v>7597</v>
      </c>
      <c r="E4736" s="16" t="s">
        <v>1116</v>
      </c>
      <c r="F4736" s="16" t="s">
        <v>7865</v>
      </c>
      <c r="G4736" s="16" t="s">
        <v>32</v>
      </c>
      <c r="H4736" s="16" t="s">
        <v>84</v>
      </c>
      <c r="I4736" s="16"/>
      <c r="J4736" s="16" t="s">
        <v>81</v>
      </c>
      <c r="K4736" s="16"/>
      <c r="L4736" s="16"/>
      <c r="M4736" s="19" t="s">
        <v>1117</v>
      </c>
      <c r="N4736" s="16"/>
      <c r="O4736" s="16" t="s">
        <v>1118</v>
      </c>
      <c r="P4736" s="16" t="str">
        <f>HYPERLINK("https://ceds.ed.gov/cedselementdetails.aspx?termid=26398")</f>
        <v>https://ceds.ed.gov/cedselementdetails.aspx?termid=26398</v>
      </c>
      <c r="Q4736" s="16">
        <v>71835</v>
      </c>
    </row>
    <row r="4737" spans="1:17" ht="72" x14ac:dyDescent="0.3">
      <c r="A4737" s="16" t="s">
        <v>7766</v>
      </c>
      <c r="B4737" s="16" t="s">
        <v>7795</v>
      </c>
      <c r="C4737" s="16"/>
      <c r="D4737" s="16" t="s">
        <v>7597</v>
      </c>
      <c r="E4737" s="16" t="s">
        <v>1112</v>
      </c>
      <c r="F4737" s="16" t="s">
        <v>1113</v>
      </c>
      <c r="G4737" s="16" t="s">
        <v>32</v>
      </c>
      <c r="H4737" s="16"/>
      <c r="I4737" s="16"/>
      <c r="J4737" s="16" t="s">
        <v>316</v>
      </c>
      <c r="K4737" s="16"/>
      <c r="L4737" s="16"/>
      <c r="M4737" s="19" t="s">
        <v>1114</v>
      </c>
      <c r="N4737" s="16"/>
      <c r="O4737" s="16" t="s">
        <v>1115</v>
      </c>
      <c r="P4737" s="16" t="str">
        <f>HYPERLINK("https://ceds.ed.gov/cedselementdetails.aspx?termid=27102")</f>
        <v>https://ceds.ed.gov/cedselementdetails.aspx?termid=27102</v>
      </c>
      <c r="Q4737" s="16">
        <v>71544</v>
      </c>
    </row>
    <row r="4738" spans="1:17" ht="129.6" x14ac:dyDescent="0.3">
      <c r="A4738" s="16" t="s">
        <v>7766</v>
      </c>
      <c r="B4738" s="16" t="s">
        <v>7795</v>
      </c>
      <c r="C4738" s="16"/>
      <c r="D4738" s="16" t="s">
        <v>7597</v>
      </c>
      <c r="E4738" s="16" t="s">
        <v>1319</v>
      </c>
      <c r="F4738" s="16" t="s">
        <v>1320</v>
      </c>
      <c r="G4738" s="16" t="s">
        <v>32</v>
      </c>
      <c r="H4738" s="16"/>
      <c r="I4738" s="16"/>
      <c r="J4738" s="16" t="s">
        <v>101</v>
      </c>
      <c r="K4738" s="16"/>
      <c r="L4738" s="16" t="s">
        <v>843</v>
      </c>
      <c r="M4738" s="19" t="s">
        <v>1321</v>
      </c>
      <c r="N4738" s="16"/>
      <c r="O4738" s="16" t="s">
        <v>1322</v>
      </c>
      <c r="P4738" s="16" t="str">
        <f>HYPERLINK("https://ceds.ed.gov/cedselementdetails.aspx?termid=26969")</f>
        <v>https://ceds.ed.gov/cedselementdetails.aspx?termid=26969</v>
      </c>
      <c r="Q4738" s="16">
        <v>71516</v>
      </c>
    </row>
    <row r="4739" spans="1:17" ht="409.6" x14ac:dyDescent="0.3">
      <c r="A4739" s="16" t="s">
        <v>7766</v>
      </c>
      <c r="B4739" s="16" t="s">
        <v>7795</v>
      </c>
      <c r="C4739" s="16"/>
      <c r="D4739" s="16" t="s">
        <v>7597</v>
      </c>
      <c r="E4739" s="16" t="s">
        <v>1323</v>
      </c>
      <c r="F4739" s="16" t="s">
        <v>1324</v>
      </c>
      <c r="G4739" s="16" t="s">
        <v>8361</v>
      </c>
      <c r="H4739" s="16" t="s">
        <v>84</v>
      </c>
      <c r="I4739" s="16"/>
      <c r="J4739" s="16"/>
      <c r="K4739" s="16"/>
      <c r="L4739" s="16"/>
      <c r="M4739" s="19" t="s">
        <v>1325</v>
      </c>
      <c r="N4739" s="16"/>
      <c r="O4739" s="16" t="s">
        <v>1326</v>
      </c>
      <c r="P4739" s="16" t="str">
        <f>HYPERLINK("https://ceds.ed.gov/cedselementdetails.aspx?termid=26380")</f>
        <v>https://ceds.ed.gov/cedselementdetails.aspx?termid=26380</v>
      </c>
      <c r="Q4739" s="16">
        <v>72847</v>
      </c>
    </row>
    <row r="4740" spans="1:17" ht="72" x14ac:dyDescent="0.3">
      <c r="A4740" s="16" t="s">
        <v>7766</v>
      </c>
      <c r="B4740" s="16" t="s">
        <v>7795</v>
      </c>
      <c r="C4740" s="16"/>
      <c r="D4740" s="16" t="s">
        <v>7597</v>
      </c>
      <c r="E4740" s="16" t="s">
        <v>1327</v>
      </c>
      <c r="F4740" s="16" t="s">
        <v>1328</v>
      </c>
      <c r="G4740" s="16" t="s">
        <v>32</v>
      </c>
      <c r="H4740" s="16"/>
      <c r="I4740" s="16"/>
      <c r="J4740" s="16" t="s">
        <v>145</v>
      </c>
      <c r="K4740" s="16"/>
      <c r="L4740" s="16"/>
      <c r="M4740" s="19" t="s">
        <v>1329</v>
      </c>
      <c r="N4740" s="16"/>
      <c r="O4740" s="16" t="s">
        <v>1330</v>
      </c>
      <c r="P4740" s="16" t="str">
        <f>HYPERLINK("https://ceds.ed.gov/cedselementdetails.aspx?termid=27077")</f>
        <v>https://ceds.ed.gov/cedselementdetails.aspx?termid=27077</v>
      </c>
      <c r="Q4740" s="16">
        <v>71517</v>
      </c>
    </row>
    <row r="4741" spans="1:17" ht="72" x14ac:dyDescent="0.3">
      <c r="A4741" s="16" t="s">
        <v>7766</v>
      </c>
      <c r="B4741" s="16" t="s">
        <v>7795</v>
      </c>
      <c r="C4741" s="16" t="s">
        <v>13070</v>
      </c>
      <c r="D4741" s="16" t="s">
        <v>7597</v>
      </c>
      <c r="E4741" s="16" t="s">
        <v>12634</v>
      </c>
      <c r="F4741" s="16" t="s">
        <v>12635</v>
      </c>
      <c r="G4741" s="16" t="s">
        <v>12886</v>
      </c>
      <c r="H4741" s="16"/>
      <c r="I4741" s="16" t="s">
        <v>155</v>
      </c>
      <c r="J4741" s="16" t="s">
        <v>2</v>
      </c>
      <c r="K4741" s="16" t="s">
        <v>12636</v>
      </c>
      <c r="L4741" s="16"/>
      <c r="M4741" s="19" t="s">
        <v>12637</v>
      </c>
      <c r="N4741" s="16"/>
      <c r="O4741" s="16" t="s">
        <v>12638</v>
      </c>
      <c r="P4741" s="16" t="str">
        <f>HYPERLINK("https://ceds.ed.gov/cedselementdetails.aspx?termid=28148")</f>
        <v>https://ceds.ed.gov/cedselementdetails.aspx?termid=28148</v>
      </c>
      <c r="Q4741" s="16">
        <v>76702</v>
      </c>
    </row>
    <row r="4742" spans="1:17" ht="72" x14ac:dyDescent="0.3">
      <c r="A4742" s="16" t="s">
        <v>7766</v>
      </c>
      <c r="B4742" s="16" t="s">
        <v>7795</v>
      </c>
      <c r="C4742" s="16" t="s">
        <v>13070</v>
      </c>
      <c r="D4742" s="16" t="s">
        <v>7597</v>
      </c>
      <c r="E4742" s="16" t="s">
        <v>12639</v>
      </c>
      <c r="F4742" s="16" t="s">
        <v>12640</v>
      </c>
      <c r="G4742" s="16" t="s">
        <v>12888</v>
      </c>
      <c r="H4742" s="16"/>
      <c r="I4742" s="16" t="s">
        <v>155</v>
      </c>
      <c r="J4742" s="16" t="s">
        <v>2</v>
      </c>
      <c r="K4742" s="16" t="s">
        <v>12636</v>
      </c>
      <c r="L4742" s="16"/>
      <c r="M4742" s="19" t="s">
        <v>12641</v>
      </c>
      <c r="N4742" s="16"/>
      <c r="O4742" s="16" t="s">
        <v>12642</v>
      </c>
      <c r="P4742" s="16" t="str">
        <f>HYPERLINK("https://ceds.ed.gov/cedselementdetails.aspx?termid=28149")</f>
        <v>https://ceds.ed.gov/cedselementdetails.aspx?termid=28149</v>
      </c>
      <c r="Q4742" s="16">
        <v>76704</v>
      </c>
    </row>
    <row r="4743" spans="1:17" ht="72" x14ac:dyDescent="0.3">
      <c r="A4743" s="16" t="s">
        <v>7766</v>
      </c>
      <c r="B4743" s="16" t="s">
        <v>7795</v>
      </c>
      <c r="C4743" s="16" t="s">
        <v>13070</v>
      </c>
      <c r="D4743" s="16" t="s">
        <v>7597</v>
      </c>
      <c r="E4743" s="16" t="s">
        <v>12643</v>
      </c>
      <c r="F4743" s="16" t="s">
        <v>12644</v>
      </c>
      <c r="G4743" s="16" t="s">
        <v>12889</v>
      </c>
      <c r="H4743" s="16"/>
      <c r="I4743" s="16" t="s">
        <v>155</v>
      </c>
      <c r="J4743" s="16" t="s">
        <v>2</v>
      </c>
      <c r="K4743" s="16" t="s">
        <v>12636</v>
      </c>
      <c r="L4743" s="16"/>
      <c r="M4743" s="19" t="s">
        <v>12645</v>
      </c>
      <c r="N4743" s="16"/>
      <c r="O4743" s="16" t="s">
        <v>12646</v>
      </c>
      <c r="P4743" s="16" t="str">
        <f>HYPERLINK("https://ceds.ed.gov/cedselementdetails.aspx?termid=28150")</f>
        <v>https://ceds.ed.gov/cedselementdetails.aspx?termid=28150</v>
      </c>
      <c r="Q4743" s="16">
        <v>76706</v>
      </c>
    </row>
    <row r="4744" spans="1:17" ht="43.2" x14ac:dyDescent="0.3">
      <c r="A4744" s="16" t="s">
        <v>7766</v>
      </c>
      <c r="B4744" s="16" t="s">
        <v>7795</v>
      </c>
      <c r="C4744" s="16" t="s">
        <v>13070</v>
      </c>
      <c r="D4744" s="16" t="s">
        <v>7597</v>
      </c>
      <c r="E4744" s="16" t="s">
        <v>12647</v>
      </c>
      <c r="F4744" s="16" t="s">
        <v>12648</v>
      </c>
      <c r="G4744" s="16" t="s">
        <v>12890</v>
      </c>
      <c r="H4744" s="16"/>
      <c r="I4744" s="16" t="s">
        <v>155</v>
      </c>
      <c r="J4744" s="16" t="s">
        <v>2</v>
      </c>
      <c r="K4744" s="16" t="s">
        <v>12636</v>
      </c>
      <c r="L4744" s="16"/>
      <c r="M4744" s="19" t="s">
        <v>12649</v>
      </c>
      <c r="N4744" s="16"/>
      <c r="O4744" s="16" t="s">
        <v>12650</v>
      </c>
      <c r="P4744" s="16" t="str">
        <f>HYPERLINK("https://ceds.ed.gov/cedselementdetails.aspx?termid=28151")</f>
        <v>https://ceds.ed.gov/cedselementdetails.aspx?termid=28151</v>
      </c>
      <c r="Q4744" s="16">
        <v>76708</v>
      </c>
    </row>
    <row r="4745" spans="1:17" ht="28.8" x14ac:dyDescent="0.3">
      <c r="A4745" s="16" t="s">
        <v>7766</v>
      </c>
      <c r="B4745" s="16" t="s">
        <v>7795</v>
      </c>
      <c r="C4745" s="16" t="s">
        <v>13070</v>
      </c>
      <c r="D4745" s="16" t="s">
        <v>7597</v>
      </c>
      <c r="E4745" s="16" t="s">
        <v>12651</v>
      </c>
      <c r="F4745" s="16" t="s">
        <v>12652</v>
      </c>
      <c r="G4745" s="16" t="s">
        <v>7313</v>
      </c>
      <c r="H4745" s="16"/>
      <c r="I4745" s="16" t="s">
        <v>155</v>
      </c>
      <c r="J4745" s="16" t="s">
        <v>2</v>
      </c>
      <c r="K4745" s="16" t="s">
        <v>12636</v>
      </c>
      <c r="L4745" s="16"/>
      <c r="M4745" s="19" t="s">
        <v>12653</v>
      </c>
      <c r="N4745" s="16"/>
      <c r="O4745" s="16" t="s">
        <v>12654</v>
      </c>
      <c r="P4745" s="16" t="str">
        <f>HYPERLINK("https://ceds.ed.gov/cedselementdetails.aspx?termid=28152")</f>
        <v>https://ceds.ed.gov/cedselementdetails.aspx?termid=28152</v>
      </c>
      <c r="Q4745" s="16">
        <v>76710</v>
      </c>
    </row>
    <row r="4746" spans="1:17" ht="43.2" x14ac:dyDescent="0.3">
      <c r="A4746" s="16" t="s">
        <v>7766</v>
      </c>
      <c r="B4746" s="16" t="s">
        <v>7795</v>
      </c>
      <c r="C4746" s="16" t="s">
        <v>13070</v>
      </c>
      <c r="D4746" s="16" t="s">
        <v>7597</v>
      </c>
      <c r="E4746" s="16" t="s">
        <v>12929</v>
      </c>
      <c r="F4746" s="16" t="s">
        <v>13071</v>
      </c>
      <c r="G4746" s="16" t="s">
        <v>32</v>
      </c>
      <c r="H4746" s="16"/>
      <c r="I4746" s="16" t="s">
        <v>160</v>
      </c>
      <c r="J4746" s="16" t="s">
        <v>316</v>
      </c>
      <c r="K4746" s="16" t="s">
        <v>12930</v>
      </c>
      <c r="L4746" s="16"/>
      <c r="M4746" s="19" t="s">
        <v>82</v>
      </c>
      <c r="N4746" s="16"/>
      <c r="O4746" s="16" t="s">
        <v>13072</v>
      </c>
      <c r="P4746" s="16" t="str">
        <f>HYPERLINK("https://ceds.ed.gov/cedselementdetails.aspx?termid=27116")</f>
        <v>https://ceds.ed.gov/cedselementdetails.aspx?termid=27116</v>
      </c>
      <c r="Q4746" s="16">
        <v>76544</v>
      </c>
    </row>
    <row r="4747" spans="1:17" ht="57.6" x14ac:dyDescent="0.3">
      <c r="A4747" s="16" t="s">
        <v>7766</v>
      </c>
      <c r="B4747" s="16" t="s">
        <v>7795</v>
      </c>
      <c r="C4747" s="16" t="s">
        <v>13070</v>
      </c>
      <c r="D4747" s="16" t="s">
        <v>7597</v>
      </c>
      <c r="E4747" s="16" t="s">
        <v>12655</v>
      </c>
      <c r="F4747" s="16" t="s">
        <v>12656</v>
      </c>
      <c r="G4747" s="16" t="s">
        <v>12891</v>
      </c>
      <c r="H4747" s="16"/>
      <c r="I4747" s="16" t="s">
        <v>155</v>
      </c>
      <c r="J4747" s="16" t="s">
        <v>2</v>
      </c>
      <c r="K4747" s="16" t="s">
        <v>12636</v>
      </c>
      <c r="L4747" s="16"/>
      <c r="M4747" s="19" t="s">
        <v>12657</v>
      </c>
      <c r="N4747" s="16"/>
      <c r="O4747" s="16" t="s">
        <v>12658</v>
      </c>
      <c r="P4747" s="16" t="str">
        <f>HYPERLINK("https://ceds.ed.gov/cedselementdetails.aspx?termid=28153")</f>
        <v>https://ceds.ed.gov/cedselementdetails.aspx?termid=28153</v>
      </c>
      <c r="Q4747" s="16">
        <v>76712</v>
      </c>
    </row>
    <row r="4748" spans="1:17" ht="86.4" x14ac:dyDescent="0.3">
      <c r="A4748" s="16" t="s">
        <v>7766</v>
      </c>
      <c r="B4748" s="16" t="s">
        <v>7795</v>
      </c>
      <c r="C4748" s="16" t="s">
        <v>13070</v>
      </c>
      <c r="D4748" s="16" t="s">
        <v>7597</v>
      </c>
      <c r="E4748" s="16" t="s">
        <v>12659</v>
      </c>
      <c r="F4748" s="16" t="s">
        <v>12660</v>
      </c>
      <c r="G4748" s="16" t="s">
        <v>12892</v>
      </c>
      <c r="H4748" s="16"/>
      <c r="I4748" s="16" t="s">
        <v>155</v>
      </c>
      <c r="J4748" s="16" t="s">
        <v>2</v>
      </c>
      <c r="K4748" s="16" t="s">
        <v>12636</v>
      </c>
      <c r="L4748" s="16"/>
      <c r="M4748" s="19" t="s">
        <v>12661</v>
      </c>
      <c r="N4748" s="16"/>
      <c r="O4748" s="16" t="s">
        <v>12662</v>
      </c>
      <c r="P4748" s="16" t="str">
        <f>HYPERLINK("https://ceds.ed.gov/cedselementdetails.aspx?termid=28154")</f>
        <v>https://ceds.ed.gov/cedselementdetails.aspx?termid=28154</v>
      </c>
      <c r="Q4748" s="16">
        <v>76714</v>
      </c>
    </row>
    <row r="4749" spans="1:17" ht="409.6" x14ac:dyDescent="0.3">
      <c r="A4749" s="16" t="s">
        <v>7766</v>
      </c>
      <c r="B4749" s="16" t="s">
        <v>7795</v>
      </c>
      <c r="C4749" s="16" t="s">
        <v>13070</v>
      </c>
      <c r="D4749" s="16" t="s">
        <v>7597</v>
      </c>
      <c r="E4749" s="16" t="s">
        <v>12931</v>
      </c>
      <c r="F4749" s="16" t="s">
        <v>13073</v>
      </c>
      <c r="G4749" s="16" t="s">
        <v>13480</v>
      </c>
      <c r="H4749" s="16" t="s">
        <v>84</v>
      </c>
      <c r="I4749" s="16" t="s">
        <v>160</v>
      </c>
      <c r="J4749" s="16"/>
      <c r="K4749" s="16" t="s">
        <v>12932</v>
      </c>
      <c r="L4749" s="16"/>
      <c r="M4749" s="19" t="s">
        <v>83</v>
      </c>
      <c r="N4749" s="16"/>
      <c r="O4749" s="16" t="s">
        <v>13074</v>
      </c>
      <c r="P4749" s="16" t="str">
        <f>HYPERLINK("https://ceds.ed.gov/cedselementdetails.aspx?termid=26376")</f>
        <v>https://ceds.ed.gov/cedselementdetails.aspx?termid=26376</v>
      </c>
      <c r="Q4749" s="16">
        <v>76537</v>
      </c>
    </row>
    <row r="4750" spans="1:17" ht="43.2" x14ac:dyDescent="0.3">
      <c r="A4750" s="16" t="s">
        <v>7766</v>
      </c>
      <c r="B4750" s="16" t="s">
        <v>7795</v>
      </c>
      <c r="C4750" s="16" t="s">
        <v>13070</v>
      </c>
      <c r="D4750" s="16" t="s">
        <v>7597</v>
      </c>
      <c r="E4750" s="16" t="s">
        <v>12667</v>
      </c>
      <c r="F4750" s="16" t="s">
        <v>12668</v>
      </c>
      <c r="G4750" s="16" t="s">
        <v>32</v>
      </c>
      <c r="H4750" s="16"/>
      <c r="I4750" s="16" t="s">
        <v>155</v>
      </c>
      <c r="J4750" s="16" t="s">
        <v>316</v>
      </c>
      <c r="K4750" s="16" t="s">
        <v>12636</v>
      </c>
      <c r="L4750" s="16"/>
      <c r="M4750" s="19" t="s">
        <v>12669</v>
      </c>
      <c r="N4750" s="16"/>
      <c r="O4750" s="16" t="s">
        <v>12670</v>
      </c>
      <c r="P4750" s="16" t="str">
        <f>HYPERLINK("https://ceds.ed.gov/cedselementdetails.aspx?termid=28123")</f>
        <v>https://ceds.ed.gov/cedselementdetails.aspx?termid=28123</v>
      </c>
      <c r="Q4750" s="16">
        <v>76652</v>
      </c>
    </row>
    <row r="4751" spans="1:17" ht="57.6" x14ac:dyDescent="0.3">
      <c r="A4751" s="16" t="s">
        <v>7766</v>
      </c>
      <c r="B4751" s="16" t="s">
        <v>7795</v>
      </c>
      <c r="C4751" s="16" t="s">
        <v>13070</v>
      </c>
      <c r="D4751" s="16" t="s">
        <v>7597</v>
      </c>
      <c r="E4751" s="16" t="s">
        <v>12671</v>
      </c>
      <c r="F4751" s="16" t="s">
        <v>12672</v>
      </c>
      <c r="G4751" s="16" t="s">
        <v>12894</v>
      </c>
      <c r="H4751" s="16"/>
      <c r="I4751" s="16" t="s">
        <v>155</v>
      </c>
      <c r="J4751" s="16" t="s">
        <v>2</v>
      </c>
      <c r="K4751" s="16" t="s">
        <v>12636</v>
      </c>
      <c r="L4751" s="16"/>
      <c r="M4751" s="19" t="s">
        <v>12673</v>
      </c>
      <c r="N4751" s="16"/>
      <c r="O4751" s="16" t="s">
        <v>12674</v>
      </c>
      <c r="P4751" s="16" t="str">
        <f>HYPERLINK("https://ceds.ed.gov/cedselementdetails.aspx?termid=28124")</f>
        <v>https://ceds.ed.gov/cedselementdetails.aspx?termid=28124</v>
      </c>
      <c r="Q4751" s="16">
        <v>76654</v>
      </c>
    </row>
    <row r="4752" spans="1:17" ht="144" x14ac:dyDescent="0.3">
      <c r="A4752" s="16" t="s">
        <v>7766</v>
      </c>
      <c r="B4752" s="16" t="s">
        <v>7795</v>
      </c>
      <c r="C4752" s="16" t="s">
        <v>13070</v>
      </c>
      <c r="D4752" s="16" t="s">
        <v>7597</v>
      </c>
      <c r="E4752" s="16" t="s">
        <v>12680</v>
      </c>
      <c r="F4752" s="16" t="s">
        <v>12681</v>
      </c>
      <c r="G4752" s="16" t="s">
        <v>12895</v>
      </c>
      <c r="H4752" s="16"/>
      <c r="I4752" s="16" t="s">
        <v>155</v>
      </c>
      <c r="J4752" s="16" t="s">
        <v>2</v>
      </c>
      <c r="K4752" s="16" t="s">
        <v>12636</v>
      </c>
      <c r="L4752" s="16"/>
      <c r="M4752" s="19" t="s">
        <v>12682</v>
      </c>
      <c r="N4752" s="16"/>
      <c r="O4752" s="16" t="s">
        <v>12683</v>
      </c>
      <c r="P4752" s="16" t="str">
        <f>HYPERLINK("https://ceds.ed.gov/cedselementdetails.aspx?termid=28125")</f>
        <v>https://ceds.ed.gov/cedselementdetails.aspx?termid=28125</v>
      </c>
      <c r="Q4752" s="16">
        <v>76656</v>
      </c>
    </row>
    <row r="4753" spans="1:17" ht="115.2" x14ac:dyDescent="0.3">
      <c r="A4753" s="16" t="s">
        <v>7766</v>
      </c>
      <c r="B4753" s="16" t="s">
        <v>7795</v>
      </c>
      <c r="C4753" s="16" t="s">
        <v>13070</v>
      </c>
      <c r="D4753" s="16" t="s">
        <v>7597</v>
      </c>
      <c r="E4753" s="16" t="s">
        <v>12688</v>
      </c>
      <c r="F4753" s="16" t="s">
        <v>12689</v>
      </c>
      <c r="G4753" s="16" t="s">
        <v>12896</v>
      </c>
      <c r="H4753" s="16"/>
      <c r="I4753" s="16" t="s">
        <v>155</v>
      </c>
      <c r="J4753" s="16" t="s">
        <v>2</v>
      </c>
      <c r="K4753" s="16" t="s">
        <v>12636</v>
      </c>
      <c r="L4753" s="16"/>
      <c r="M4753" s="19" t="s">
        <v>12690</v>
      </c>
      <c r="N4753" s="16"/>
      <c r="O4753" s="16" t="s">
        <v>12691</v>
      </c>
      <c r="P4753" s="16" t="str">
        <f>HYPERLINK("https://ceds.ed.gov/cedselementdetails.aspx?termid=28155")</f>
        <v>https://ceds.ed.gov/cedselementdetails.aspx?termid=28155</v>
      </c>
      <c r="Q4753" s="16">
        <v>76716</v>
      </c>
    </row>
    <row r="4754" spans="1:17" ht="43.2" x14ac:dyDescent="0.3">
      <c r="A4754" s="16" t="s">
        <v>7766</v>
      </c>
      <c r="B4754" s="16" t="s">
        <v>7795</v>
      </c>
      <c r="C4754" s="16" t="s">
        <v>13070</v>
      </c>
      <c r="D4754" s="16" t="s">
        <v>7597</v>
      </c>
      <c r="E4754" s="16" t="s">
        <v>12692</v>
      </c>
      <c r="F4754" s="16" t="s">
        <v>12693</v>
      </c>
      <c r="G4754" s="16" t="s">
        <v>32</v>
      </c>
      <c r="H4754" s="16"/>
      <c r="I4754" s="16" t="s">
        <v>155</v>
      </c>
      <c r="J4754" s="16" t="s">
        <v>305</v>
      </c>
      <c r="K4754" s="16" t="s">
        <v>12636</v>
      </c>
      <c r="L4754" s="16"/>
      <c r="M4754" s="19" t="s">
        <v>12694</v>
      </c>
      <c r="N4754" s="16"/>
      <c r="O4754" s="16" t="s">
        <v>12695</v>
      </c>
      <c r="P4754" s="16" t="str">
        <f>HYPERLINK("https://ceds.ed.gov/cedselementdetails.aspx?termid=28136")</f>
        <v>https://ceds.ed.gov/cedselementdetails.aspx?termid=28136</v>
      </c>
      <c r="Q4754" s="16">
        <v>76678</v>
      </c>
    </row>
    <row r="4755" spans="1:17" ht="57.6" x14ac:dyDescent="0.3">
      <c r="A4755" s="16" t="s">
        <v>7766</v>
      </c>
      <c r="B4755" s="16" t="s">
        <v>7795</v>
      </c>
      <c r="C4755" s="16" t="s">
        <v>13070</v>
      </c>
      <c r="D4755" s="16" t="s">
        <v>7597</v>
      </c>
      <c r="E4755" s="16" t="s">
        <v>12696</v>
      </c>
      <c r="F4755" s="16" t="s">
        <v>12697</v>
      </c>
      <c r="G4755" s="16" t="s">
        <v>12897</v>
      </c>
      <c r="H4755" s="16"/>
      <c r="I4755" s="16" t="s">
        <v>155</v>
      </c>
      <c r="J4755" s="16" t="s">
        <v>2</v>
      </c>
      <c r="K4755" s="16" t="s">
        <v>12636</v>
      </c>
      <c r="L4755" s="16"/>
      <c r="M4755" s="19" t="s">
        <v>12698</v>
      </c>
      <c r="N4755" s="16"/>
      <c r="O4755" s="16" t="s">
        <v>12699</v>
      </c>
      <c r="P4755" s="16" t="str">
        <f>HYPERLINK("https://ceds.ed.gov/cedselementdetails.aspx?termid=28137")</f>
        <v>https://ceds.ed.gov/cedselementdetails.aspx?termid=28137</v>
      </c>
      <c r="Q4755" s="16">
        <v>76680</v>
      </c>
    </row>
    <row r="4756" spans="1:17" ht="57.6" x14ac:dyDescent="0.3">
      <c r="A4756" s="16" t="s">
        <v>7766</v>
      </c>
      <c r="B4756" s="16" t="s">
        <v>7795</v>
      </c>
      <c r="C4756" s="16" t="s">
        <v>13070</v>
      </c>
      <c r="D4756" s="16" t="s">
        <v>7597</v>
      </c>
      <c r="E4756" s="16" t="s">
        <v>12704</v>
      </c>
      <c r="F4756" s="16" t="s">
        <v>12705</v>
      </c>
      <c r="G4756" s="16" t="s">
        <v>12898</v>
      </c>
      <c r="H4756" s="16"/>
      <c r="I4756" s="16" t="s">
        <v>155</v>
      </c>
      <c r="J4756" s="16" t="s">
        <v>2</v>
      </c>
      <c r="K4756" s="16" t="s">
        <v>12636</v>
      </c>
      <c r="L4756" s="16"/>
      <c r="M4756" s="19" t="s">
        <v>12706</v>
      </c>
      <c r="N4756" s="16"/>
      <c r="O4756" s="16" t="s">
        <v>12707</v>
      </c>
      <c r="P4756" s="16" t="str">
        <f>HYPERLINK("https://ceds.ed.gov/cedselementdetails.aspx?termid=28127")</f>
        <v>https://ceds.ed.gov/cedselementdetails.aspx?termid=28127</v>
      </c>
      <c r="Q4756" s="16">
        <v>76660</v>
      </c>
    </row>
    <row r="4757" spans="1:17" ht="57.6" x14ac:dyDescent="0.3">
      <c r="A4757" s="16" t="s">
        <v>7766</v>
      </c>
      <c r="B4757" s="16" t="s">
        <v>7795</v>
      </c>
      <c r="C4757" s="16" t="s">
        <v>13070</v>
      </c>
      <c r="D4757" s="16" t="s">
        <v>7597</v>
      </c>
      <c r="E4757" s="16" t="s">
        <v>12708</v>
      </c>
      <c r="F4757" s="16" t="s">
        <v>12709</v>
      </c>
      <c r="G4757" s="16" t="s">
        <v>12899</v>
      </c>
      <c r="H4757" s="16"/>
      <c r="I4757" s="16" t="s">
        <v>155</v>
      </c>
      <c r="J4757" s="16" t="s">
        <v>2</v>
      </c>
      <c r="K4757" s="16" t="s">
        <v>12636</v>
      </c>
      <c r="L4757" s="16"/>
      <c r="M4757" s="19" t="s">
        <v>12710</v>
      </c>
      <c r="N4757" s="16"/>
      <c r="O4757" s="16" t="s">
        <v>12711</v>
      </c>
      <c r="P4757" s="16" t="str">
        <f>HYPERLINK("https://ceds.ed.gov/cedselementdetails.aspx?termid=28128")</f>
        <v>https://ceds.ed.gov/cedselementdetails.aspx?termid=28128</v>
      </c>
      <c r="Q4757" s="16">
        <v>76662</v>
      </c>
    </row>
    <row r="4758" spans="1:17" ht="57.6" x14ac:dyDescent="0.3">
      <c r="A4758" s="16" t="s">
        <v>7766</v>
      </c>
      <c r="B4758" s="16" t="s">
        <v>7795</v>
      </c>
      <c r="C4758" s="16" t="s">
        <v>13070</v>
      </c>
      <c r="D4758" s="16" t="s">
        <v>7597</v>
      </c>
      <c r="E4758" s="16" t="s">
        <v>12712</v>
      </c>
      <c r="F4758" s="16" t="s">
        <v>12713</v>
      </c>
      <c r="G4758" s="16" t="s">
        <v>12900</v>
      </c>
      <c r="H4758" s="16"/>
      <c r="I4758" s="16" t="s">
        <v>155</v>
      </c>
      <c r="J4758" s="16" t="s">
        <v>2</v>
      </c>
      <c r="K4758" s="16" t="s">
        <v>12636</v>
      </c>
      <c r="L4758" s="16"/>
      <c r="M4758" s="19" t="s">
        <v>12714</v>
      </c>
      <c r="N4758" s="16"/>
      <c r="O4758" s="16" t="s">
        <v>12715</v>
      </c>
      <c r="P4758" s="16" t="str">
        <f>HYPERLINK("https://ceds.ed.gov/cedselementdetails.aspx?termid=28129")</f>
        <v>https://ceds.ed.gov/cedselementdetails.aspx?termid=28129</v>
      </c>
      <c r="Q4758" s="16">
        <v>76664</v>
      </c>
    </row>
    <row r="4759" spans="1:17" ht="57.6" x14ac:dyDescent="0.3">
      <c r="A4759" s="16" t="s">
        <v>7766</v>
      </c>
      <c r="B4759" s="16" t="s">
        <v>7795</v>
      </c>
      <c r="C4759" s="16" t="s">
        <v>13070</v>
      </c>
      <c r="D4759" s="16" t="s">
        <v>7597</v>
      </c>
      <c r="E4759" s="16" t="s">
        <v>12716</v>
      </c>
      <c r="F4759" s="16" t="s">
        <v>12717</v>
      </c>
      <c r="G4759" s="16" t="s">
        <v>8339</v>
      </c>
      <c r="H4759" s="16"/>
      <c r="I4759" s="16" t="s">
        <v>155</v>
      </c>
      <c r="J4759" s="16" t="s">
        <v>2</v>
      </c>
      <c r="K4759" s="16" t="s">
        <v>12636</v>
      </c>
      <c r="L4759" s="16"/>
      <c r="M4759" s="19" t="s">
        <v>12718</v>
      </c>
      <c r="N4759" s="16"/>
      <c r="O4759" s="16" t="s">
        <v>12719</v>
      </c>
      <c r="P4759" s="16" t="str">
        <f>HYPERLINK("https://ceds.ed.gov/cedselementdetails.aspx?termid=28130")</f>
        <v>https://ceds.ed.gov/cedselementdetails.aspx?termid=28130</v>
      </c>
      <c r="Q4759" s="16">
        <v>76666</v>
      </c>
    </row>
    <row r="4760" spans="1:17" ht="43.2" x14ac:dyDescent="0.3">
      <c r="A4760" s="16" t="s">
        <v>7766</v>
      </c>
      <c r="B4760" s="16" t="s">
        <v>7795</v>
      </c>
      <c r="C4760" s="16" t="s">
        <v>13070</v>
      </c>
      <c r="D4760" s="16" t="s">
        <v>7597</v>
      </c>
      <c r="E4760" s="16" t="s">
        <v>12720</v>
      </c>
      <c r="F4760" s="16" t="s">
        <v>12721</v>
      </c>
      <c r="G4760" s="16" t="s">
        <v>32</v>
      </c>
      <c r="H4760" s="16"/>
      <c r="I4760" s="16" t="s">
        <v>155</v>
      </c>
      <c r="J4760" s="16" t="s">
        <v>305</v>
      </c>
      <c r="K4760" s="16" t="s">
        <v>12636</v>
      </c>
      <c r="L4760" s="16"/>
      <c r="M4760" s="19" t="s">
        <v>12722</v>
      </c>
      <c r="N4760" s="16"/>
      <c r="O4760" s="16" t="s">
        <v>12723</v>
      </c>
      <c r="P4760" s="16" t="str">
        <f>HYPERLINK("https://ceds.ed.gov/cedselementdetails.aspx?termid=28131")</f>
        <v>https://ceds.ed.gov/cedselementdetails.aspx?termid=28131</v>
      </c>
      <c r="Q4760" s="16">
        <v>76668</v>
      </c>
    </row>
    <row r="4761" spans="1:17" ht="57.6" x14ac:dyDescent="0.3">
      <c r="A4761" s="16" t="s">
        <v>7766</v>
      </c>
      <c r="B4761" s="16" t="s">
        <v>7795</v>
      </c>
      <c r="C4761" s="16" t="s">
        <v>13070</v>
      </c>
      <c r="D4761" s="16" t="s">
        <v>7597</v>
      </c>
      <c r="E4761" s="16" t="s">
        <v>12724</v>
      </c>
      <c r="F4761" s="16" t="s">
        <v>12725</v>
      </c>
      <c r="G4761" s="16" t="s">
        <v>12901</v>
      </c>
      <c r="H4761" s="16"/>
      <c r="I4761" s="16" t="s">
        <v>155</v>
      </c>
      <c r="J4761" s="16" t="s">
        <v>2</v>
      </c>
      <c r="K4761" s="16" t="s">
        <v>12636</v>
      </c>
      <c r="L4761" s="16"/>
      <c r="M4761" s="19" t="s">
        <v>12726</v>
      </c>
      <c r="N4761" s="16"/>
      <c r="O4761" s="16" t="s">
        <v>12727</v>
      </c>
      <c r="P4761" s="16" t="str">
        <f>HYPERLINK("https://ceds.ed.gov/cedselementdetails.aspx?termid=28132")</f>
        <v>https://ceds.ed.gov/cedselementdetails.aspx?termid=28132</v>
      </c>
      <c r="Q4761" s="16">
        <v>76670</v>
      </c>
    </row>
    <row r="4762" spans="1:17" ht="57.6" x14ac:dyDescent="0.3">
      <c r="A4762" s="16" t="s">
        <v>7766</v>
      </c>
      <c r="B4762" s="16" t="s">
        <v>7795</v>
      </c>
      <c r="C4762" s="16" t="s">
        <v>13070</v>
      </c>
      <c r="D4762" s="16" t="s">
        <v>7597</v>
      </c>
      <c r="E4762" s="16" t="s">
        <v>12728</v>
      </c>
      <c r="F4762" s="16" t="s">
        <v>12729</v>
      </c>
      <c r="G4762" s="16" t="s">
        <v>12902</v>
      </c>
      <c r="H4762" s="16"/>
      <c r="I4762" s="16" t="s">
        <v>155</v>
      </c>
      <c r="J4762" s="16" t="s">
        <v>2</v>
      </c>
      <c r="K4762" s="16" t="s">
        <v>12636</v>
      </c>
      <c r="L4762" s="16"/>
      <c r="M4762" s="19" t="s">
        <v>12730</v>
      </c>
      <c r="N4762" s="16"/>
      <c r="O4762" s="16" t="s">
        <v>12731</v>
      </c>
      <c r="P4762" s="16" t="str">
        <f>HYPERLINK("https://ceds.ed.gov/cedselementdetails.aspx?termid=28133")</f>
        <v>https://ceds.ed.gov/cedselementdetails.aspx?termid=28133</v>
      </c>
      <c r="Q4762" s="16">
        <v>76672</v>
      </c>
    </row>
    <row r="4763" spans="1:17" ht="86.4" x14ac:dyDescent="0.3">
      <c r="A4763" s="16" t="s">
        <v>7766</v>
      </c>
      <c r="B4763" s="16" t="s">
        <v>7795</v>
      </c>
      <c r="C4763" s="16" t="s">
        <v>13070</v>
      </c>
      <c r="D4763" s="16" t="s">
        <v>7597</v>
      </c>
      <c r="E4763" s="16" t="s">
        <v>12732</v>
      </c>
      <c r="F4763" s="16" t="s">
        <v>12733</v>
      </c>
      <c r="G4763" s="16" t="s">
        <v>12903</v>
      </c>
      <c r="H4763" s="16"/>
      <c r="I4763" s="16" t="s">
        <v>155</v>
      </c>
      <c r="J4763" s="16" t="s">
        <v>2</v>
      </c>
      <c r="K4763" s="16" t="s">
        <v>12636</v>
      </c>
      <c r="L4763" s="16"/>
      <c r="M4763" s="19" t="s">
        <v>12734</v>
      </c>
      <c r="N4763" s="16"/>
      <c r="O4763" s="16" t="s">
        <v>12735</v>
      </c>
      <c r="P4763" s="16" t="str">
        <f>HYPERLINK("https://ceds.ed.gov/cedselementdetails.aspx?termid=28134")</f>
        <v>https://ceds.ed.gov/cedselementdetails.aspx?termid=28134</v>
      </c>
      <c r="Q4763" s="16">
        <v>76674</v>
      </c>
    </row>
    <row r="4764" spans="1:17" ht="57.6" x14ac:dyDescent="0.3">
      <c r="A4764" s="16" t="s">
        <v>7766</v>
      </c>
      <c r="B4764" s="16" t="s">
        <v>7795</v>
      </c>
      <c r="C4764" s="16" t="s">
        <v>13070</v>
      </c>
      <c r="D4764" s="16" t="s">
        <v>7597</v>
      </c>
      <c r="E4764" s="16" t="s">
        <v>12740</v>
      </c>
      <c r="F4764" s="16" t="s">
        <v>12741</v>
      </c>
      <c r="G4764" s="16" t="s">
        <v>12905</v>
      </c>
      <c r="H4764" s="16"/>
      <c r="I4764" s="16" t="s">
        <v>155</v>
      </c>
      <c r="J4764" s="16" t="s">
        <v>2</v>
      </c>
      <c r="K4764" s="16" t="s">
        <v>12636</v>
      </c>
      <c r="L4764" s="16"/>
      <c r="M4764" s="19" t="s">
        <v>12742</v>
      </c>
      <c r="N4764" s="16"/>
      <c r="O4764" s="16" t="s">
        <v>12743</v>
      </c>
      <c r="P4764" s="16" t="str">
        <f>HYPERLINK("https://ceds.ed.gov/cedselementdetails.aspx?termid=28135")</f>
        <v>https://ceds.ed.gov/cedselementdetails.aspx?termid=28135</v>
      </c>
      <c r="Q4764" s="16">
        <v>76676</v>
      </c>
    </row>
    <row r="4765" spans="1:17" ht="28.8" x14ac:dyDescent="0.3">
      <c r="A4765" s="16" t="s">
        <v>7766</v>
      </c>
      <c r="B4765" s="16" t="s">
        <v>7795</v>
      </c>
      <c r="C4765" s="16" t="s">
        <v>13070</v>
      </c>
      <c r="D4765" s="16" t="s">
        <v>7597</v>
      </c>
      <c r="E4765" s="16" t="s">
        <v>12761</v>
      </c>
      <c r="F4765" s="16" t="s">
        <v>12762</v>
      </c>
      <c r="G4765" s="16" t="s">
        <v>32</v>
      </c>
      <c r="H4765" s="16"/>
      <c r="I4765" s="16" t="s">
        <v>155</v>
      </c>
      <c r="J4765" s="16" t="s">
        <v>305</v>
      </c>
      <c r="K4765" s="16" t="s">
        <v>12636</v>
      </c>
      <c r="L4765" s="16"/>
      <c r="M4765" s="19" t="s">
        <v>12763</v>
      </c>
      <c r="N4765" s="16"/>
      <c r="O4765" s="16" t="s">
        <v>12764</v>
      </c>
      <c r="P4765" s="16" t="str">
        <f>HYPERLINK("https://ceds.ed.gov/cedselementdetails.aspx?termid=28140")</f>
        <v>https://ceds.ed.gov/cedselementdetails.aspx?termid=28140</v>
      </c>
      <c r="Q4765" s="16">
        <v>76686</v>
      </c>
    </row>
    <row r="4766" spans="1:17" ht="28.8" x14ac:dyDescent="0.3">
      <c r="A4766" s="16" t="s">
        <v>7766</v>
      </c>
      <c r="B4766" s="16" t="s">
        <v>7795</v>
      </c>
      <c r="C4766" s="16" t="s">
        <v>13070</v>
      </c>
      <c r="D4766" s="16" t="s">
        <v>7597</v>
      </c>
      <c r="E4766" s="16" t="s">
        <v>12765</v>
      </c>
      <c r="F4766" s="16" t="s">
        <v>12766</v>
      </c>
      <c r="G4766" s="16" t="s">
        <v>32</v>
      </c>
      <c r="H4766" s="16"/>
      <c r="I4766" s="16" t="s">
        <v>155</v>
      </c>
      <c r="J4766" s="16" t="s">
        <v>305</v>
      </c>
      <c r="K4766" s="16" t="s">
        <v>12636</v>
      </c>
      <c r="L4766" s="16"/>
      <c r="M4766" s="19" t="s">
        <v>12767</v>
      </c>
      <c r="N4766" s="16"/>
      <c r="O4766" s="16" t="s">
        <v>12768</v>
      </c>
      <c r="P4766" s="16" t="str">
        <f>HYPERLINK("https://ceds.ed.gov/cedselementdetails.aspx?termid=28139")</f>
        <v>https://ceds.ed.gov/cedselementdetails.aspx?termid=28139</v>
      </c>
      <c r="Q4766" s="16">
        <v>76684</v>
      </c>
    </row>
    <row r="4767" spans="1:17" ht="43.2" x14ac:dyDescent="0.3">
      <c r="A4767" s="16" t="s">
        <v>7766</v>
      </c>
      <c r="B4767" s="16" t="s">
        <v>7795</v>
      </c>
      <c r="C4767" s="16" t="s">
        <v>13070</v>
      </c>
      <c r="D4767" s="16" t="s">
        <v>7597</v>
      </c>
      <c r="E4767" s="16" t="s">
        <v>12769</v>
      </c>
      <c r="F4767" s="16" t="s">
        <v>12770</v>
      </c>
      <c r="G4767" s="16" t="s">
        <v>12906</v>
      </c>
      <c r="H4767" s="16"/>
      <c r="I4767" s="16" t="s">
        <v>155</v>
      </c>
      <c r="J4767" s="16" t="s">
        <v>2</v>
      </c>
      <c r="K4767" s="16" t="s">
        <v>12636</v>
      </c>
      <c r="L4767" s="16"/>
      <c r="M4767" s="19" t="s">
        <v>12771</v>
      </c>
      <c r="N4767" s="16"/>
      <c r="O4767" s="16" t="s">
        <v>12772</v>
      </c>
      <c r="P4767" s="16" t="str">
        <f>HYPERLINK("https://ceds.ed.gov/cedselementdetails.aspx?termid=28138")</f>
        <v>https://ceds.ed.gov/cedselementdetails.aspx?termid=28138</v>
      </c>
      <c r="Q4767" s="16">
        <v>76682</v>
      </c>
    </row>
    <row r="4768" spans="1:17" ht="115.2" x14ac:dyDescent="0.3">
      <c r="A4768" s="16" t="s">
        <v>7766</v>
      </c>
      <c r="B4768" s="16" t="s">
        <v>7795</v>
      </c>
      <c r="C4768" s="16" t="s">
        <v>13070</v>
      </c>
      <c r="D4768" s="16" t="s">
        <v>7597</v>
      </c>
      <c r="E4768" s="16" t="s">
        <v>12817</v>
      </c>
      <c r="F4768" s="16" t="s">
        <v>12818</v>
      </c>
      <c r="G4768" s="16" t="s">
        <v>12915</v>
      </c>
      <c r="H4768" s="16"/>
      <c r="I4768" s="16" t="s">
        <v>155</v>
      </c>
      <c r="J4768" s="16" t="s">
        <v>2</v>
      </c>
      <c r="K4768" s="16" t="s">
        <v>12636</v>
      </c>
      <c r="L4768" s="16"/>
      <c r="M4768" s="19" t="s">
        <v>12819</v>
      </c>
      <c r="N4768" s="16"/>
      <c r="O4768" s="16" t="s">
        <v>12820</v>
      </c>
      <c r="P4768" s="16" t="str">
        <f>HYPERLINK("https://ceds.ed.gov/cedselementdetails.aspx?termid=28141")</f>
        <v>https://ceds.ed.gov/cedselementdetails.aspx?termid=28141</v>
      </c>
      <c r="Q4768" s="16">
        <v>76688</v>
      </c>
    </row>
    <row r="4769" spans="1:17" ht="57.6" x14ac:dyDescent="0.3">
      <c r="A4769" s="16" t="s">
        <v>7766</v>
      </c>
      <c r="B4769" s="16" t="s">
        <v>7795</v>
      </c>
      <c r="C4769" s="16" t="s">
        <v>13070</v>
      </c>
      <c r="D4769" s="16" t="s">
        <v>7597</v>
      </c>
      <c r="E4769" s="16" t="s">
        <v>12836</v>
      </c>
      <c r="F4769" s="16" t="s">
        <v>12837</v>
      </c>
      <c r="G4769" s="16" t="s">
        <v>12919</v>
      </c>
      <c r="H4769" s="16"/>
      <c r="I4769" s="16" t="s">
        <v>155</v>
      </c>
      <c r="J4769" s="16" t="s">
        <v>2</v>
      </c>
      <c r="K4769" s="16" t="s">
        <v>12636</v>
      </c>
      <c r="L4769" s="16"/>
      <c r="M4769" s="19" t="s">
        <v>12838</v>
      </c>
      <c r="N4769" s="16"/>
      <c r="O4769" s="16" t="s">
        <v>12839</v>
      </c>
      <c r="P4769" s="16" t="str">
        <f>HYPERLINK("https://ceds.ed.gov/cedselementdetails.aspx?termid=28142")</f>
        <v>https://ceds.ed.gov/cedselementdetails.aspx?termid=28142</v>
      </c>
      <c r="Q4769" s="16">
        <v>76690</v>
      </c>
    </row>
    <row r="4770" spans="1:17" ht="86.4" x14ac:dyDescent="0.3">
      <c r="A4770" s="16" t="s">
        <v>7766</v>
      </c>
      <c r="B4770" s="16" t="s">
        <v>7795</v>
      </c>
      <c r="C4770" s="16" t="s">
        <v>13070</v>
      </c>
      <c r="D4770" s="16" t="s">
        <v>7597</v>
      </c>
      <c r="E4770" s="16" t="s">
        <v>12840</v>
      </c>
      <c r="F4770" s="16" t="s">
        <v>12841</v>
      </c>
      <c r="G4770" s="16" t="s">
        <v>12920</v>
      </c>
      <c r="H4770" s="16"/>
      <c r="I4770" s="16" t="s">
        <v>155</v>
      </c>
      <c r="J4770" s="16" t="s">
        <v>2</v>
      </c>
      <c r="K4770" s="16" t="s">
        <v>12636</v>
      </c>
      <c r="L4770" s="16"/>
      <c r="M4770" s="19" t="s">
        <v>12842</v>
      </c>
      <c r="N4770" s="16"/>
      <c r="O4770" s="16" t="s">
        <v>12843</v>
      </c>
      <c r="P4770" s="16" t="str">
        <f>HYPERLINK("https://ceds.ed.gov/cedselementdetails.aspx?termid=28143")</f>
        <v>https://ceds.ed.gov/cedselementdetails.aspx?termid=28143</v>
      </c>
      <c r="Q4770" s="16">
        <v>76692</v>
      </c>
    </row>
    <row r="4771" spans="1:17" ht="100.8" x14ac:dyDescent="0.3">
      <c r="A4771" s="16" t="s">
        <v>7766</v>
      </c>
      <c r="B4771" s="16" t="s">
        <v>7795</v>
      </c>
      <c r="C4771" s="16" t="s">
        <v>13070</v>
      </c>
      <c r="D4771" s="16" t="s">
        <v>7597</v>
      </c>
      <c r="E4771" s="16" t="s">
        <v>12853</v>
      </c>
      <c r="F4771" s="16" t="s">
        <v>12854</v>
      </c>
      <c r="G4771" s="16" t="s">
        <v>12922</v>
      </c>
      <c r="H4771" s="16"/>
      <c r="I4771" s="16" t="s">
        <v>155</v>
      </c>
      <c r="J4771" s="16" t="s">
        <v>2</v>
      </c>
      <c r="K4771" s="16" t="s">
        <v>12636</v>
      </c>
      <c r="L4771" s="16"/>
      <c r="M4771" s="19" t="s">
        <v>12855</v>
      </c>
      <c r="N4771" s="16"/>
      <c r="O4771" s="16" t="s">
        <v>12856</v>
      </c>
      <c r="P4771" s="16" t="str">
        <f>HYPERLINK("https://ceds.ed.gov/cedselementdetails.aspx?termid=28144")</f>
        <v>https://ceds.ed.gov/cedselementdetails.aspx?termid=28144</v>
      </c>
      <c r="Q4771" s="16">
        <v>76694</v>
      </c>
    </row>
    <row r="4772" spans="1:17" ht="72" x14ac:dyDescent="0.3">
      <c r="A4772" s="16" t="s">
        <v>7766</v>
      </c>
      <c r="B4772" s="16" t="s">
        <v>7795</v>
      </c>
      <c r="C4772" s="16" t="s">
        <v>13070</v>
      </c>
      <c r="D4772" s="16" t="s">
        <v>7597</v>
      </c>
      <c r="E4772" s="16" t="s">
        <v>12857</v>
      </c>
      <c r="F4772" s="16" t="s">
        <v>12858</v>
      </c>
      <c r="G4772" s="16" t="s">
        <v>12923</v>
      </c>
      <c r="H4772" s="16"/>
      <c r="I4772" s="16" t="s">
        <v>155</v>
      </c>
      <c r="J4772" s="16" t="s">
        <v>2</v>
      </c>
      <c r="K4772" s="16" t="s">
        <v>12636</v>
      </c>
      <c r="L4772" s="16"/>
      <c r="M4772" s="19" t="s">
        <v>12859</v>
      </c>
      <c r="N4772" s="16"/>
      <c r="O4772" s="16" t="s">
        <v>12860</v>
      </c>
      <c r="P4772" s="16" t="str">
        <f>HYPERLINK("https://ceds.ed.gov/cedselementdetails.aspx?termid=28145")</f>
        <v>https://ceds.ed.gov/cedselementdetails.aspx?termid=28145</v>
      </c>
      <c r="Q4772" s="16">
        <v>76696</v>
      </c>
    </row>
    <row r="4773" spans="1:17" ht="57.6" x14ac:dyDescent="0.3">
      <c r="A4773" s="16" t="s">
        <v>7766</v>
      </c>
      <c r="B4773" s="16" t="s">
        <v>7795</v>
      </c>
      <c r="C4773" s="16" t="s">
        <v>13070</v>
      </c>
      <c r="D4773" s="16" t="s">
        <v>7597</v>
      </c>
      <c r="E4773" s="16" t="s">
        <v>12861</v>
      </c>
      <c r="F4773" s="16" t="s">
        <v>12862</v>
      </c>
      <c r="G4773" s="16" t="s">
        <v>12924</v>
      </c>
      <c r="H4773" s="16"/>
      <c r="I4773" s="16" t="s">
        <v>155</v>
      </c>
      <c r="J4773" s="16" t="s">
        <v>2</v>
      </c>
      <c r="K4773" s="16" t="s">
        <v>12636</v>
      </c>
      <c r="L4773" s="16"/>
      <c r="M4773" s="19" t="s">
        <v>12863</v>
      </c>
      <c r="N4773" s="16"/>
      <c r="O4773" s="16" t="s">
        <v>12864</v>
      </c>
      <c r="P4773" s="16" t="str">
        <f>HYPERLINK("https://ceds.ed.gov/cedselementdetails.aspx?termid=28126")</f>
        <v>https://ceds.ed.gov/cedselementdetails.aspx?termid=28126</v>
      </c>
      <c r="Q4773" s="16">
        <v>76658</v>
      </c>
    </row>
    <row r="4774" spans="1:17" ht="43.2" x14ac:dyDescent="0.3">
      <c r="A4774" s="16" t="s">
        <v>7766</v>
      </c>
      <c r="B4774" s="16" t="s">
        <v>7795</v>
      </c>
      <c r="C4774" s="16" t="s">
        <v>13070</v>
      </c>
      <c r="D4774" s="16" t="s">
        <v>7597</v>
      </c>
      <c r="E4774" s="16" t="s">
        <v>12869</v>
      </c>
      <c r="F4774" s="16" t="s">
        <v>12870</v>
      </c>
      <c r="G4774" s="16" t="s">
        <v>12925</v>
      </c>
      <c r="H4774" s="16"/>
      <c r="I4774" s="16" t="s">
        <v>155</v>
      </c>
      <c r="J4774" s="16" t="s">
        <v>2</v>
      </c>
      <c r="K4774" s="16" t="s">
        <v>12636</v>
      </c>
      <c r="L4774" s="16"/>
      <c r="M4774" s="19" t="s">
        <v>12871</v>
      </c>
      <c r="N4774" s="16"/>
      <c r="O4774" s="16" t="s">
        <v>12872</v>
      </c>
      <c r="P4774" s="16" t="str">
        <f>HYPERLINK("https://ceds.ed.gov/cedselementdetails.aspx?termid=28146")</f>
        <v>https://ceds.ed.gov/cedselementdetails.aspx?termid=28146</v>
      </c>
      <c r="Q4774" s="16">
        <v>76698</v>
      </c>
    </row>
    <row r="4775" spans="1:17" ht="43.2" x14ac:dyDescent="0.3">
      <c r="A4775" s="16" t="s">
        <v>7766</v>
      </c>
      <c r="B4775" s="16" t="s">
        <v>7795</v>
      </c>
      <c r="C4775" s="16" t="s">
        <v>13070</v>
      </c>
      <c r="D4775" s="16" t="s">
        <v>7597</v>
      </c>
      <c r="E4775" s="16" t="s">
        <v>12873</v>
      </c>
      <c r="F4775" s="16" t="s">
        <v>12874</v>
      </c>
      <c r="G4775" s="16" t="s">
        <v>12926</v>
      </c>
      <c r="H4775" s="16"/>
      <c r="I4775" s="16" t="s">
        <v>155</v>
      </c>
      <c r="J4775" s="16" t="s">
        <v>2</v>
      </c>
      <c r="K4775" s="16" t="s">
        <v>12636</v>
      </c>
      <c r="L4775" s="16"/>
      <c r="M4775" s="19" t="s">
        <v>12875</v>
      </c>
      <c r="N4775" s="16"/>
      <c r="O4775" s="16" t="s">
        <v>12876</v>
      </c>
      <c r="P4775" s="16" t="str">
        <f>HYPERLINK("https://ceds.ed.gov/cedselementdetails.aspx?termid=28147")</f>
        <v>https://ceds.ed.gov/cedselementdetails.aspx?termid=28147</v>
      </c>
      <c r="Q4775" s="16">
        <v>76700</v>
      </c>
    </row>
    <row r="4776" spans="1:17" ht="172.8" x14ac:dyDescent="0.3">
      <c r="A4776" s="16" t="s">
        <v>7796</v>
      </c>
      <c r="B4776" s="16" t="s">
        <v>7797</v>
      </c>
      <c r="C4776" s="16"/>
      <c r="D4776" s="16" t="s">
        <v>7597</v>
      </c>
      <c r="E4776" s="16" t="s">
        <v>591</v>
      </c>
      <c r="F4776" s="16" t="s">
        <v>7838</v>
      </c>
      <c r="G4776" s="16" t="s">
        <v>32</v>
      </c>
      <c r="H4776" s="16" t="s">
        <v>594</v>
      </c>
      <c r="I4776" s="16"/>
      <c r="J4776" s="16" t="s">
        <v>747</v>
      </c>
      <c r="K4776" s="16"/>
      <c r="L4776" s="16" t="s">
        <v>7817</v>
      </c>
      <c r="M4776" s="19" t="s">
        <v>592</v>
      </c>
      <c r="N4776" s="16"/>
      <c r="O4776" s="16" t="s">
        <v>593</v>
      </c>
      <c r="P4776" s="16" t="str">
        <f>HYPERLINK("https://ceds.ed.gov/cedselementdetails.aspx?termid=26152")</f>
        <v>https://ceds.ed.gov/cedselementdetails.aspx?termid=26152</v>
      </c>
      <c r="Q4776" s="16">
        <v>74811</v>
      </c>
    </row>
    <row r="4777" spans="1:17" ht="115.2" x14ac:dyDescent="0.3">
      <c r="A4777" s="16" t="s">
        <v>7796</v>
      </c>
      <c r="B4777" s="16" t="s">
        <v>7797</v>
      </c>
      <c r="C4777" s="16"/>
      <c r="D4777" s="16" t="s">
        <v>7597</v>
      </c>
      <c r="E4777" s="16" t="s">
        <v>586</v>
      </c>
      <c r="F4777" s="16" t="s">
        <v>587</v>
      </c>
      <c r="G4777" s="16" t="s">
        <v>8329</v>
      </c>
      <c r="H4777" s="16" t="s">
        <v>590</v>
      </c>
      <c r="I4777" s="16"/>
      <c r="J4777" s="16"/>
      <c r="K4777" s="16"/>
      <c r="L4777" s="16"/>
      <c r="M4777" s="19" t="s">
        <v>588</v>
      </c>
      <c r="N4777" s="16"/>
      <c r="O4777" s="16" t="s">
        <v>589</v>
      </c>
      <c r="P4777" s="16" t="str">
        <f>HYPERLINK("https://ceds.ed.gov/cedselementdetails.aspx?termid=26158")</f>
        <v>https://ceds.ed.gov/cedselementdetails.aspx?termid=26158</v>
      </c>
      <c r="Q4777" s="16">
        <v>74781</v>
      </c>
    </row>
    <row r="4778" spans="1:17" ht="43.2" x14ac:dyDescent="0.3">
      <c r="A4778" s="16" t="s">
        <v>7796</v>
      </c>
      <c r="B4778" s="16" t="s">
        <v>7797</v>
      </c>
      <c r="C4778" s="16"/>
      <c r="D4778" s="16" t="s">
        <v>7597</v>
      </c>
      <c r="E4778" s="16" t="s">
        <v>2706</v>
      </c>
      <c r="F4778" s="16" t="s">
        <v>2707</v>
      </c>
      <c r="G4778" s="16" t="s">
        <v>32</v>
      </c>
      <c r="H4778" s="16"/>
      <c r="I4778" s="16"/>
      <c r="J4778" s="16" t="s">
        <v>316</v>
      </c>
      <c r="K4778" s="16"/>
      <c r="L4778" s="16"/>
      <c r="M4778" s="19" t="s">
        <v>2709</v>
      </c>
      <c r="N4778" s="16"/>
      <c r="O4778" s="16" t="s">
        <v>2710</v>
      </c>
      <c r="P4778" s="16" t="str">
        <f>HYPERLINK("https://ceds.ed.gov/cedselementdetails.aspx?termid=27715")</f>
        <v>https://ceds.ed.gov/cedselementdetails.aspx?termid=27715</v>
      </c>
      <c r="Q4778" s="16">
        <v>74883</v>
      </c>
    </row>
    <row r="4779" spans="1:17" ht="43.2" x14ac:dyDescent="0.3">
      <c r="A4779" s="16" t="s">
        <v>7796</v>
      </c>
      <c r="B4779" s="16" t="s">
        <v>7797</v>
      </c>
      <c r="C4779" s="16"/>
      <c r="D4779" s="16" t="s">
        <v>7597</v>
      </c>
      <c r="E4779" s="16" t="s">
        <v>2711</v>
      </c>
      <c r="F4779" s="16" t="s">
        <v>2712</v>
      </c>
      <c r="G4779" s="16" t="s">
        <v>32</v>
      </c>
      <c r="H4779" s="16"/>
      <c r="I4779" s="16"/>
      <c r="J4779" s="16" t="s">
        <v>50</v>
      </c>
      <c r="K4779" s="16"/>
      <c r="L4779" s="16"/>
      <c r="M4779" s="19" t="s">
        <v>2713</v>
      </c>
      <c r="N4779" s="16"/>
      <c r="O4779" s="16" t="s">
        <v>2714</v>
      </c>
      <c r="P4779" s="16" t="str">
        <f>HYPERLINK("https://ceds.ed.gov/cedselementdetails.aspx?termid=27716")</f>
        <v>https://ceds.ed.gov/cedselementdetails.aspx?termid=27716</v>
      </c>
      <c r="Q4779" s="16">
        <v>74884</v>
      </c>
    </row>
    <row r="4780" spans="1:17" ht="57.6" x14ac:dyDescent="0.3">
      <c r="A4780" s="16" t="s">
        <v>7796</v>
      </c>
      <c r="B4780" s="16" t="s">
        <v>7797</v>
      </c>
      <c r="C4780" s="16"/>
      <c r="D4780" s="16" t="s">
        <v>7597</v>
      </c>
      <c r="E4780" s="16" t="s">
        <v>2735</v>
      </c>
      <c r="F4780" s="16" t="s">
        <v>7350</v>
      </c>
      <c r="G4780" s="16" t="s">
        <v>32</v>
      </c>
      <c r="H4780" s="16"/>
      <c r="I4780" s="16"/>
      <c r="J4780" s="16" t="s">
        <v>106</v>
      </c>
      <c r="K4780" s="16"/>
      <c r="L4780" s="16" t="s">
        <v>2736</v>
      </c>
      <c r="M4780" s="19" t="s">
        <v>2737</v>
      </c>
      <c r="N4780" s="16" t="s">
        <v>2738</v>
      </c>
      <c r="O4780" s="16" t="s">
        <v>2739</v>
      </c>
      <c r="P4780" s="16" t="str">
        <f>HYPERLINK("https://ceds.ed.gov/cedselementdetails.aspx?termid=27120")</f>
        <v>https://ceds.ed.gov/cedselementdetails.aspx?termid=27120</v>
      </c>
      <c r="Q4780" s="16">
        <v>74814</v>
      </c>
    </row>
    <row r="4781" spans="1:17" ht="57.6" x14ac:dyDescent="0.3">
      <c r="A4781" s="16" t="s">
        <v>7796</v>
      </c>
      <c r="B4781" s="16" t="s">
        <v>7797</v>
      </c>
      <c r="C4781" s="16"/>
      <c r="D4781" s="16" t="s">
        <v>7597</v>
      </c>
      <c r="E4781" s="16" t="s">
        <v>2719</v>
      </c>
      <c r="F4781" s="16" t="s">
        <v>7347</v>
      </c>
      <c r="G4781" s="16" t="s">
        <v>32</v>
      </c>
      <c r="H4781" s="16"/>
      <c r="I4781" s="16"/>
      <c r="J4781" s="16" t="s">
        <v>106</v>
      </c>
      <c r="K4781" s="16"/>
      <c r="L4781" s="16" t="s">
        <v>131</v>
      </c>
      <c r="M4781" s="19" t="s">
        <v>2720</v>
      </c>
      <c r="N4781" s="16" t="s">
        <v>2721</v>
      </c>
      <c r="O4781" s="16" t="s">
        <v>2722</v>
      </c>
      <c r="P4781" s="16" t="str">
        <f>HYPERLINK("https://ceds.ed.gov/cedselementdetails.aspx?termid=27121")</f>
        <v>https://ceds.ed.gov/cedselementdetails.aspx?termid=27121</v>
      </c>
      <c r="Q4781" s="16">
        <v>74815</v>
      </c>
    </row>
    <row r="4782" spans="1:17" ht="43.2" x14ac:dyDescent="0.3">
      <c r="A4782" s="16" t="s">
        <v>7796</v>
      </c>
      <c r="B4782" s="16" t="s">
        <v>7797</v>
      </c>
      <c r="C4782" s="16"/>
      <c r="D4782" s="16" t="s">
        <v>7597</v>
      </c>
      <c r="E4782" s="16" t="s">
        <v>2740</v>
      </c>
      <c r="F4782" s="16" t="s">
        <v>2741</v>
      </c>
      <c r="G4782" s="16" t="s">
        <v>32</v>
      </c>
      <c r="H4782" s="16"/>
      <c r="I4782" s="16"/>
      <c r="J4782" s="16" t="s">
        <v>106</v>
      </c>
      <c r="K4782" s="16"/>
      <c r="L4782" s="16"/>
      <c r="M4782" s="19" t="s">
        <v>2742</v>
      </c>
      <c r="N4782" s="16"/>
      <c r="O4782" s="16" t="s">
        <v>2743</v>
      </c>
      <c r="P4782" s="16" t="str">
        <f>HYPERLINK("https://ceds.ed.gov/cedselementdetails.aspx?termid=27645")</f>
        <v>https://ceds.ed.gov/cedselementdetails.aspx?termid=27645</v>
      </c>
      <c r="Q4782" s="16">
        <v>74889</v>
      </c>
    </row>
    <row r="4783" spans="1:17" ht="28.8" x14ac:dyDescent="0.3">
      <c r="A4783" s="16" t="s">
        <v>7796</v>
      </c>
      <c r="B4783" s="16" t="s">
        <v>7797</v>
      </c>
      <c r="C4783" s="16"/>
      <c r="D4783" s="16" t="s">
        <v>7597</v>
      </c>
      <c r="E4783" s="16" t="s">
        <v>2715</v>
      </c>
      <c r="F4783" s="16" t="s">
        <v>2716</v>
      </c>
      <c r="G4783" s="16" t="s">
        <v>32</v>
      </c>
      <c r="H4783" s="16"/>
      <c r="I4783" s="16"/>
      <c r="J4783" s="16" t="s">
        <v>101</v>
      </c>
      <c r="K4783" s="16"/>
      <c r="L4783" s="16"/>
      <c r="M4783" s="19" t="s">
        <v>2717</v>
      </c>
      <c r="N4783" s="16"/>
      <c r="O4783" s="16" t="s">
        <v>2718</v>
      </c>
      <c r="P4783" s="16" t="str">
        <f>HYPERLINK("https://ceds.ed.gov/cedselementdetails.aspx?termid=27718")</f>
        <v>https://ceds.ed.gov/cedselementdetails.aspx?termid=27718</v>
      </c>
      <c r="Q4783" s="16">
        <v>74887</v>
      </c>
    </row>
    <row r="4784" spans="1:17" ht="43.2" x14ac:dyDescent="0.3">
      <c r="A4784" s="16" t="s">
        <v>7796</v>
      </c>
      <c r="B4784" s="16" t="s">
        <v>7797</v>
      </c>
      <c r="C4784" s="16"/>
      <c r="D4784" s="16" t="s">
        <v>7597</v>
      </c>
      <c r="E4784" s="16" t="s">
        <v>2723</v>
      </c>
      <c r="F4784" s="16" t="s">
        <v>2724</v>
      </c>
      <c r="G4784" s="16" t="s">
        <v>32</v>
      </c>
      <c r="H4784" s="16"/>
      <c r="I4784" s="16"/>
      <c r="J4784" s="16" t="s">
        <v>50</v>
      </c>
      <c r="K4784" s="16"/>
      <c r="L4784" s="16"/>
      <c r="M4784" s="19" t="s">
        <v>2725</v>
      </c>
      <c r="N4784" s="16"/>
      <c r="O4784" s="16" t="s">
        <v>2726</v>
      </c>
      <c r="P4784" s="16" t="str">
        <f>HYPERLINK("https://ceds.ed.gov/cedselementdetails.aspx?termid=27650")</f>
        <v>https://ceds.ed.gov/cedselementdetails.aspx?termid=27650</v>
      </c>
      <c r="Q4784" s="16">
        <v>74888</v>
      </c>
    </row>
    <row r="4785" spans="1:17" ht="57.6" x14ac:dyDescent="0.3">
      <c r="A4785" s="16" t="s">
        <v>7796</v>
      </c>
      <c r="B4785" s="16" t="s">
        <v>7797</v>
      </c>
      <c r="C4785" s="16"/>
      <c r="D4785" s="16" t="s">
        <v>7597</v>
      </c>
      <c r="E4785" s="16" t="s">
        <v>2727</v>
      </c>
      <c r="F4785" s="16" t="s">
        <v>7348</v>
      </c>
      <c r="G4785" s="16" t="s">
        <v>32</v>
      </c>
      <c r="H4785" s="16"/>
      <c r="I4785" s="16"/>
      <c r="J4785" s="16" t="s">
        <v>2728</v>
      </c>
      <c r="K4785" s="16"/>
      <c r="L4785" s="16"/>
      <c r="M4785" s="19" t="s">
        <v>2729</v>
      </c>
      <c r="N4785" s="16"/>
      <c r="O4785" s="16" t="s">
        <v>2730</v>
      </c>
      <c r="P4785" s="16" t="str">
        <f>HYPERLINK("https://ceds.ed.gov/cedselementdetails.aspx?termid=26898")</f>
        <v>https://ceds.ed.gov/cedselementdetails.aspx?termid=26898</v>
      </c>
      <c r="Q4785" s="16">
        <v>74805</v>
      </c>
    </row>
    <row r="4786" spans="1:17" ht="57.6" x14ac:dyDescent="0.3">
      <c r="A4786" s="16" t="s">
        <v>7796</v>
      </c>
      <c r="B4786" s="16" t="s">
        <v>7797</v>
      </c>
      <c r="C4786" s="16"/>
      <c r="D4786" s="16" t="s">
        <v>7597</v>
      </c>
      <c r="E4786" s="16" t="s">
        <v>2731</v>
      </c>
      <c r="F4786" s="16" t="s">
        <v>7349</v>
      </c>
      <c r="G4786" s="16" t="s">
        <v>32</v>
      </c>
      <c r="H4786" s="16"/>
      <c r="I4786" s="16"/>
      <c r="J4786" s="16" t="s">
        <v>50</v>
      </c>
      <c r="K4786" s="16"/>
      <c r="L4786" s="16" t="s">
        <v>2732</v>
      </c>
      <c r="M4786" s="19" t="s">
        <v>2733</v>
      </c>
      <c r="N4786" s="16"/>
      <c r="O4786" s="16" t="s">
        <v>2734</v>
      </c>
      <c r="P4786" s="16" t="str">
        <f>HYPERLINK("https://ceds.ed.gov/cedselementdetails.aspx?termid=26900")</f>
        <v>https://ceds.ed.gov/cedselementdetails.aspx?termid=26900</v>
      </c>
      <c r="Q4786" s="16">
        <v>74806</v>
      </c>
    </row>
    <row r="4787" spans="1:17" ht="100.8" x14ac:dyDescent="0.3">
      <c r="A4787" s="16" t="s">
        <v>7796</v>
      </c>
      <c r="B4787" s="16" t="s">
        <v>7797</v>
      </c>
      <c r="C4787" s="16"/>
      <c r="D4787" s="16" t="s">
        <v>7597</v>
      </c>
      <c r="E4787" s="16" t="s">
        <v>2867</v>
      </c>
      <c r="F4787" s="16" t="s">
        <v>7363</v>
      </c>
      <c r="G4787" s="16" t="s">
        <v>32</v>
      </c>
      <c r="H4787" s="16"/>
      <c r="I4787" s="16"/>
      <c r="J4787" s="16" t="s">
        <v>101</v>
      </c>
      <c r="K4787" s="16"/>
      <c r="L4787" s="16" t="s">
        <v>2868</v>
      </c>
      <c r="M4787" s="19" t="s">
        <v>2869</v>
      </c>
      <c r="N4787" s="16"/>
      <c r="O4787" s="16" t="s">
        <v>2870</v>
      </c>
      <c r="P4787" s="16" t="str">
        <f>HYPERLINK("https://ceds.ed.gov/cedselementdetails.aspx?termid=26901")</f>
        <v>https://ceds.ed.gov/cedselementdetails.aspx?termid=26901</v>
      </c>
      <c r="Q4787" s="16">
        <v>74807</v>
      </c>
    </row>
    <row r="4788" spans="1:17" ht="43.2" x14ac:dyDescent="0.3">
      <c r="A4788" s="16" t="s">
        <v>7796</v>
      </c>
      <c r="B4788" s="16" t="s">
        <v>7797</v>
      </c>
      <c r="C4788" s="16"/>
      <c r="D4788" s="16" t="s">
        <v>7597</v>
      </c>
      <c r="E4788" s="16" t="s">
        <v>2902</v>
      </c>
      <c r="F4788" s="16" t="s">
        <v>2903</v>
      </c>
      <c r="G4788" s="16" t="s">
        <v>22</v>
      </c>
      <c r="H4788" s="16"/>
      <c r="I4788" s="16"/>
      <c r="J4788" s="16"/>
      <c r="K4788" s="16"/>
      <c r="L4788" s="16"/>
      <c r="M4788" s="19" t="s">
        <v>2904</v>
      </c>
      <c r="N4788" s="16"/>
      <c r="O4788" s="16" t="s">
        <v>2905</v>
      </c>
      <c r="P4788" s="16" t="str">
        <f>HYPERLINK("https://ceds.ed.gov/cedselementdetails.aspx?termid=27732")</f>
        <v>https://ceds.ed.gov/cedselementdetails.aspx?termid=27732</v>
      </c>
      <c r="Q4788" s="16">
        <v>74904</v>
      </c>
    </row>
    <row r="4789" spans="1:17" ht="57.6" x14ac:dyDescent="0.3">
      <c r="A4789" s="16" t="s">
        <v>7796</v>
      </c>
      <c r="B4789" s="16" t="s">
        <v>7797</v>
      </c>
      <c r="C4789" s="16"/>
      <c r="D4789" s="16" t="s">
        <v>7597</v>
      </c>
      <c r="E4789" s="16" t="s">
        <v>2898</v>
      </c>
      <c r="F4789" s="16" t="s">
        <v>7365</v>
      </c>
      <c r="G4789" s="16" t="s">
        <v>32</v>
      </c>
      <c r="H4789" s="16"/>
      <c r="I4789" s="16"/>
      <c r="J4789" s="16" t="s">
        <v>106</v>
      </c>
      <c r="K4789" s="16"/>
      <c r="L4789" s="16" t="s">
        <v>2899</v>
      </c>
      <c r="M4789" s="19" t="s">
        <v>2900</v>
      </c>
      <c r="N4789" s="16"/>
      <c r="O4789" s="16" t="s">
        <v>2901</v>
      </c>
      <c r="P4789" s="16" t="str">
        <f>HYPERLINK("https://ceds.ed.gov/cedselementdetails.aspx?termid=27641")</f>
        <v>https://ceds.ed.gov/cedselementdetails.aspx?termid=27641</v>
      </c>
      <c r="Q4789" s="16">
        <v>74903</v>
      </c>
    </row>
    <row r="4790" spans="1:17" ht="28.8" x14ac:dyDescent="0.3">
      <c r="A4790" s="16" t="s">
        <v>7796</v>
      </c>
      <c r="B4790" s="16" t="s">
        <v>7797</v>
      </c>
      <c r="C4790" s="16"/>
      <c r="D4790" s="16" t="s">
        <v>7597</v>
      </c>
      <c r="E4790" s="16" t="s">
        <v>2906</v>
      </c>
      <c r="F4790" s="16" t="s">
        <v>2907</v>
      </c>
      <c r="G4790" s="16" t="s">
        <v>32</v>
      </c>
      <c r="H4790" s="16"/>
      <c r="I4790" s="16"/>
      <c r="J4790" s="16" t="s">
        <v>316</v>
      </c>
      <c r="K4790" s="16"/>
      <c r="L4790" s="16"/>
      <c r="M4790" s="19" t="s">
        <v>2908</v>
      </c>
      <c r="N4790" s="16"/>
      <c r="O4790" s="16" t="s">
        <v>2909</v>
      </c>
      <c r="P4790" s="16" t="str">
        <f>HYPERLINK("https://ceds.ed.gov/cedselementdetails.aspx?termid=27642")</f>
        <v>https://ceds.ed.gov/cedselementdetails.aspx?termid=27642</v>
      </c>
      <c r="Q4790" s="16">
        <v>74905</v>
      </c>
    </row>
    <row r="4791" spans="1:17" ht="72" x14ac:dyDescent="0.3">
      <c r="A4791" s="16" t="s">
        <v>7796</v>
      </c>
      <c r="B4791" s="16" t="s">
        <v>7797</v>
      </c>
      <c r="C4791" s="16"/>
      <c r="D4791" s="16" t="s">
        <v>7597</v>
      </c>
      <c r="E4791" s="16" t="s">
        <v>5499</v>
      </c>
      <c r="F4791" s="16" t="s">
        <v>5500</v>
      </c>
      <c r="G4791" s="16" t="s">
        <v>32</v>
      </c>
      <c r="H4791" s="16" t="s">
        <v>64</v>
      </c>
      <c r="I4791" s="16"/>
      <c r="J4791" s="16" t="s">
        <v>1481</v>
      </c>
      <c r="K4791" s="16"/>
      <c r="L4791" s="16"/>
      <c r="M4791" s="19" t="s">
        <v>5501</v>
      </c>
      <c r="N4791" s="16"/>
      <c r="O4791" s="16" t="s">
        <v>5502</v>
      </c>
      <c r="P4791" s="16" t="str">
        <f>HYPERLINK("https://ceds.ed.gov/cedselementdetails.aspx?termid=26199")</f>
        <v>https://ceds.ed.gov/cedselementdetails.aspx?termid=26199</v>
      </c>
      <c r="Q4791" s="16">
        <v>74774</v>
      </c>
    </row>
    <row r="4792" spans="1:17" ht="100.8" x14ac:dyDescent="0.3">
      <c r="A4792" s="16" t="s">
        <v>7796</v>
      </c>
      <c r="B4792" s="16" t="s">
        <v>7797</v>
      </c>
      <c r="C4792" s="16"/>
      <c r="D4792" s="16" t="s">
        <v>7597</v>
      </c>
      <c r="E4792" s="16" t="s">
        <v>5503</v>
      </c>
      <c r="F4792" s="16" t="s">
        <v>5504</v>
      </c>
      <c r="G4792" s="16" t="s">
        <v>32</v>
      </c>
      <c r="H4792" s="16" t="s">
        <v>5256</v>
      </c>
      <c r="I4792" s="16"/>
      <c r="J4792" s="16" t="s">
        <v>1481</v>
      </c>
      <c r="K4792" s="16"/>
      <c r="L4792" s="16"/>
      <c r="M4792" s="19" t="s">
        <v>5505</v>
      </c>
      <c r="N4792" s="16"/>
      <c r="O4792" s="16" t="s">
        <v>5506</v>
      </c>
      <c r="P4792" s="16" t="str">
        <f>HYPERLINK("https://ceds.ed.gov/cedselementdetails.aspx?termid=26200")</f>
        <v>https://ceds.ed.gov/cedselementdetails.aspx?termid=26200</v>
      </c>
      <c r="Q4792" s="16">
        <v>74775</v>
      </c>
    </row>
    <row r="4793" spans="1:17" ht="86.4" x14ac:dyDescent="0.3">
      <c r="A4793" s="16" t="s">
        <v>7796</v>
      </c>
      <c r="B4793" s="16" t="s">
        <v>7797</v>
      </c>
      <c r="C4793" s="16"/>
      <c r="D4793" s="16" t="s">
        <v>7597</v>
      </c>
      <c r="E4793" s="16" t="s">
        <v>2881</v>
      </c>
      <c r="F4793" s="16" t="s">
        <v>2882</v>
      </c>
      <c r="G4793" s="16" t="s">
        <v>32</v>
      </c>
      <c r="H4793" s="16"/>
      <c r="I4793" s="16"/>
      <c r="J4793" s="16" t="s">
        <v>50</v>
      </c>
      <c r="K4793" s="16"/>
      <c r="L4793" s="16" t="s">
        <v>7930</v>
      </c>
      <c r="M4793" s="19" t="s">
        <v>2883</v>
      </c>
      <c r="N4793" s="16"/>
      <c r="O4793" s="16" t="s">
        <v>2884</v>
      </c>
      <c r="P4793" s="16" t="str">
        <f>HYPERLINK("https://ceds.ed.gov/cedselementdetails.aspx?termid=27643")</f>
        <v>https://ceds.ed.gov/cedselementdetails.aspx?termid=27643</v>
      </c>
      <c r="Q4793" s="16">
        <v>75160</v>
      </c>
    </row>
    <row r="4794" spans="1:17" ht="100.8" x14ac:dyDescent="0.3">
      <c r="A4794" s="16" t="s">
        <v>7796</v>
      </c>
      <c r="B4794" s="16" t="s">
        <v>7797</v>
      </c>
      <c r="C4794" s="16"/>
      <c r="D4794" s="16" t="s">
        <v>7597</v>
      </c>
      <c r="E4794" s="16" t="s">
        <v>241</v>
      </c>
      <c r="F4794" s="16" t="s">
        <v>7314</v>
      </c>
      <c r="G4794" s="16" t="s">
        <v>8302</v>
      </c>
      <c r="H4794" s="16"/>
      <c r="I4794" s="16"/>
      <c r="J4794" s="16"/>
      <c r="K4794" s="16"/>
      <c r="L4794" s="16"/>
      <c r="M4794" s="19" t="s">
        <v>242</v>
      </c>
      <c r="N4794" s="16"/>
      <c r="O4794" s="16" t="s">
        <v>243</v>
      </c>
      <c r="P4794" s="16" t="str">
        <f>HYPERLINK("https://ceds.ed.gov/cedselementdetails.aspx?termid=26775")</f>
        <v>https://ceds.ed.gov/cedselementdetails.aspx?termid=26775</v>
      </c>
      <c r="Q4794" s="16">
        <v>75496</v>
      </c>
    </row>
    <row r="4795" spans="1:17" ht="28.8" x14ac:dyDescent="0.3">
      <c r="A4795" s="16" t="s">
        <v>7796</v>
      </c>
      <c r="B4795" s="16" t="s">
        <v>7797</v>
      </c>
      <c r="C4795" s="16"/>
      <c r="D4795" s="16" t="s">
        <v>7597</v>
      </c>
      <c r="E4795" s="16" t="s">
        <v>5877</v>
      </c>
      <c r="F4795" s="16" t="s">
        <v>5878</v>
      </c>
      <c r="G4795" s="16" t="s">
        <v>32</v>
      </c>
      <c r="H4795" s="16"/>
      <c r="I4795" s="16"/>
      <c r="J4795" s="16" t="s">
        <v>81</v>
      </c>
      <c r="K4795" s="16"/>
      <c r="L4795" s="16"/>
      <c r="M4795" s="19" t="s">
        <v>5879</v>
      </c>
      <c r="N4795" s="16"/>
      <c r="O4795" s="16" t="s">
        <v>5880</v>
      </c>
      <c r="P4795" s="16" t="str">
        <f>HYPERLINK("https://ceds.ed.gov/cedselementdetails.aspx?termid=27398")</f>
        <v>https://ceds.ed.gov/cedselementdetails.aspx?termid=27398</v>
      </c>
      <c r="Q4795" s="16">
        <v>75497</v>
      </c>
    </row>
    <row r="4796" spans="1:17" ht="28.8" x14ac:dyDescent="0.3">
      <c r="A4796" s="16" t="s">
        <v>7796</v>
      </c>
      <c r="B4796" s="16" t="s">
        <v>7797</v>
      </c>
      <c r="C4796" s="16"/>
      <c r="D4796" s="16" t="s">
        <v>7597</v>
      </c>
      <c r="E4796" s="16" t="s">
        <v>8938</v>
      </c>
      <c r="F4796" s="16" t="s">
        <v>8939</v>
      </c>
      <c r="G4796" s="16" t="s">
        <v>9433</v>
      </c>
      <c r="H4796" s="16"/>
      <c r="I4796" s="16"/>
      <c r="J4796" s="16" t="s">
        <v>2</v>
      </c>
      <c r="K4796" s="16"/>
      <c r="L4796" s="16"/>
      <c r="M4796" s="19" t="s">
        <v>8940</v>
      </c>
      <c r="N4796" s="16"/>
      <c r="O4796" s="16" t="s">
        <v>8941</v>
      </c>
      <c r="P4796" s="16" t="str">
        <f>HYPERLINK("https://ceds.ed.gov/cedselementdetails.aspx?termid=28011")</f>
        <v>https://ceds.ed.gov/cedselementdetails.aspx?termid=28011</v>
      </c>
      <c r="Q4796" s="16">
        <v>76025</v>
      </c>
    </row>
    <row r="4797" spans="1:17" ht="172.8" x14ac:dyDescent="0.3">
      <c r="A4797" s="16" t="s">
        <v>7796</v>
      </c>
      <c r="B4797" s="16" t="s">
        <v>7797</v>
      </c>
      <c r="C4797" s="16" t="s">
        <v>7798</v>
      </c>
      <c r="D4797" s="16" t="s">
        <v>7597</v>
      </c>
      <c r="E4797" s="16" t="s">
        <v>5738</v>
      </c>
      <c r="F4797" s="16" t="s">
        <v>5739</v>
      </c>
      <c r="G4797" s="16" t="s">
        <v>32</v>
      </c>
      <c r="H4797" s="16"/>
      <c r="I4797" s="16"/>
      <c r="J4797" s="16" t="s">
        <v>120</v>
      </c>
      <c r="K4797" s="16"/>
      <c r="L4797" s="16" t="s">
        <v>7905</v>
      </c>
      <c r="M4797" s="19" t="s">
        <v>5740</v>
      </c>
      <c r="N4797" s="16"/>
      <c r="O4797" s="16" t="s">
        <v>5741</v>
      </c>
      <c r="P4797" s="16" t="str">
        <f>HYPERLINK("https://ceds.ed.gov/cedselementdetails.aspx?termid=27551")</f>
        <v>https://ceds.ed.gov/cedselementdetails.aspx?termid=27551</v>
      </c>
      <c r="Q4797" s="16">
        <v>74846</v>
      </c>
    </row>
    <row r="4798" spans="1:17" ht="273.60000000000002" x14ac:dyDescent="0.3">
      <c r="A4798" s="16" t="s">
        <v>7796</v>
      </c>
      <c r="B4798" s="16" t="s">
        <v>7797</v>
      </c>
      <c r="C4798" s="16" t="s">
        <v>7798</v>
      </c>
      <c r="D4798" s="16" t="s">
        <v>7597</v>
      </c>
      <c r="E4798" s="16" t="s">
        <v>5734</v>
      </c>
      <c r="F4798" s="16" t="s">
        <v>5735</v>
      </c>
      <c r="G4798" s="16" t="s">
        <v>9336</v>
      </c>
      <c r="H4798" s="16"/>
      <c r="I4798" s="16"/>
      <c r="J4798" s="16"/>
      <c r="K4798" s="16"/>
      <c r="L4798" s="16"/>
      <c r="M4798" s="19" t="s">
        <v>5736</v>
      </c>
      <c r="N4798" s="16"/>
      <c r="O4798" s="16" t="s">
        <v>5737</v>
      </c>
      <c r="P4798" s="16" t="str">
        <f>HYPERLINK("https://ceds.ed.gov/cedselementdetails.aspx?termid=27550")</f>
        <v>https://ceds.ed.gov/cedselementdetails.aspx?termid=27550</v>
      </c>
      <c r="Q4798" s="16">
        <v>74837</v>
      </c>
    </row>
    <row r="4799" spans="1:17" ht="172.8" x14ac:dyDescent="0.3">
      <c r="A4799" s="16" t="s">
        <v>7796</v>
      </c>
      <c r="B4799" s="16" t="s">
        <v>7797</v>
      </c>
      <c r="C4799" s="16" t="s">
        <v>7798</v>
      </c>
      <c r="D4799" s="16" t="s">
        <v>7597</v>
      </c>
      <c r="E4799" s="16" t="s">
        <v>5586</v>
      </c>
      <c r="F4799" s="16" t="s">
        <v>5587</v>
      </c>
      <c r="G4799" s="16" t="s">
        <v>32</v>
      </c>
      <c r="H4799" s="16" t="s">
        <v>98</v>
      </c>
      <c r="I4799" s="16"/>
      <c r="J4799" s="16" t="s">
        <v>120</v>
      </c>
      <c r="K4799" s="16"/>
      <c r="L4799" s="16" t="s">
        <v>7817</v>
      </c>
      <c r="M4799" s="19" t="s">
        <v>5588</v>
      </c>
      <c r="N4799" s="16"/>
      <c r="O4799" s="16" t="s">
        <v>5589</v>
      </c>
      <c r="P4799" s="16" t="str">
        <f>HYPERLINK("https://ceds.ed.gov/cedselementdetails.aspx?termid=26825")</f>
        <v>https://ceds.ed.gov/cedselementdetails.aspx?termid=26825</v>
      </c>
      <c r="Q4799" s="16">
        <v>74796</v>
      </c>
    </row>
    <row r="4800" spans="1:17" ht="187.2" x14ac:dyDescent="0.3">
      <c r="A4800" s="16" t="s">
        <v>7796</v>
      </c>
      <c r="B4800" s="16" t="s">
        <v>7797</v>
      </c>
      <c r="C4800" s="16" t="s">
        <v>7798</v>
      </c>
      <c r="D4800" s="16" t="s">
        <v>7597</v>
      </c>
      <c r="E4800" s="16" t="s">
        <v>5582</v>
      </c>
      <c r="F4800" s="16" t="s">
        <v>5583</v>
      </c>
      <c r="G4800" s="16" t="s">
        <v>8247</v>
      </c>
      <c r="H4800" s="16" t="s">
        <v>98</v>
      </c>
      <c r="I4800" s="16"/>
      <c r="J4800" s="16"/>
      <c r="K4800" s="16"/>
      <c r="L4800" s="16"/>
      <c r="M4800" s="19" t="s">
        <v>5584</v>
      </c>
      <c r="N4800" s="16"/>
      <c r="O4800" s="16" t="s">
        <v>5585</v>
      </c>
      <c r="P4800" s="16" t="str">
        <f>HYPERLINK("https://ceds.ed.gov/cedselementdetails.aspx?termid=26827")</f>
        <v>https://ceds.ed.gov/cedselementdetails.aspx?termid=26827</v>
      </c>
      <c r="Q4800" s="16">
        <v>74799</v>
      </c>
    </row>
    <row r="4801" spans="1:17" ht="302.39999999999998" x14ac:dyDescent="0.3">
      <c r="A4801" s="16" t="s">
        <v>7796</v>
      </c>
      <c r="B4801" s="16" t="s">
        <v>7797</v>
      </c>
      <c r="C4801" s="16" t="s">
        <v>7798</v>
      </c>
      <c r="D4801" s="16" t="s">
        <v>7597</v>
      </c>
      <c r="E4801" s="16" t="s">
        <v>2975</v>
      </c>
      <c r="F4801" s="16" t="s">
        <v>2976</v>
      </c>
      <c r="G4801" s="16" t="s">
        <v>8489</v>
      </c>
      <c r="H4801" s="16"/>
      <c r="I4801" s="16"/>
      <c r="J4801" s="16"/>
      <c r="K4801" s="16"/>
      <c r="L4801" s="16" t="s">
        <v>2978</v>
      </c>
      <c r="M4801" s="19" t="s">
        <v>2979</v>
      </c>
      <c r="N4801" s="16"/>
      <c r="O4801" s="16" t="s">
        <v>2980</v>
      </c>
      <c r="P4801" s="16" t="str">
        <f>HYPERLINK("https://ceds.ed.gov/cedselementdetails.aspx?termid=27736")</f>
        <v>https://ceds.ed.gov/cedselementdetails.aspx?termid=27736</v>
      </c>
      <c r="Q4801" s="16">
        <v>74910</v>
      </c>
    </row>
    <row r="4802" spans="1:17" ht="409.6" x14ac:dyDescent="0.3">
      <c r="A4802" s="16" t="s">
        <v>7796</v>
      </c>
      <c r="B4802" s="16" t="s">
        <v>7797</v>
      </c>
      <c r="C4802" s="16" t="s">
        <v>7798</v>
      </c>
      <c r="D4802" s="16" t="s">
        <v>7597</v>
      </c>
      <c r="E4802" s="16" t="s">
        <v>6878</v>
      </c>
      <c r="F4802" s="16" t="s">
        <v>6879</v>
      </c>
      <c r="G4802" s="16" t="s">
        <v>8270</v>
      </c>
      <c r="H4802" s="16" t="s">
        <v>195</v>
      </c>
      <c r="I4802" s="16"/>
      <c r="J4802" s="16"/>
      <c r="K4802" s="16"/>
      <c r="L4802" s="16"/>
      <c r="M4802" s="19" t="s">
        <v>6880</v>
      </c>
      <c r="N4802" s="16"/>
      <c r="O4802" s="16" t="s">
        <v>6881</v>
      </c>
      <c r="P4802" s="16" t="str">
        <f>HYPERLINK("https://ceds.ed.gov/cedselementdetails.aspx?termid=26804")</f>
        <v>https://ceds.ed.gov/cedselementdetails.aspx?termid=26804</v>
      </c>
      <c r="Q4802" s="16">
        <v>75498</v>
      </c>
    </row>
    <row r="4803" spans="1:17" ht="172.8" x14ac:dyDescent="0.3">
      <c r="A4803" s="16" t="s">
        <v>7796</v>
      </c>
      <c r="B4803" s="16" t="s">
        <v>7799</v>
      </c>
      <c r="C4803" s="16"/>
      <c r="D4803" s="16" t="s">
        <v>7597</v>
      </c>
      <c r="E4803" s="16" t="s">
        <v>5738</v>
      </c>
      <c r="F4803" s="16" t="s">
        <v>5739</v>
      </c>
      <c r="G4803" s="16" t="s">
        <v>32</v>
      </c>
      <c r="H4803" s="16"/>
      <c r="I4803" s="16"/>
      <c r="J4803" s="16" t="s">
        <v>120</v>
      </c>
      <c r="K4803" s="16"/>
      <c r="L4803" s="16" t="s">
        <v>7905</v>
      </c>
      <c r="M4803" s="19" t="s">
        <v>5740</v>
      </c>
      <c r="N4803" s="16"/>
      <c r="O4803" s="16" t="s">
        <v>5741</v>
      </c>
      <c r="P4803" s="16" t="str">
        <f>HYPERLINK("https://ceds.ed.gov/cedselementdetails.aspx?termid=27551")</f>
        <v>https://ceds.ed.gov/cedselementdetails.aspx?termid=27551</v>
      </c>
      <c r="Q4803" s="16">
        <v>74847</v>
      </c>
    </row>
    <row r="4804" spans="1:17" ht="273.60000000000002" x14ac:dyDescent="0.3">
      <c r="A4804" s="16" t="s">
        <v>7796</v>
      </c>
      <c r="B4804" s="16" t="s">
        <v>7799</v>
      </c>
      <c r="C4804" s="16"/>
      <c r="D4804" s="16" t="s">
        <v>7597</v>
      </c>
      <c r="E4804" s="16" t="s">
        <v>5734</v>
      </c>
      <c r="F4804" s="16" t="s">
        <v>5735</v>
      </c>
      <c r="G4804" s="16" t="s">
        <v>9336</v>
      </c>
      <c r="H4804" s="16"/>
      <c r="I4804" s="16"/>
      <c r="J4804" s="16"/>
      <c r="K4804" s="16"/>
      <c r="L4804" s="16"/>
      <c r="M4804" s="19" t="s">
        <v>5736</v>
      </c>
      <c r="N4804" s="16"/>
      <c r="O4804" s="16" t="s">
        <v>5737</v>
      </c>
      <c r="P4804" s="16" t="str">
        <f>HYPERLINK("https://ceds.ed.gov/cedselementdetails.aspx?termid=27550")</f>
        <v>https://ceds.ed.gov/cedselementdetails.aspx?termid=27550</v>
      </c>
      <c r="Q4804" s="16">
        <v>74838</v>
      </c>
    </row>
    <row r="4805" spans="1:17" ht="172.8" x14ac:dyDescent="0.3">
      <c r="A4805" s="16" t="s">
        <v>7796</v>
      </c>
      <c r="B4805" s="16" t="s">
        <v>7799</v>
      </c>
      <c r="C4805" s="16"/>
      <c r="D4805" s="16" t="s">
        <v>7597</v>
      </c>
      <c r="E4805" s="16" t="s">
        <v>5586</v>
      </c>
      <c r="F4805" s="16" t="s">
        <v>5587</v>
      </c>
      <c r="G4805" s="16" t="s">
        <v>32</v>
      </c>
      <c r="H4805" s="16" t="s">
        <v>98</v>
      </c>
      <c r="I4805" s="16"/>
      <c r="J4805" s="16" t="s">
        <v>120</v>
      </c>
      <c r="K4805" s="16"/>
      <c r="L4805" s="16" t="s">
        <v>7817</v>
      </c>
      <c r="M4805" s="19" t="s">
        <v>5588</v>
      </c>
      <c r="N4805" s="16"/>
      <c r="O4805" s="16" t="s">
        <v>5589</v>
      </c>
      <c r="P4805" s="16" t="str">
        <f>HYPERLINK("https://ceds.ed.gov/cedselementdetails.aspx?termid=26825")</f>
        <v>https://ceds.ed.gov/cedselementdetails.aspx?termid=26825</v>
      </c>
      <c r="Q4805" s="16">
        <v>74797</v>
      </c>
    </row>
    <row r="4806" spans="1:17" ht="187.2" x14ac:dyDescent="0.3">
      <c r="A4806" s="16" t="s">
        <v>7796</v>
      </c>
      <c r="B4806" s="16" t="s">
        <v>7799</v>
      </c>
      <c r="C4806" s="16"/>
      <c r="D4806" s="16" t="s">
        <v>7597</v>
      </c>
      <c r="E4806" s="16" t="s">
        <v>5582</v>
      </c>
      <c r="F4806" s="16" t="s">
        <v>5583</v>
      </c>
      <c r="G4806" s="16" t="s">
        <v>8247</v>
      </c>
      <c r="H4806" s="16" t="s">
        <v>98</v>
      </c>
      <c r="I4806" s="16"/>
      <c r="J4806" s="16"/>
      <c r="K4806" s="16"/>
      <c r="L4806" s="16"/>
      <c r="M4806" s="19" t="s">
        <v>5584</v>
      </c>
      <c r="N4806" s="16"/>
      <c r="O4806" s="16" t="s">
        <v>5585</v>
      </c>
      <c r="P4806" s="16" t="str">
        <f>HYPERLINK("https://ceds.ed.gov/cedselementdetails.aspx?termid=26827")</f>
        <v>https://ceds.ed.gov/cedselementdetails.aspx?termid=26827</v>
      </c>
      <c r="Q4806" s="16">
        <v>74800</v>
      </c>
    </row>
    <row r="4807" spans="1:17" ht="302.39999999999998" x14ac:dyDescent="0.3">
      <c r="A4807" s="16" t="s">
        <v>7796</v>
      </c>
      <c r="B4807" s="16" t="s">
        <v>7799</v>
      </c>
      <c r="C4807" s="16"/>
      <c r="D4807" s="16" t="s">
        <v>7597</v>
      </c>
      <c r="E4807" s="16" t="s">
        <v>2975</v>
      </c>
      <c r="F4807" s="16" t="s">
        <v>2976</v>
      </c>
      <c r="G4807" s="16" t="s">
        <v>8489</v>
      </c>
      <c r="H4807" s="16"/>
      <c r="I4807" s="16"/>
      <c r="J4807" s="16"/>
      <c r="K4807" s="16"/>
      <c r="L4807" s="16" t="s">
        <v>2978</v>
      </c>
      <c r="M4807" s="19" t="s">
        <v>2979</v>
      </c>
      <c r="N4807" s="16"/>
      <c r="O4807" s="16" t="s">
        <v>2980</v>
      </c>
      <c r="P4807" s="16" t="str">
        <f>HYPERLINK("https://ceds.ed.gov/cedselementdetails.aspx?termid=27736")</f>
        <v>https://ceds.ed.gov/cedselementdetails.aspx?termid=27736</v>
      </c>
      <c r="Q4807" s="16">
        <v>74911</v>
      </c>
    </row>
    <row r="4808" spans="1:17" ht="129.6" x14ac:dyDescent="0.3">
      <c r="A4808" s="16" t="s">
        <v>7796</v>
      </c>
      <c r="B4808" s="16" t="s">
        <v>7799</v>
      </c>
      <c r="C4808" s="16"/>
      <c r="D4808" s="16" t="s">
        <v>7597</v>
      </c>
      <c r="E4808" s="16" t="s">
        <v>2744</v>
      </c>
      <c r="F4808" s="16" t="s">
        <v>2745</v>
      </c>
      <c r="G4808" s="16" t="s">
        <v>8476</v>
      </c>
      <c r="H4808" s="16"/>
      <c r="I4808" s="16"/>
      <c r="J4808" s="16"/>
      <c r="K4808" s="16"/>
      <c r="L4808" s="16" t="s">
        <v>7927</v>
      </c>
      <c r="M4808" s="19" t="s">
        <v>2747</v>
      </c>
      <c r="N4808" s="16"/>
      <c r="O4808" s="16" t="s">
        <v>2748</v>
      </c>
      <c r="P4808" s="16" t="str">
        <f>HYPERLINK("https://ceds.ed.gov/cedselementdetails.aspx?termid=27895")</f>
        <v>https://ceds.ed.gov/cedselementdetails.aspx?termid=27895</v>
      </c>
      <c r="Q4808" s="16">
        <v>75188</v>
      </c>
    </row>
    <row r="4809" spans="1:17" ht="100.8" x14ac:dyDescent="0.3">
      <c r="A4809" s="16" t="s">
        <v>7796</v>
      </c>
      <c r="B4809" s="16" t="s">
        <v>7800</v>
      </c>
      <c r="C4809" s="16"/>
      <c r="D4809" s="16" t="s">
        <v>7597</v>
      </c>
      <c r="E4809" s="16" t="s">
        <v>2792</v>
      </c>
      <c r="F4809" s="16" t="s">
        <v>7356</v>
      </c>
      <c r="G4809" s="16" t="s">
        <v>32</v>
      </c>
      <c r="H4809" s="16"/>
      <c r="I4809" s="16"/>
      <c r="J4809" s="16" t="s">
        <v>50</v>
      </c>
      <c r="K4809" s="16"/>
      <c r="L4809" s="16" t="s">
        <v>12977</v>
      </c>
      <c r="M4809" s="19"/>
      <c r="N4809" s="16"/>
      <c r="O4809" s="16"/>
      <c r="P4809" s="16"/>
      <c r="Q4809" s="16"/>
    </row>
    <row r="4810" spans="1:17" x14ac:dyDescent="0.3">
      <c r="A4810" s="16"/>
      <c r="B4810" s="16"/>
      <c r="C4810" s="16"/>
      <c r="D4810" s="16"/>
      <c r="E4810" s="16"/>
      <c r="F4810" s="16"/>
      <c r="G4810" s="16"/>
      <c r="H4810" s="16"/>
      <c r="I4810" s="16"/>
      <c r="J4810" s="16"/>
      <c r="K4810" s="16"/>
      <c r="L4810" s="16"/>
      <c r="M4810" s="19"/>
      <c r="N4810" s="16"/>
      <c r="O4810" s="16"/>
      <c r="P4810" s="16"/>
      <c r="Q4810" s="16"/>
    </row>
    <row r="4811" spans="1:17" ht="86.4" x14ac:dyDescent="0.3">
      <c r="A4811" s="16" t="s">
        <v>124</v>
      </c>
      <c r="B4811" s="16">
        <v>1658</v>
      </c>
      <c r="C4811" s="16" t="s">
        <v>2794</v>
      </c>
      <c r="D4811" s="16" t="s">
        <v>2795</v>
      </c>
      <c r="E4811" s="16" t="str">
        <f>HYPERLINK("https://ceds.ed.gov/cedselementdetails.aspx?termid=27639")</f>
        <v>https://ceds.ed.gov/cedselementdetails.aspx?termid=27639</v>
      </c>
      <c r="F4811" s="16">
        <v>74891</v>
      </c>
      <c r="G4811" s="16"/>
      <c r="H4811" s="16"/>
      <c r="I4811" s="16"/>
      <c r="J4811" s="16"/>
      <c r="K4811" s="16"/>
      <c r="L4811" s="16"/>
      <c r="M4811" s="19"/>
      <c r="N4811" s="16"/>
      <c r="O4811" s="16"/>
      <c r="P4811" s="16"/>
      <c r="Q4811" s="16"/>
    </row>
    <row r="4812" spans="1:17" ht="129.6" x14ac:dyDescent="0.3">
      <c r="A4812" s="16" t="s">
        <v>7796</v>
      </c>
      <c r="B4812" s="16" t="s">
        <v>7800</v>
      </c>
      <c r="C4812" s="16"/>
      <c r="D4812" s="16" t="s">
        <v>7597</v>
      </c>
      <c r="E4812" s="16" t="s">
        <v>2796</v>
      </c>
      <c r="F4812" s="16" t="s">
        <v>7357</v>
      </c>
      <c r="G4812" s="16" t="s">
        <v>8478</v>
      </c>
      <c r="H4812" s="16"/>
      <c r="I4812" s="16"/>
      <c r="J4812" s="16"/>
      <c r="K4812" s="16"/>
      <c r="L4812" s="16"/>
      <c r="M4812" s="19" t="s">
        <v>2797</v>
      </c>
      <c r="N4812" s="16" t="s">
        <v>2798</v>
      </c>
      <c r="O4812" s="16" t="s">
        <v>2799</v>
      </c>
      <c r="P4812" s="16" t="str">
        <f>HYPERLINK("https://ceds.ed.gov/cedselementdetails.aspx?termid=27720")</f>
        <v>https://ceds.ed.gov/cedselementdetails.aspx?termid=27720</v>
      </c>
      <c r="Q4812" s="16">
        <v>74892</v>
      </c>
    </row>
    <row r="4813" spans="1:17" ht="43.2" x14ac:dyDescent="0.3">
      <c r="A4813" s="16" t="s">
        <v>7796</v>
      </c>
      <c r="B4813" s="16" t="s">
        <v>7800</v>
      </c>
      <c r="C4813" s="16"/>
      <c r="D4813" s="16" t="s">
        <v>7597</v>
      </c>
      <c r="E4813" s="16" t="s">
        <v>2848</v>
      </c>
      <c r="F4813" s="16" t="s">
        <v>7362</v>
      </c>
      <c r="G4813" s="16" t="s">
        <v>32</v>
      </c>
      <c r="H4813" s="16"/>
      <c r="I4813" s="16"/>
      <c r="J4813" s="16" t="s">
        <v>101</v>
      </c>
      <c r="K4813" s="16"/>
      <c r="L4813" s="16"/>
      <c r="M4813" s="19" t="s">
        <v>2849</v>
      </c>
      <c r="N4813" s="16" t="s">
        <v>2850</v>
      </c>
      <c r="O4813" s="16" t="s">
        <v>2851</v>
      </c>
      <c r="P4813" s="16" t="str">
        <f>HYPERLINK("https://ceds.ed.gov/cedselementdetails.aspx?termid=26893")</f>
        <v>https://ceds.ed.gov/cedselementdetails.aspx?termid=26893</v>
      </c>
      <c r="Q4813" s="16">
        <v>74163</v>
      </c>
    </row>
    <row r="4814" spans="1:17" ht="43.2" x14ac:dyDescent="0.3">
      <c r="A4814" s="16" t="s">
        <v>7796</v>
      </c>
      <c r="B4814" s="16" t="s">
        <v>7800</v>
      </c>
      <c r="C4814" s="16"/>
      <c r="D4814" s="16" t="s">
        <v>7597</v>
      </c>
      <c r="E4814" s="16" t="s">
        <v>2782</v>
      </c>
      <c r="F4814" s="16" t="s">
        <v>7355</v>
      </c>
      <c r="G4814" s="16" t="s">
        <v>32</v>
      </c>
      <c r="H4814" s="16"/>
      <c r="I4814" s="16"/>
      <c r="J4814" s="16" t="s">
        <v>101</v>
      </c>
      <c r="K4814" s="16"/>
      <c r="L4814" s="16"/>
      <c r="M4814" s="19" t="s">
        <v>2783</v>
      </c>
      <c r="N4814" s="16" t="s">
        <v>2784</v>
      </c>
      <c r="O4814" s="16" t="s">
        <v>2785</v>
      </c>
      <c r="P4814" s="16" t="str">
        <f>HYPERLINK("https://ceds.ed.gov/cedselementdetails.aspx?termid=26895")</f>
        <v>https://ceds.ed.gov/cedselementdetails.aspx?termid=26895</v>
      </c>
      <c r="Q4814" s="16">
        <v>74165</v>
      </c>
    </row>
    <row r="4815" spans="1:17" ht="72" x14ac:dyDescent="0.3">
      <c r="A4815" s="16" t="s">
        <v>7796</v>
      </c>
      <c r="B4815" s="16" t="s">
        <v>7800</v>
      </c>
      <c r="C4815" s="16"/>
      <c r="D4815" s="16" t="s">
        <v>7597</v>
      </c>
      <c r="E4815" s="16" t="s">
        <v>2749</v>
      </c>
      <c r="F4815" s="16" t="s">
        <v>2750</v>
      </c>
      <c r="G4815" s="16" t="s">
        <v>32</v>
      </c>
      <c r="H4815" s="16"/>
      <c r="I4815" s="16"/>
      <c r="J4815" s="16" t="s">
        <v>101</v>
      </c>
      <c r="K4815" s="16"/>
      <c r="L4815" s="16"/>
      <c r="M4815" s="19" t="s">
        <v>2752</v>
      </c>
      <c r="N4815" s="16" t="s">
        <v>2753</v>
      </c>
      <c r="O4815" s="16" t="s">
        <v>2754</v>
      </c>
      <c r="P4815" s="16" t="str">
        <f>HYPERLINK("https://ceds.ed.gov/cedselementdetails.aspx?termid=27717")</f>
        <v>https://ceds.ed.gov/cedselementdetails.aspx?termid=27717</v>
      </c>
      <c r="Q4815" s="16">
        <v>74885</v>
      </c>
    </row>
    <row r="4816" spans="1:17" ht="43.2" x14ac:dyDescent="0.3">
      <c r="A4816" s="16" t="s">
        <v>7796</v>
      </c>
      <c r="B4816" s="16" t="s">
        <v>7800</v>
      </c>
      <c r="C4816" s="16"/>
      <c r="D4816" s="16" t="s">
        <v>7597</v>
      </c>
      <c r="E4816" s="16" t="s">
        <v>2862</v>
      </c>
      <c r="F4816" s="16" t="s">
        <v>2863</v>
      </c>
      <c r="G4816" s="16" t="s">
        <v>32</v>
      </c>
      <c r="H4816" s="16"/>
      <c r="I4816" s="16"/>
      <c r="J4816" s="16" t="s">
        <v>136</v>
      </c>
      <c r="K4816" s="16"/>
      <c r="L4816" s="16"/>
      <c r="M4816" s="19" t="s">
        <v>2864</v>
      </c>
      <c r="N4816" s="16" t="s">
        <v>2865</v>
      </c>
      <c r="O4816" s="16" t="s">
        <v>2866</v>
      </c>
      <c r="P4816" s="16" t="str">
        <f>HYPERLINK("https://ceds.ed.gov/cedselementdetails.aspx?termid=27735")</f>
        <v>https://ceds.ed.gov/cedselementdetails.aspx?termid=27735</v>
      </c>
      <c r="Q4816" s="16">
        <v>74909</v>
      </c>
    </row>
    <row r="4817" spans="1:17" ht="72" x14ac:dyDescent="0.3">
      <c r="A4817" s="16" t="s">
        <v>7796</v>
      </c>
      <c r="B4817" s="16" t="s">
        <v>7800</v>
      </c>
      <c r="C4817" s="16"/>
      <c r="D4817" s="16" t="s">
        <v>7597</v>
      </c>
      <c r="E4817" s="16" t="s">
        <v>2760</v>
      </c>
      <c r="F4817" s="16" t="s">
        <v>7351</v>
      </c>
      <c r="G4817" s="16" t="s">
        <v>32</v>
      </c>
      <c r="H4817" s="16"/>
      <c r="I4817" s="16"/>
      <c r="J4817" s="16" t="s">
        <v>81</v>
      </c>
      <c r="K4817" s="16"/>
      <c r="L4817" s="16" t="s">
        <v>2761</v>
      </c>
      <c r="M4817" s="19" t="s">
        <v>2762</v>
      </c>
      <c r="N4817" s="16" t="s">
        <v>2763</v>
      </c>
      <c r="O4817" s="16" t="s">
        <v>2764</v>
      </c>
      <c r="P4817" s="16" t="str">
        <f>HYPERLINK("https://ceds.ed.gov/cedselementdetails.aspx?termid=27211")</f>
        <v>https://ceds.ed.gov/cedselementdetails.aspx?termid=27211</v>
      </c>
      <c r="Q4817" s="16">
        <v>74162</v>
      </c>
    </row>
    <row r="4818" spans="1:17" ht="244.8" x14ac:dyDescent="0.3">
      <c r="A4818" s="16" t="s">
        <v>7796</v>
      </c>
      <c r="B4818" s="16" t="s">
        <v>7800</v>
      </c>
      <c r="C4818" s="16"/>
      <c r="D4818" s="16" t="s">
        <v>7597</v>
      </c>
      <c r="E4818" s="16" t="s">
        <v>2765</v>
      </c>
      <c r="F4818" s="16" t="s">
        <v>7352</v>
      </c>
      <c r="G4818" s="16" t="s">
        <v>32</v>
      </c>
      <c r="H4818" s="16"/>
      <c r="I4818" s="16"/>
      <c r="J4818" s="16" t="s">
        <v>145</v>
      </c>
      <c r="K4818" s="16"/>
      <c r="L4818" s="16" t="s">
        <v>7928</v>
      </c>
      <c r="M4818" s="19" t="s">
        <v>2766</v>
      </c>
      <c r="N4818" s="16" t="s">
        <v>2767</v>
      </c>
      <c r="O4818" s="16" t="s">
        <v>2768</v>
      </c>
      <c r="P4818" s="16" t="str">
        <f>HYPERLINK("https://ceds.ed.gov/cedselementdetails.aspx?termid=26892")</f>
        <v>https://ceds.ed.gov/cedselementdetails.aspx?termid=26892</v>
      </c>
      <c r="Q4818" s="16">
        <v>74158</v>
      </c>
    </row>
    <row r="4819" spans="1:17" ht="72" x14ac:dyDescent="0.3">
      <c r="A4819" s="16" t="s">
        <v>7796</v>
      </c>
      <c r="B4819" s="16" t="s">
        <v>7800</v>
      </c>
      <c r="C4819" s="16"/>
      <c r="D4819" s="16" t="s">
        <v>7597</v>
      </c>
      <c r="E4819" s="16" t="s">
        <v>2843</v>
      </c>
      <c r="F4819" s="16" t="s">
        <v>2844</v>
      </c>
      <c r="G4819" s="16" t="s">
        <v>8480</v>
      </c>
      <c r="H4819" s="16"/>
      <c r="I4819" s="16"/>
      <c r="J4819" s="16"/>
      <c r="K4819" s="16"/>
      <c r="L4819" s="16"/>
      <c r="M4819" s="19" t="s">
        <v>2845</v>
      </c>
      <c r="N4819" s="16" t="s">
        <v>2846</v>
      </c>
      <c r="O4819" s="16" t="s">
        <v>2847</v>
      </c>
      <c r="P4819" s="16" t="str">
        <f>HYPERLINK("https://ceds.ed.gov/cedselementdetails.aspx?termid=27721")</f>
        <v>https://ceds.ed.gov/cedselementdetails.aspx?termid=27721</v>
      </c>
      <c r="Q4819" s="16">
        <v>74906</v>
      </c>
    </row>
    <row r="4820" spans="1:17" ht="72" x14ac:dyDescent="0.3">
      <c r="A4820" s="16" t="s">
        <v>7796</v>
      </c>
      <c r="B4820" s="16" t="s">
        <v>7800</v>
      </c>
      <c r="C4820" s="16"/>
      <c r="D4820" s="16" t="s">
        <v>7597</v>
      </c>
      <c r="E4820" s="16" t="s">
        <v>2800</v>
      </c>
      <c r="F4820" s="16" t="s">
        <v>2801</v>
      </c>
      <c r="G4820" s="16" t="s">
        <v>8479</v>
      </c>
      <c r="H4820" s="16"/>
      <c r="I4820" s="16"/>
      <c r="J4820" s="16"/>
      <c r="K4820" s="16"/>
      <c r="L4820" s="16"/>
      <c r="M4820" s="19" t="s">
        <v>2802</v>
      </c>
      <c r="N4820" s="16" t="s">
        <v>2803</v>
      </c>
      <c r="O4820" s="16" t="s">
        <v>2804</v>
      </c>
      <c r="P4820" s="16" t="str">
        <f>HYPERLINK("https://ceds.ed.gov/cedselementdetails.aspx?termid=27730")</f>
        <v>https://ceds.ed.gov/cedselementdetails.aspx?termid=27730</v>
      </c>
      <c r="Q4820" s="16">
        <v>74893</v>
      </c>
    </row>
    <row r="4821" spans="1:17" ht="57.6" x14ac:dyDescent="0.3">
      <c r="A4821" s="16" t="s">
        <v>7796</v>
      </c>
      <c r="B4821" s="16" t="s">
        <v>7800</v>
      </c>
      <c r="C4821" s="16"/>
      <c r="D4821" s="16" t="s">
        <v>7597</v>
      </c>
      <c r="E4821" s="16" t="s">
        <v>2755</v>
      </c>
      <c r="F4821" s="16" t="s">
        <v>2756</v>
      </c>
      <c r="G4821" s="16" t="s">
        <v>8477</v>
      </c>
      <c r="H4821" s="16"/>
      <c r="I4821" s="16"/>
      <c r="J4821" s="16"/>
      <c r="K4821" s="16"/>
      <c r="L4821" s="16"/>
      <c r="M4821" s="19" t="s">
        <v>2757</v>
      </c>
      <c r="N4821" s="16" t="s">
        <v>2758</v>
      </c>
      <c r="O4821" s="16" t="s">
        <v>2759</v>
      </c>
      <c r="P4821" s="16" t="str">
        <f>HYPERLINK("https://ceds.ed.gov/cedselementdetails.aspx?termid=27719")</f>
        <v>https://ceds.ed.gov/cedselementdetails.aspx?termid=27719</v>
      </c>
      <c r="Q4821" s="16">
        <v>74886</v>
      </c>
    </row>
    <row r="4822" spans="1:17" ht="57.6" x14ac:dyDescent="0.3">
      <c r="A4822" s="16" t="s">
        <v>7796</v>
      </c>
      <c r="B4822" s="16" t="s">
        <v>7800</v>
      </c>
      <c r="C4822" s="16"/>
      <c r="D4822" s="16" t="s">
        <v>7597</v>
      </c>
      <c r="E4822" s="16" t="s">
        <v>2769</v>
      </c>
      <c r="F4822" s="16" t="s">
        <v>7353</v>
      </c>
      <c r="G4822" s="16" t="s">
        <v>32</v>
      </c>
      <c r="H4822" s="16"/>
      <c r="I4822" s="16"/>
      <c r="J4822" s="16" t="s">
        <v>101</v>
      </c>
      <c r="K4822" s="16"/>
      <c r="L4822" s="16"/>
      <c r="M4822" s="19" t="s">
        <v>2770</v>
      </c>
      <c r="N4822" s="16" t="s">
        <v>2771</v>
      </c>
      <c r="O4822" s="16" t="s">
        <v>2772</v>
      </c>
      <c r="P4822" s="16" t="str">
        <f>HYPERLINK("https://ceds.ed.gov/cedselementdetails.aspx?termid=26896")</f>
        <v>https://ceds.ed.gov/cedselementdetails.aspx?termid=26896</v>
      </c>
      <c r="Q4822" s="16">
        <v>74166</v>
      </c>
    </row>
    <row r="4823" spans="1:17" ht="86.4" x14ac:dyDescent="0.3">
      <c r="A4823" s="16" t="s">
        <v>7796</v>
      </c>
      <c r="B4823" s="16" t="s">
        <v>7800</v>
      </c>
      <c r="C4823" s="16"/>
      <c r="D4823" s="16" t="s">
        <v>7597</v>
      </c>
      <c r="E4823" s="16" t="s">
        <v>2773</v>
      </c>
      <c r="F4823" s="16" t="s">
        <v>7354</v>
      </c>
      <c r="G4823" s="16" t="s">
        <v>32</v>
      </c>
      <c r="H4823" s="16"/>
      <c r="I4823" s="16"/>
      <c r="J4823" s="16" t="s">
        <v>50</v>
      </c>
      <c r="K4823" s="16"/>
      <c r="L4823" s="16"/>
      <c r="M4823" s="19" t="s">
        <v>2774</v>
      </c>
      <c r="N4823" s="16" t="s">
        <v>2775</v>
      </c>
      <c r="O4823" s="16" t="s">
        <v>2776</v>
      </c>
      <c r="P4823" s="16" t="str">
        <f>HYPERLINK("https://ceds.ed.gov/cedselementdetails.aspx?termid=27113")</f>
        <v>https://ceds.ed.gov/cedselementdetails.aspx?termid=27113</v>
      </c>
      <c r="Q4823" s="16">
        <v>74159</v>
      </c>
    </row>
    <row r="4824" spans="1:17" ht="28.8" x14ac:dyDescent="0.3">
      <c r="A4824" s="16" t="s">
        <v>7796</v>
      </c>
      <c r="B4824" s="16" t="s">
        <v>7800</v>
      </c>
      <c r="C4824" s="16"/>
      <c r="D4824" s="16" t="s">
        <v>7597</v>
      </c>
      <c r="E4824" s="16" t="s">
        <v>2786</v>
      </c>
      <c r="F4824" s="16" t="s">
        <v>2787</v>
      </c>
      <c r="G4824" s="16" t="s">
        <v>32</v>
      </c>
      <c r="H4824" s="16"/>
      <c r="I4824" s="16"/>
      <c r="J4824" s="16" t="s">
        <v>2788</v>
      </c>
      <c r="K4824" s="16"/>
      <c r="L4824" s="16"/>
      <c r="M4824" s="19" t="s">
        <v>2789</v>
      </c>
      <c r="N4824" s="16" t="s">
        <v>2790</v>
      </c>
      <c r="O4824" s="16" t="s">
        <v>2791</v>
      </c>
      <c r="P4824" s="16" t="str">
        <f>HYPERLINK("https://ceds.ed.gov/cedselementdetails.aspx?termid=27722")</f>
        <v>https://ceds.ed.gov/cedselementdetails.aspx?termid=27722</v>
      </c>
      <c r="Q4824" s="16">
        <v>74890</v>
      </c>
    </row>
    <row r="4825" spans="1:17" ht="28.8" x14ac:dyDescent="0.3">
      <c r="A4825" s="16" t="s">
        <v>7796</v>
      </c>
      <c r="B4825" s="16" t="s">
        <v>7800</v>
      </c>
      <c r="C4825" s="16"/>
      <c r="D4825" s="16" t="s">
        <v>7597</v>
      </c>
      <c r="E4825" s="16" t="s">
        <v>2831</v>
      </c>
      <c r="F4825" s="16" t="s">
        <v>2832</v>
      </c>
      <c r="G4825" s="16" t="s">
        <v>32</v>
      </c>
      <c r="H4825" s="16"/>
      <c r="I4825" s="16"/>
      <c r="J4825" s="16" t="s">
        <v>2788</v>
      </c>
      <c r="K4825" s="16"/>
      <c r="L4825" s="16"/>
      <c r="M4825" s="19" t="s">
        <v>2833</v>
      </c>
      <c r="N4825" s="16" t="s">
        <v>2834</v>
      </c>
      <c r="O4825" s="16" t="s">
        <v>2835</v>
      </c>
      <c r="P4825" s="16" t="str">
        <f>HYPERLINK("https://ceds.ed.gov/cedselementdetails.aspx?termid=27729")</f>
        <v>https://ceds.ed.gov/cedselementdetails.aspx?termid=27729</v>
      </c>
      <c r="Q4825" s="16">
        <v>74901</v>
      </c>
    </row>
    <row r="4826" spans="1:17" ht="28.8" x14ac:dyDescent="0.3">
      <c r="A4826" s="16" t="s">
        <v>7796</v>
      </c>
      <c r="B4826" s="16" t="s">
        <v>7800</v>
      </c>
      <c r="C4826" s="16"/>
      <c r="D4826" s="16" t="s">
        <v>7597</v>
      </c>
      <c r="E4826" s="16" t="s">
        <v>2821</v>
      </c>
      <c r="F4826" s="16" t="s">
        <v>2822</v>
      </c>
      <c r="G4826" s="16" t="s">
        <v>32</v>
      </c>
      <c r="H4826" s="16"/>
      <c r="I4826" s="16"/>
      <c r="J4826" s="16" t="s">
        <v>2788</v>
      </c>
      <c r="K4826" s="16"/>
      <c r="L4826" s="16"/>
      <c r="M4826" s="19" t="s">
        <v>2823</v>
      </c>
      <c r="N4826" s="16" t="s">
        <v>2824</v>
      </c>
      <c r="O4826" s="16" t="s">
        <v>2825</v>
      </c>
      <c r="P4826" s="16" t="str">
        <f>HYPERLINK("https://ceds.ed.gov/cedselementdetails.aspx?termid=27727")</f>
        <v>https://ceds.ed.gov/cedselementdetails.aspx?termid=27727</v>
      </c>
      <c r="Q4826" s="16">
        <v>74899</v>
      </c>
    </row>
    <row r="4827" spans="1:17" ht="43.2" x14ac:dyDescent="0.3">
      <c r="A4827" s="16" t="s">
        <v>7796</v>
      </c>
      <c r="B4827" s="16" t="s">
        <v>7800</v>
      </c>
      <c r="C4827" s="16"/>
      <c r="D4827" s="16" t="s">
        <v>7597</v>
      </c>
      <c r="E4827" s="16" t="s">
        <v>2826</v>
      </c>
      <c r="F4827" s="16" t="s">
        <v>2827</v>
      </c>
      <c r="G4827" s="16" t="s">
        <v>32</v>
      </c>
      <c r="H4827" s="16"/>
      <c r="I4827" s="16"/>
      <c r="J4827" s="16" t="s">
        <v>1662</v>
      </c>
      <c r="K4827" s="16"/>
      <c r="L4827" s="16"/>
      <c r="M4827" s="19" t="s">
        <v>2828</v>
      </c>
      <c r="N4827" s="16" t="s">
        <v>2829</v>
      </c>
      <c r="O4827" s="16" t="s">
        <v>2830</v>
      </c>
      <c r="P4827" s="16" t="str">
        <f>HYPERLINK("https://ceds.ed.gov/cedselementdetails.aspx?termid=27728")</f>
        <v>https://ceds.ed.gov/cedselementdetails.aspx?termid=27728</v>
      </c>
      <c r="Q4827" s="16">
        <v>74900</v>
      </c>
    </row>
    <row r="4828" spans="1:17" ht="43.2" x14ac:dyDescent="0.3">
      <c r="A4828" s="16" t="s">
        <v>7796</v>
      </c>
      <c r="B4828" s="16" t="s">
        <v>7800</v>
      </c>
      <c r="C4828" s="16"/>
      <c r="D4828" s="16" t="s">
        <v>7597</v>
      </c>
      <c r="E4828" s="16" t="s">
        <v>2836</v>
      </c>
      <c r="F4828" s="16" t="s">
        <v>2837</v>
      </c>
      <c r="G4828" s="16" t="s">
        <v>2838</v>
      </c>
      <c r="H4828" s="16"/>
      <c r="I4828" s="16"/>
      <c r="J4828" s="16" t="s">
        <v>2839</v>
      </c>
      <c r="K4828" s="16"/>
      <c r="L4828" s="16"/>
      <c r="M4828" s="19" t="s">
        <v>2840</v>
      </c>
      <c r="N4828" s="16" t="s">
        <v>2841</v>
      </c>
      <c r="O4828" s="16" t="s">
        <v>2842</v>
      </c>
      <c r="P4828" s="16" t="str">
        <f>HYPERLINK("https://ceds.ed.gov/cedselementdetails.aspx?termid=27723")</f>
        <v>https://ceds.ed.gov/cedselementdetails.aspx?termid=27723</v>
      </c>
      <c r="Q4828" s="16">
        <v>74902</v>
      </c>
    </row>
    <row r="4829" spans="1:17" ht="57.6" x14ac:dyDescent="0.3">
      <c r="A4829" s="16" t="s">
        <v>7796</v>
      </c>
      <c r="B4829" s="16" t="s">
        <v>7800</v>
      </c>
      <c r="C4829" s="16"/>
      <c r="D4829" s="16" t="s">
        <v>7597</v>
      </c>
      <c r="E4829" s="16" t="s">
        <v>2857</v>
      </c>
      <c r="F4829" s="16" t="s">
        <v>2858</v>
      </c>
      <c r="G4829" s="16" t="s">
        <v>8481</v>
      </c>
      <c r="H4829" s="16"/>
      <c r="I4829" s="16"/>
      <c r="J4829" s="16"/>
      <c r="K4829" s="16"/>
      <c r="L4829" s="16"/>
      <c r="M4829" s="19" t="s">
        <v>2859</v>
      </c>
      <c r="N4829" s="16" t="s">
        <v>2860</v>
      </c>
      <c r="O4829" s="16" t="s">
        <v>2861</v>
      </c>
      <c r="P4829" s="16" t="str">
        <f>HYPERLINK("https://ceds.ed.gov/cedselementdetails.aspx?termid=27734")</f>
        <v>https://ceds.ed.gov/cedselementdetails.aspx?termid=27734</v>
      </c>
      <c r="Q4829" s="16">
        <v>74908</v>
      </c>
    </row>
    <row r="4830" spans="1:17" ht="43.2" x14ac:dyDescent="0.3">
      <c r="A4830" s="16" t="s">
        <v>7796</v>
      </c>
      <c r="B4830" s="16" t="s">
        <v>7800</v>
      </c>
      <c r="C4830" s="16"/>
      <c r="D4830" s="16" t="s">
        <v>7597</v>
      </c>
      <c r="E4830" s="16" t="s">
        <v>2805</v>
      </c>
      <c r="F4830" s="16" t="s">
        <v>2806</v>
      </c>
      <c r="G4830" s="16" t="s">
        <v>32</v>
      </c>
      <c r="H4830" s="16"/>
      <c r="I4830" s="16"/>
      <c r="J4830" s="16" t="s">
        <v>2807</v>
      </c>
      <c r="K4830" s="16"/>
      <c r="L4830" s="16" t="s">
        <v>7929</v>
      </c>
      <c r="M4830" s="19" t="s">
        <v>2808</v>
      </c>
      <c r="N4830" s="16" t="s">
        <v>2809</v>
      </c>
      <c r="O4830" s="16" t="s">
        <v>2810</v>
      </c>
      <c r="P4830" s="16" t="str">
        <f>HYPERLINK("https://ceds.ed.gov/cedselementdetails.aspx?termid=27724")</f>
        <v>https://ceds.ed.gov/cedselementdetails.aspx?termid=27724</v>
      </c>
      <c r="Q4830" s="16">
        <v>74896</v>
      </c>
    </row>
    <row r="4831" spans="1:17" ht="43.2" x14ac:dyDescent="0.3">
      <c r="A4831" s="16" t="s">
        <v>7796</v>
      </c>
      <c r="B4831" s="16" t="s">
        <v>7800</v>
      </c>
      <c r="C4831" s="16"/>
      <c r="D4831" s="16" t="s">
        <v>7597</v>
      </c>
      <c r="E4831" s="16" t="s">
        <v>2811</v>
      </c>
      <c r="F4831" s="16" t="s">
        <v>2812</v>
      </c>
      <c r="G4831" s="16" t="s">
        <v>32</v>
      </c>
      <c r="H4831" s="16"/>
      <c r="I4831" s="16"/>
      <c r="J4831" s="16" t="s">
        <v>2807</v>
      </c>
      <c r="K4831" s="16"/>
      <c r="L4831" s="16" t="s">
        <v>7929</v>
      </c>
      <c r="M4831" s="19" t="s">
        <v>2813</v>
      </c>
      <c r="N4831" s="16" t="s">
        <v>2814</v>
      </c>
      <c r="O4831" s="16" t="s">
        <v>2815</v>
      </c>
      <c r="P4831" s="16" t="str">
        <f>HYPERLINK("https://ceds.ed.gov/cedselementdetails.aspx?termid=27725")</f>
        <v>https://ceds.ed.gov/cedselementdetails.aspx?termid=27725</v>
      </c>
      <c r="Q4831" s="16">
        <v>74897</v>
      </c>
    </row>
    <row r="4832" spans="1:17" ht="43.2" x14ac:dyDescent="0.3">
      <c r="A4832" s="16" t="s">
        <v>7796</v>
      </c>
      <c r="B4832" s="16" t="s">
        <v>7800</v>
      </c>
      <c r="C4832" s="16"/>
      <c r="D4832" s="16" t="s">
        <v>7597</v>
      </c>
      <c r="E4832" s="16" t="s">
        <v>2816</v>
      </c>
      <c r="F4832" s="16" t="s">
        <v>2817</v>
      </c>
      <c r="G4832" s="16" t="s">
        <v>32</v>
      </c>
      <c r="H4832" s="16"/>
      <c r="I4832" s="16"/>
      <c r="J4832" s="16" t="s">
        <v>316</v>
      </c>
      <c r="K4832" s="16"/>
      <c r="L4832" s="16"/>
      <c r="M4832" s="19" t="s">
        <v>2818</v>
      </c>
      <c r="N4832" s="16" t="s">
        <v>2819</v>
      </c>
      <c r="O4832" s="16" t="s">
        <v>2820</v>
      </c>
      <c r="P4832" s="16" t="str">
        <f>HYPERLINK("https://ceds.ed.gov/cedselementdetails.aspx?termid=27726")</f>
        <v>https://ceds.ed.gov/cedselementdetails.aspx?termid=27726</v>
      </c>
      <c r="Q4832" s="16">
        <v>74898</v>
      </c>
    </row>
    <row r="4833" spans="1:17" ht="43.2" x14ac:dyDescent="0.3">
      <c r="A4833" s="16" t="s">
        <v>7796</v>
      </c>
      <c r="B4833" s="16" t="s">
        <v>7800</v>
      </c>
      <c r="C4833" s="16"/>
      <c r="D4833" s="16" t="s">
        <v>7597</v>
      </c>
      <c r="E4833" s="16" t="s">
        <v>2852</v>
      </c>
      <c r="F4833" s="16" t="s">
        <v>2853</v>
      </c>
      <c r="G4833" s="16" t="s">
        <v>32</v>
      </c>
      <c r="H4833" s="16"/>
      <c r="I4833" s="16"/>
      <c r="J4833" s="16" t="s">
        <v>316</v>
      </c>
      <c r="K4833" s="16"/>
      <c r="L4833" s="16"/>
      <c r="M4833" s="19" t="s">
        <v>2854</v>
      </c>
      <c r="N4833" s="16" t="s">
        <v>2855</v>
      </c>
      <c r="O4833" s="16" t="s">
        <v>2856</v>
      </c>
      <c r="P4833" s="16" t="str">
        <f>HYPERLINK("https://ceds.ed.gov/cedselementdetails.aspx?termid=27733")</f>
        <v>https://ceds.ed.gov/cedselementdetails.aspx?termid=27733</v>
      </c>
      <c r="Q4833" s="16">
        <v>74907</v>
      </c>
    </row>
    <row r="4834" spans="1:17" ht="43.2" x14ac:dyDescent="0.3">
      <c r="A4834" s="16" t="s">
        <v>7796</v>
      </c>
      <c r="B4834" s="16" t="s">
        <v>7800</v>
      </c>
      <c r="C4834" s="16"/>
      <c r="D4834" s="16" t="s">
        <v>7597</v>
      </c>
      <c r="E4834" s="16" t="s">
        <v>3471</v>
      </c>
      <c r="F4834" s="16" t="s">
        <v>3472</v>
      </c>
      <c r="G4834" s="16" t="s">
        <v>2838</v>
      </c>
      <c r="H4834" s="16"/>
      <c r="I4834" s="16"/>
      <c r="J4834" s="16" t="s">
        <v>2839</v>
      </c>
      <c r="K4834" s="16"/>
      <c r="L4834" s="16"/>
      <c r="M4834" s="19" t="s">
        <v>3474</v>
      </c>
      <c r="N4834" s="16"/>
      <c r="O4834" s="16" t="s">
        <v>3475</v>
      </c>
      <c r="P4834" s="16" t="str">
        <f>HYPERLINK("https://ceds.ed.gov/cedselementdetails.aspx?termid=27070")</f>
        <v>https://ceds.ed.gov/cedselementdetails.aspx?termid=27070</v>
      </c>
      <c r="Q4834" s="16">
        <v>74810</v>
      </c>
    </row>
    <row r="4835" spans="1:17" ht="244.8" x14ac:dyDescent="0.3">
      <c r="A4835" s="16" t="s">
        <v>7796</v>
      </c>
      <c r="B4835" s="16" t="s">
        <v>7800</v>
      </c>
      <c r="C4835" s="16"/>
      <c r="D4835" s="16" t="s">
        <v>7597</v>
      </c>
      <c r="E4835" s="16" t="s">
        <v>1887</v>
      </c>
      <c r="F4835" s="16" t="s">
        <v>1888</v>
      </c>
      <c r="G4835" s="16" t="s">
        <v>8425</v>
      </c>
      <c r="H4835" s="16"/>
      <c r="I4835" s="16" t="s">
        <v>160</v>
      </c>
      <c r="J4835" s="16"/>
      <c r="K4835" s="16" t="s">
        <v>12935</v>
      </c>
      <c r="L4835" s="16" t="s">
        <v>7896</v>
      </c>
      <c r="M4835" s="19" t="s">
        <v>1889</v>
      </c>
      <c r="N4835" s="16"/>
      <c r="O4835" s="16" t="s">
        <v>1890</v>
      </c>
      <c r="P4835" s="16" t="str">
        <f>HYPERLINK("https://ceds.ed.gov/cedselementdetails.aspx?termid=27254")</f>
        <v>https://ceds.ed.gov/cedselementdetails.aspx?termid=27254</v>
      </c>
      <c r="Q4835" s="16">
        <v>74822</v>
      </c>
    </row>
    <row r="4836" spans="1:17" ht="72" x14ac:dyDescent="0.3">
      <c r="A4836" s="16" t="s">
        <v>7796</v>
      </c>
      <c r="B4836" s="16" t="s">
        <v>7800</v>
      </c>
      <c r="C4836" s="16"/>
      <c r="D4836" s="16" t="s">
        <v>7597</v>
      </c>
      <c r="E4836" s="16" t="s">
        <v>2044</v>
      </c>
      <c r="F4836" s="16" t="s">
        <v>2045</v>
      </c>
      <c r="G4836" s="16" t="s">
        <v>7312</v>
      </c>
      <c r="H4836" s="16" t="s">
        <v>42</v>
      </c>
      <c r="I4836" s="16" t="s">
        <v>160</v>
      </c>
      <c r="J4836" s="16" t="s">
        <v>2</v>
      </c>
      <c r="K4836" s="16" t="s">
        <v>12935</v>
      </c>
      <c r="L4836" s="16"/>
      <c r="M4836" s="19" t="s">
        <v>2046</v>
      </c>
      <c r="N4836" s="16" t="s">
        <v>2047</v>
      </c>
      <c r="O4836" s="16" t="s">
        <v>2048</v>
      </c>
      <c r="P4836" s="16" t="str">
        <f>HYPERLINK("https://ceds.ed.gov/cedselementdetails.aspx?termid=26043")</f>
        <v>https://ceds.ed.gov/cedselementdetails.aspx?termid=26043</v>
      </c>
      <c r="Q4836" s="16">
        <v>74770</v>
      </c>
    </row>
    <row r="4837" spans="1:17" ht="86.4" x14ac:dyDescent="0.3">
      <c r="A4837" s="16" t="s">
        <v>7796</v>
      </c>
      <c r="B4837" s="16" t="s">
        <v>7800</v>
      </c>
      <c r="C4837" s="16"/>
      <c r="D4837" s="16" t="s">
        <v>7597</v>
      </c>
      <c r="E4837" s="16" t="s">
        <v>2277</v>
      </c>
      <c r="F4837" s="16" t="s">
        <v>2278</v>
      </c>
      <c r="G4837" s="16" t="s">
        <v>32</v>
      </c>
      <c r="H4837" s="16"/>
      <c r="I4837" s="16"/>
      <c r="J4837" s="16" t="s">
        <v>50</v>
      </c>
      <c r="K4837" s="16"/>
      <c r="L4837" s="16" t="s">
        <v>124</v>
      </c>
      <c r="M4837" s="19" t="s">
        <v>2280</v>
      </c>
      <c r="N4837" s="16" t="s">
        <v>2281</v>
      </c>
      <c r="O4837" s="16" t="s">
        <v>2282</v>
      </c>
      <c r="P4837" s="16" t="str">
        <f>HYPERLINK("https://ceds.ed.gov/cedselementdetails.aspx?termid=26874")</f>
        <v>https://ceds.ed.gov/cedselementdetails.aspx?termid=26874</v>
      </c>
      <c r="Q4837" s="16">
        <v>74802</v>
      </c>
    </row>
    <row r="4838" spans="1:17" ht="57.6" x14ac:dyDescent="0.3">
      <c r="A4838" s="16" t="s">
        <v>7796</v>
      </c>
      <c r="B4838" s="16" t="s">
        <v>7800</v>
      </c>
      <c r="C4838" s="16"/>
      <c r="D4838" s="16" t="s">
        <v>7597</v>
      </c>
      <c r="E4838" s="16" t="s">
        <v>5551</v>
      </c>
      <c r="F4838" s="16" t="s">
        <v>5552</v>
      </c>
      <c r="G4838" s="16" t="s">
        <v>32</v>
      </c>
      <c r="H4838" s="16"/>
      <c r="I4838" s="16"/>
      <c r="J4838" s="16" t="s">
        <v>5553</v>
      </c>
      <c r="K4838" s="16"/>
      <c r="L4838" s="16" t="s">
        <v>8098</v>
      </c>
      <c r="M4838" s="19" t="s">
        <v>5554</v>
      </c>
      <c r="N4838" s="16"/>
      <c r="O4838" s="16" t="s">
        <v>5555</v>
      </c>
      <c r="P4838" s="16" t="str">
        <f>HYPERLINK("https://ceds.ed.gov/cedselementdetails.aspx?termid=27737")</f>
        <v>https://ceds.ed.gov/cedselementdetails.aspx?termid=27737</v>
      </c>
      <c r="Q4838" s="16">
        <v>74973</v>
      </c>
    </row>
    <row r="4839" spans="1:17" ht="86.4" x14ac:dyDescent="0.3">
      <c r="A4839" s="16" t="s">
        <v>7796</v>
      </c>
      <c r="B4839" s="16" t="s">
        <v>7800</v>
      </c>
      <c r="C4839" s="16"/>
      <c r="D4839" s="16" t="s">
        <v>7597</v>
      </c>
      <c r="E4839" s="16" t="s">
        <v>2875</v>
      </c>
      <c r="F4839" s="16" t="s">
        <v>7364</v>
      </c>
      <c r="G4839" s="16" t="s">
        <v>32</v>
      </c>
      <c r="H4839" s="16"/>
      <c r="I4839" s="16"/>
      <c r="J4839" s="16" t="s">
        <v>50</v>
      </c>
      <c r="K4839" s="16"/>
      <c r="L4839" s="16" t="s">
        <v>2876</v>
      </c>
      <c r="M4839" s="19" t="s">
        <v>2877</v>
      </c>
      <c r="N4839" s="16"/>
      <c r="O4839" s="16" t="s">
        <v>2878</v>
      </c>
      <c r="P4839" s="16" t="str">
        <f>HYPERLINK("https://ceds.ed.gov/cedselementdetails.aspx?termid=26894")</f>
        <v>https://ceds.ed.gov/cedselementdetails.aspx?termid=26894</v>
      </c>
      <c r="Q4839" s="16">
        <v>74164</v>
      </c>
    </row>
    <row r="4840" spans="1:17" ht="72" x14ac:dyDescent="0.3">
      <c r="A4840" s="16" t="s">
        <v>7796</v>
      </c>
      <c r="B4840" s="16" t="s">
        <v>7800</v>
      </c>
      <c r="C4840" s="16"/>
      <c r="D4840" s="16" t="s">
        <v>7597</v>
      </c>
      <c r="E4840" s="16" t="s">
        <v>2777</v>
      </c>
      <c r="F4840" s="16" t="s">
        <v>2778</v>
      </c>
      <c r="G4840" s="16" t="s">
        <v>32</v>
      </c>
      <c r="H4840" s="16"/>
      <c r="I4840" s="16"/>
      <c r="J4840" s="16" t="s">
        <v>106</v>
      </c>
      <c r="K4840" s="16"/>
      <c r="L4840" s="16" t="s">
        <v>2779</v>
      </c>
      <c r="M4840" s="19" t="s">
        <v>2780</v>
      </c>
      <c r="N4840" s="16"/>
      <c r="O4840" s="16" t="s">
        <v>2781</v>
      </c>
      <c r="P4840" s="16" t="str">
        <f>HYPERLINK("https://ceds.ed.gov/cedselementdetails.aspx?termid=27891")</f>
        <v>https://ceds.ed.gov/cedselementdetails.aspx?termid=27891</v>
      </c>
      <c r="Q4840" s="16">
        <v>75186</v>
      </c>
    </row>
    <row r="4841" spans="1:17" ht="345.6" x14ac:dyDescent="0.3">
      <c r="A4841" s="16" t="s">
        <v>7796</v>
      </c>
      <c r="B4841" s="16" t="s">
        <v>7800</v>
      </c>
      <c r="C4841" s="16"/>
      <c r="D4841" s="16" t="s">
        <v>7597</v>
      </c>
      <c r="E4841" s="16" t="s">
        <v>2970</v>
      </c>
      <c r="F4841" s="16" t="s">
        <v>2971</v>
      </c>
      <c r="G4841" s="16" t="s">
        <v>8488</v>
      </c>
      <c r="H4841" s="16"/>
      <c r="I4841" s="16"/>
      <c r="J4841" s="16"/>
      <c r="K4841" s="16"/>
      <c r="L4841" s="16" t="s">
        <v>7932</v>
      </c>
      <c r="M4841" s="19" t="s">
        <v>2972</v>
      </c>
      <c r="N4841" s="16" t="s">
        <v>2973</v>
      </c>
      <c r="O4841" s="16" t="s">
        <v>2974</v>
      </c>
      <c r="P4841" s="16" t="str">
        <f>HYPERLINK("https://ceds.ed.gov/cedselementdetails.aspx?termid=27894")</f>
        <v>https://ceds.ed.gov/cedselementdetails.aspx?termid=27894</v>
      </c>
      <c r="Q4841" s="16">
        <v>75187</v>
      </c>
    </row>
    <row r="4842" spans="1:17" ht="57.6" x14ac:dyDescent="0.3">
      <c r="A4842" s="16" t="s">
        <v>7796</v>
      </c>
      <c r="B4842" s="16" t="s">
        <v>7800</v>
      </c>
      <c r="C4842" s="16"/>
      <c r="D4842" s="16" t="s">
        <v>7597</v>
      </c>
      <c r="E4842" s="16" t="s">
        <v>7358</v>
      </c>
      <c r="F4842" s="16" t="s">
        <v>7359</v>
      </c>
      <c r="G4842" s="16" t="s">
        <v>2987</v>
      </c>
      <c r="H4842" s="16"/>
      <c r="I4842" s="16"/>
      <c r="J4842" s="16"/>
      <c r="K4842" s="16"/>
      <c r="L4842" s="16"/>
      <c r="M4842" s="19" t="s">
        <v>7360</v>
      </c>
      <c r="N4842" s="16"/>
      <c r="O4842" s="16" t="s">
        <v>7361</v>
      </c>
      <c r="P4842" s="16" t="str">
        <f>HYPERLINK("https://ceds.ed.gov/cedselementdetails.aspx?termid=27919")</f>
        <v>https://ceds.ed.gov/cedselementdetails.aspx?termid=27919</v>
      </c>
      <c r="Q4842" s="16">
        <v>75499</v>
      </c>
    </row>
    <row r="4843" spans="1:17" ht="100.8" x14ac:dyDescent="0.3">
      <c r="A4843" s="16" t="s">
        <v>7796</v>
      </c>
      <c r="B4843" s="16" t="s">
        <v>7800</v>
      </c>
      <c r="C4843" s="16"/>
      <c r="D4843" s="16" t="s">
        <v>7597</v>
      </c>
      <c r="E4843" s="16" t="s">
        <v>2055</v>
      </c>
      <c r="F4843" s="16" t="s">
        <v>2056</v>
      </c>
      <c r="G4843" s="16" t="s">
        <v>9328</v>
      </c>
      <c r="H4843" s="16" t="s">
        <v>186</v>
      </c>
      <c r="I4843" s="16"/>
      <c r="J4843" s="16"/>
      <c r="K4843" s="16"/>
      <c r="L4843" s="16"/>
      <c r="M4843" s="19" t="s">
        <v>2057</v>
      </c>
      <c r="N4843" s="16" t="s">
        <v>2058</v>
      </c>
      <c r="O4843" s="16" t="s">
        <v>2059</v>
      </c>
      <c r="P4843" s="16" t="str">
        <f>HYPERLINK("https://ceds.ed.gov/cedselementdetails.aspx?termid=26045")</f>
        <v>https://ceds.ed.gov/cedselementdetails.aspx?termid=26045</v>
      </c>
      <c r="Q4843" s="16">
        <v>76026</v>
      </c>
    </row>
    <row r="4844" spans="1:17" ht="129.6" x14ac:dyDescent="0.3">
      <c r="A4844" s="16" t="s">
        <v>7796</v>
      </c>
      <c r="B4844" s="16" t="s">
        <v>7800</v>
      </c>
      <c r="C4844" s="16"/>
      <c r="D4844" s="16" t="s">
        <v>7597</v>
      </c>
      <c r="E4844" s="16" t="s">
        <v>2910</v>
      </c>
      <c r="F4844" s="16" t="s">
        <v>2911</v>
      </c>
      <c r="G4844" s="16" t="s">
        <v>13481</v>
      </c>
      <c r="H4844" s="16"/>
      <c r="I4844" s="16" t="s">
        <v>160</v>
      </c>
      <c r="J4844" s="16"/>
      <c r="K4844" s="16" t="s">
        <v>12934</v>
      </c>
      <c r="L4844" s="16"/>
      <c r="M4844" s="19" t="s">
        <v>2912</v>
      </c>
      <c r="N4844" s="16"/>
      <c r="O4844" s="16" t="s">
        <v>2913</v>
      </c>
      <c r="P4844" s="16" t="str">
        <f>HYPERLINK("https://ceds.ed.gov/cedselementdetails.aspx?termid=26071")</f>
        <v>https://ceds.ed.gov/cedselementdetails.aspx?termid=26071</v>
      </c>
      <c r="Q4844" s="16">
        <v>76027</v>
      </c>
    </row>
    <row r="4845" spans="1:17" ht="360" x14ac:dyDescent="0.3">
      <c r="A4845" s="16" t="s">
        <v>7796</v>
      </c>
      <c r="B4845" s="16" t="s">
        <v>7800</v>
      </c>
      <c r="C4845" s="16"/>
      <c r="D4845" s="16" t="s">
        <v>7597</v>
      </c>
      <c r="E4845" s="16" t="s">
        <v>8983</v>
      </c>
      <c r="F4845" s="16" t="s">
        <v>8984</v>
      </c>
      <c r="G4845" s="16" t="s">
        <v>9434</v>
      </c>
      <c r="H4845" s="16"/>
      <c r="I4845" s="16"/>
      <c r="J4845" s="16" t="s">
        <v>2</v>
      </c>
      <c r="K4845" s="16"/>
      <c r="L4845" s="16"/>
      <c r="M4845" s="19" t="s">
        <v>8985</v>
      </c>
      <c r="N4845" s="16"/>
      <c r="O4845" s="16" t="s">
        <v>8986</v>
      </c>
      <c r="P4845" s="16" t="str">
        <f>HYPERLINK("https://ceds.ed.gov/cedselementdetails.aspx?termid=28022")</f>
        <v>https://ceds.ed.gov/cedselementdetails.aspx?termid=28022</v>
      </c>
      <c r="Q4845" s="16">
        <v>76028</v>
      </c>
    </row>
    <row r="4846" spans="1:17" ht="360" x14ac:dyDescent="0.3">
      <c r="A4846" s="16" t="s">
        <v>7796</v>
      </c>
      <c r="B4846" s="16" t="s">
        <v>7800</v>
      </c>
      <c r="C4846" s="16"/>
      <c r="D4846" s="16" t="s">
        <v>7597</v>
      </c>
      <c r="E4846" s="16" t="s">
        <v>9079</v>
      </c>
      <c r="F4846" s="16" t="s">
        <v>9080</v>
      </c>
      <c r="G4846" s="16" t="s">
        <v>9434</v>
      </c>
      <c r="H4846" s="16"/>
      <c r="I4846" s="16"/>
      <c r="J4846" s="16" t="s">
        <v>2</v>
      </c>
      <c r="K4846" s="16"/>
      <c r="L4846" s="16"/>
      <c r="M4846" s="19" t="s">
        <v>9081</v>
      </c>
      <c r="N4846" s="16"/>
      <c r="O4846" s="16" t="s">
        <v>9082</v>
      </c>
      <c r="P4846" s="16" t="str">
        <f>HYPERLINK("https://ceds.ed.gov/cedselementdetails.aspx?termid=28045")</f>
        <v>https://ceds.ed.gov/cedselementdetails.aspx?termid=28045</v>
      </c>
      <c r="Q4846" s="16">
        <v>76029</v>
      </c>
    </row>
    <row r="4847" spans="1:17" ht="100.8" x14ac:dyDescent="0.3">
      <c r="A4847" s="16" t="s">
        <v>7796</v>
      </c>
      <c r="B4847" s="16" t="s">
        <v>7801</v>
      </c>
      <c r="C4847" s="16"/>
      <c r="D4847" s="16" t="s">
        <v>7597</v>
      </c>
      <c r="E4847" s="16" t="s">
        <v>2792</v>
      </c>
      <c r="F4847" s="16" t="s">
        <v>7356</v>
      </c>
      <c r="G4847" s="16" t="s">
        <v>32</v>
      </c>
      <c r="H4847" s="16"/>
      <c r="I4847" s="16"/>
      <c r="J4847" s="16" t="s">
        <v>50</v>
      </c>
      <c r="K4847" s="16"/>
      <c r="L4847" s="16" t="s">
        <v>12977</v>
      </c>
      <c r="M4847" s="19"/>
      <c r="N4847" s="16"/>
      <c r="O4847" s="16"/>
      <c r="P4847" s="16"/>
      <c r="Q4847" s="16"/>
    </row>
    <row r="4848" spans="1:17" x14ac:dyDescent="0.3">
      <c r="A4848" s="16"/>
      <c r="B4848" s="16"/>
      <c r="C4848" s="16"/>
      <c r="D4848" s="16"/>
      <c r="E4848" s="16"/>
      <c r="F4848" s="16"/>
      <c r="G4848" s="16"/>
      <c r="H4848" s="16"/>
      <c r="I4848" s="16"/>
      <c r="J4848" s="16"/>
      <c r="K4848" s="16"/>
      <c r="L4848" s="16"/>
      <c r="M4848" s="19"/>
      <c r="N4848" s="16"/>
      <c r="O4848" s="16"/>
      <c r="P4848" s="16"/>
      <c r="Q4848" s="16"/>
    </row>
    <row r="4849" spans="1:17" ht="86.4" x14ac:dyDescent="0.3">
      <c r="A4849" s="16" t="s">
        <v>124</v>
      </c>
      <c r="B4849" s="16">
        <v>1658</v>
      </c>
      <c r="C4849" s="16" t="s">
        <v>2794</v>
      </c>
      <c r="D4849" s="16" t="s">
        <v>2795</v>
      </c>
      <c r="E4849" s="16" t="str">
        <f>HYPERLINK("https://ceds.ed.gov/cedselementdetails.aspx?termid=27639")</f>
        <v>https://ceds.ed.gov/cedselementdetails.aspx?termid=27639</v>
      </c>
      <c r="F4849" s="16">
        <v>75161</v>
      </c>
      <c r="G4849" s="16"/>
      <c r="H4849" s="16"/>
      <c r="I4849" s="16"/>
      <c r="J4849" s="16"/>
      <c r="K4849" s="16"/>
      <c r="L4849" s="16"/>
      <c r="M4849" s="19"/>
      <c r="N4849" s="16"/>
      <c r="O4849" s="16"/>
      <c r="P4849" s="16"/>
      <c r="Q4849" s="16"/>
    </row>
    <row r="4850" spans="1:17" ht="129.6" x14ac:dyDescent="0.3">
      <c r="A4850" s="16" t="s">
        <v>7796</v>
      </c>
      <c r="B4850" s="16" t="s">
        <v>7801</v>
      </c>
      <c r="C4850" s="16"/>
      <c r="D4850" s="16" t="s">
        <v>7597</v>
      </c>
      <c r="E4850" s="16" t="s">
        <v>2796</v>
      </c>
      <c r="F4850" s="16" t="s">
        <v>7357</v>
      </c>
      <c r="G4850" s="16" t="s">
        <v>8478</v>
      </c>
      <c r="H4850" s="16"/>
      <c r="I4850" s="16"/>
      <c r="J4850" s="16"/>
      <c r="K4850" s="16"/>
      <c r="L4850" s="16"/>
      <c r="M4850" s="19" t="s">
        <v>2797</v>
      </c>
      <c r="N4850" s="16" t="s">
        <v>2798</v>
      </c>
      <c r="O4850" s="16" t="s">
        <v>2799</v>
      </c>
      <c r="P4850" s="16" t="str">
        <f>HYPERLINK("https://ceds.ed.gov/cedselementdetails.aspx?termid=27720")</f>
        <v>https://ceds.ed.gov/cedselementdetails.aspx?termid=27720</v>
      </c>
      <c r="Q4850" s="16">
        <v>75162</v>
      </c>
    </row>
    <row r="4851" spans="1:17" ht="187.2" x14ac:dyDescent="0.3">
      <c r="A4851" s="16" t="s">
        <v>7796</v>
      </c>
      <c r="B4851" s="16" t="s">
        <v>7801</v>
      </c>
      <c r="C4851" s="16"/>
      <c r="D4851" s="16" t="s">
        <v>7597</v>
      </c>
      <c r="E4851" s="16" t="s">
        <v>5582</v>
      </c>
      <c r="F4851" s="16" t="s">
        <v>5583</v>
      </c>
      <c r="G4851" s="16" t="s">
        <v>8247</v>
      </c>
      <c r="H4851" s="16" t="s">
        <v>98</v>
      </c>
      <c r="I4851" s="16"/>
      <c r="J4851" s="16"/>
      <c r="K4851" s="16"/>
      <c r="L4851" s="16"/>
      <c r="M4851" s="19" t="s">
        <v>5584</v>
      </c>
      <c r="N4851" s="16"/>
      <c r="O4851" s="16" t="s">
        <v>5585</v>
      </c>
      <c r="P4851" s="16" t="str">
        <f>HYPERLINK("https://ceds.ed.gov/cedselementdetails.aspx?termid=26827")</f>
        <v>https://ceds.ed.gov/cedselementdetails.aspx?termid=26827</v>
      </c>
      <c r="Q4851" s="16">
        <v>75163</v>
      </c>
    </row>
    <row r="4852" spans="1:17" ht="172.8" x14ac:dyDescent="0.3">
      <c r="A4852" s="16" t="s">
        <v>7796</v>
      </c>
      <c r="B4852" s="16" t="s">
        <v>7801</v>
      </c>
      <c r="C4852" s="16"/>
      <c r="D4852" s="16" t="s">
        <v>7597</v>
      </c>
      <c r="E4852" s="16" t="s">
        <v>5586</v>
      </c>
      <c r="F4852" s="16" t="s">
        <v>5587</v>
      </c>
      <c r="G4852" s="16" t="s">
        <v>32</v>
      </c>
      <c r="H4852" s="16" t="s">
        <v>98</v>
      </c>
      <c r="I4852" s="16"/>
      <c r="J4852" s="16" t="s">
        <v>120</v>
      </c>
      <c r="K4852" s="16"/>
      <c r="L4852" s="16" t="s">
        <v>7817</v>
      </c>
      <c r="M4852" s="19" t="s">
        <v>5588</v>
      </c>
      <c r="N4852" s="16"/>
      <c r="O4852" s="16" t="s">
        <v>5589</v>
      </c>
      <c r="P4852" s="16" t="str">
        <f>HYPERLINK("https://ceds.ed.gov/cedselementdetails.aspx?termid=26825")</f>
        <v>https://ceds.ed.gov/cedselementdetails.aspx?termid=26825</v>
      </c>
      <c r="Q4852" s="16">
        <v>75164</v>
      </c>
    </row>
    <row r="4853" spans="1:17" ht="57.6" x14ac:dyDescent="0.3">
      <c r="A4853" s="16" t="s">
        <v>7796</v>
      </c>
      <c r="B4853" s="16" t="s">
        <v>7801</v>
      </c>
      <c r="C4853" s="16"/>
      <c r="D4853" s="16" t="s">
        <v>7597</v>
      </c>
      <c r="E4853" s="16" t="s">
        <v>2885</v>
      </c>
      <c r="F4853" s="16" t="s">
        <v>2886</v>
      </c>
      <c r="G4853" s="16" t="s">
        <v>32</v>
      </c>
      <c r="H4853" s="16"/>
      <c r="I4853" s="16"/>
      <c r="J4853" s="16" t="s">
        <v>106</v>
      </c>
      <c r="K4853" s="16"/>
      <c r="L4853" s="16" t="s">
        <v>131</v>
      </c>
      <c r="M4853" s="19" t="s">
        <v>2888</v>
      </c>
      <c r="N4853" s="16"/>
      <c r="O4853" s="16" t="s">
        <v>2889</v>
      </c>
      <c r="P4853" s="16" t="str">
        <f>HYPERLINK("https://ceds.ed.gov/cedselementdetails.aspx?termid=27893")</f>
        <v>https://ceds.ed.gov/cedselementdetails.aspx?termid=27893</v>
      </c>
      <c r="Q4853" s="16">
        <v>75189</v>
      </c>
    </row>
    <row r="4854" spans="1:17" x14ac:dyDescent="0.3">
      <c r="A4854" s="16" t="s">
        <v>7796</v>
      </c>
      <c r="B4854" s="16" t="s">
        <v>7801</v>
      </c>
      <c r="C4854" s="16"/>
      <c r="D4854" s="16" t="s">
        <v>7597</v>
      </c>
      <c r="E4854" s="16" t="s">
        <v>2890</v>
      </c>
      <c r="F4854" s="16" t="s">
        <v>2891</v>
      </c>
      <c r="G4854" s="16" t="s">
        <v>32</v>
      </c>
      <c r="H4854" s="16"/>
      <c r="I4854" s="16"/>
      <c r="J4854" s="16" t="s">
        <v>106</v>
      </c>
      <c r="K4854" s="16"/>
      <c r="L4854" s="16"/>
      <c r="M4854" s="19" t="s">
        <v>2892</v>
      </c>
      <c r="N4854" s="16"/>
      <c r="O4854" s="16" t="s">
        <v>2893</v>
      </c>
      <c r="P4854" s="16" t="str">
        <f>HYPERLINK("https://ceds.ed.gov/cedselementdetails.aspx?termid=27892")</f>
        <v>https://ceds.ed.gov/cedselementdetails.aspx?termid=27892</v>
      </c>
      <c r="Q4854" s="16">
        <v>75190</v>
      </c>
    </row>
    <row r="4855" spans="1:17" ht="43.2" x14ac:dyDescent="0.3">
      <c r="A4855" s="16" t="s">
        <v>7802</v>
      </c>
      <c r="B4855" s="16" t="s">
        <v>7803</v>
      </c>
      <c r="C4855" s="16"/>
      <c r="D4855" s="16" t="s">
        <v>7597</v>
      </c>
      <c r="E4855" s="16" t="s">
        <v>2310</v>
      </c>
      <c r="F4855" s="16" t="s">
        <v>2311</v>
      </c>
      <c r="G4855" s="16" t="s">
        <v>32</v>
      </c>
      <c r="H4855" s="16" t="s">
        <v>779</v>
      </c>
      <c r="I4855" s="16"/>
      <c r="J4855" s="16" t="s">
        <v>50</v>
      </c>
      <c r="K4855" s="16"/>
      <c r="L4855" s="16"/>
      <c r="M4855" s="19" t="s">
        <v>2313</v>
      </c>
      <c r="N4855" s="16" t="s">
        <v>2314</v>
      </c>
      <c r="O4855" s="16" t="s">
        <v>2315</v>
      </c>
      <c r="P4855" s="16" t="str">
        <f>HYPERLINK("https://ceds.ed.gov/cedselementdetails.aspx?termid=26670")</f>
        <v>https://ceds.ed.gov/cedselementdetails.aspx?termid=26670</v>
      </c>
      <c r="Q4855" s="16">
        <v>71228</v>
      </c>
    </row>
    <row r="4856" spans="1:17" ht="28.8" x14ac:dyDescent="0.3">
      <c r="A4856" s="16" t="s">
        <v>7802</v>
      </c>
      <c r="B4856" s="16" t="s">
        <v>7803</v>
      </c>
      <c r="C4856" s="16"/>
      <c r="D4856" s="16" t="s">
        <v>7597</v>
      </c>
      <c r="E4856" s="16" t="s">
        <v>2305</v>
      </c>
      <c r="F4856" s="16" t="s">
        <v>2306</v>
      </c>
      <c r="G4856" s="16" t="s">
        <v>32</v>
      </c>
      <c r="H4856" s="16"/>
      <c r="I4856" s="16"/>
      <c r="J4856" s="16" t="s">
        <v>101</v>
      </c>
      <c r="K4856" s="16"/>
      <c r="L4856" s="16"/>
      <c r="M4856" s="19" t="s">
        <v>2307</v>
      </c>
      <c r="N4856" s="16" t="s">
        <v>2308</v>
      </c>
      <c r="O4856" s="16" t="s">
        <v>2309</v>
      </c>
      <c r="P4856" s="16" t="str">
        <f>HYPERLINK("https://ceds.ed.gov/cedselementdetails.aspx?termid=26674")</f>
        <v>https://ceds.ed.gov/cedselementdetails.aspx?termid=26674</v>
      </c>
      <c r="Q4856" s="16">
        <v>71232</v>
      </c>
    </row>
    <row r="4857" spans="1:17" ht="43.2" x14ac:dyDescent="0.3">
      <c r="A4857" s="16" t="s">
        <v>7802</v>
      </c>
      <c r="B4857" s="16" t="s">
        <v>7803</v>
      </c>
      <c r="C4857" s="16"/>
      <c r="D4857" s="16" t="s">
        <v>7597</v>
      </c>
      <c r="E4857" s="16" t="s">
        <v>2377</v>
      </c>
      <c r="F4857" s="16" t="s">
        <v>2378</v>
      </c>
      <c r="G4857" s="16" t="s">
        <v>32</v>
      </c>
      <c r="H4857" s="16"/>
      <c r="I4857" s="16"/>
      <c r="J4857" s="16" t="s">
        <v>106</v>
      </c>
      <c r="K4857" s="16"/>
      <c r="L4857" s="16"/>
      <c r="M4857" s="19" t="s">
        <v>2379</v>
      </c>
      <c r="N4857" s="16" t="s">
        <v>2380</v>
      </c>
      <c r="O4857" s="16" t="s">
        <v>2381</v>
      </c>
      <c r="P4857" s="16" t="str">
        <f>HYPERLINK("https://ceds.ed.gov/cedselementdetails.aspx?termid=26677")</f>
        <v>https://ceds.ed.gov/cedselementdetails.aspx?termid=26677</v>
      </c>
      <c r="Q4857" s="16">
        <v>71235</v>
      </c>
    </row>
    <row r="4858" spans="1:17" ht="57.6" x14ac:dyDescent="0.3">
      <c r="A4858" s="16" t="s">
        <v>7802</v>
      </c>
      <c r="B4858" s="16" t="s">
        <v>7803</v>
      </c>
      <c r="C4858" s="16"/>
      <c r="D4858" s="16" t="s">
        <v>7597</v>
      </c>
      <c r="E4858" s="16" t="s">
        <v>2372</v>
      </c>
      <c r="F4858" s="16" t="s">
        <v>2373</v>
      </c>
      <c r="G4858" s="16" t="s">
        <v>32</v>
      </c>
      <c r="H4858" s="16"/>
      <c r="I4858" s="16"/>
      <c r="J4858" s="16" t="s">
        <v>106</v>
      </c>
      <c r="K4858" s="16"/>
      <c r="L4858" s="16" t="s">
        <v>131</v>
      </c>
      <c r="M4858" s="19" t="s">
        <v>2374</v>
      </c>
      <c r="N4858" s="16" t="s">
        <v>2375</v>
      </c>
      <c r="O4858" s="16" t="s">
        <v>2376</v>
      </c>
      <c r="P4858" s="16" t="str">
        <f>HYPERLINK("https://ceds.ed.gov/cedselementdetails.aspx?termid=26678")</f>
        <v>https://ceds.ed.gov/cedselementdetails.aspx?termid=26678</v>
      </c>
      <c r="Q4858" s="16">
        <v>71236</v>
      </c>
    </row>
    <row r="4859" spans="1:17" ht="57.6" x14ac:dyDescent="0.3">
      <c r="A4859" s="16" t="s">
        <v>7802</v>
      </c>
      <c r="B4859" s="16" t="s">
        <v>7803</v>
      </c>
      <c r="C4859" s="16"/>
      <c r="D4859" s="16" t="s">
        <v>7597</v>
      </c>
      <c r="E4859" s="16" t="s">
        <v>2316</v>
      </c>
      <c r="F4859" s="16" t="s">
        <v>2317</v>
      </c>
      <c r="G4859" s="16" t="s">
        <v>32</v>
      </c>
      <c r="H4859" s="16"/>
      <c r="I4859" s="16"/>
      <c r="J4859" s="16" t="s">
        <v>1449</v>
      </c>
      <c r="K4859" s="16"/>
      <c r="L4859" s="16"/>
      <c r="M4859" s="19" t="s">
        <v>2318</v>
      </c>
      <c r="N4859" s="16" t="s">
        <v>2319</v>
      </c>
      <c r="O4859" s="16" t="s">
        <v>2320</v>
      </c>
      <c r="P4859" s="16" t="str">
        <f>HYPERLINK("https://ceds.ed.gov/cedselementdetails.aspx?termid=26676")</f>
        <v>https://ceds.ed.gov/cedselementdetails.aspx?termid=26676</v>
      </c>
      <c r="Q4859" s="16">
        <v>71234</v>
      </c>
    </row>
    <row r="4860" spans="1:17" ht="28.8" x14ac:dyDescent="0.3">
      <c r="A4860" s="16" t="s">
        <v>7802</v>
      </c>
      <c r="B4860" s="16" t="s">
        <v>7803</v>
      </c>
      <c r="C4860" s="16"/>
      <c r="D4860" s="16" t="s">
        <v>7597</v>
      </c>
      <c r="E4860" s="16" t="s">
        <v>2362</v>
      </c>
      <c r="F4860" s="16" t="s">
        <v>2363</v>
      </c>
      <c r="G4860" s="16" t="s">
        <v>32</v>
      </c>
      <c r="H4860" s="16" t="s">
        <v>779</v>
      </c>
      <c r="I4860" s="16"/>
      <c r="J4860" s="16" t="s">
        <v>81</v>
      </c>
      <c r="K4860" s="16"/>
      <c r="L4860" s="16"/>
      <c r="M4860" s="19" t="s">
        <v>2364</v>
      </c>
      <c r="N4860" s="16" t="s">
        <v>2365</v>
      </c>
      <c r="O4860" s="16" t="s">
        <v>2366</v>
      </c>
      <c r="P4860" s="16" t="str">
        <f>HYPERLINK("https://ceds.ed.gov/cedselementdetails.aspx?termid=26679")</f>
        <v>https://ceds.ed.gov/cedselementdetails.aspx?termid=26679</v>
      </c>
      <c r="Q4860" s="16">
        <v>71237</v>
      </c>
    </row>
    <row r="4861" spans="1:17" x14ac:dyDescent="0.3">
      <c r="A4861" s="16" t="s">
        <v>7802</v>
      </c>
      <c r="B4861" s="16" t="s">
        <v>7803</v>
      </c>
      <c r="C4861" s="16"/>
      <c r="D4861" s="16" t="s">
        <v>7597</v>
      </c>
      <c r="E4861" s="16" t="s">
        <v>2367</v>
      </c>
      <c r="F4861" s="16" t="s">
        <v>2368</v>
      </c>
      <c r="G4861" s="16" t="s">
        <v>32</v>
      </c>
      <c r="H4861" s="16" t="s">
        <v>779</v>
      </c>
      <c r="I4861" s="16"/>
      <c r="J4861" s="16" t="s">
        <v>1449</v>
      </c>
      <c r="K4861" s="16"/>
      <c r="L4861" s="16"/>
      <c r="M4861" s="19" t="s">
        <v>2369</v>
      </c>
      <c r="N4861" s="16" t="s">
        <v>2370</v>
      </c>
      <c r="O4861" s="16" t="s">
        <v>2371</v>
      </c>
      <c r="P4861" s="16" t="str">
        <f>HYPERLINK("https://ceds.ed.gov/cedselementdetails.aspx?termid=26671")</f>
        <v>https://ceds.ed.gov/cedselementdetails.aspx?termid=26671</v>
      </c>
      <c r="Q4861" s="16">
        <v>71229</v>
      </c>
    </row>
    <row r="4862" spans="1:17" ht="28.8" x14ac:dyDescent="0.3">
      <c r="A4862" s="16" t="s">
        <v>7802</v>
      </c>
      <c r="B4862" s="16" t="s">
        <v>7803</v>
      </c>
      <c r="C4862" s="16"/>
      <c r="D4862" s="16" t="s">
        <v>7597</v>
      </c>
      <c r="E4862" s="16" t="s">
        <v>2382</v>
      </c>
      <c r="F4862" s="16" t="s">
        <v>2383</v>
      </c>
      <c r="G4862" s="16" t="s">
        <v>32</v>
      </c>
      <c r="H4862" s="16" t="s">
        <v>779</v>
      </c>
      <c r="I4862" s="16"/>
      <c r="J4862" s="16" t="s">
        <v>81</v>
      </c>
      <c r="K4862" s="16"/>
      <c r="L4862" s="16"/>
      <c r="M4862" s="19" t="s">
        <v>2384</v>
      </c>
      <c r="N4862" s="16" t="s">
        <v>2385</v>
      </c>
      <c r="O4862" s="16" t="s">
        <v>2386</v>
      </c>
      <c r="P4862" s="16" t="str">
        <f>HYPERLINK("https://ceds.ed.gov/cedselementdetails.aspx?termid=26672")</f>
        <v>https://ceds.ed.gov/cedselementdetails.aspx?termid=26672</v>
      </c>
      <c r="Q4862" s="16">
        <v>71230</v>
      </c>
    </row>
    <row r="4863" spans="1:17" ht="115.2" x14ac:dyDescent="0.3">
      <c r="A4863" s="16" t="s">
        <v>7802</v>
      </c>
      <c r="B4863" s="16" t="s">
        <v>7803</v>
      </c>
      <c r="C4863" s="16"/>
      <c r="D4863" s="16" t="s">
        <v>7597</v>
      </c>
      <c r="E4863" s="16" t="s">
        <v>2321</v>
      </c>
      <c r="F4863" s="16" t="s">
        <v>2322</v>
      </c>
      <c r="G4863" s="16" t="s">
        <v>7313</v>
      </c>
      <c r="H4863" s="16"/>
      <c r="I4863" s="16"/>
      <c r="J4863" s="16"/>
      <c r="K4863" s="16"/>
      <c r="L4863" s="16" t="s">
        <v>7859</v>
      </c>
      <c r="M4863" s="19" t="s">
        <v>2323</v>
      </c>
      <c r="N4863" s="16" t="s">
        <v>2324</v>
      </c>
      <c r="O4863" s="16" t="s">
        <v>2325</v>
      </c>
      <c r="P4863" s="16" t="str">
        <f>HYPERLINK("https://ceds.ed.gov/cedselementdetails.aspx?termid=26880")</f>
        <v>https://ceds.ed.gov/cedselementdetails.aspx?termid=26880</v>
      </c>
      <c r="Q4863" s="16">
        <v>72331</v>
      </c>
    </row>
    <row r="4864" spans="1:17" ht="43.2" x14ac:dyDescent="0.3">
      <c r="A4864" s="16" t="s">
        <v>7802</v>
      </c>
      <c r="B4864" s="16" t="s">
        <v>7803</v>
      </c>
      <c r="C4864" s="16"/>
      <c r="D4864" s="16" t="s">
        <v>7597</v>
      </c>
      <c r="E4864" s="16" t="s">
        <v>2326</v>
      </c>
      <c r="F4864" s="16" t="s">
        <v>2327</v>
      </c>
      <c r="G4864" s="16" t="s">
        <v>32</v>
      </c>
      <c r="H4864" s="16"/>
      <c r="I4864" s="16"/>
      <c r="J4864" s="16" t="s">
        <v>101</v>
      </c>
      <c r="K4864" s="16"/>
      <c r="L4864" s="16"/>
      <c r="M4864" s="19" t="s">
        <v>2328</v>
      </c>
      <c r="N4864" s="16" t="s">
        <v>2329</v>
      </c>
      <c r="O4864" s="16" t="s">
        <v>2330</v>
      </c>
      <c r="P4864" s="16" t="str">
        <f>HYPERLINK("https://ceds.ed.gov/cedselementdetails.aspx?termid=26882")</f>
        <v>https://ceds.ed.gov/cedselementdetails.aspx?termid=26882</v>
      </c>
      <c r="Q4864" s="16">
        <v>72333</v>
      </c>
    </row>
    <row r="4865" spans="1:17" ht="72" x14ac:dyDescent="0.3">
      <c r="A4865" s="16" t="s">
        <v>7802</v>
      </c>
      <c r="B4865" s="16" t="s">
        <v>7803</v>
      </c>
      <c r="C4865" s="16"/>
      <c r="D4865" s="16" t="s">
        <v>7597</v>
      </c>
      <c r="E4865" s="16" t="s">
        <v>2299</v>
      </c>
      <c r="F4865" s="16" t="s">
        <v>2300</v>
      </c>
      <c r="G4865" s="16" t="s">
        <v>32</v>
      </c>
      <c r="H4865" s="16"/>
      <c r="I4865" s="16"/>
      <c r="J4865" s="16" t="s">
        <v>1449</v>
      </c>
      <c r="K4865" s="16"/>
      <c r="L4865" s="16" t="s">
        <v>7910</v>
      </c>
      <c r="M4865" s="19" t="s">
        <v>2302</v>
      </c>
      <c r="N4865" s="16" t="s">
        <v>2303</v>
      </c>
      <c r="O4865" s="16" t="s">
        <v>2304</v>
      </c>
      <c r="P4865" s="16" t="str">
        <f>HYPERLINK("https://ceds.ed.gov/cedselementdetails.aspx?termid=26673")</f>
        <v>https://ceds.ed.gov/cedselementdetails.aspx?termid=26673</v>
      </c>
      <c r="Q4865" s="16">
        <v>71231</v>
      </c>
    </row>
    <row r="4866" spans="1:17" ht="43.2" x14ac:dyDescent="0.3">
      <c r="A4866" s="16" t="s">
        <v>7802</v>
      </c>
      <c r="B4866" s="16" t="s">
        <v>7803</v>
      </c>
      <c r="C4866" s="16"/>
      <c r="D4866" s="16" t="s">
        <v>7597</v>
      </c>
      <c r="E4866" s="16" t="s">
        <v>2331</v>
      </c>
      <c r="F4866" s="16" t="s">
        <v>2332</v>
      </c>
      <c r="G4866" s="16" t="s">
        <v>32</v>
      </c>
      <c r="H4866" s="16"/>
      <c r="I4866" s="16"/>
      <c r="J4866" s="16" t="s">
        <v>106</v>
      </c>
      <c r="K4866" s="16"/>
      <c r="L4866" s="16" t="s">
        <v>2333</v>
      </c>
      <c r="M4866" s="19" t="s">
        <v>2334</v>
      </c>
      <c r="N4866" s="16" t="s">
        <v>2335</v>
      </c>
      <c r="O4866" s="16" t="s">
        <v>2336</v>
      </c>
      <c r="P4866" s="16" t="str">
        <f>HYPERLINK("https://ceds.ed.gov/cedselementdetails.aspx?termid=27548")</f>
        <v>https://ceds.ed.gov/cedselementdetails.aspx?termid=27548</v>
      </c>
      <c r="Q4866" s="16">
        <v>73901</v>
      </c>
    </row>
    <row r="4867" spans="1:17" ht="86.4" x14ac:dyDescent="0.3">
      <c r="A4867" s="16" t="s">
        <v>7802</v>
      </c>
      <c r="B4867" s="16" t="s">
        <v>7803</v>
      </c>
      <c r="C4867" s="16"/>
      <c r="D4867" s="16" t="s">
        <v>7597</v>
      </c>
      <c r="E4867" s="16" t="s">
        <v>2337</v>
      </c>
      <c r="F4867" s="16" t="s">
        <v>2338</v>
      </c>
      <c r="G4867" s="16" t="s">
        <v>8449</v>
      </c>
      <c r="H4867" s="16"/>
      <c r="I4867" s="16"/>
      <c r="J4867" s="16"/>
      <c r="K4867" s="16"/>
      <c r="L4867" s="16"/>
      <c r="M4867" s="19" t="s">
        <v>2339</v>
      </c>
      <c r="N4867" s="16" t="s">
        <v>2340</v>
      </c>
      <c r="O4867" s="16" t="s">
        <v>2341</v>
      </c>
      <c r="P4867" s="16" t="str">
        <f>HYPERLINK("https://ceds.ed.gov/cedselementdetails.aspx?termid=26675")</f>
        <v>https://ceds.ed.gov/cedselementdetails.aspx?termid=26675</v>
      </c>
      <c r="Q4867" s="16">
        <v>71233</v>
      </c>
    </row>
    <row r="4868" spans="1:17" ht="28.8" x14ac:dyDescent="0.3">
      <c r="A4868" s="16" t="s">
        <v>7802</v>
      </c>
      <c r="B4868" s="16" t="s">
        <v>7803</v>
      </c>
      <c r="C4868" s="16"/>
      <c r="D4868" s="16" t="s">
        <v>7597</v>
      </c>
      <c r="E4868" s="16" t="s">
        <v>2342</v>
      </c>
      <c r="F4868" s="16" t="s">
        <v>2343</v>
      </c>
      <c r="G4868" s="16" t="s">
        <v>32</v>
      </c>
      <c r="H4868" s="16"/>
      <c r="I4868" s="16"/>
      <c r="J4868" s="16" t="s">
        <v>81</v>
      </c>
      <c r="K4868" s="16"/>
      <c r="L4868" s="16"/>
      <c r="M4868" s="19" t="s">
        <v>2344</v>
      </c>
      <c r="N4868" s="16" t="s">
        <v>2345</v>
      </c>
      <c r="O4868" s="16" t="s">
        <v>2346</v>
      </c>
      <c r="P4868" s="16" t="str">
        <f>HYPERLINK("https://ceds.ed.gov/cedselementdetails.aspx?termid=26884")</f>
        <v>https://ceds.ed.gov/cedselementdetails.aspx?termid=26884</v>
      </c>
      <c r="Q4868" s="16">
        <v>72335</v>
      </c>
    </row>
    <row r="4869" spans="1:17" ht="28.8" x14ac:dyDescent="0.3">
      <c r="A4869" s="16" t="s">
        <v>7802</v>
      </c>
      <c r="B4869" s="16" t="s">
        <v>7803</v>
      </c>
      <c r="C4869" s="16"/>
      <c r="D4869" s="16" t="s">
        <v>7597</v>
      </c>
      <c r="E4869" s="16" t="s">
        <v>2347</v>
      </c>
      <c r="F4869" s="16" t="s">
        <v>2348</v>
      </c>
      <c r="G4869" s="16" t="s">
        <v>32</v>
      </c>
      <c r="H4869" s="16"/>
      <c r="I4869" s="16"/>
      <c r="J4869" s="16" t="s">
        <v>101</v>
      </c>
      <c r="K4869" s="16"/>
      <c r="L4869" s="16"/>
      <c r="M4869" s="19" t="s">
        <v>2349</v>
      </c>
      <c r="N4869" s="16" t="s">
        <v>2350</v>
      </c>
      <c r="O4869" s="16" t="s">
        <v>2351</v>
      </c>
      <c r="P4869" s="16" t="str">
        <f>HYPERLINK("https://ceds.ed.gov/cedselementdetails.aspx?termid=26885")</f>
        <v>https://ceds.ed.gov/cedselementdetails.aspx?termid=26885</v>
      </c>
      <c r="Q4869" s="16">
        <v>72336</v>
      </c>
    </row>
    <row r="4870" spans="1:17" ht="43.2" x14ac:dyDescent="0.3">
      <c r="A4870" s="16" t="s">
        <v>7802</v>
      </c>
      <c r="B4870" s="16" t="s">
        <v>7803</v>
      </c>
      <c r="C4870" s="16"/>
      <c r="D4870" s="16" t="s">
        <v>7597</v>
      </c>
      <c r="E4870" s="16" t="s">
        <v>2352</v>
      </c>
      <c r="F4870" s="16" t="s">
        <v>2353</v>
      </c>
      <c r="G4870" s="16" t="s">
        <v>32</v>
      </c>
      <c r="H4870" s="16"/>
      <c r="I4870" s="16"/>
      <c r="J4870" s="16" t="s">
        <v>81</v>
      </c>
      <c r="K4870" s="16"/>
      <c r="L4870" s="16"/>
      <c r="M4870" s="19" t="s">
        <v>2354</v>
      </c>
      <c r="N4870" s="16" t="s">
        <v>2355</v>
      </c>
      <c r="O4870" s="16" t="s">
        <v>2356</v>
      </c>
      <c r="P4870" s="16" t="str">
        <f>HYPERLINK("https://ceds.ed.gov/cedselementdetails.aspx?termid=26886")</f>
        <v>https://ceds.ed.gov/cedselementdetails.aspx?termid=26886</v>
      </c>
      <c r="Q4870" s="16">
        <v>72337</v>
      </c>
    </row>
    <row r="4871" spans="1:17" ht="72" x14ac:dyDescent="0.3">
      <c r="A4871" s="16" t="s">
        <v>7802</v>
      </c>
      <c r="B4871" s="16" t="s">
        <v>7803</v>
      </c>
      <c r="C4871" s="16"/>
      <c r="D4871" s="16" t="s">
        <v>7597</v>
      </c>
      <c r="E4871" s="16" t="s">
        <v>2357</v>
      </c>
      <c r="F4871" s="16" t="s">
        <v>2358</v>
      </c>
      <c r="G4871" s="16" t="s">
        <v>32</v>
      </c>
      <c r="H4871" s="16"/>
      <c r="I4871" s="16"/>
      <c r="J4871" s="16" t="s">
        <v>50</v>
      </c>
      <c r="K4871" s="16"/>
      <c r="L4871" s="16" t="s">
        <v>2359</v>
      </c>
      <c r="M4871" s="19" t="s">
        <v>2360</v>
      </c>
      <c r="N4871" s="16"/>
      <c r="O4871" s="16" t="s">
        <v>2361</v>
      </c>
      <c r="P4871" s="16" t="str">
        <f>HYPERLINK("https://ceds.ed.gov/cedselementdetails.aspx?termid=27888")</f>
        <v>https://ceds.ed.gov/cedselementdetails.aspx?termid=27888</v>
      </c>
      <c r="Q4871" s="16">
        <v>75185</v>
      </c>
    </row>
    <row r="4872" spans="1:17" ht="172.8" x14ac:dyDescent="0.3">
      <c r="A4872" s="16" t="s">
        <v>7802</v>
      </c>
      <c r="B4872" s="16" t="s">
        <v>7804</v>
      </c>
      <c r="C4872" s="16"/>
      <c r="D4872" s="16" t="s">
        <v>7597</v>
      </c>
      <c r="E4872" s="16" t="s">
        <v>2167</v>
      </c>
      <c r="F4872" s="16" t="s">
        <v>2168</v>
      </c>
      <c r="G4872" s="16" t="s">
        <v>32</v>
      </c>
      <c r="H4872" s="16" t="s">
        <v>779</v>
      </c>
      <c r="I4872" s="16"/>
      <c r="J4872" s="16" t="s">
        <v>120</v>
      </c>
      <c r="K4872" s="16"/>
      <c r="L4872" s="16" t="s">
        <v>7905</v>
      </c>
      <c r="M4872" s="19" t="s">
        <v>2169</v>
      </c>
      <c r="N4872" s="16" t="s">
        <v>2170</v>
      </c>
      <c r="O4872" s="16" t="s">
        <v>2171</v>
      </c>
      <c r="P4872" s="16" t="str">
        <f>HYPERLINK("https://ceds.ed.gov/cedselementdetails.aspx?termid=26666")</f>
        <v>https://ceds.ed.gov/cedselementdetails.aspx?termid=26666</v>
      </c>
      <c r="Q4872" s="16">
        <v>71238</v>
      </c>
    </row>
    <row r="4873" spans="1:17" ht="201.6" x14ac:dyDescent="0.3">
      <c r="A4873" s="16" t="s">
        <v>7802</v>
      </c>
      <c r="B4873" s="16" t="s">
        <v>7804</v>
      </c>
      <c r="C4873" s="16"/>
      <c r="D4873" s="16" t="s">
        <v>7597</v>
      </c>
      <c r="E4873" s="16" t="s">
        <v>2232</v>
      </c>
      <c r="F4873" s="16" t="s">
        <v>2233</v>
      </c>
      <c r="G4873" s="16" t="s">
        <v>32</v>
      </c>
      <c r="H4873" s="16" t="s">
        <v>779</v>
      </c>
      <c r="I4873" s="16"/>
      <c r="J4873" s="16" t="s">
        <v>316</v>
      </c>
      <c r="K4873" s="16"/>
      <c r="L4873" s="16" t="s">
        <v>7907</v>
      </c>
      <c r="M4873" s="19" t="s">
        <v>2234</v>
      </c>
      <c r="N4873" s="16" t="s">
        <v>2235</v>
      </c>
      <c r="O4873" s="16" t="s">
        <v>2236</v>
      </c>
      <c r="P4873" s="16" t="str">
        <f>HYPERLINK("https://ceds.ed.gov/cedselementdetails.aspx?termid=26667")</f>
        <v>https://ceds.ed.gov/cedselementdetails.aspx?termid=26667</v>
      </c>
      <c r="Q4873" s="16">
        <v>71239</v>
      </c>
    </row>
    <row r="4874" spans="1:17" ht="144" x14ac:dyDescent="0.3">
      <c r="A4874" s="16" t="s">
        <v>7802</v>
      </c>
      <c r="B4874" s="16" t="s">
        <v>7804</v>
      </c>
      <c r="C4874" s="16"/>
      <c r="D4874" s="16" t="s">
        <v>7597</v>
      </c>
      <c r="E4874" s="16" t="s">
        <v>2212</v>
      </c>
      <c r="F4874" s="16" t="s">
        <v>2213</v>
      </c>
      <c r="G4874" s="16" t="s">
        <v>32</v>
      </c>
      <c r="H4874" s="16" t="s">
        <v>779</v>
      </c>
      <c r="I4874" s="16"/>
      <c r="J4874" s="16" t="s">
        <v>120</v>
      </c>
      <c r="K4874" s="16"/>
      <c r="L4874" s="16" t="s">
        <v>12976</v>
      </c>
      <c r="M4874" s="19"/>
      <c r="N4874" s="16"/>
      <c r="O4874" s="16"/>
      <c r="P4874" s="16"/>
      <c r="Q4874" s="16"/>
    </row>
    <row r="4875" spans="1:17" x14ac:dyDescent="0.3">
      <c r="A4875" s="16"/>
      <c r="B4875" s="16"/>
      <c r="C4875" s="16"/>
      <c r="D4875" s="16"/>
      <c r="E4875" s="16"/>
      <c r="F4875" s="16"/>
      <c r="G4875" s="16"/>
      <c r="H4875" s="16"/>
      <c r="I4875" s="16"/>
      <c r="J4875" s="16"/>
      <c r="K4875" s="16"/>
      <c r="L4875" s="16"/>
      <c r="M4875" s="19"/>
      <c r="N4875" s="16"/>
      <c r="O4875" s="16"/>
      <c r="P4875" s="16"/>
      <c r="Q4875" s="16"/>
    </row>
    <row r="4876" spans="1:17" x14ac:dyDescent="0.3">
      <c r="A4876" s="16"/>
      <c r="B4876" s="16"/>
      <c r="C4876" s="16"/>
      <c r="D4876" s="16"/>
      <c r="E4876" s="16"/>
      <c r="F4876" s="16"/>
      <c r="G4876" s="16"/>
      <c r="H4876" s="16"/>
      <c r="I4876" s="16"/>
      <c r="J4876" s="16"/>
      <c r="K4876" s="16"/>
      <c r="L4876" s="16"/>
      <c r="M4876" s="19"/>
      <c r="N4876" s="16"/>
      <c r="O4876" s="16"/>
      <c r="P4876" s="16"/>
      <c r="Q4876" s="16"/>
    </row>
    <row r="4877" spans="1:17" x14ac:dyDescent="0.3">
      <c r="A4877" s="16"/>
      <c r="B4877" s="16"/>
      <c r="C4877" s="16"/>
      <c r="D4877" s="16"/>
      <c r="E4877" s="16"/>
      <c r="F4877" s="16"/>
      <c r="G4877" s="16"/>
      <c r="H4877" s="16"/>
      <c r="I4877" s="16"/>
      <c r="J4877" s="16"/>
      <c r="K4877" s="16"/>
      <c r="L4877" s="16"/>
      <c r="M4877" s="19"/>
      <c r="N4877" s="16"/>
      <c r="O4877" s="16"/>
      <c r="P4877" s="16"/>
      <c r="Q4877" s="16"/>
    </row>
    <row r="4878" spans="1:17" ht="115.2" x14ac:dyDescent="0.3">
      <c r="A4878" s="16" t="s">
        <v>121</v>
      </c>
      <c r="B4878" s="16"/>
      <c r="C4878" s="16"/>
      <c r="D4878" s="16"/>
      <c r="E4878" s="16"/>
      <c r="F4878" s="16"/>
      <c r="G4878" s="16"/>
      <c r="H4878" s="16"/>
      <c r="I4878" s="16"/>
      <c r="J4878" s="16"/>
      <c r="K4878" s="16"/>
      <c r="L4878" s="16"/>
      <c r="M4878" s="19"/>
      <c r="N4878" s="16"/>
      <c r="O4878" s="16"/>
      <c r="P4878" s="16"/>
      <c r="Q4878" s="16"/>
    </row>
    <row r="4879" spans="1:17" x14ac:dyDescent="0.3">
      <c r="A4879" s="16"/>
      <c r="B4879" s="16"/>
      <c r="C4879" s="16"/>
      <c r="D4879" s="16"/>
      <c r="E4879" s="16"/>
      <c r="F4879" s="16"/>
      <c r="G4879" s="16"/>
      <c r="H4879" s="16"/>
      <c r="I4879" s="16"/>
      <c r="J4879" s="16"/>
      <c r="K4879" s="16"/>
      <c r="L4879" s="16"/>
      <c r="M4879" s="19"/>
      <c r="N4879" s="16"/>
      <c r="O4879" s="16"/>
      <c r="P4879" s="16"/>
      <c r="Q4879" s="16"/>
    </row>
    <row r="4880" spans="1:17" x14ac:dyDescent="0.3">
      <c r="A4880" s="16"/>
      <c r="B4880" s="16"/>
      <c r="C4880" s="16"/>
      <c r="D4880" s="16"/>
      <c r="E4880" s="16"/>
      <c r="F4880" s="16"/>
      <c r="G4880" s="16"/>
      <c r="H4880" s="16"/>
      <c r="I4880" s="16"/>
      <c r="J4880" s="16"/>
      <c r="K4880" s="16"/>
      <c r="L4880" s="16"/>
      <c r="M4880" s="19"/>
      <c r="N4880" s="16"/>
      <c r="O4880" s="16"/>
      <c r="P4880" s="16"/>
      <c r="Q4880" s="16"/>
    </row>
    <row r="4881" spans="1:17" x14ac:dyDescent="0.3">
      <c r="A4881" s="16"/>
      <c r="B4881" s="16"/>
      <c r="C4881" s="16"/>
      <c r="D4881" s="16"/>
      <c r="E4881" s="16"/>
      <c r="F4881" s="16"/>
      <c r="G4881" s="16"/>
      <c r="H4881" s="16"/>
      <c r="I4881" s="16"/>
      <c r="J4881" s="16"/>
      <c r="K4881" s="16"/>
      <c r="L4881" s="16"/>
      <c r="M4881" s="19"/>
      <c r="N4881" s="16"/>
      <c r="O4881" s="16"/>
      <c r="P4881" s="16"/>
      <c r="Q4881" s="16"/>
    </row>
    <row r="4882" spans="1:17" ht="86.4" x14ac:dyDescent="0.3">
      <c r="A4882" s="16" t="s">
        <v>124</v>
      </c>
      <c r="B4882" s="16">
        <v>715</v>
      </c>
      <c r="C4882" s="16" t="s">
        <v>2214</v>
      </c>
      <c r="D4882" s="16" t="s">
        <v>2215</v>
      </c>
      <c r="E4882" s="16" t="str">
        <f>HYPERLINK("https://ceds.ed.gov/cedselementdetails.aspx?termid=26691")</f>
        <v>https://ceds.ed.gov/cedselementdetails.aspx?termid=26691</v>
      </c>
      <c r="F4882" s="16">
        <v>71242</v>
      </c>
      <c r="G4882" s="16"/>
      <c r="H4882" s="16"/>
      <c r="I4882" s="16"/>
      <c r="J4882" s="16"/>
      <c r="K4882" s="16"/>
      <c r="L4882" s="16"/>
      <c r="M4882" s="19"/>
      <c r="N4882" s="16"/>
      <c r="O4882" s="16"/>
      <c r="P4882" s="16"/>
      <c r="Q4882" s="16"/>
    </row>
    <row r="4883" spans="1:17" ht="86.4" x14ac:dyDescent="0.3">
      <c r="A4883" s="16" t="s">
        <v>7802</v>
      </c>
      <c r="B4883" s="16" t="s">
        <v>7804</v>
      </c>
      <c r="C4883" s="16"/>
      <c r="D4883" s="16" t="s">
        <v>7597</v>
      </c>
      <c r="E4883" s="16" t="s">
        <v>2277</v>
      </c>
      <c r="F4883" s="16" t="s">
        <v>2278</v>
      </c>
      <c r="G4883" s="16" t="s">
        <v>32</v>
      </c>
      <c r="H4883" s="16"/>
      <c r="I4883" s="16"/>
      <c r="J4883" s="16" t="s">
        <v>50</v>
      </c>
      <c r="K4883" s="16"/>
      <c r="L4883" s="16" t="s">
        <v>124</v>
      </c>
      <c r="M4883" s="19" t="s">
        <v>2280</v>
      </c>
      <c r="N4883" s="16" t="s">
        <v>2281</v>
      </c>
      <c r="O4883" s="16" t="s">
        <v>2282</v>
      </c>
      <c r="P4883" s="16" t="str">
        <f>HYPERLINK("https://ceds.ed.gov/cedselementdetails.aspx?termid=26874")</f>
        <v>https://ceds.ed.gov/cedselementdetails.aspx?termid=26874</v>
      </c>
      <c r="Q4883" s="16">
        <v>72325</v>
      </c>
    </row>
    <row r="4884" spans="1:17" ht="72" x14ac:dyDescent="0.3">
      <c r="A4884" s="16" t="s">
        <v>7802</v>
      </c>
      <c r="B4884" s="16" t="s">
        <v>7804</v>
      </c>
      <c r="C4884" s="16"/>
      <c r="D4884" s="16" t="s">
        <v>7597</v>
      </c>
      <c r="E4884" s="16" t="s">
        <v>2139</v>
      </c>
      <c r="F4884" s="16" t="s">
        <v>2140</v>
      </c>
      <c r="G4884" s="16" t="s">
        <v>32</v>
      </c>
      <c r="H4884" s="16"/>
      <c r="I4884" s="16"/>
      <c r="J4884" s="16" t="s">
        <v>81</v>
      </c>
      <c r="K4884" s="16"/>
      <c r="L4884" s="16" t="s">
        <v>7904</v>
      </c>
      <c r="M4884" s="19" t="s">
        <v>2142</v>
      </c>
      <c r="N4884" s="16" t="s">
        <v>2143</v>
      </c>
      <c r="O4884" s="16" t="s">
        <v>2144</v>
      </c>
      <c r="P4884" s="16" t="str">
        <f>HYPERLINK("https://ceds.ed.gov/cedselementdetails.aspx?termid=26669")</f>
        <v>https://ceds.ed.gov/cedselementdetails.aspx?termid=26669</v>
      </c>
      <c r="Q4884" s="16">
        <v>71241</v>
      </c>
    </row>
    <row r="4885" spans="1:17" ht="172.8" x14ac:dyDescent="0.3">
      <c r="A4885" s="16" t="s">
        <v>7802</v>
      </c>
      <c r="B4885" s="16" t="s">
        <v>7804</v>
      </c>
      <c r="C4885" s="16"/>
      <c r="D4885" s="16" t="s">
        <v>7597</v>
      </c>
      <c r="E4885" s="16" t="s">
        <v>2202</v>
      </c>
      <c r="F4885" s="16" t="s">
        <v>2203</v>
      </c>
      <c r="G4885" s="16" t="s">
        <v>32</v>
      </c>
      <c r="H4885" s="16"/>
      <c r="I4885" s="16"/>
      <c r="J4885" s="16" t="s">
        <v>120</v>
      </c>
      <c r="K4885" s="16"/>
      <c r="L4885" s="16" t="s">
        <v>7817</v>
      </c>
      <c r="M4885" s="19" t="s">
        <v>2204</v>
      </c>
      <c r="N4885" s="16" t="s">
        <v>2205</v>
      </c>
      <c r="O4885" s="16" t="s">
        <v>2206</v>
      </c>
      <c r="P4885" s="16" t="str">
        <f>HYPERLINK("https://ceds.ed.gov/cedselementdetails.aspx?termid=26872")</f>
        <v>https://ceds.ed.gov/cedselementdetails.aspx?termid=26872</v>
      </c>
      <c r="Q4885" s="16">
        <v>72322</v>
      </c>
    </row>
    <row r="4886" spans="1:17" ht="43.2" x14ac:dyDescent="0.3">
      <c r="A4886" s="16" t="s">
        <v>7802</v>
      </c>
      <c r="B4886" s="16" t="s">
        <v>7804</v>
      </c>
      <c r="C4886" s="16"/>
      <c r="D4886" s="16" t="s">
        <v>7597</v>
      </c>
      <c r="E4886" s="16" t="s">
        <v>2197</v>
      </c>
      <c r="F4886" s="16" t="s">
        <v>2198</v>
      </c>
      <c r="G4886" s="16" t="s">
        <v>32</v>
      </c>
      <c r="H4886" s="16"/>
      <c r="I4886" s="16"/>
      <c r="J4886" s="16" t="s">
        <v>81</v>
      </c>
      <c r="K4886" s="16"/>
      <c r="L4886" s="16"/>
      <c r="M4886" s="19" t="s">
        <v>2199</v>
      </c>
      <c r="N4886" s="16" t="s">
        <v>2200</v>
      </c>
      <c r="O4886" s="16" t="s">
        <v>2201</v>
      </c>
      <c r="P4886" s="16" t="str">
        <f>HYPERLINK("https://ceds.ed.gov/cedselementdetails.aspx?termid=26873")</f>
        <v>https://ceds.ed.gov/cedselementdetails.aspx?termid=26873</v>
      </c>
      <c r="Q4886" s="16">
        <v>72324</v>
      </c>
    </row>
    <row r="4887" spans="1:17" ht="57.6" x14ac:dyDescent="0.3">
      <c r="A4887" s="16" t="s">
        <v>7802</v>
      </c>
      <c r="B4887" s="16" t="s">
        <v>7804</v>
      </c>
      <c r="C4887" s="16"/>
      <c r="D4887" s="16" t="s">
        <v>7597</v>
      </c>
      <c r="E4887" s="16" t="s">
        <v>2207</v>
      </c>
      <c r="F4887" s="16" t="s">
        <v>2208</v>
      </c>
      <c r="G4887" s="16" t="s">
        <v>32</v>
      </c>
      <c r="H4887" s="16"/>
      <c r="I4887" s="16"/>
      <c r="J4887" s="16" t="s">
        <v>50</v>
      </c>
      <c r="K4887" s="16"/>
      <c r="L4887" s="16"/>
      <c r="M4887" s="19" t="s">
        <v>2209</v>
      </c>
      <c r="N4887" s="16" t="s">
        <v>2210</v>
      </c>
      <c r="O4887" s="16" t="s">
        <v>2211</v>
      </c>
      <c r="P4887" s="16" t="str">
        <f>HYPERLINK("https://ceds.ed.gov/cedselementdetails.aspx?termid=27078")</f>
        <v>https://ceds.ed.gov/cedselementdetails.aspx?termid=27078</v>
      </c>
      <c r="Q4887" s="16">
        <v>71519</v>
      </c>
    </row>
    <row r="4888" spans="1:17" ht="409.6" x14ac:dyDescent="0.3">
      <c r="A4888" s="16" t="s">
        <v>7802</v>
      </c>
      <c r="B4888" s="16" t="s">
        <v>7804</v>
      </c>
      <c r="C4888" s="16"/>
      <c r="D4888" s="16" t="s">
        <v>7597</v>
      </c>
      <c r="E4888" s="16" t="s">
        <v>2161</v>
      </c>
      <c r="F4888" s="16" t="s">
        <v>2162</v>
      </c>
      <c r="G4888" s="16" t="s">
        <v>8445</v>
      </c>
      <c r="H4888" s="16"/>
      <c r="I4888" s="16"/>
      <c r="J4888" s="16"/>
      <c r="K4888" s="16"/>
      <c r="L4888" s="16" t="s">
        <v>2163</v>
      </c>
      <c r="M4888" s="19" t="s">
        <v>2164</v>
      </c>
      <c r="N4888" s="16" t="s">
        <v>2165</v>
      </c>
      <c r="O4888" s="16" t="s">
        <v>2166</v>
      </c>
      <c r="P4888" s="16" t="str">
        <f>HYPERLINK("https://ceds.ed.gov/cedselementdetails.aspx?termid=26701")</f>
        <v>https://ceds.ed.gov/cedselementdetails.aspx?termid=26701</v>
      </c>
      <c r="Q4888" s="16">
        <v>71243</v>
      </c>
    </row>
    <row r="4889" spans="1:17" ht="201.6" x14ac:dyDescent="0.3">
      <c r="A4889" s="16" t="s">
        <v>7802</v>
      </c>
      <c r="B4889" s="16" t="s">
        <v>7804</v>
      </c>
      <c r="C4889" s="16"/>
      <c r="D4889" s="16" t="s">
        <v>7597</v>
      </c>
      <c r="E4889" s="16" t="s">
        <v>2155</v>
      </c>
      <c r="F4889" s="16" t="s">
        <v>2156</v>
      </c>
      <c r="G4889" s="16" t="s">
        <v>22</v>
      </c>
      <c r="H4889" s="16"/>
      <c r="I4889" s="16"/>
      <c r="J4889" s="16"/>
      <c r="K4889" s="16"/>
      <c r="L4889" s="16" t="s">
        <v>2157</v>
      </c>
      <c r="M4889" s="19" t="s">
        <v>2158</v>
      </c>
      <c r="N4889" s="16" t="s">
        <v>2159</v>
      </c>
      <c r="O4889" s="16" t="s">
        <v>2160</v>
      </c>
      <c r="P4889" s="16" t="str">
        <f>HYPERLINK("https://ceds.ed.gov/cedselementdetails.aspx?termid=27499")</f>
        <v>https://ceds.ed.gov/cedselementdetails.aspx?termid=27499</v>
      </c>
      <c r="Q4889" s="16">
        <v>73682</v>
      </c>
    </row>
    <row r="4890" spans="1:17" ht="388.8" x14ac:dyDescent="0.3">
      <c r="A4890" s="16" t="s">
        <v>7802</v>
      </c>
      <c r="B4890" s="16" t="s">
        <v>7804</v>
      </c>
      <c r="C4890" s="16"/>
      <c r="D4890" s="16" t="s">
        <v>7597</v>
      </c>
      <c r="E4890" s="16" t="s">
        <v>2216</v>
      </c>
      <c r="F4890" s="16" t="s">
        <v>2217</v>
      </c>
      <c r="G4890" s="16" t="s">
        <v>32</v>
      </c>
      <c r="H4890" s="16"/>
      <c r="I4890" s="16"/>
      <c r="J4890" s="16" t="s">
        <v>120</v>
      </c>
      <c r="K4890" s="16"/>
      <c r="L4890" s="16" t="s">
        <v>7906</v>
      </c>
      <c r="M4890" s="19" t="s">
        <v>2218</v>
      </c>
      <c r="N4890" s="16" t="s">
        <v>2219</v>
      </c>
      <c r="O4890" s="16" t="s">
        <v>2220</v>
      </c>
      <c r="P4890" s="16" t="str">
        <f>HYPERLINK("https://ceds.ed.gov/cedselementdetails.aspx?termid=27498")</f>
        <v>https://ceds.ed.gov/cedselementdetails.aspx?termid=27498</v>
      </c>
      <c r="Q4890" s="16">
        <v>73679</v>
      </c>
    </row>
    <row r="4891" spans="1:17" ht="43.2" x14ac:dyDescent="0.3">
      <c r="A4891" s="16" t="s">
        <v>7802</v>
      </c>
      <c r="B4891" s="16" t="s">
        <v>7804</v>
      </c>
      <c r="C4891" s="16"/>
      <c r="D4891" s="16" t="s">
        <v>7597</v>
      </c>
      <c r="E4891" s="16" t="s">
        <v>2294</v>
      </c>
      <c r="F4891" s="16" t="s">
        <v>2295</v>
      </c>
      <c r="G4891" s="16" t="s">
        <v>32</v>
      </c>
      <c r="H4891" s="16"/>
      <c r="I4891" s="16"/>
      <c r="J4891" s="16" t="s">
        <v>316</v>
      </c>
      <c r="K4891" s="16"/>
      <c r="L4891" s="16"/>
      <c r="M4891" s="19" t="s">
        <v>2296</v>
      </c>
      <c r="N4891" s="16" t="s">
        <v>2297</v>
      </c>
      <c r="O4891" s="16" t="s">
        <v>2298</v>
      </c>
      <c r="P4891" s="16" t="str">
        <f>HYPERLINK("https://ceds.ed.gov/cedselementdetails.aspx?termid=27216")</f>
        <v>https://ceds.ed.gov/cedselementdetails.aspx?termid=27216</v>
      </c>
      <c r="Q4891" s="16">
        <v>71723</v>
      </c>
    </row>
    <row r="4892" spans="1:17" ht="115.2" x14ac:dyDescent="0.3">
      <c r="A4892" s="16" t="s">
        <v>7802</v>
      </c>
      <c r="B4892" s="16" t="s">
        <v>7804</v>
      </c>
      <c r="C4892" s="16"/>
      <c r="D4892" s="16" t="s">
        <v>7597</v>
      </c>
      <c r="E4892" s="16" t="s">
        <v>2257</v>
      </c>
      <c r="F4892" s="16" t="s">
        <v>2258</v>
      </c>
      <c r="G4892" s="16" t="s">
        <v>32</v>
      </c>
      <c r="H4892" s="16" t="s">
        <v>779</v>
      </c>
      <c r="I4892" s="16"/>
      <c r="J4892" s="16" t="s">
        <v>145</v>
      </c>
      <c r="K4892" s="16"/>
      <c r="L4892" s="16" t="s">
        <v>7908</v>
      </c>
      <c r="M4892" s="19" t="s">
        <v>2259</v>
      </c>
      <c r="N4892" s="16" t="s">
        <v>2260</v>
      </c>
      <c r="O4892" s="16" t="s">
        <v>2261</v>
      </c>
      <c r="P4892" s="16" t="str">
        <f>HYPERLINK("https://ceds.ed.gov/cedselementdetails.aspx?termid=26668")</f>
        <v>https://ceds.ed.gov/cedselementdetails.aspx?termid=26668</v>
      </c>
      <c r="Q4892" s="16">
        <v>71240</v>
      </c>
    </row>
    <row r="4893" spans="1:17" ht="115.2" x14ac:dyDescent="0.3">
      <c r="A4893" s="16" t="s">
        <v>7802</v>
      </c>
      <c r="B4893" s="16" t="s">
        <v>7804</v>
      </c>
      <c r="C4893" s="16"/>
      <c r="D4893" s="16" t="s">
        <v>7597</v>
      </c>
      <c r="E4893" s="16" t="s">
        <v>2262</v>
      </c>
      <c r="F4893" s="16" t="s">
        <v>2263</v>
      </c>
      <c r="G4893" s="16" t="s">
        <v>32</v>
      </c>
      <c r="H4893" s="16"/>
      <c r="I4893" s="16"/>
      <c r="J4893" s="16" t="s">
        <v>50</v>
      </c>
      <c r="K4893" s="16"/>
      <c r="L4893" s="16" t="s">
        <v>7909</v>
      </c>
      <c r="M4893" s="19" t="s">
        <v>2264</v>
      </c>
      <c r="N4893" s="16" t="s">
        <v>2265</v>
      </c>
      <c r="O4893" s="16" t="s">
        <v>2266</v>
      </c>
      <c r="P4893" s="16" t="str">
        <f>HYPERLINK("https://ceds.ed.gov/cedselementdetails.aspx?termid=27738")</f>
        <v>https://ceds.ed.gov/cedselementdetails.aspx?termid=27738</v>
      </c>
      <c r="Q4893" s="16">
        <v>74874</v>
      </c>
    </row>
    <row r="4894" spans="1:17" ht="72" x14ac:dyDescent="0.3">
      <c r="A4894" s="16" t="s">
        <v>7802</v>
      </c>
      <c r="B4894" s="16" t="s">
        <v>7804</v>
      </c>
      <c r="C4894" s="16"/>
      <c r="D4894" s="16" t="s">
        <v>7597</v>
      </c>
      <c r="E4894" s="16" t="s">
        <v>2237</v>
      </c>
      <c r="F4894" s="16" t="s">
        <v>2238</v>
      </c>
      <c r="G4894" s="16" t="s">
        <v>8448</v>
      </c>
      <c r="H4894" s="16"/>
      <c r="I4894" s="16"/>
      <c r="J4894" s="16"/>
      <c r="K4894" s="16"/>
      <c r="L4894" s="16"/>
      <c r="M4894" s="19" t="s">
        <v>2239</v>
      </c>
      <c r="N4894" s="16" t="s">
        <v>2240</v>
      </c>
      <c r="O4894" s="16" t="s">
        <v>2241</v>
      </c>
      <c r="P4894" s="16" t="str">
        <f>HYPERLINK("https://ceds.ed.gov/cedselementdetails.aspx?termid=27380")</f>
        <v>https://ceds.ed.gov/cedselementdetails.aspx?termid=27380</v>
      </c>
      <c r="Q4894" s="16">
        <v>73512</v>
      </c>
    </row>
    <row r="4895" spans="1:17" ht="57.6" x14ac:dyDescent="0.3">
      <c r="A4895" s="16" t="s">
        <v>7802</v>
      </c>
      <c r="B4895" s="16" t="s">
        <v>7804</v>
      </c>
      <c r="C4895" s="16"/>
      <c r="D4895" s="16" t="s">
        <v>7597</v>
      </c>
      <c r="E4895" s="16" t="s">
        <v>2134</v>
      </c>
      <c r="F4895" s="16" t="s">
        <v>12975</v>
      </c>
      <c r="G4895" s="16" t="s">
        <v>8444</v>
      </c>
      <c r="H4895" s="16"/>
      <c r="I4895" s="16"/>
      <c r="J4895" s="16"/>
      <c r="K4895" s="16"/>
      <c r="L4895" s="16"/>
      <c r="M4895" s="19" t="s">
        <v>2136</v>
      </c>
      <c r="N4895" s="16" t="s">
        <v>2137</v>
      </c>
      <c r="O4895" s="16" t="s">
        <v>2138</v>
      </c>
      <c r="P4895" s="16" t="str">
        <f>HYPERLINK("https://ceds.ed.gov/cedselementdetails.aspx?termid=26875")</f>
        <v>https://ceds.ed.gov/cedselementdetails.aspx?termid=26875</v>
      </c>
      <c r="Q4895" s="16">
        <v>72326</v>
      </c>
    </row>
    <row r="4896" spans="1:17" ht="43.2" x14ac:dyDescent="0.3">
      <c r="A4896" s="16" t="s">
        <v>7802</v>
      </c>
      <c r="B4896" s="16" t="s">
        <v>7804</v>
      </c>
      <c r="C4896" s="16"/>
      <c r="D4896" s="16" t="s">
        <v>7597</v>
      </c>
      <c r="E4896" s="16" t="s">
        <v>2145</v>
      </c>
      <c r="F4896" s="16" t="s">
        <v>2146</v>
      </c>
      <c r="G4896" s="16" t="s">
        <v>32</v>
      </c>
      <c r="H4896" s="16"/>
      <c r="I4896" s="16"/>
      <c r="J4896" s="16" t="s">
        <v>101</v>
      </c>
      <c r="K4896" s="16"/>
      <c r="L4896" s="16"/>
      <c r="M4896" s="19" t="s">
        <v>2147</v>
      </c>
      <c r="N4896" s="16" t="s">
        <v>2148</v>
      </c>
      <c r="O4896" s="16" t="s">
        <v>2149</v>
      </c>
      <c r="P4896" s="16" t="str">
        <f>HYPERLINK("https://ceds.ed.gov/cedselementdetails.aspx?termid=26887")</f>
        <v>https://ceds.ed.gov/cedselementdetails.aspx?termid=26887</v>
      </c>
      <c r="Q4896" s="16">
        <v>72338</v>
      </c>
    </row>
    <row r="4897" spans="1:17" ht="72" x14ac:dyDescent="0.3">
      <c r="A4897" s="16" t="s">
        <v>7802</v>
      </c>
      <c r="B4897" s="16" t="s">
        <v>7804</v>
      </c>
      <c r="C4897" s="16"/>
      <c r="D4897" s="16" t="s">
        <v>7597</v>
      </c>
      <c r="E4897" s="16" t="s">
        <v>2150</v>
      </c>
      <c r="F4897" s="16" t="s">
        <v>2151</v>
      </c>
      <c r="G4897" s="16" t="s">
        <v>32</v>
      </c>
      <c r="H4897" s="16"/>
      <c r="I4897" s="16"/>
      <c r="J4897" s="16" t="s">
        <v>81</v>
      </c>
      <c r="K4897" s="16"/>
      <c r="L4897" s="16"/>
      <c r="M4897" s="19" t="s">
        <v>2152</v>
      </c>
      <c r="N4897" s="16" t="s">
        <v>2153</v>
      </c>
      <c r="O4897" s="16" t="s">
        <v>2154</v>
      </c>
      <c r="P4897" s="16" t="str">
        <f>HYPERLINK("https://ceds.ed.gov/cedselementdetails.aspx?termid=26888")</f>
        <v>https://ceds.ed.gov/cedselementdetails.aspx?termid=26888</v>
      </c>
      <c r="Q4897" s="16">
        <v>72339</v>
      </c>
    </row>
    <row r="4898" spans="1:17" ht="115.2" x14ac:dyDescent="0.3">
      <c r="A4898" s="16" t="s">
        <v>7802</v>
      </c>
      <c r="B4898" s="16" t="s">
        <v>7804</v>
      </c>
      <c r="C4898" s="16"/>
      <c r="D4898" s="16" t="s">
        <v>7597</v>
      </c>
      <c r="E4898" s="16" t="s">
        <v>2172</v>
      </c>
      <c r="F4898" s="16" t="s">
        <v>2173</v>
      </c>
      <c r="G4898" s="16" t="s">
        <v>7313</v>
      </c>
      <c r="H4898" s="16"/>
      <c r="I4898" s="16"/>
      <c r="J4898" s="16"/>
      <c r="K4898" s="16"/>
      <c r="L4898" s="16" t="s">
        <v>7859</v>
      </c>
      <c r="M4898" s="19" t="s">
        <v>2174</v>
      </c>
      <c r="N4898" s="16" t="s">
        <v>2175</v>
      </c>
      <c r="O4898" s="16" t="s">
        <v>2176</v>
      </c>
      <c r="P4898" s="16" t="str">
        <f>HYPERLINK("https://ceds.ed.gov/cedselementdetails.aspx?termid=26881")</f>
        <v>https://ceds.ed.gov/cedselementdetails.aspx?termid=26881</v>
      </c>
      <c r="Q4898" s="16">
        <v>72332</v>
      </c>
    </row>
    <row r="4899" spans="1:17" ht="57.6" x14ac:dyDescent="0.3">
      <c r="A4899" s="16" t="s">
        <v>7802</v>
      </c>
      <c r="B4899" s="16" t="s">
        <v>7804</v>
      </c>
      <c r="C4899" s="16"/>
      <c r="D4899" s="16" t="s">
        <v>7597</v>
      </c>
      <c r="E4899" s="16" t="s">
        <v>2177</v>
      </c>
      <c r="F4899" s="16" t="s">
        <v>2178</v>
      </c>
      <c r="G4899" s="16" t="s">
        <v>32</v>
      </c>
      <c r="H4899" s="16"/>
      <c r="I4899" s="16"/>
      <c r="J4899" s="16" t="s">
        <v>316</v>
      </c>
      <c r="K4899" s="16"/>
      <c r="L4899" s="16"/>
      <c r="M4899" s="19" t="s">
        <v>2179</v>
      </c>
      <c r="N4899" s="16" t="s">
        <v>2180</v>
      </c>
      <c r="O4899" s="16" t="s">
        <v>2181</v>
      </c>
      <c r="P4899" s="16" t="str">
        <f>HYPERLINK("https://ceds.ed.gov/cedselementdetails.aspx?termid=26883")</f>
        <v>https://ceds.ed.gov/cedselementdetails.aspx?termid=26883</v>
      </c>
      <c r="Q4899" s="16">
        <v>72334</v>
      </c>
    </row>
    <row r="4900" spans="1:17" ht="129.6" x14ac:dyDescent="0.3">
      <c r="A4900" s="16" t="s">
        <v>7802</v>
      </c>
      <c r="B4900" s="16" t="s">
        <v>7804</v>
      </c>
      <c r="C4900" s="16"/>
      <c r="D4900" s="16" t="s">
        <v>7597</v>
      </c>
      <c r="E4900" s="16" t="s">
        <v>2182</v>
      </c>
      <c r="F4900" s="16" t="s">
        <v>2183</v>
      </c>
      <c r="G4900" s="16" t="s">
        <v>8446</v>
      </c>
      <c r="H4900" s="16"/>
      <c r="I4900" s="16"/>
      <c r="J4900" s="16"/>
      <c r="K4900" s="16"/>
      <c r="L4900" s="16"/>
      <c r="M4900" s="19" t="s">
        <v>2184</v>
      </c>
      <c r="N4900" s="16" t="s">
        <v>2185</v>
      </c>
      <c r="O4900" s="16" t="s">
        <v>2186</v>
      </c>
      <c r="P4900" s="16" t="str">
        <f>HYPERLINK("https://ceds.ed.gov/cedselementdetails.aspx?termid=26876")</f>
        <v>https://ceds.ed.gov/cedselementdetails.aspx?termid=26876</v>
      </c>
      <c r="Q4900" s="16">
        <v>72327</v>
      </c>
    </row>
    <row r="4901" spans="1:17" ht="43.2" x14ac:dyDescent="0.3">
      <c r="A4901" s="16" t="s">
        <v>7802</v>
      </c>
      <c r="B4901" s="16" t="s">
        <v>7804</v>
      </c>
      <c r="C4901" s="16"/>
      <c r="D4901" s="16" t="s">
        <v>7597</v>
      </c>
      <c r="E4901" s="16" t="s">
        <v>2227</v>
      </c>
      <c r="F4901" s="16" t="s">
        <v>2228</v>
      </c>
      <c r="G4901" s="16" t="s">
        <v>32</v>
      </c>
      <c r="H4901" s="16"/>
      <c r="I4901" s="16"/>
      <c r="J4901" s="16" t="s">
        <v>81</v>
      </c>
      <c r="K4901" s="16"/>
      <c r="L4901" s="16"/>
      <c r="M4901" s="19" t="s">
        <v>2229</v>
      </c>
      <c r="N4901" s="16" t="s">
        <v>2230</v>
      </c>
      <c r="O4901" s="16" t="s">
        <v>2231</v>
      </c>
      <c r="P4901" s="16" t="str">
        <f>HYPERLINK("https://ceds.ed.gov/cedselementdetails.aspx?termid=27378")</f>
        <v>https://ceds.ed.gov/cedselementdetails.aspx?termid=27378</v>
      </c>
      <c r="Q4901" s="16">
        <v>73510</v>
      </c>
    </row>
    <row r="4902" spans="1:17" ht="86.4" x14ac:dyDescent="0.3">
      <c r="A4902" s="16" t="s">
        <v>7802</v>
      </c>
      <c r="B4902" s="16" t="s">
        <v>7804</v>
      </c>
      <c r="C4902" s="16"/>
      <c r="D4902" s="16" t="s">
        <v>7597</v>
      </c>
      <c r="E4902" s="16" t="s">
        <v>2187</v>
      </c>
      <c r="F4902" s="16" t="s">
        <v>2188</v>
      </c>
      <c r="G4902" s="16" t="s">
        <v>8447</v>
      </c>
      <c r="H4902" s="16"/>
      <c r="I4902" s="16"/>
      <c r="J4902" s="16"/>
      <c r="K4902" s="16"/>
      <c r="L4902" s="16"/>
      <c r="M4902" s="19" t="s">
        <v>2189</v>
      </c>
      <c r="N4902" s="16" t="s">
        <v>2190</v>
      </c>
      <c r="O4902" s="16" t="s">
        <v>2191</v>
      </c>
      <c r="P4902" s="16" t="str">
        <f>HYPERLINK("https://ceds.ed.gov/cedselementdetails.aspx?termid=27377")</f>
        <v>https://ceds.ed.gov/cedselementdetails.aspx?termid=27377</v>
      </c>
      <c r="Q4902" s="16">
        <v>73509</v>
      </c>
    </row>
    <row r="4903" spans="1:17" ht="28.8" x14ac:dyDescent="0.3">
      <c r="A4903" s="16" t="s">
        <v>7802</v>
      </c>
      <c r="B4903" s="16" t="s">
        <v>7804</v>
      </c>
      <c r="C4903" s="16"/>
      <c r="D4903" s="16" t="s">
        <v>7597</v>
      </c>
      <c r="E4903" s="16" t="s">
        <v>2192</v>
      </c>
      <c r="F4903" s="16" t="s">
        <v>2193</v>
      </c>
      <c r="G4903" s="16" t="s">
        <v>32</v>
      </c>
      <c r="H4903" s="16"/>
      <c r="I4903" s="16"/>
      <c r="J4903" s="16" t="s">
        <v>316</v>
      </c>
      <c r="K4903" s="16"/>
      <c r="L4903" s="16"/>
      <c r="M4903" s="19" t="s">
        <v>2194</v>
      </c>
      <c r="N4903" s="16" t="s">
        <v>2195</v>
      </c>
      <c r="O4903" s="16" t="s">
        <v>2196</v>
      </c>
      <c r="P4903" s="16" t="str">
        <f>HYPERLINK("https://ceds.ed.gov/cedselementdetails.aspx?termid=27215")</f>
        <v>https://ceds.ed.gov/cedselementdetails.aspx?termid=27215</v>
      </c>
      <c r="Q4903" s="16">
        <v>71722</v>
      </c>
    </row>
    <row r="4904" spans="1:17" ht="43.2" x14ac:dyDescent="0.3">
      <c r="A4904" s="16" t="s">
        <v>7802</v>
      </c>
      <c r="B4904" s="16" t="s">
        <v>7804</v>
      </c>
      <c r="C4904" s="16"/>
      <c r="D4904" s="16" t="s">
        <v>7597</v>
      </c>
      <c r="E4904" s="16" t="s">
        <v>2252</v>
      </c>
      <c r="F4904" s="16" t="s">
        <v>2253</v>
      </c>
      <c r="G4904" s="16" t="s">
        <v>32</v>
      </c>
      <c r="H4904" s="16"/>
      <c r="I4904" s="16"/>
      <c r="J4904" s="16" t="s">
        <v>81</v>
      </c>
      <c r="K4904" s="16"/>
      <c r="L4904" s="16"/>
      <c r="M4904" s="19" t="s">
        <v>2254</v>
      </c>
      <c r="N4904" s="16" t="s">
        <v>2255</v>
      </c>
      <c r="O4904" s="16" t="s">
        <v>2256</v>
      </c>
      <c r="P4904" s="16" t="str">
        <f>HYPERLINK("https://ceds.ed.gov/cedselementdetails.aspx?termid=26910")</f>
        <v>https://ceds.ed.gov/cedselementdetails.aspx?termid=26910</v>
      </c>
      <c r="Q4904" s="16">
        <v>71369</v>
      </c>
    </row>
    <row r="4905" spans="1:17" ht="72" x14ac:dyDescent="0.3">
      <c r="A4905" s="16" t="s">
        <v>7802</v>
      </c>
      <c r="B4905" s="16" t="s">
        <v>7804</v>
      </c>
      <c r="C4905" s="16"/>
      <c r="D4905" s="16" t="s">
        <v>7597</v>
      </c>
      <c r="E4905" s="16" t="s">
        <v>2247</v>
      </c>
      <c r="F4905" s="16" t="s">
        <v>2248</v>
      </c>
      <c r="G4905" s="16" t="s">
        <v>32</v>
      </c>
      <c r="H4905" s="16"/>
      <c r="I4905" s="16"/>
      <c r="J4905" s="16" t="s">
        <v>136</v>
      </c>
      <c r="K4905" s="16"/>
      <c r="L4905" s="16"/>
      <c r="M4905" s="19" t="s">
        <v>2249</v>
      </c>
      <c r="N4905" s="16" t="s">
        <v>2250</v>
      </c>
      <c r="O4905" s="16" t="s">
        <v>2251</v>
      </c>
      <c r="P4905" s="16" t="str">
        <f>HYPERLINK("https://ceds.ed.gov/cedselementdetails.aspx?termid=27114")</f>
        <v>https://ceds.ed.gov/cedselementdetails.aspx?termid=27114</v>
      </c>
      <c r="Q4905" s="16">
        <v>72699</v>
      </c>
    </row>
    <row r="4906" spans="1:17" ht="72" x14ac:dyDescent="0.3">
      <c r="A4906" s="16" t="s">
        <v>7802</v>
      </c>
      <c r="B4906" s="16" t="s">
        <v>7804</v>
      </c>
      <c r="C4906" s="16"/>
      <c r="D4906" s="16" t="s">
        <v>7597</v>
      </c>
      <c r="E4906" s="16" t="s">
        <v>2242</v>
      </c>
      <c r="F4906" s="16" t="s">
        <v>2243</v>
      </c>
      <c r="G4906" s="16" t="s">
        <v>32</v>
      </c>
      <c r="H4906" s="16"/>
      <c r="I4906" s="16"/>
      <c r="J4906" s="16" t="s">
        <v>136</v>
      </c>
      <c r="K4906" s="16"/>
      <c r="L4906" s="16"/>
      <c r="M4906" s="19" t="s">
        <v>2244</v>
      </c>
      <c r="N4906" s="16" t="s">
        <v>2245</v>
      </c>
      <c r="O4906" s="16" t="s">
        <v>2246</v>
      </c>
      <c r="P4906" s="16" t="str">
        <f>HYPERLINK("https://ceds.ed.gov/cedselementdetails.aspx?termid=27115")</f>
        <v>https://ceds.ed.gov/cedselementdetails.aspx?termid=27115</v>
      </c>
      <c r="Q4906" s="16">
        <v>72700</v>
      </c>
    </row>
    <row r="4907" spans="1:17" ht="43.2" x14ac:dyDescent="0.3">
      <c r="A4907" s="16" t="s">
        <v>7802</v>
      </c>
      <c r="B4907" s="16" t="s">
        <v>7804</v>
      </c>
      <c r="C4907" s="16"/>
      <c r="D4907" s="16" t="s">
        <v>7597</v>
      </c>
      <c r="E4907" s="16" t="s">
        <v>2310</v>
      </c>
      <c r="F4907" s="16" t="s">
        <v>2311</v>
      </c>
      <c r="G4907" s="16" t="s">
        <v>32</v>
      </c>
      <c r="H4907" s="16" t="s">
        <v>779</v>
      </c>
      <c r="I4907" s="16"/>
      <c r="J4907" s="16" t="s">
        <v>50</v>
      </c>
      <c r="K4907" s="16"/>
      <c r="L4907" s="16"/>
      <c r="M4907" s="19" t="s">
        <v>2313</v>
      </c>
      <c r="N4907" s="16" t="s">
        <v>2314</v>
      </c>
      <c r="O4907" s="16" t="s">
        <v>2315</v>
      </c>
      <c r="P4907" s="16" t="str">
        <f>HYPERLINK("https://ceds.ed.gov/cedselementdetails.aspx?termid=26670")</f>
        <v>https://ceds.ed.gov/cedselementdetails.aspx?termid=26670</v>
      </c>
      <c r="Q4907" s="16">
        <v>74997</v>
      </c>
    </row>
    <row r="4908" spans="1:17" ht="72" x14ac:dyDescent="0.3">
      <c r="A4908" s="16" t="s">
        <v>7802</v>
      </c>
      <c r="B4908" s="16" t="s">
        <v>7804</v>
      </c>
      <c r="C4908" s="16"/>
      <c r="D4908" s="16" t="s">
        <v>7597</v>
      </c>
      <c r="E4908" s="16" t="s">
        <v>2221</v>
      </c>
      <c r="F4908" s="16" t="s">
        <v>2222</v>
      </c>
      <c r="G4908" s="16" t="s">
        <v>32</v>
      </c>
      <c r="H4908" s="16"/>
      <c r="I4908" s="16"/>
      <c r="J4908" s="16" t="s">
        <v>145</v>
      </c>
      <c r="K4908" s="16"/>
      <c r="L4908" s="16" t="s">
        <v>2223</v>
      </c>
      <c r="M4908" s="19" t="s">
        <v>2224</v>
      </c>
      <c r="N4908" s="16" t="s">
        <v>2225</v>
      </c>
      <c r="O4908" s="16" t="s">
        <v>2226</v>
      </c>
      <c r="P4908" s="16" t="str">
        <f>HYPERLINK("https://ceds.ed.gov/cedselementdetails.aspx?termid=27549")</f>
        <v>https://ceds.ed.gov/cedselementdetails.aspx?termid=27549</v>
      </c>
      <c r="Q4908" s="16">
        <v>75159</v>
      </c>
    </row>
    <row r="4909" spans="1:17" ht="57.6" x14ac:dyDescent="0.3">
      <c r="A4909" s="16" t="s">
        <v>7802</v>
      </c>
      <c r="B4909" s="16" t="s">
        <v>7804</v>
      </c>
      <c r="C4909" s="16"/>
      <c r="D4909" s="16" t="s">
        <v>7597</v>
      </c>
      <c r="E4909" s="16" t="s">
        <v>2267</v>
      </c>
      <c r="F4909" s="16" t="s">
        <v>2268</v>
      </c>
      <c r="G4909" s="16" t="s">
        <v>32</v>
      </c>
      <c r="H4909" s="16"/>
      <c r="I4909" s="16"/>
      <c r="J4909" s="16" t="s">
        <v>305</v>
      </c>
      <c r="K4909" s="16"/>
      <c r="L4909" s="16" t="s">
        <v>2269</v>
      </c>
      <c r="M4909" s="19" t="s">
        <v>2270</v>
      </c>
      <c r="N4909" s="16"/>
      <c r="O4909" s="16" t="s">
        <v>2271</v>
      </c>
      <c r="P4909" s="16" t="str">
        <f>HYPERLINK("https://ceds.ed.gov/cedselementdetails.aspx?termid=27890")</f>
        <v>https://ceds.ed.gov/cedselementdetails.aspx?termid=27890</v>
      </c>
      <c r="Q4909" s="16">
        <v>75182</v>
      </c>
    </row>
    <row r="4910" spans="1:17" ht="57.6" x14ac:dyDescent="0.3">
      <c r="A4910" s="16" t="s">
        <v>7802</v>
      </c>
      <c r="B4910" s="16" t="s">
        <v>7804</v>
      </c>
      <c r="C4910" s="16"/>
      <c r="D4910" s="16" t="s">
        <v>7597</v>
      </c>
      <c r="E4910" s="16" t="s">
        <v>2272</v>
      </c>
      <c r="F4910" s="16" t="s">
        <v>2273</v>
      </c>
      <c r="G4910" s="16" t="s">
        <v>32</v>
      </c>
      <c r="H4910" s="16"/>
      <c r="I4910" s="16"/>
      <c r="J4910" s="16" t="s">
        <v>305</v>
      </c>
      <c r="K4910" s="16"/>
      <c r="L4910" s="16" t="s">
        <v>2274</v>
      </c>
      <c r="M4910" s="19" t="s">
        <v>2275</v>
      </c>
      <c r="N4910" s="16"/>
      <c r="O4910" s="16" t="s">
        <v>2276</v>
      </c>
      <c r="P4910" s="16" t="str">
        <f>HYPERLINK("https://ceds.ed.gov/cedselementdetails.aspx?termid=27889")</f>
        <v>https://ceds.ed.gov/cedselementdetails.aspx?termid=27889</v>
      </c>
      <c r="Q4910" s="16">
        <v>75183</v>
      </c>
    </row>
    <row r="4911" spans="1:17" ht="72" x14ac:dyDescent="0.3">
      <c r="A4911" s="16" t="s">
        <v>7802</v>
      </c>
      <c r="B4911" s="16" t="s">
        <v>7804</v>
      </c>
      <c r="C4911" s="16"/>
      <c r="D4911" s="16" t="s">
        <v>7597</v>
      </c>
      <c r="E4911" s="16" t="s">
        <v>2357</v>
      </c>
      <c r="F4911" s="16" t="s">
        <v>2358</v>
      </c>
      <c r="G4911" s="16" t="s">
        <v>32</v>
      </c>
      <c r="H4911" s="16"/>
      <c r="I4911" s="16"/>
      <c r="J4911" s="16" t="s">
        <v>50</v>
      </c>
      <c r="K4911" s="16"/>
      <c r="L4911" s="16" t="s">
        <v>2359</v>
      </c>
      <c r="M4911" s="19" t="s">
        <v>2360</v>
      </c>
      <c r="N4911" s="16"/>
      <c r="O4911" s="16" t="s">
        <v>2361</v>
      </c>
      <c r="P4911" s="16" t="str">
        <f>HYPERLINK("https://ceds.ed.gov/cedselementdetails.aspx?termid=27888")</f>
        <v>https://ceds.ed.gov/cedselementdetails.aspx?termid=27888</v>
      </c>
      <c r="Q4911" s="16">
        <v>75184</v>
      </c>
    </row>
    <row r="4912" spans="1:17" ht="100.8" x14ac:dyDescent="0.3">
      <c r="A4912" s="16" t="s">
        <v>7802</v>
      </c>
      <c r="B4912" s="16" t="s">
        <v>7804</v>
      </c>
      <c r="C4912" s="16"/>
      <c r="D4912" s="16" t="s">
        <v>7597</v>
      </c>
      <c r="E4912" s="16" t="s">
        <v>2283</v>
      </c>
      <c r="F4912" s="16" t="s">
        <v>2284</v>
      </c>
      <c r="G4912" s="16" t="s">
        <v>32</v>
      </c>
      <c r="H4912" s="16"/>
      <c r="I4912" s="16"/>
      <c r="J4912" s="16" t="s">
        <v>106</v>
      </c>
      <c r="K4912" s="16"/>
      <c r="L4912" s="16" t="s">
        <v>2285</v>
      </c>
      <c r="M4912" s="19" t="s">
        <v>2286</v>
      </c>
      <c r="N4912" s="16" t="s">
        <v>2287</v>
      </c>
      <c r="O4912" s="16" t="s">
        <v>2288</v>
      </c>
      <c r="P4912" s="16" t="str">
        <f>HYPERLINK("https://ceds.ed.gov/cedselementdetails.aspx?termid=27483")</f>
        <v>https://ceds.ed.gov/cedselementdetails.aspx?termid=27483</v>
      </c>
      <c r="Q4912" s="16">
        <v>75199</v>
      </c>
    </row>
    <row r="4913" spans="1:17" ht="43.2" x14ac:dyDescent="0.3">
      <c r="A4913" s="16" t="s">
        <v>7802</v>
      </c>
      <c r="B4913" s="16" t="s">
        <v>7804</v>
      </c>
      <c r="C4913" s="16"/>
      <c r="D4913" s="16" t="s">
        <v>7597</v>
      </c>
      <c r="E4913" s="16" t="s">
        <v>2289</v>
      </c>
      <c r="F4913" s="16" t="s">
        <v>2290</v>
      </c>
      <c r="G4913" s="16" t="s">
        <v>32</v>
      </c>
      <c r="H4913" s="16"/>
      <c r="I4913" s="16"/>
      <c r="J4913" s="16" t="s">
        <v>106</v>
      </c>
      <c r="K4913" s="16"/>
      <c r="L4913" s="16"/>
      <c r="M4913" s="19" t="s">
        <v>2291</v>
      </c>
      <c r="N4913" s="16" t="s">
        <v>2292</v>
      </c>
      <c r="O4913" s="16" t="s">
        <v>2293</v>
      </c>
      <c r="P4913" s="16" t="str">
        <f>HYPERLINK("https://ceds.ed.gov/cedselementdetails.aspx?termid=27484")</f>
        <v>https://ceds.ed.gov/cedselementdetails.aspx?termid=27484</v>
      </c>
      <c r="Q4913" s="16">
        <v>75200</v>
      </c>
    </row>
    <row r="4914" spans="1:17" ht="57.6" x14ac:dyDescent="0.3">
      <c r="A4914" s="16" t="s">
        <v>7802</v>
      </c>
      <c r="B4914" s="16" t="s">
        <v>7804</v>
      </c>
      <c r="C4914" s="16" t="s">
        <v>7805</v>
      </c>
      <c r="D4914" s="16" t="s">
        <v>7597</v>
      </c>
      <c r="E4914" s="16" t="s">
        <v>2106</v>
      </c>
      <c r="F4914" s="16" t="s">
        <v>2107</v>
      </c>
      <c r="G4914" s="16" t="s">
        <v>32</v>
      </c>
      <c r="H4914" s="16"/>
      <c r="I4914" s="16"/>
      <c r="J4914" s="16" t="s">
        <v>50</v>
      </c>
      <c r="K4914" s="16"/>
      <c r="L4914" s="16"/>
      <c r="M4914" s="19" t="s">
        <v>2109</v>
      </c>
      <c r="N4914" s="16" t="s">
        <v>2110</v>
      </c>
      <c r="O4914" s="16" t="s">
        <v>2111</v>
      </c>
      <c r="P4914" s="16" t="str">
        <f>HYPERLINK("https://ceds.ed.gov/cedselementdetails.aspx?termid=26871")</f>
        <v>https://ceds.ed.gov/cedselementdetails.aspx?termid=26871</v>
      </c>
      <c r="Q4914" s="16">
        <v>72323</v>
      </c>
    </row>
    <row r="4915" spans="1:17" ht="409.6" x14ac:dyDescent="0.3">
      <c r="A4915" s="16" t="s">
        <v>7802</v>
      </c>
      <c r="B4915" s="16" t="s">
        <v>7804</v>
      </c>
      <c r="C4915" s="16" t="s">
        <v>7805</v>
      </c>
      <c r="D4915" s="16" t="s">
        <v>7597</v>
      </c>
      <c r="E4915" s="16" t="s">
        <v>2122</v>
      </c>
      <c r="F4915" s="16" t="s">
        <v>2123</v>
      </c>
      <c r="G4915" s="16" t="s">
        <v>8443</v>
      </c>
      <c r="H4915" s="16"/>
      <c r="I4915" s="16"/>
      <c r="J4915" s="16"/>
      <c r="K4915" s="16"/>
      <c r="L4915" s="16" t="s">
        <v>7903</v>
      </c>
      <c r="M4915" s="19" t="s">
        <v>2124</v>
      </c>
      <c r="N4915" s="16" t="s">
        <v>2125</v>
      </c>
      <c r="O4915" s="16" t="s">
        <v>2126</v>
      </c>
      <c r="P4915" s="16" t="str">
        <f>HYPERLINK("https://ceds.ed.gov/cedselementdetails.aspx?termid=26869")</f>
        <v>https://ceds.ed.gov/cedselementdetails.aspx?termid=26869</v>
      </c>
      <c r="Q4915" s="16">
        <v>72320</v>
      </c>
    </row>
    <row r="4916" spans="1:17" ht="28.8" x14ac:dyDescent="0.3">
      <c r="A4916" s="16" t="s">
        <v>7802</v>
      </c>
      <c r="B4916" s="16" t="s">
        <v>7804</v>
      </c>
      <c r="C4916" s="16" t="s">
        <v>7805</v>
      </c>
      <c r="D4916" s="16" t="s">
        <v>7597</v>
      </c>
      <c r="E4916" s="16" t="s">
        <v>2090</v>
      </c>
      <c r="F4916" s="16" t="s">
        <v>2091</v>
      </c>
      <c r="G4916" s="16" t="s">
        <v>32</v>
      </c>
      <c r="H4916" s="16"/>
      <c r="I4916" s="16"/>
      <c r="J4916" s="16" t="s">
        <v>101</v>
      </c>
      <c r="K4916" s="16"/>
      <c r="L4916" s="16"/>
      <c r="M4916" s="19" t="s">
        <v>2093</v>
      </c>
      <c r="N4916" s="16" t="s">
        <v>2094</v>
      </c>
      <c r="O4916" s="16" t="s">
        <v>2095</v>
      </c>
      <c r="P4916" s="16" t="str">
        <f>HYPERLINK("https://ceds.ed.gov/cedselementdetails.aspx?termid=27371")</f>
        <v>https://ceds.ed.gov/cedselementdetails.aspx?termid=27371</v>
      </c>
      <c r="Q4916" s="16">
        <v>73503</v>
      </c>
    </row>
    <row r="4917" spans="1:17" ht="43.2" x14ac:dyDescent="0.3">
      <c r="A4917" s="16" t="s">
        <v>7802</v>
      </c>
      <c r="B4917" s="16" t="s">
        <v>7804</v>
      </c>
      <c r="C4917" s="16" t="s">
        <v>7805</v>
      </c>
      <c r="D4917" s="16" t="s">
        <v>7597</v>
      </c>
      <c r="E4917" s="16" t="s">
        <v>2096</v>
      </c>
      <c r="F4917" s="16" t="s">
        <v>2097</v>
      </c>
      <c r="G4917" s="16" t="s">
        <v>32</v>
      </c>
      <c r="H4917" s="16"/>
      <c r="I4917" s="16"/>
      <c r="J4917" s="16" t="s">
        <v>81</v>
      </c>
      <c r="K4917" s="16"/>
      <c r="L4917" s="16"/>
      <c r="M4917" s="19" t="s">
        <v>2098</v>
      </c>
      <c r="N4917" s="16" t="s">
        <v>2099</v>
      </c>
      <c r="O4917" s="16" t="s">
        <v>2100</v>
      </c>
      <c r="P4917" s="16" t="str">
        <f>HYPERLINK("https://ceds.ed.gov/cedselementdetails.aspx?termid=27372")</f>
        <v>https://ceds.ed.gov/cedselementdetails.aspx?termid=27372</v>
      </c>
      <c r="Q4917" s="16">
        <v>73504</v>
      </c>
    </row>
    <row r="4918" spans="1:17" ht="43.2" x14ac:dyDescent="0.3">
      <c r="A4918" s="16" t="s">
        <v>7802</v>
      </c>
      <c r="B4918" s="16" t="s">
        <v>7804</v>
      </c>
      <c r="C4918" s="16" t="s">
        <v>7805</v>
      </c>
      <c r="D4918" s="16" t="s">
        <v>7597</v>
      </c>
      <c r="E4918" s="16" t="s">
        <v>2101</v>
      </c>
      <c r="F4918" s="16" t="s">
        <v>2102</v>
      </c>
      <c r="G4918" s="16" t="s">
        <v>32</v>
      </c>
      <c r="H4918" s="16"/>
      <c r="I4918" s="16"/>
      <c r="J4918" s="16" t="s">
        <v>50</v>
      </c>
      <c r="K4918" s="16"/>
      <c r="L4918" s="16"/>
      <c r="M4918" s="19" t="s">
        <v>2103</v>
      </c>
      <c r="N4918" s="16" t="s">
        <v>2104</v>
      </c>
      <c r="O4918" s="16" t="s">
        <v>2105</v>
      </c>
      <c r="P4918" s="16" t="str">
        <f>HYPERLINK("https://ceds.ed.gov/cedselementdetails.aspx?termid=27373")</f>
        <v>https://ceds.ed.gov/cedselementdetails.aspx?termid=27373</v>
      </c>
      <c r="Q4918" s="16">
        <v>73505</v>
      </c>
    </row>
    <row r="4919" spans="1:17" ht="43.2" x14ac:dyDescent="0.3">
      <c r="A4919" s="16" t="s">
        <v>7802</v>
      </c>
      <c r="B4919" s="16" t="s">
        <v>7804</v>
      </c>
      <c r="C4919" s="16" t="s">
        <v>7805</v>
      </c>
      <c r="D4919" s="16" t="s">
        <v>7597</v>
      </c>
      <c r="E4919" s="16" t="s">
        <v>2112</v>
      </c>
      <c r="F4919" s="16" t="s">
        <v>2113</v>
      </c>
      <c r="G4919" s="16" t="s">
        <v>32</v>
      </c>
      <c r="H4919" s="16"/>
      <c r="I4919" s="16"/>
      <c r="J4919" s="16" t="s">
        <v>81</v>
      </c>
      <c r="K4919" s="16"/>
      <c r="L4919" s="16"/>
      <c r="M4919" s="19" t="s">
        <v>2114</v>
      </c>
      <c r="N4919" s="16" t="s">
        <v>2115</v>
      </c>
      <c r="O4919" s="16" t="s">
        <v>2116</v>
      </c>
      <c r="P4919" s="16" t="str">
        <f>HYPERLINK("https://ceds.ed.gov/cedselementdetails.aspx?termid=27374")</f>
        <v>https://ceds.ed.gov/cedselementdetails.aspx?termid=27374</v>
      </c>
      <c r="Q4919" s="16">
        <v>73506</v>
      </c>
    </row>
    <row r="4920" spans="1:17" ht="43.2" x14ac:dyDescent="0.3">
      <c r="A4920" s="16" t="s">
        <v>7802</v>
      </c>
      <c r="B4920" s="16" t="s">
        <v>7804</v>
      </c>
      <c r="C4920" s="16" t="s">
        <v>7805</v>
      </c>
      <c r="D4920" s="16" t="s">
        <v>7597</v>
      </c>
      <c r="E4920" s="16" t="s">
        <v>2117</v>
      </c>
      <c r="F4920" s="16" t="s">
        <v>2118</v>
      </c>
      <c r="G4920" s="16" t="s">
        <v>32</v>
      </c>
      <c r="H4920" s="16"/>
      <c r="I4920" s="16"/>
      <c r="J4920" s="16" t="s">
        <v>50</v>
      </c>
      <c r="K4920" s="16"/>
      <c r="L4920" s="16"/>
      <c r="M4920" s="19" t="s">
        <v>2119</v>
      </c>
      <c r="N4920" s="16" t="s">
        <v>2120</v>
      </c>
      <c r="O4920" s="16" t="s">
        <v>2121</v>
      </c>
      <c r="P4920" s="16" t="str">
        <f>HYPERLINK("https://ceds.ed.gov/cedselementdetails.aspx?termid=27375")</f>
        <v>https://ceds.ed.gov/cedselementdetails.aspx?termid=27375</v>
      </c>
      <c r="Q4920" s="16">
        <v>73507</v>
      </c>
    </row>
    <row r="4921" spans="1:17" ht="115.2" x14ac:dyDescent="0.3">
      <c r="A4921" s="16" t="s">
        <v>7802</v>
      </c>
      <c r="B4921" s="16" t="s">
        <v>7804</v>
      </c>
      <c r="C4921" s="16" t="s">
        <v>7805</v>
      </c>
      <c r="D4921" s="16" t="s">
        <v>7597</v>
      </c>
      <c r="E4921" s="16" t="s">
        <v>2127</v>
      </c>
      <c r="F4921" s="16" t="s">
        <v>2128</v>
      </c>
      <c r="G4921" s="16" t="s">
        <v>32</v>
      </c>
      <c r="H4921" s="16"/>
      <c r="I4921" s="16"/>
      <c r="J4921" s="16" t="s">
        <v>2129</v>
      </c>
      <c r="K4921" s="16"/>
      <c r="L4921" s="16" t="s">
        <v>2130</v>
      </c>
      <c r="M4921" s="19" t="s">
        <v>2131</v>
      </c>
      <c r="N4921" s="16" t="s">
        <v>2132</v>
      </c>
      <c r="O4921" s="16" t="s">
        <v>2133</v>
      </c>
      <c r="P4921" s="16" t="str">
        <f>HYPERLINK("https://ceds.ed.gov/cedselementdetails.aspx?termid=27376")</f>
        <v>https://ceds.ed.gov/cedselementdetails.aspx?termid=27376</v>
      </c>
      <c r="Q4921" s="16">
        <v>73508</v>
      </c>
    </row>
    <row r="4922" spans="1:17" ht="100.8" x14ac:dyDescent="0.3">
      <c r="A4922" s="16" t="s">
        <v>7802</v>
      </c>
      <c r="B4922" s="16" t="s">
        <v>7806</v>
      </c>
      <c r="C4922" s="16"/>
      <c r="D4922" s="16" t="s">
        <v>7597</v>
      </c>
      <c r="E4922" s="16" t="s">
        <v>2387</v>
      </c>
      <c r="F4922" s="16" t="s">
        <v>2388</v>
      </c>
      <c r="G4922" s="16" t="s">
        <v>8214</v>
      </c>
      <c r="H4922" s="16"/>
      <c r="I4922" s="16"/>
      <c r="J4922" s="16"/>
      <c r="K4922" s="16"/>
      <c r="L4922" s="16" t="s">
        <v>2389</v>
      </c>
      <c r="M4922" s="19" t="s">
        <v>2390</v>
      </c>
      <c r="N4922" s="16"/>
      <c r="O4922" s="16" t="s">
        <v>2391</v>
      </c>
      <c r="P4922" s="16" t="str">
        <f>HYPERLINK("https://ceds.ed.gov/cedselementdetails.aspx?termid=26877")</f>
        <v>https://ceds.ed.gov/cedselementdetails.aspx?termid=26877</v>
      </c>
      <c r="Q4922" s="16">
        <v>72328</v>
      </c>
    </row>
    <row r="4923" spans="1:17" ht="72" x14ac:dyDescent="0.3">
      <c r="A4923" s="16" t="s">
        <v>7802</v>
      </c>
      <c r="B4923" s="16" t="s">
        <v>7806</v>
      </c>
      <c r="C4923" s="16"/>
      <c r="D4923" s="16" t="s">
        <v>7597</v>
      </c>
      <c r="E4923" s="16" t="s">
        <v>2392</v>
      </c>
      <c r="F4923" s="16" t="s">
        <v>2393</v>
      </c>
      <c r="G4923" s="16" t="s">
        <v>32</v>
      </c>
      <c r="H4923" s="16"/>
      <c r="I4923" s="16"/>
      <c r="J4923" s="16" t="s">
        <v>305</v>
      </c>
      <c r="K4923" s="16"/>
      <c r="L4923" s="16" t="s">
        <v>7911</v>
      </c>
      <c r="M4923" s="19" t="s">
        <v>2394</v>
      </c>
      <c r="N4923" s="16"/>
      <c r="O4923" s="16" t="s">
        <v>2395</v>
      </c>
      <c r="P4923" s="16" t="str">
        <f>HYPERLINK("https://ceds.ed.gov/cedselementdetails.aspx?termid=26878")</f>
        <v>https://ceds.ed.gov/cedselementdetails.aspx?termid=26878</v>
      </c>
      <c r="Q4923" s="16">
        <v>72329</v>
      </c>
    </row>
    <row r="4924" spans="1:17" x14ac:dyDescent="0.3">
      <c r="A4924" s="16" t="s">
        <v>7807</v>
      </c>
      <c r="B4924" s="16" t="s">
        <v>7808</v>
      </c>
      <c r="C4924" s="16"/>
      <c r="D4924" s="16" t="s">
        <v>7597</v>
      </c>
      <c r="E4924" s="16" t="s">
        <v>5183</v>
      </c>
      <c r="F4924" s="16" t="s">
        <v>5184</v>
      </c>
      <c r="G4924" s="16" t="s">
        <v>32</v>
      </c>
      <c r="H4924" s="16"/>
      <c r="I4924" s="16"/>
      <c r="J4924" s="16" t="s">
        <v>81</v>
      </c>
      <c r="K4924" s="16"/>
      <c r="L4924" s="16"/>
      <c r="M4924" s="19" t="s">
        <v>5185</v>
      </c>
      <c r="N4924" s="16"/>
      <c r="O4924" s="16" t="s">
        <v>5186</v>
      </c>
      <c r="P4924" s="16" t="str">
        <f>HYPERLINK("https://ceds.ed.gov/cedselementdetails.aspx?termid=26912")</f>
        <v>https://ceds.ed.gov/cedselementdetails.aspx?termid=26912</v>
      </c>
      <c r="Q4924" s="16">
        <v>71371</v>
      </c>
    </row>
    <row r="4925" spans="1:17" ht="259.2" x14ac:dyDescent="0.3">
      <c r="A4925" s="16" t="s">
        <v>7807</v>
      </c>
      <c r="B4925" s="16" t="s">
        <v>7808</v>
      </c>
      <c r="C4925" s="16"/>
      <c r="D4925" s="16" t="s">
        <v>7597</v>
      </c>
      <c r="E4925" s="16" t="s">
        <v>5187</v>
      </c>
      <c r="F4925" s="16" t="s">
        <v>5188</v>
      </c>
      <c r="G4925" s="16" t="s">
        <v>8708</v>
      </c>
      <c r="H4925" s="16"/>
      <c r="I4925" s="16"/>
      <c r="J4925" s="16"/>
      <c r="K4925" s="16"/>
      <c r="L4925" s="16" t="s">
        <v>5189</v>
      </c>
      <c r="M4925" s="19" t="s">
        <v>5190</v>
      </c>
      <c r="N4925" s="16"/>
      <c r="O4925" s="16" t="s">
        <v>5191</v>
      </c>
      <c r="P4925" s="16" t="str">
        <f>HYPERLINK("https://ceds.ed.gov/cedselementdetails.aspx?termid=26929")</f>
        <v>https://ceds.ed.gov/cedselementdetails.aspx?termid=26929</v>
      </c>
      <c r="Q4925" s="16">
        <v>71387</v>
      </c>
    </row>
    <row r="4926" spans="1:17" ht="28.8" x14ac:dyDescent="0.3">
      <c r="A4926" s="16" t="s">
        <v>7807</v>
      </c>
      <c r="B4926" s="16" t="s">
        <v>7808</v>
      </c>
      <c r="C4926" s="16"/>
      <c r="D4926" s="16" t="s">
        <v>7597</v>
      </c>
      <c r="E4926" s="16" t="s">
        <v>5084</v>
      </c>
      <c r="F4926" s="16" t="s">
        <v>8083</v>
      </c>
      <c r="G4926" s="16" t="s">
        <v>32</v>
      </c>
      <c r="H4926" s="16"/>
      <c r="I4926" s="16"/>
      <c r="J4926" s="16" t="s">
        <v>101</v>
      </c>
      <c r="K4926" s="16"/>
      <c r="L4926" s="16"/>
      <c r="M4926" s="19" t="s">
        <v>5085</v>
      </c>
      <c r="N4926" s="16"/>
      <c r="O4926" s="16" t="s">
        <v>5086</v>
      </c>
      <c r="P4926" s="16" t="str">
        <f>HYPERLINK("https://ceds.ed.gov/cedselementdetails.aspx?termid=27156")</f>
        <v>https://ceds.ed.gov/cedselementdetails.aspx?termid=27156</v>
      </c>
      <c r="Q4926" s="16">
        <v>72346</v>
      </c>
    </row>
    <row r="4927" spans="1:17" ht="28.8" x14ac:dyDescent="0.3">
      <c r="A4927" s="16" t="s">
        <v>7807</v>
      </c>
      <c r="B4927" s="16" t="s">
        <v>7808</v>
      </c>
      <c r="C4927" s="16"/>
      <c r="D4927" s="16" t="s">
        <v>7597</v>
      </c>
      <c r="E4927" s="16" t="s">
        <v>5204</v>
      </c>
      <c r="F4927" s="16" t="s">
        <v>5205</v>
      </c>
      <c r="G4927" s="16" t="s">
        <v>32</v>
      </c>
      <c r="H4927" s="16"/>
      <c r="I4927" s="16"/>
      <c r="J4927" s="16" t="s">
        <v>81</v>
      </c>
      <c r="K4927" s="16"/>
      <c r="L4927" s="16"/>
      <c r="M4927" s="19" t="s">
        <v>5206</v>
      </c>
      <c r="N4927" s="16"/>
      <c r="O4927" s="16" t="s">
        <v>5207</v>
      </c>
      <c r="P4927" s="16" t="str">
        <f>HYPERLINK("https://ceds.ed.gov/cedselementdetails.aspx?termid=27182")</f>
        <v>https://ceds.ed.gov/cedselementdetails.aspx?termid=27182</v>
      </c>
      <c r="Q4927" s="16">
        <v>71627</v>
      </c>
    </row>
    <row r="4928" spans="1:17" ht="57.6" x14ac:dyDescent="0.3">
      <c r="A4928" s="16" t="s">
        <v>7807</v>
      </c>
      <c r="B4928" s="16" t="s">
        <v>7808</v>
      </c>
      <c r="C4928" s="16"/>
      <c r="D4928" s="16" t="s">
        <v>7597</v>
      </c>
      <c r="E4928" s="16" t="s">
        <v>5200</v>
      </c>
      <c r="F4928" s="16" t="s">
        <v>5201</v>
      </c>
      <c r="G4928" s="16" t="s">
        <v>32</v>
      </c>
      <c r="H4928" s="16"/>
      <c r="I4928" s="16"/>
      <c r="J4928" s="16" t="s">
        <v>50</v>
      </c>
      <c r="K4928" s="16"/>
      <c r="L4928" s="16"/>
      <c r="M4928" s="19" t="s">
        <v>5202</v>
      </c>
      <c r="N4928" s="16"/>
      <c r="O4928" s="16" t="s">
        <v>5203</v>
      </c>
      <c r="P4928" s="16" t="str">
        <f>HYPERLINK("https://ceds.ed.gov/cedselementdetails.aspx?termid=26911")</f>
        <v>https://ceds.ed.gov/cedselementdetails.aspx?termid=26911</v>
      </c>
      <c r="Q4928" s="16">
        <v>71370</v>
      </c>
    </row>
    <row r="4929" spans="1:17" ht="43.2" x14ac:dyDescent="0.3">
      <c r="A4929" s="16" t="s">
        <v>7807</v>
      </c>
      <c r="B4929" s="16" t="s">
        <v>7808</v>
      </c>
      <c r="C4929" s="16"/>
      <c r="D4929" s="16" t="s">
        <v>7597</v>
      </c>
      <c r="E4929" s="16" t="s">
        <v>5018</v>
      </c>
      <c r="F4929" s="16" t="s">
        <v>5019</v>
      </c>
      <c r="G4929" s="16" t="s">
        <v>32</v>
      </c>
      <c r="H4929" s="16"/>
      <c r="I4929" s="16"/>
      <c r="J4929" s="16" t="s">
        <v>50</v>
      </c>
      <c r="K4929" s="16"/>
      <c r="L4929" s="16"/>
      <c r="M4929" s="19" t="s">
        <v>5020</v>
      </c>
      <c r="N4929" s="16"/>
      <c r="O4929" s="16" t="s">
        <v>5021</v>
      </c>
      <c r="P4929" s="16" t="str">
        <f>HYPERLINK("https://ceds.ed.gov/cedselementdetails.aspx?termid=27361")</f>
        <v>https://ceds.ed.gov/cedselementdetails.aspx?termid=27361</v>
      </c>
      <c r="Q4929" s="16">
        <v>73251</v>
      </c>
    </row>
    <row r="4930" spans="1:17" ht="28.8" x14ac:dyDescent="0.3">
      <c r="A4930" s="16" t="s">
        <v>7807</v>
      </c>
      <c r="B4930" s="16" t="s">
        <v>7808</v>
      </c>
      <c r="C4930" s="16"/>
      <c r="D4930" s="16" t="s">
        <v>7597</v>
      </c>
      <c r="E4930" s="16" t="s">
        <v>5022</v>
      </c>
      <c r="F4930" s="16" t="s">
        <v>5023</v>
      </c>
      <c r="G4930" s="16" t="s">
        <v>32</v>
      </c>
      <c r="H4930" s="16"/>
      <c r="I4930" s="16"/>
      <c r="J4930" s="16" t="s">
        <v>50</v>
      </c>
      <c r="K4930" s="16"/>
      <c r="L4930" s="16"/>
      <c r="M4930" s="19" t="s">
        <v>5024</v>
      </c>
      <c r="N4930" s="16"/>
      <c r="O4930" s="16" t="s">
        <v>5025</v>
      </c>
      <c r="P4930" s="16" t="str">
        <f>HYPERLINK("https://ceds.ed.gov/cedselementdetails.aspx?termid=27367")</f>
        <v>https://ceds.ed.gov/cedselementdetails.aspx?termid=27367</v>
      </c>
      <c r="Q4930" s="16">
        <v>73275</v>
      </c>
    </row>
    <row r="4931" spans="1:17" ht="43.2" x14ac:dyDescent="0.3">
      <c r="A4931" s="16" t="s">
        <v>7807</v>
      </c>
      <c r="B4931" s="16" t="s">
        <v>7808</v>
      </c>
      <c r="C4931" s="16"/>
      <c r="D4931" s="16" t="s">
        <v>7597</v>
      </c>
      <c r="E4931" s="16" t="s">
        <v>5043</v>
      </c>
      <c r="F4931" s="16" t="s">
        <v>5044</v>
      </c>
      <c r="G4931" s="16" t="s">
        <v>32</v>
      </c>
      <c r="H4931" s="16"/>
      <c r="I4931" s="16"/>
      <c r="J4931" s="16" t="s">
        <v>50</v>
      </c>
      <c r="K4931" s="16"/>
      <c r="L4931" s="16" t="s">
        <v>5045</v>
      </c>
      <c r="M4931" s="19" t="s">
        <v>5046</v>
      </c>
      <c r="N4931" s="16"/>
      <c r="O4931" s="16" t="s">
        <v>5047</v>
      </c>
      <c r="P4931" s="16" t="str">
        <f>HYPERLINK("https://ceds.ed.gov/cedselementdetails.aspx?termid=26923")</f>
        <v>https://ceds.ed.gov/cedselementdetails.aspx?termid=26923</v>
      </c>
      <c r="Q4931" s="16">
        <v>71381</v>
      </c>
    </row>
    <row r="4932" spans="1:17" ht="172.8" x14ac:dyDescent="0.3">
      <c r="A4932" s="16" t="s">
        <v>7807</v>
      </c>
      <c r="B4932" s="16" t="s">
        <v>7808</v>
      </c>
      <c r="C4932" s="16"/>
      <c r="D4932" s="16" t="s">
        <v>7597</v>
      </c>
      <c r="E4932" s="16" t="s">
        <v>5000</v>
      </c>
      <c r="F4932" s="16" t="s">
        <v>5001</v>
      </c>
      <c r="G4932" s="16" t="s">
        <v>8693</v>
      </c>
      <c r="H4932" s="16"/>
      <c r="I4932" s="16"/>
      <c r="J4932" s="16"/>
      <c r="K4932" s="16"/>
      <c r="L4932" s="16" t="s">
        <v>8081</v>
      </c>
      <c r="M4932" s="19" t="s">
        <v>5003</v>
      </c>
      <c r="N4932" s="16"/>
      <c r="O4932" s="16" t="s">
        <v>5004</v>
      </c>
      <c r="P4932" s="16" t="str">
        <f>HYPERLINK("https://ceds.ed.gov/cedselementdetails.aspx?termid=27358")</f>
        <v>https://ceds.ed.gov/cedselementdetails.aspx?termid=27358</v>
      </c>
      <c r="Q4932" s="16">
        <v>73241</v>
      </c>
    </row>
    <row r="4933" spans="1:17" ht="57.6" x14ac:dyDescent="0.3">
      <c r="A4933" s="16" t="s">
        <v>7807</v>
      </c>
      <c r="B4933" s="16" t="s">
        <v>7808</v>
      </c>
      <c r="C4933" s="16"/>
      <c r="D4933" s="16" t="s">
        <v>7597</v>
      </c>
      <c r="E4933" s="16" t="s">
        <v>5005</v>
      </c>
      <c r="F4933" s="16" t="s">
        <v>5006</v>
      </c>
      <c r="G4933" s="16" t="s">
        <v>8694</v>
      </c>
      <c r="H4933" s="16"/>
      <c r="I4933" s="16"/>
      <c r="J4933" s="16"/>
      <c r="K4933" s="16"/>
      <c r="L4933" s="16"/>
      <c r="M4933" s="19" t="s">
        <v>5007</v>
      </c>
      <c r="N4933" s="16"/>
      <c r="O4933" s="16" t="s">
        <v>5008</v>
      </c>
      <c r="P4933" s="16" t="str">
        <f>HYPERLINK("https://ceds.ed.gov/cedselementdetails.aspx?termid=27359")</f>
        <v>https://ceds.ed.gov/cedselementdetails.aspx?termid=27359</v>
      </c>
      <c r="Q4933" s="16">
        <v>73245</v>
      </c>
    </row>
    <row r="4934" spans="1:17" ht="100.8" x14ac:dyDescent="0.3">
      <c r="A4934" s="16" t="s">
        <v>7807</v>
      </c>
      <c r="B4934" s="16" t="s">
        <v>7808</v>
      </c>
      <c r="C4934" s="16"/>
      <c r="D4934" s="16" t="s">
        <v>7597</v>
      </c>
      <c r="E4934" s="16" t="s">
        <v>5009</v>
      </c>
      <c r="F4934" s="16" t="s">
        <v>5010</v>
      </c>
      <c r="G4934" s="16" t="s">
        <v>8695</v>
      </c>
      <c r="H4934" s="16"/>
      <c r="I4934" s="16"/>
      <c r="J4934" s="16"/>
      <c r="K4934" s="16"/>
      <c r="L4934" s="16" t="s">
        <v>5011</v>
      </c>
      <c r="M4934" s="19" t="s">
        <v>5012</v>
      </c>
      <c r="N4934" s="16"/>
      <c r="O4934" s="16" t="s">
        <v>5013</v>
      </c>
      <c r="P4934" s="16" t="str">
        <f>HYPERLINK("https://ceds.ed.gov/cedselementdetails.aspx?termid=27360")</f>
        <v>https://ceds.ed.gov/cedselementdetails.aspx?termid=27360</v>
      </c>
      <c r="Q4934" s="16">
        <v>73247</v>
      </c>
    </row>
    <row r="4935" spans="1:17" ht="100.8" x14ac:dyDescent="0.3">
      <c r="A4935" s="16" t="s">
        <v>7807</v>
      </c>
      <c r="B4935" s="16" t="s">
        <v>7808</v>
      </c>
      <c r="C4935" s="16"/>
      <c r="D4935" s="16" t="s">
        <v>7597</v>
      </c>
      <c r="E4935" s="16" t="s">
        <v>5014</v>
      </c>
      <c r="F4935" s="16" t="s">
        <v>5015</v>
      </c>
      <c r="G4935" s="16" t="s">
        <v>8696</v>
      </c>
      <c r="H4935" s="16"/>
      <c r="I4935" s="16"/>
      <c r="J4935" s="16"/>
      <c r="K4935" s="16"/>
      <c r="L4935" s="16"/>
      <c r="M4935" s="19" t="s">
        <v>5016</v>
      </c>
      <c r="N4935" s="16"/>
      <c r="O4935" s="16" t="s">
        <v>5017</v>
      </c>
      <c r="P4935" s="16" t="str">
        <f>HYPERLINK("https://ceds.ed.gov/cedselementdetails.aspx?termid=27537")</f>
        <v>https://ceds.ed.gov/cedselementdetails.aspx?termid=27537</v>
      </c>
      <c r="Q4935" s="16">
        <v>73893</v>
      </c>
    </row>
    <row r="4936" spans="1:17" ht="57.6" x14ac:dyDescent="0.3">
      <c r="A4936" s="16" t="s">
        <v>7807</v>
      </c>
      <c r="B4936" s="16" t="s">
        <v>7808</v>
      </c>
      <c r="C4936" s="16"/>
      <c r="D4936" s="16" t="s">
        <v>7597</v>
      </c>
      <c r="E4936" s="16" t="s">
        <v>5026</v>
      </c>
      <c r="F4936" s="16" t="s">
        <v>5027</v>
      </c>
      <c r="G4936" s="16" t="s">
        <v>22</v>
      </c>
      <c r="H4936" s="16"/>
      <c r="I4936" s="16"/>
      <c r="J4936" s="16"/>
      <c r="K4936" s="16"/>
      <c r="L4936" s="16" t="s">
        <v>5028</v>
      </c>
      <c r="M4936" s="19" t="s">
        <v>5029</v>
      </c>
      <c r="N4936" s="16"/>
      <c r="O4936" s="16" t="s">
        <v>5030</v>
      </c>
      <c r="P4936" s="16" t="str">
        <f>HYPERLINK("https://ceds.ed.gov/cedselementdetails.aspx?termid=27362")</f>
        <v>https://ceds.ed.gov/cedselementdetails.aspx?termid=27362</v>
      </c>
      <c r="Q4936" s="16">
        <v>73255</v>
      </c>
    </row>
    <row r="4937" spans="1:17" ht="129.6" x14ac:dyDescent="0.3">
      <c r="A4937" s="16" t="s">
        <v>7807</v>
      </c>
      <c r="B4937" s="16" t="s">
        <v>7808</v>
      </c>
      <c r="C4937" s="16"/>
      <c r="D4937" s="16" t="s">
        <v>7597</v>
      </c>
      <c r="E4937" s="16" t="s">
        <v>5048</v>
      </c>
      <c r="F4937" s="16" t="s">
        <v>8082</v>
      </c>
      <c r="G4937" s="16" t="s">
        <v>8698</v>
      </c>
      <c r="H4937" s="16"/>
      <c r="I4937" s="16"/>
      <c r="J4937" s="16"/>
      <c r="K4937" s="16"/>
      <c r="L4937" s="16"/>
      <c r="M4937" s="19" t="s">
        <v>5049</v>
      </c>
      <c r="N4937" s="16"/>
      <c r="O4937" s="16" t="s">
        <v>5050</v>
      </c>
      <c r="P4937" s="16" t="str">
        <f>HYPERLINK("https://ceds.ed.gov/cedselementdetails.aspx?termid=27363")</f>
        <v>https://ceds.ed.gov/cedselementdetails.aspx?termid=27363</v>
      </c>
      <c r="Q4937" s="16">
        <v>73259</v>
      </c>
    </row>
    <row r="4938" spans="1:17" ht="115.2" x14ac:dyDescent="0.3">
      <c r="A4938" s="16" t="s">
        <v>7807</v>
      </c>
      <c r="B4938" s="16" t="s">
        <v>7808</v>
      </c>
      <c r="C4938" s="16"/>
      <c r="D4938" s="16" t="s">
        <v>7597</v>
      </c>
      <c r="E4938" s="16" t="s">
        <v>5051</v>
      </c>
      <c r="F4938" s="16" t="s">
        <v>5052</v>
      </c>
      <c r="G4938" s="16" t="s">
        <v>8699</v>
      </c>
      <c r="H4938" s="16"/>
      <c r="I4938" s="16"/>
      <c r="J4938" s="16"/>
      <c r="K4938" s="16"/>
      <c r="L4938" s="16" t="s">
        <v>5053</v>
      </c>
      <c r="M4938" s="19" t="s">
        <v>5054</v>
      </c>
      <c r="N4938" s="16"/>
      <c r="O4938" s="16" t="s">
        <v>5055</v>
      </c>
      <c r="P4938" s="16" t="str">
        <f>HYPERLINK("https://ceds.ed.gov/cedselementdetails.aspx?termid=26879")</f>
        <v>https://ceds.ed.gov/cedselementdetails.aspx?termid=26879</v>
      </c>
      <c r="Q4938" s="16">
        <v>72330</v>
      </c>
    </row>
    <row r="4939" spans="1:17" ht="43.2" x14ac:dyDescent="0.3">
      <c r="A4939" s="16" t="s">
        <v>7807</v>
      </c>
      <c r="B4939" s="16" t="s">
        <v>7808</v>
      </c>
      <c r="C4939" s="16"/>
      <c r="D4939" s="16" t="s">
        <v>7597</v>
      </c>
      <c r="E4939" s="16" t="s">
        <v>5056</v>
      </c>
      <c r="F4939" s="16" t="s">
        <v>5057</v>
      </c>
      <c r="G4939" s="16" t="s">
        <v>32</v>
      </c>
      <c r="H4939" s="16"/>
      <c r="I4939" s="16"/>
      <c r="J4939" s="16" t="s">
        <v>101</v>
      </c>
      <c r="K4939" s="16"/>
      <c r="L4939" s="16"/>
      <c r="M4939" s="19" t="s">
        <v>5058</v>
      </c>
      <c r="N4939" s="16"/>
      <c r="O4939" s="16" t="s">
        <v>5059</v>
      </c>
      <c r="P4939" s="16" t="str">
        <f>HYPERLINK("https://ceds.ed.gov/cedselementdetails.aspx?termid=27159")</f>
        <v>https://ceds.ed.gov/cedselementdetails.aspx?termid=27159</v>
      </c>
      <c r="Q4939" s="16">
        <v>72349</v>
      </c>
    </row>
    <row r="4940" spans="1:17" ht="86.4" x14ac:dyDescent="0.3">
      <c r="A4940" s="16" t="s">
        <v>7807</v>
      </c>
      <c r="B4940" s="16" t="s">
        <v>7808</v>
      </c>
      <c r="C4940" s="16"/>
      <c r="D4940" s="16" t="s">
        <v>7597</v>
      </c>
      <c r="E4940" s="16" t="s">
        <v>5060</v>
      </c>
      <c r="F4940" s="16" t="s">
        <v>5061</v>
      </c>
      <c r="G4940" s="16" t="s">
        <v>8700</v>
      </c>
      <c r="H4940" s="16"/>
      <c r="I4940" s="16"/>
      <c r="J4940" s="16"/>
      <c r="K4940" s="16"/>
      <c r="L4940" s="16"/>
      <c r="M4940" s="19" t="s">
        <v>5062</v>
      </c>
      <c r="N4940" s="16"/>
      <c r="O4940" s="16" t="s">
        <v>5063</v>
      </c>
      <c r="P4940" s="16" t="str">
        <f>HYPERLINK("https://ceds.ed.gov/cedselementdetails.aspx?termid=27364")</f>
        <v>https://ceds.ed.gov/cedselementdetails.aspx?termid=27364</v>
      </c>
      <c r="Q4940" s="16">
        <v>73263</v>
      </c>
    </row>
    <row r="4941" spans="1:17" ht="43.2" x14ac:dyDescent="0.3">
      <c r="A4941" s="16" t="s">
        <v>7807</v>
      </c>
      <c r="B4941" s="16" t="s">
        <v>7808</v>
      </c>
      <c r="C4941" s="16"/>
      <c r="D4941" s="16" t="s">
        <v>7597</v>
      </c>
      <c r="E4941" s="16" t="s">
        <v>5064</v>
      </c>
      <c r="F4941" s="16" t="s">
        <v>5065</v>
      </c>
      <c r="G4941" s="16" t="s">
        <v>32</v>
      </c>
      <c r="H4941" s="16"/>
      <c r="I4941" s="16"/>
      <c r="J4941" s="16" t="s">
        <v>145</v>
      </c>
      <c r="K4941" s="16"/>
      <c r="L4941" s="16"/>
      <c r="M4941" s="19" t="s">
        <v>5066</v>
      </c>
      <c r="N4941" s="16"/>
      <c r="O4941" s="16" t="s">
        <v>5067</v>
      </c>
      <c r="P4941" s="16" t="str">
        <f>HYPERLINK("https://ceds.ed.gov/cedselementdetails.aspx?termid=27157")</f>
        <v>https://ceds.ed.gov/cedselementdetails.aspx?termid=27157</v>
      </c>
      <c r="Q4941" s="16">
        <v>72347</v>
      </c>
    </row>
    <row r="4942" spans="1:17" ht="72" x14ac:dyDescent="0.3">
      <c r="A4942" s="16" t="s">
        <v>7807</v>
      </c>
      <c r="B4942" s="16" t="s">
        <v>7808</v>
      </c>
      <c r="C4942" s="16"/>
      <c r="D4942" s="16" t="s">
        <v>7597</v>
      </c>
      <c r="E4942" s="16" t="s">
        <v>5087</v>
      </c>
      <c r="F4942" s="16" t="s">
        <v>5088</v>
      </c>
      <c r="G4942" s="16" t="s">
        <v>5089</v>
      </c>
      <c r="H4942" s="16"/>
      <c r="I4942" s="16"/>
      <c r="J4942" s="16"/>
      <c r="K4942" s="16"/>
      <c r="L4942" s="16"/>
      <c r="M4942" s="19" t="s">
        <v>5090</v>
      </c>
      <c r="N4942" s="16"/>
      <c r="O4942" s="16" t="s">
        <v>5091</v>
      </c>
      <c r="P4942" s="16" t="str">
        <f>HYPERLINK("https://ceds.ed.gov/cedselementdetails.aspx?termid=27365")</f>
        <v>https://ceds.ed.gov/cedselementdetails.aspx?termid=27365</v>
      </c>
      <c r="Q4942" s="16">
        <v>73267</v>
      </c>
    </row>
    <row r="4943" spans="1:17" ht="144" x14ac:dyDescent="0.3">
      <c r="A4943" s="16" t="s">
        <v>7807</v>
      </c>
      <c r="B4943" s="16" t="s">
        <v>7808</v>
      </c>
      <c r="C4943" s="16"/>
      <c r="D4943" s="16" t="s">
        <v>7597</v>
      </c>
      <c r="E4943" s="16" t="s">
        <v>5092</v>
      </c>
      <c r="F4943" s="16" t="s">
        <v>5093</v>
      </c>
      <c r="G4943" s="16" t="s">
        <v>8701</v>
      </c>
      <c r="H4943" s="16"/>
      <c r="I4943" s="16"/>
      <c r="J4943" s="16"/>
      <c r="K4943" s="16"/>
      <c r="L4943" s="16"/>
      <c r="M4943" s="19" t="s">
        <v>5094</v>
      </c>
      <c r="N4943" s="16"/>
      <c r="O4943" s="16" t="s">
        <v>5095</v>
      </c>
      <c r="P4943" s="16" t="str">
        <f>HYPERLINK("https://ceds.ed.gov/cedselementdetails.aspx?termid=27366")</f>
        <v>https://ceds.ed.gov/cedselementdetails.aspx?termid=27366</v>
      </c>
      <c r="Q4943" s="16">
        <v>73271</v>
      </c>
    </row>
    <row r="4944" spans="1:17" ht="409.6" x14ac:dyDescent="0.3">
      <c r="A4944" s="16" t="s">
        <v>7807</v>
      </c>
      <c r="B4944" s="16" t="s">
        <v>7808</v>
      </c>
      <c r="C4944" s="16"/>
      <c r="D4944" s="16" t="s">
        <v>7597</v>
      </c>
      <c r="E4944" s="16" t="s">
        <v>5139</v>
      </c>
      <c r="F4944" s="16" t="s">
        <v>5140</v>
      </c>
      <c r="G4944" s="16" t="s">
        <v>8707</v>
      </c>
      <c r="H4944" s="16"/>
      <c r="I4944" s="16"/>
      <c r="J4944" s="16"/>
      <c r="K4944" s="16"/>
      <c r="L4944" s="16"/>
      <c r="M4944" s="19" t="s">
        <v>5141</v>
      </c>
      <c r="N4944" s="16"/>
      <c r="O4944" s="16" t="s">
        <v>5142</v>
      </c>
      <c r="P4944" s="16" t="str">
        <f>HYPERLINK("https://ceds.ed.gov/cedselementdetails.aspx?termid=27370")</f>
        <v>https://ceds.ed.gov/cedselementdetails.aspx?termid=27370</v>
      </c>
      <c r="Q4944" s="16">
        <v>73289</v>
      </c>
    </row>
    <row r="4945" spans="1:17" ht="302.39999999999998" x14ac:dyDescent="0.3">
      <c r="A4945" s="13" t="s">
        <v>7807</v>
      </c>
      <c r="B4945" s="13" t="s">
        <v>7808</v>
      </c>
      <c r="D4945" s="13" t="s">
        <v>7597</v>
      </c>
      <c r="E4945" s="13" t="s">
        <v>5125</v>
      </c>
      <c r="F4945" s="13" t="s">
        <v>5126</v>
      </c>
      <c r="G4945" s="13" t="s">
        <v>8706</v>
      </c>
      <c r="L4945" s="13" t="s">
        <v>5127</v>
      </c>
      <c r="M4945" s="18" t="s">
        <v>5128</v>
      </c>
      <c r="O4945" s="13" t="s">
        <v>5129</v>
      </c>
      <c r="P4945" s="13" t="str">
        <f>HYPERLINK("https://ceds.ed.gov/cedselementdetails.aspx?termid=27368")</f>
        <v>https://ceds.ed.gov/cedselementdetails.aspx?termid=27368</v>
      </c>
      <c r="Q4945" s="13">
        <v>73279</v>
      </c>
    </row>
    <row r="4946" spans="1:17" ht="409.6" x14ac:dyDescent="0.3">
      <c r="A4946" s="13" t="s">
        <v>7807</v>
      </c>
      <c r="B4946" s="13" t="s">
        <v>7808</v>
      </c>
      <c r="D4946" s="13" t="s">
        <v>7597</v>
      </c>
      <c r="E4946" s="13" t="s">
        <v>5096</v>
      </c>
      <c r="F4946" s="13" t="s">
        <v>5097</v>
      </c>
      <c r="G4946" s="13" t="s">
        <v>8458</v>
      </c>
      <c r="M4946" s="18" t="s">
        <v>5098</v>
      </c>
      <c r="O4946" s="13" t="s">
        <v>5099</v>
      </c>
      <c r="P4946" s="13" t="str">
        <f>HYPERLINK("https://ceds.ed.gov/cedselementdetails.aspx?termid=27212")</f>
        <v>https://ceds.ed.gov/cedselementdetails.aspx?termid=27212</v>
      </c>
      <c r="Q4946" s="13">
        <v>71716</v>
      </c>
    </row>
    <row r="4947" spans="1:17" ht="28.8" x14ac:dyDescent="0.3">
      <c r="A4947" s="13" t="s">
        <v>7807</v>
      </c>
      <c r="B4947" s="13" t="s">
        <v>7808</v>
      </c>
      <c r="D4947" s="13" t="s">
        <v>7597</v>
      </c>
      <c r="E4947" s="13" t="s">
        <v>5196</v>
      </c>
      <c r="F4947" s="13" t="s">
        <v>5197</v>
      </c>
      <c r="G4947" s="13" t="s">
        <v>32</v>
      </c>
      <c r="J4947" s="13" t="s">
        <v>305</v>
      </c>
      <c r="M4947" s="18" t="s">
        <v>5198</v>
      </c>
      <c r="O4947" s="13" t="s">
        <v>5199</v>
      </c>
      <c r="P4947" s="13" t="str">
        <f>HYPERLINK("https://ceds.ed.gov/cedselementdetails.aspx?termid=26926")</f>
        <v>https://ceds.ed.gov/cedselementdetails.aspx?termid=26926</v>
      </c>
      <c r="Q4947" s="13">
        <v>71384</v>
      </c>
    </row>
    <row r="4948" spans="1:17" ht="28.8" x14ac:dyDescent="0.3">
      <c r="A4948" s="13" t="s">
        <v>7807</v>
      </c>
      <c r="B4948" s="13" t="s">
        <v>7808</v>
      </c>
      <c r="D4948" s="13" t="s">
        <v>7597</v>
      </c>
      <c r="E4948" s="13" t="s">
        <v>5192</v>
      </c>
      <c r="F4948" s="13" t="s">
        <v>5193</v>
      </c>
      <c r="G4948" s="13" t="s">
        <v>32</v>
      </c>
      <c r="J4948" s="13" t="s">
        <v>305</v>
      </c>
      <c r="M4948" s="18" t="s">
        <v>5194</v>
      </c>
      <c r="O4948" s="13" t="s">
        <v>5195</v>
      </c>
      <c r="P4948" s="13" t="str">
        <f>HYPERLINK("https://ceds.ed.gov/cedselementdetails.aspx?termid=26927")</f>
        <v>https://ceds.ed.gov/cedselementdetails.aspx?termid=26927</v>
      </c>
      <c r="Q4948" s="13">
        <v>71385</v>
      </c>
    </row>
    <row r="4949" spans="1:17" ht="144" x14ac:dyDescent="0.3">
      <c r="A4949" s="13" t="s">
        <v>7807</v>
      </c>
      <c r="B4949" s="13" t="s">
        <v>7808</v>
      </c>
      <c r="D4949" s="13" t="s">
        <v>7597</v>
      </c>
      <c r="E4949" s="13" t="s">
        <v>5104</v>
      </c>
      <c r="F4949" s="13" t="s">
        <v>5105</v>
      </c>
      <c r="G4949" s="13" t="s">
        <v>8703</v>
      </c>
      <c r="M4949" s="18" t="s">
        <v>5106</v>
      </c>
      <c r="O4949" s="13" t="s">
        <v>5107</v>
      </c>
      <c r="P4949" s="13" t="str">
        <f>HYPERLINK("https://ceds.ed.gov/cedselementdetails.aspx?termid=26924")</f>
        <v>https://ceds.ed.gov/cedselementdetails.aspx?termid=26924</v>
      </c>
      <c r="Q4949" s="13">
        <v>71382</v>
      </c>
    </row>
    <row r="4950" spans="1:17" ht="72" x14ac:dyDescent="0.3">
      <c r="A4950" s="13" t="s">
        <v>7807</v>
      </c>
      <c r="B4950" s="13" t="s">
        <v>7808</v>
      </c>
      <c r="D4950" s="13" t="s">
        <v>7597</v>
      </c>
      <c r="E4950" s="13" t="s">
        <v>5100</v>
      </c>
      <c r="F4950" s="13" t="s">
        <v>5101</v>
      </c>
      <c r="G4950" s="13" t="s">
        <v>8702</v>
      </c>
      <c r="M4950" s="18" t="s">
        <v>5102</v>
      </c>
      <c r="O4950" s="13" t="s">
        <v>5103</v>
      </c>
      <c r="P4950" s="13" t="str">
        <f>HYPERLINK("https://ceds.ed.gov/cedselementdetails.aspx?termid=27005")</f>
        <v>https://ceds.ed.gov/cedselementdetails.aspx?termid=27005</v>
      </c>
      <c r="Q4950" s="13">
        <v>72698</v>
      </c>
    </row>
    <row r="4951" spans="1:17" ht="100.8" x14ac:dyDescent="0.3">
      <c r="A4951" s="13" t="s">
        <v>7807</v>
      </c>
      <c r="B4951" s="13" t="s">
        <v>7808</v>
      </c>
      <c r="D4951" s="13" t="s">
        <v>7597</v>
      </c>
      <c r="E4951" s="13" t="s">
        <v>5108</v>
      </c>
      <c r="F4951" s="13" t="s">
        <v>5109</v>
      </c>
      <c r="G4951" s="13" t="s">
        <v>8704</v>
      </c>
      <c r="M4951" s="18" t="s">
        <v>5110</v>
      </c>
      <c r="O4951" s="13" t="s">
        <v>5111</v>
      </c>
      <c r="P4951" s="13" t="str">
        <f>HYPERLINK("https://ceds.ed.gov/cedselementdetails.aspx?termid=27543")</f>
        <v>https://ceds.ed.gov/cedselementdetails.aspx?termid=27543</v>
      </c>
      <c r="Q4951" s="13">
        <v>73897</v>
      </c>
    </row>
    <row r="4952" spans="1:17" ht="57.6" x14ac:dyDescent="0.3">
      <c r="A4952" s="13" t="s">
        <v>7807</v>
      </c>
      <c r="B4952" s="13" t="s">
        <v>7808</v>
      </c>
      <c r="D4952" s="13" t="s">
        <v>7597</v>
      </c>
      <c r="E4952" s="13" t="s">
        <v>5112</v>
      </c>
      <c r="F4952" s="13" t="s">
        <v>5113</v>
      </c>
      <c r="G4952" s="13" t="s">
        <v>8705</v>
      </c>
      <c r="M4952" s="18" t="s">
        <v>5114</v>
      </c>
      <c r="O4952" s="13" t="s">
        <v>5115</v>
      </c>
      <c r="P4952" s="13" t="str">
        <f>HYPERLINK("https://ceds.ed.gov/cedselementdetails.aspx?termid=26928")</f>
        <v>https://ceds.ed.gov/cedselementdetails.aspx?termid=26928</v>
      </c>
      <c r="Q4952" s="13">
        <v>71386</v>
      </c>
    </row>
    <row r="4953" spans="1:17" ht="172.8" x14ac:dyDescent="0.3">
      <c r="A4953" s="13" t="s">
        <v>7807</v>
      </c>
      <c r="B4953" s="13" t="s">
        <v>7808</v>
      </c>
      <c r="D4953" s="13" t="s">
        <v>7597</v>
      </c>
      <c r="E4953" s="13" t="s">
        <v>5116</v>
      </c>
      <c r="F4953" s="13" t="s">
        <v>5117</v>
      </c>
      <c r="G4953" s="13" t="s">
        <v>7313</v>
      </c>
      <c r="L4953" s="13" t="s">
        <v>8084</v>
      </c>
      <c r="M4953" s="18" t="s">
        <v>5118</v>
      </c>
      <c r="O4953" s="13" t="s">
        <v>5119</v>
      </c>
      <c r="P4953" s="13" t="str">
        <f>HYPERLINK("https://ceds.ed.gov/cedselementdetails.aspx?termid=26920")</f>
        <v>https://ceds.ed.gov/cedselementdetails.aspx?termid=26920</v>
      </c>
      <c r="Q4953" s="13">
        <v>71378</v>
      </c>
    </row>
    <row r="4954" spans="1:17" ht="187.2" x14ac:dyDescent="0.3">
      <c r="A4954" s="13" t="s">
        <v>7807</v>
      </c>
      <c r="B4954" s="13" t="s">
        <v>7808</v>
      </c>
      <c r="D4954" s="13" t="s">
        <v>7597</v>
      </c>
      <c r="E4954" s="13" t="s">
        <v>5159</v>
      </c>
      <c r="F4954" s="13" t="s">
        <v>5160</v>
      </c>
      <c r="G4954" s="13" t="s">
        <v>32</v>
      </c>
      <c r="J4954" s="13" t="s">
        <v>81</v>
      </c>
      <c r="L4954" s="13" t="s">
        <v>8085</v>
      </c>
      <c r="M4954" s="18" t="s">
        <v>5161</v>
      </c>
      <c r="O4954" s="13" t="s">
        <v>5162</v>
      </c>
      <c r="P4954" s="13" t="str">
        <f>HYPERLINK("https://ceds.ed.gov/cedselementdetails.aspx?termid=26914")</f>
        <v>https://ceds.ed.gov/cedselementdetails.aspx?termid=26914</v>
      </c>
      <c r="Q4954" s="13">
        <v>71373</v>
      </c>
    </row>
    <row r="4955" spans="1:17" ht="216" x14ac:dyDescent="0.3">
      <c r="A4955" s="13" t="s">
        <v>7807</v>
      </c>
      <c r="B4955" s="13" t="s">
        <v>7808</v>
      </c>
      <c r="D4955" s="13" t="s">
        <v>7597</v>
      </c>
      <c r="E4955" s="13" t="s">
        <v>5163</v>
      </c>
      <c r="F4955" s="13" t="s">
        <v>5164</v>
      </c>
      <c r="G4955" s="13" t="s">
        <v>32</v>
      </c>
      <c r="J4955" s="13" t="s">
        <v>81</v>
      </c>
      <c r="L4955" s="13" t="s">
        <v>8086</v>
      </c>
      <c r="M4955" s="18" t="s">
        <v>5165</v>
      </c>
      <c r="O4955" s="13" t="s">
        <v>5166</v>
      </c>
      <c r="P4955" s="13" t="str">
        <f>HYPERLINK("https://ceds.ed.gov/cedselementdetails.aspx?termid=26915")</f>
        <v>https://ceds.ed.gov/cedselementdetails.aspx?termid=26915</v>
      </c>
      <c r="Q4955" s="13">
        <v>71374</v>
      </c>
    </row>
    <row r="4956" spans="1:17" ht="28.8" x14ac:dyDescent="0.3">
      <c r="A4956" s="13" t="s">
        <v>7807</v>
      </c>
      <c r="B4956" s="13" t="s">
        <v>7808</v>
      </c>
      <c r="D4956" s="13" t="s">
        <v>7597</v>
      </c>
      <c r="E4956" s="13" t="s">
        <v>5167</v>
      </c>
      <c r="F4956" s="13" t="s">
        <v>5168</v>
      </c>
      <c r="G4956" s="13" t="s">
        <v>32</v>
      </c>
      <c r="J4956" s="13" t="s">
        <v>81</v>
      </c>
      <c r="M4956" s="18" t="s">
        <v>5169</v>
      </c>
      <c r="O4956" s="13" t="s">
        <v>5170</v>
      </c>
      <c r="P4956" s="13" t="str">
        <f>HYPERLINK("https://ceds.ed.gov/cedselementdetails.aspx?termid=26913")</f>
        <v>https://ceds.ed.gov/cedselementdetails.aspx?termid=26913</v>
      </c>
      <c r="Q4956" s="13">
        <v>71372</v>
      </c>
    </row>
    <row r="4957" spans="1:17" ht="28.8" x14ac:dyDescent="0.3">
      <c r="A4957" s="13" t="s">
        <v>7807</v>
      </c>
      <c r="B4957" s="13" t="s">
        <v>7808</v>
      </c>
      <c r="D4957" s="13" t="s">
        <v>7597</v>
      </c>
      <c r="E4957" s="13" t="s">
        <v>5171</v>
      </c>
      <c r="F4957" s="13" t="s">
        <v>5172</v>
      </c>
      <c r="G4957" s="13" t="s">
        <v>32</v>
      </c>
      <c r="J4957" s="13" t="s">
        <v>81</v>
      </c>
      <c r="M4957" s="18" t="s">
        <v>5173</v>
      </c>
      <c r="O4957" s="13" t="s">
        <v>5174</v>
      </c>
      <c r="P4957" s="13" t="str">
        <f>HYPERLINK("https://ceds.ed.gov/cedselementdetails.aspx?termid=26931")</f>
        <v>https://ceds.ed.gov/cedselementdetails.aspx?termid=26931</v>
      </c>
      <c r="Q4957" s="13">
        <v>71389</v>
      </c>
    </row>
    <row r="4958" spans="1:17" ht="43.2" x14ac:dyDescent="0.3">
      <c r="A4958" s="13" t="s">
        <v>7807</v>
      </c>
      <c r="B4958" s="13" t="s">
        <v>7808</v>
      </c>
      <c r="D4958" s="13" t="s">
        <v>7597</v>
      </c>
      <c r="E4958" s="13" t="s">
        <v>5175</v>
      </c>
      <c r="F4958" s="13" t="s">
        <v>5176</v>
      </c>
      <c r="G4958" s="13" t="s">
        <v>32</v>
      </c>
      <c r="J4958" s="13" t="s">
        <v>81</v>
      </c>
      <c r="M4958" s="18" t="s">
        <v>5177</v>
      </c>
      <c r="O4958" s="13" t="s">
        <v>5178</v>
      </c>
      <c r="P4958" s="13" t="str">
        <f>HYPERLINK("https://ceds.ed.gov/cedselementdetails.aspx?termid=26930")</f>
        <v>https://ceds.ed.gov/cedselementdetails.aspx?termid=26930</v>
      </c>
      <c r="Q4958" s="13">
        <v>71388</v>
      </c>
    </row>
    <row r="4959" spans="1:17" ht="43.2" x14ac:dyDescent="0.3">
      <c r="A4959" s="13" t="s">
        <v>7807</v>
      </c>
      <c r="B4959" s="13" t="s">
        <v>7808</v>
      </c>
      <c r="D4959" s="13" t="s">
        <v>7597</v>
      </c>
      <c r="E4959" s="13" t="s">
        <v>5179</v>
      </c>
      <c r="F4959" s="13" t="s">
        <v>5180</v>
      </c>
      <c r="G4959" s="13" t="s">
        <v>32</v>
      </c>
      <c r="J4959" s="13" t="s">
        <v>2788</v>
      </c>
      <c r="M4959" s="18" t="s">
        <v>5181</v>
      </c>
      <c r="O4959" s="13" t="s">
        <v>5182</v>
      </c>
      <c r="P4959" s="13" t="str">
        <f>HYPERLINK("https://ceds.ed.gov/cedselementdetails.aspx?termid=26925")</f>
        <v>https://ceds.ed.gov/cedselementdetails.aspx?termid=26925</v>
      </c>
      <c r="Q4959" s="13">
        <v>71383</v>
      </c>
    </row>
    <row r="4960" spans="1:17" ht="43.2" x14ac:dyDescent="0.3">
      <c r="A4960" s="13" t="s">
        <v>7807</v>
      </c>
      <c r="B4960" s="13" t="s">
        <v>7808</v>
      </c>
      <c r="D4960" s="13" t="s">
        <v>7597</v>
      </c>
      <c r="E4960" s="13" t="s">
        <v>5120</v>
      </c>
      <c r="F4960" s="13" t="s">
        <v>5121</v>
      </c>
      <c r="G4960" s="13" t="s">
        <v>32</v>
      </c>
      <c r="J4960" s="13" t="s">
        <v>50</v>
      </c>
      <c r="L4960" s="13" t="s">
        <v>5122</v>
      </c>
      <c r="M4960" s="18" t="s">
        <v>5123</v>
      </c>
      <c r="O4960" s="13" t="s">
        <v>5124</v>
      </c>
      <c r="P4960" s="13" t="str">
        <f>HYPERLINK("https://ceds.ed.gov/cedselementdetails.aspx?termid=26922")</f>
        <v>https://ceds.ed.gov/cedselementdetails.aspx?termid=26922</v>
      </c>
      <c r="Q4960" s="13">
        <v>71380</v>
      </c>
    </row>
    <row r="4961" spans="1:17" ht="28.8" x14ac:dyDescent="0.3">
      <c r="A4961" s="13" t="s">
        <v>7807</v>
      </c>
      <c r="B4961" s="13" t="s">
        <v>7808</v>
      </c>
      <c r="D4961" s="13" t="s">
        <v>7597</v>
      </c>
      <c r="E4961" s="13" t="s">
        <v>5072</v>
      </c>
      <c r="F4961" s="13" t="s">
        <v>5073</v>
      </c>
      <c r="G4961" s="13" t="s">
        <v>32</v>
      </c>
      <c r="J4961" s="13" t="s">
        <v>145</v>
      </c>
      <c r="M4961" s="18" t="s">
        <v>5074</v>
      </c>
      <c r="O4961" s="13" t="s">
        <v>5075</v>
      </c>
      <c r="P4961" s="13" t="str">
        <f>HYPERLINK("https://ceds.ed.gov/cedselementdetails.aspx?termid=26918")</f>
        <v>https://ceds.ed.gov/cedselementdetails.aspx?termid=26918</v>
      </c>
      <c r="Q4961" s="13">
        <v>71376</v>
      </c>
    </row>
    <row r="4962" spans="1:17" ht="28.8" x14ac:dyDescent="0.3">
      <c r="A4962" s="13" t="s">
        <v>7807</v>
      </c>
      <c r="B4962" s="13" t="s">
        <v>7808</v>
      </c>
      <c r="D4962" s="13" t="s">
        <v>7597</v>
      </c>
      <c r="E4962" s="13" t="s">
        <v>5076</v>
      </c>
      <c r="F4962" s="13" t="s">
        <v>5077</v>
      </c>
      <c r="G4962" s="13" t="s">
        <v>32</v>
      </c>
      <c r="J4962" s="13" t="s">
        <v>106</v>
      </c>
      <c r="M4962" s="18" t="s">
        <v>5078</v>
      </c>
      <c r="O4962" s="13" t="s">
        <v>5079</v>
      </c>
      <c r="P4962" s="13" t="str">
        <f>HYPERLINK("https://ceds.ed.gov/cedselementdetails.aspx?termid=26916")</f>
        <v>https://ceds.ed.gov/cedselementdetails.aspx?termid=26916</v>
      </c>
      <c r="Q4962" s="13">
        <v>71375</v>
      </c>
    </row>
    <row r="4963" spans="1:17" ht="28.8" x14ac:dyDescent="0.3">
      <c r="A4963" s="13" t="s">
        <v>7807</v>
      </c>
      <c r="B4963" s="13" t="s">
        <v>7808</v>
      </c>
      <c r="D4963" s="13" t="s">
        <v>7597</v>
      </c>
      <c r="E4963" s="13" t="s">
        <v>5080</v>
      </c>
      <c r="F4963" s="13" t="s">
        <v>5081</v>
      </c>
      <c r="G4963" s="13" t="s">
        <v>32</v>
      </c>
      <c r="J4963" s="13" t="s">
        <v>106</v>
      </c>
      <c r="M4963" s="18" t="s">
        <v>5082</v>
      </c>
      <c r="O4963" s="13" t="s">
        <v>5083</v>
      </c>
      <c r="P4963" s="13" t="str">
        <f>HYPERLINK("https://ceds.ed.gov/cedselementdetails.aspx?termid=27542")</f>
        <v>https://ceds.ed.gov/cedselementdetails.aspx?termid=27542</v>
      </c>
      <c r="Q4963" s="13">
        <v>73896</v>
      </c>
    </row>
    <row r="4964" spans="1:17" ht="28.8" x14ac:dyDescent="0.3">
      <c r="A4964" s="13" t="s">
        <v>7807</v>
      </c>
      <c r="B4964" s="13" t="s">
        <v>7808</v>
      </c>
      <c r="D4964" s="13" t="s">
        <v>7597</v>
      </c>
      <c r="E4964" s="13" t="s">
        <v>5031</v>
      </c>
      <c r="F4964" s="13" t="s">
        <v>5032</v>
      </c>
      <c r="G4964" s="13" t="s">
        <v>32</v>
      </c>
      <c r="J4964" s="13" t="s">
        <v>3408</v>
      </c>
      <c r="M4964" s="18" t="s">
        <v>5033</v>
      </c>
      <c r="O4964" s="13" t="s">
        <v>5034</v>
      </c>
      <c r="P4964" s="13" t="str">
        <f>HYPERLINK("https://ceds.ed.gov/cedselementdetails.aspx?termid=27544")</f>
        <v>https://ceds.ed.gov/cedselementdetails.aspx?termid=27544</v>
      </c>
      <c r="Q4964" s="13">
        <v>73898</v>
      </c>
    </row>
    <row r="4965" spans="1:17" ht="43.2" x14ac:dyDescent="0.3">
      <c r="A4965" s="13" t="s">
        <v>7807</v>
      </c>
      <c r="B4965" s="13" t="s">
        <v>7808</v>
      </c>
      <c r="D4965" s="13" t="s">
        <v>7597</v>
      </c>
      <c r="E4965" s="13" t="s">
        <v>5035</v>
      </c>
      <c r="F4965" s="13" t="s">
        <v>5036</v>
      </c>
      <c r="G4965" s="13" t="s">
        <v>8697</v>
      </c>
      <c r="M4965" s="18" t="s">
        <v>5037</v>
      </c>
      <c r="O4965" s="13" t="s">
        <v>5038</v>
      </c>
      <c r="P4965" s="13" t="str">
        <f>HYPERLINK("https://ceds.ed.gov/cedselementdetails.aspx?termid=27540")</f>
        <v>https://ceds.ed.gov/cedselementdetails.aspx?termid=27540</v>
      </c>
      <c r="Q4965" s="13">
        <v>73894</v>
      </c>
    </row>
    <row r="4966" spans="1:17" ht="43.2" x14ac:dyDescent="0.3">
      <c r="A4966" s="13" t="s">
        <v>7807</v>
      </c>
      <c r="B4966" s="13" t="s">
        <v>7808</v>
      </c>
      <c r="D4966" s="13" t="s">
        <v>7597</v>
      </c>
      <c r="E4966" s="13" t="s">
        <v>5039</v>
      </c>
      <c r="F4966" s="13" t="s">
        <v>5040</v>
      </c>
      <c r="G4966" s="13" t="s">
        <v>32</v>
      </c>
      <c r="J4966" s="13" t="s">
        <v>50</v>
      </c>
      <c r="M4966" s="18" t="s">
        <v>5041</v>
      </c>
      <c r="O4966" s="13" t="s">
        <v>5042</v>
      </c>
      <c r="P4966" s="13" t="str">
        <f>HYPERLINK("https://ceds.ed.gov/cedselementdetails.aspx?termid=27541")</f>
        <v>https://ceds.ed.gov/cedselementdetails.aspx?termid=27541</v>
      </c>
      <c r="Q4966" s="13">
        <v>73895</v>
      </c>
    </row>
    <row r="4967" spans="1:17" ht="28.8" x14ac:dyDescent="0.3">
      <c r="A4967" s="13" t="s">
        <v>7807</v>
      </c>
      <c r="B4967" s="13" t="s">
        <v>7808</v>
      </c>
      <c r="D4967" s="13" t="s">
        <v>7597</v>
      </c>
      <c r="E4967" s="13" t="s">
        <v>5147</v>
      </c>
      <c r="F4967" s="13" t="s">
        <v>5148</v>
      </c>
      <c r="G4967" s="13" t="s">
        <v>32</v>
      </c>
      <c r="J4967" s="13" t="s">
        <v>3408</v>
      </c>
      <c r="M4967" s="18" t="s">
        <v>5149</v>
      </c>
      <c r="O4967" s="13" t="s">
        <v>5150</v>
      </c>
      <c r="P4967" s="13" t="str">
        <f>HYPERLINK("https://ceds.ed.gov/cedselementdetails.aspx?termid=27545")</f>
        <v>https://ceds.ed.gov/cedselementdetails.aspx?termid=27545</v>
      </c>
      <c r="Q4967" s="13">
        <v>73899</v>
      </c>
    </row>
    <row r="4968" spans="1:17" ht="28.8" x14ac:dyDescent="0.3">
      <c r="A4968" s="13" t="s">
        <v>7807</v>
      </c>
      <c r="B4968" s="13" t="s">
        <v>7808</v>
      </c>
      <c r="D4968" s="13" t="s">
        <v>7597</v>
      </c>
      <c r="E4968" s="13" t="s">
        <v>5151</v>
      </c>
      <c r="F4968" s="13" t="s">
        <v>5152</v>
      </c>
      <c r="G4968" s="13" t="s">
        <v>32</v>
      </c>
      <c r="J4968" s="13" t="s">
        <v>145</v>
      </c>
      <c r="M4968" s="18" t="s">
        <v>5153</v>
      </c>
      <c r="O4968" s="13" t="s">
        <v>5154</v>
      </c>
      <c r="P4968" s="13" t="str">
        <f>HYPERLINK("https://ceds.ed.gov/cedselementdetails.aspx?termid=26919")</f>
        <v>https://ceds.ed.gov/cedselementdetails.aspx?termid=26919</v>
      </c>
      <c r="Q4968" s="13">
        <v>71377</v>
      </c>
    </row>
    <row r="4969" spans="1:17" ht="43.2" x14ac:dyDescent="0.3">
      <c r="A4969" s="13" t="s">
        <v>7807</v>
      </c>
      <c r="B4969" s="13" t="s">
        <v>7808</v>
      </c>
      <c r="D4969" s="13" t="s">
        <v>7597</v>
      </c>
      <c r="E4969" s="13" t="s">
        <v>5155</v>
      </c>
      <c r="F4969" s="13" t="s">
        <v>5156</v>
      </c>
      <c r="G4969" s="13" t="s">
        <v>32</v>
      </c>
      <c r="J4969" s="13" t="s">
        <v>50</v>
      </c>
      <c r="M4969" s="18" t="s">
        <v>5157</v>
      </c>
      <c r="O4969" s="13" t="s">
        <v>5158</v>
      </c>
      <c r="P4969" s="13" t="str">
        <f>HYPERLINK("https://ceds.ed.gov/cedselementdetails.aspx?termid=27547")</f>
        <v>https://ceds.ed.gov/cedselementdetails.aspx?termid=27547</v>
      </c>
      <c r="Q4969" s="13">
        <v>73900</v>
      </c>
    </row>
    <row r="4970" spans="1:17" ht="28.8" x14ac:dyDescent="0.3">
      <c r="A4970" s="13" t="s">
        <v>7807</v>
      </c>
      <c r="B4970" s="13" t="s">
        <v>7808</v>
      </c>
      <c r="D4970" s="13" t="s">
        <v>7597</v>
      </c>
      <c r="E4970" s="13" t="s">
        <v>5068</v>
      </c>
      <c r="F4970" s="13" t="s">
        <v>5069</v>
      </c>
      <c r="G4970" s="13" t="s">
        <v>32</v>
      </c>
      <c r="J4970" s="13" t="s">
        <v>1807</v>
      </c>
      <c r="M4970" s="18" t="s">
        <v>5070</v>
      </c>
      <c r="O4970" s="13" t="s">
        <v>5071</v>
      </c>
      <c r="P4970" s="13" t="str">
        <f>HYPERLINK("https://ceds.ed.gov/cedselementdetails.aspx?termid=27158")</f>
        <v>https://ceds.ed.gov/cedselementdetails.aspx?termid=27158</v>
      </c>
      <c r="Q4970" s="13">
        <v>72348</v>
      </c>
    </row>
    <row r="4971" spans="1:17" ht="244.8" x14ac:dyDescent="0.3">
      <c r="A4971" s="13" t="s">
        <v>7807</v>
      </c>
      <c r="B4971" s="13" t="s">
        <v>7808</v>
      </c>
      <c r="D4971" s="13" t="s">
        <v>7597</v>
      </c>
      <c r="E4971" s="13" t="s">
        <v>1887</v>
      </c>
      <c r="F4971" s="13" t="s">
        <v>1888</v>
      </c>
      <c r="G4971" s="13" t="s">
        <v>8425</v>
      </c>
      <c r="I4971" s="13" t="s">
        <v>160</v>
      </c>
      <c r="K4971" s="13" t="s">
        <v>12935</v>
      </c>
      <c r="L4971" s="13" t="s">
        <v>7896</v>
      </c>
      <c r="M4971" s="18" t="s">
        <v>1889</v>
      </c>
      <c r="O4971" s="13" t="s">
        <v>1890</v>
      </c>
      <c r="P4971" s="13" t="str">
        <f>HYPERLINK("https://ceds.ed.gov/cedselementdetails.aspx?termid=27254")</f>
        <v>https://ceds.ed.gov/cedselementdetails.aspx?termid=27254</v>
      </c>
      <c r="Q4971" s="13">
        <v>73824</v>
      </c>
    </row>
    <row r="4972" spans="1:17" ht="57.6" x14ac:dyDescent="0.3">
      <c r="A4972" s="13" t="s">
        <v>7807</v>
      </c>
      <c r="B4972" s="13" t="s">
        <v>7808</v>
      </c>
      <c r="D4972" s="13" t="s">
        <v>7597</v>
      </c>
      <c r="E4972" s="13" t="s">
        <v>2106</v>
      </c>
      <c r="F4972" s="13" t="s">
        <v>2107</v>
      </c>
      <c r="G4972" s="13" t="s">
        <v>32</v>
      </c>
      <c r="J4972" s="13" t="s">
        <v>50</v>
      </c>
      <c r="M4972" s="18" t="s">
        <v>2109</v>
      </c>
      <c r="N4972" s="13" t="s">
        <v>2110</v>
      </c>
      <c r="O4972" s="13" t="s">
        <v>2111</v>
      </c>
      <c r="P4972" s="13" t="str">
        <f>HYPERLINK("https://ceds.ed.gov/cedselementdetails.aspx?termid=26871")</f>
        <v>https://ceds.ed.gov/cedselementdetails.aspx?termid=26871</v>
      </c>
      <c r="Q4972" s="13">
        <v>73659</v>
      </c>
    </row>
    <row r="4973" spans="1:17" ht="409.6" x14ac:dyDescent="0.3">
      <c r="A4973" s="13" t="s">
        <v>7807</v>
      </c>
      <c r="B4973" s="13" t="s">
        <v>7808</v>
      </c>
      <c r="D4973" s="13" t="s">
        <v>7597</v>
      </c>
      <c r="E4973" s="13" t="s">
        <v>2122</v>
      </c>
      <c r="F4973" s="13" t="s">
        <v>2123</v>
      </c>
      <c r="G4973" s="13" t="s">
        <v>8443</v>
      </c>
      <c r="L4973" s="13" t="s">
        <v>7903</v>
      </c>
      <c r="M4973" s="18" t="s">
        <v>2124</v>
      </c>
      <c r="N4973" s="13" t="s">
        <v>2125</v>
      </c>
      <c r="O4973" s="13" t="s">
        <v>2126</v>
      </c>
      <c r="P4973" s="13" t="str">
        <f>HYPERLINK("https://ceds.ed.gov/cedselementdetails.aspx?termid=26869")</f>
        <v>https://ceds.ed.gov/cedselementdetails.aspx?termid=26869</v>
      </c>
      <c r="Q4973" s="13">
        <v>73565</v>
      </c>
    </row>
    <row r="4974" spans="1:17" ht="43.2" x14ac:dyDescent="0.3">
      <c r="A4974" s="13" t="s">
        <v>7807</v>
      </c>
      <c r="B4974" s="13" t="s">
        <v>7808</v>
      </c>
      <c r="D4974" s="13" t="s">
        <v>7597</v>
      </c>
      <c r="E4974" s="13" t="s">
        <v>8879</v>
      </c>
      <c r="F4974" s="13" t="s">
        <v>8880</v>
      </c>
      <c r="G4974" s="13" t="s">
        <v>22</v>
      </c>
      <c r="J4974" s="13" t="s">
        <v>2</v>
      </c>
      <c r="M4974" s="18" t="s">
        <v>8881</v>
      </c>
      <c r="O4974" s="13" t="s">
        <v>8882</v>
      </c>
      <c r="P4974" s="13" t="str">
        <f>HYPERLINK("https://ceds.ed.gov/cedselementdetails.aspx?termid=27997")</f>
        <v>https://ceds.ed.gov/cedselementdetails.aspx?termid=27997</v>
      </c>
      <c r="Q4974" s="13">
        <v>76338</v>
      </c>
    </row>
    <row r="4975" spans="1:17" ht="144" x14ac:dyDescent="0.3">
      <c r="A4975" s="13" t="s">
        <v>7807</v>
      </c>
      <c r="B4975" s="13" t="s">
        <v>7808</v>
      </c>
      <c r="D4975" s="13" t="s">
        <v>7597</v>
      </c>
      <c r="E4975" s="13" t="s">
        <v>8887</v>
      </c>
      <c r="F4975" s="13" t="s">
        <v>8888</v>
      </c>
      <c r="G4975" s="13" t="s">
        <v>9287</v>
      </c>
      <c r="J4975" s="13" t="s">
        <v>2</v>
      </c>
      <c r="M4975" s="18" t="s">
        <v>8889</v>
      </c>
      <c r="O4975" s="13" t="s">
        <v>8890</v>
      </c>
      <c r="P4975" s="13" t="str">
        <f>HYPERLINK("https://ceds.ed.gov/cedselementdetails.aspx?termid=27999")</f>
        <v>https://ceds.ed.gov/cedselementdetails.aspx?termid=27999</v>
      </c>
      <c r="Q4975" s="13">
        <v>76339</v>
      </c>
    </row>
    <row r="4976" spans="1:17" ht="72" x14ac:dyDescent="0.3">
      <c r="A4976" s="13" t="s">
        <v>7807</v>
      </c>
      <c r="B4976" s="13" t="s">
        <v>7808</v>
      </c>
      <c r="D4976" s="13" t="s">
        <v>7597</v>
      </c>
      <c r="E4976" s="13" t="s">
        <v>8987</v>
      </c>
      <c r="F4976" s="13" t="s">
        <v>8988</v>
      </c>
      <c r="G4976" s="13" t="s">
        <v>2987</v>
      </c>
      <c r="J4976" s="13" t="s">
        <v>2</v>
      </c>
      <c r="M4976" s="18" t="s">
        <v>8989</v>
      </c>
      <c r="O4976" s="13" t="s">
        <v>8990</v>
      </c>
      <c r="P4976" s="13" t="str">
        <f>HYPERLINK("https://ceds.ed.gov/cedselementdetails.aspx?termid=28023")</f>
        <v>https://ceds.ed.gov/cedselementdetails.aspx?termid=28023</v>
      </c>
      <c r="Q4976" s="13">
        <v>76340</v>
      </c>
    </row>
    <row r="4977" spans="1:17" ht="43.2" x14ac:dyDescent="0.3">
      <c r="A4977" s="13" t="s">
        <v>7807</v>
      </c>
      <c r="B4977" s="13" t="s">
        <v>7808</v>
      </c>
      <c r="D4977" s="13" t="s">
        <v>7597</v>
      </c>
      <c r="E4977" s="13" t="s">
        <v>9043</v>
      </c>
      <c r="F4977" s="13" t="s">
        <v>9044</v>
      </c>
      <c r="G4977" s="13" t="s">
        <v>9296</v>
      </c>
      <c r="J4977" s="13" t="s">
        <v>2</v>
      </c>
      <c r="M4977" s="18" t="s">
        <v>9045</v>
      </c>
      <c r="O4977" s="13" t="s">
        <v>9046</v>
      </c>
      <c r="P4977" s="13" t="str">
        <f>HYPERLINK("https://ceds.ed.gov/cedselementdetails.aspx?termid=28036")</f>
        <v>https://ceds.ed.gov/cedselementdetails.aspx?termid=28036</v>
      </c>
      <c r="Q4977" s="13">
        <v>76341</v>
      </c>
    </row>
    <row r="4978" spans="1:17" ht="43.2" x14ac:dyDescent="0.3">
      <c r="A4978" s="13" t="s">
        <v>7807</v>
      </c>
      <c r="B4978" s="13" t="s">
        <v>7808</v>
      </c>
      <c r="D4978" s="13" t="s">
        <v>7597</v>
      </c>
      <c r="E4978" s="13" t="s">
        <v>9047</v>
      </c>
      <c r="F4978" s="13" t="s">
        <v>9048</v>
      </c>
      <c r="G4978" s="13" t="s">
        <v>32</v>
      </c>
      <c r="J4978" s="13" t="s">
        <v>120</v>
      </c>
      <c r="M4978" s="18" t="s">
        <v>9049</v>
      </c>
      <c r="O4978" s="13" t="s">
        <v>9050</v>
      </c>
      <c r="P4978" s="13" t="str">
        <f>HYPERLINK("https://ceds.ed.gov/cedselementdetails.aspx?termid=28037")</f>
        <v>https://ceds.ed.gov/cedselementdetails.aspx?termid=28037</v>
      </c>
      <c r="Q4978" s="13">
        <v>76342</v>
      </c>
    </row>
    <row r="4979" spans="1:17" ht="28.8" x14ac:dyDescent="0.3">
      <c r="A4979" s="13" t="s">
        <v>7807</v>
      </c>
      <c r="B4979" s="13" t="s">
        <v>7808</v>
      </c>
      <c r="D4979" s="13" t="s">
        <v>7597</v>
      </c>
      <c r="E4979" s="13" t="s">
        <v>9051</v>
      </c>
      <c r="F4979" s="13" t="s">
        <v>9052</v>
      </c>
      <c r="G4979" s="13" t="s">
        <v>32</v>
      </c>
      <c r="J4979" s="13" t="s">
        <v>106</v>
      </c>
      <c r="M4979" s="18" t="s">
        <v>9053</v>
      </c>
      <c r="O4979" s="13" t="s">
        <v>9054</v>
      </c>
      <c r="P4979" s="13" t="str">
        <f>HYPERLINK("https://ceds.ed.gov/cedselementdetails.aspx?termid=28038")</f>
        <v>https://ceds.ed.gov/cedselementdetails.aspx?termid=28038</v>
      </c>
      <c r="Q4979" s="13">
        <v>76343</v>
      </c>
    </row>
    <row r="4980" spans="1:17" ht="28.8" x14ac:dyDescent="0.3">
      <c r="A4980" s="13" t="s">
        <v>7807</v>
      </c>
      <c r="B4980" s="13" t="s">
        <v>7808</v>
      </c>
      <c r="D4980" s="13" t="s">
        <v>7597</v>
      </c>
      <c r="E4980" s="13" t="s">
        <v>9055</v>
      </c>
      <c r="F4980" s="13" t="s">
        <v>9056</v>
      </c>
      <c r="G4980" s="13" t="s">
        <v>32</v>
      </c>
      <c r="J4980" s="13" t="s">
        <v>106</v>
      </c>
      <c r="M4980" s="18" t="s">
        <v>9057</v>
      </c>
      <c r="O4980" s="13" t="s">
        <v>9058</v>
      </c>
      <c r="P4980" s="13" t="str">
        <f>HYPERLINK("https://ceds.ed.gov/cedselementdetails.aspx?termid=28039")</f>
        <v>https://ceds.ed.gov/cedselementdetails.aspx?termid=28039</v>
      </c>
      <c r="Q4980" s="13">
        <v>76344</v>
      </c>
    </row>
    <row r="4981" spans="1:17" ht="43.2" x14ac:dyDescent="0.3">
      <c r="A4981" s="13" t="s">
        <v>7807</v>
      </c>
      <c r="B4981" s="13" t="s">
        <v>7808</v>
      </c>
      <c r="D4981" s="13" t="s">
        <v>7597</v>
      </c>
      <c r="E4981" s="13" t="s">
        <v>9059</v>
      </c>
      <c r="F4981" s="13" t="s">
        <v>9060</v>
      </c>
      <c r="G4981" s="13" t="s">
        <v>32</v>
      </c>
      <c r="J4981" s="13" t="s">
        <v>106</v>
      </c>
      <c r="M4981" s="18" t="s">
        <v>9061</v>
      </c>
      <c r="O4981" s="13" t="s">
        <v>9062</v>
      </c>
      <c r="P4981" s="13" t="str">
        <f>HYPERLINK("https://ceds.ed.gov/cedselementdetails.aspx?termid=28040")</f>
        <v>https://ceds.ed.gov/cedselementdetails.aspx?termid=28040</v>
      </c>
      <c r="Q4981" s="13">
        <v>76345</v>
      </c>
    </row>
    <row r="4982" spans="1:17" ht="86.4" x14ac:dyDescent="0.3">
      <c r="A4982" s="13" t="s">
        <v>7807</v>
      </c>
      <c r="B4982" s="13" t="s">
        <v>7808</v>
      </c>
      <c r="D4982" s="13" t="s">
        <v>7597</v>
      </c>
      <c r="E4982" s="13" t="s">
        <v>9063</v>
      </c>
      <c r="F4982" s="13" t="s">
        <v>9064</v>
      </c>
      <c r="G4982" s="13" t="s">
        <v>9297</v>
      </c>
      <c r="J4982" s="13" t="s">
        <v>2</v>
      </c>
      <c r="M4982" s="18" t="s">
        <v>9065</v>
      </c>
      <c r="O4982" s="13" t="s">
        <v>9066</v>
      </c>
      <c r="P4982" s="13" t="str">
        <f>HYPERLINK("https://ceds.ed.gov/cedselementdetails.aspx?termid=28041")</f>
        <v>https://ceds.ed.gov/cedselementdetails.aspx?termid=28041</v>
      </c>
      <c r="Q4982" s="13">
        <v>76346</v>
      </c>
    </row>
    <row r="4983" spans="1:17" ht="43.2" x14ac:dyDescent="0.3">
      <c r="A4983" s="13" t="s">
        <v>7807</v>
      </c>
      <c r="B4983" s="13" t="s">
        <v>7808</v>
      </c>
      <c r="D4983" s="13" t="s">
        <v>7597</v>
      </c>
      <c r="E4983" s="13" t="s">
        <v>9067</v>
      </c>
      <c r="F4983" s="13" t="s">
        <v>9068</v>
      </c>
      <c r="G4983" s="13" t="s">
        <v>32</v>
      </c>
      <c r="J4983" s="13" t="s">
        <v>305</v>
      </c>
      <c r="M4983" s="18" t="s">
        <v>9069</v>
      </c>
      <c r="O4983" s="13" t="s">
        <v>9070</v>
      </c>
      <c r="P4983" s="13" t="str">
        <f>HYPERLINK("https://ceds.ed.gov/cedselementdetails.aspx?termid=28042")</f>
        <v>https://ceds.ed.gov/cedselementdetails.aspx?termid=28042</v>
      </c>
      <c r="Q4983" s="13">
        <v>76347</v>
      </c>
    </row>
    <row r="4984" spans="1:17" ht="115.2" x14ac:dyDescent="0.3">
      <c r="A4984" s="13" t="s">
        <v>7807</v>
      </c>
      <c r="B4984" s="13" t="s">
        <v>7808</v>
      </c>
      <c r="D4984" s="13" t="s">
        <v>7597</v>
      </c>
      <c r="E4984" s="13" t="s">
        <v>6489</v>
      </c>
      <c r="F4984" s="13" t="s">
        <v>6490</v>
      </c>
      <c r="G4984" s="13" t="s">
        <v>7313</v>
      </c>
      <c r="L4984" s="13" t="s">
        <v>8136</v>
      </c>
      <c r="M4984" s="18" t="s">
        <v>6491</v>
      </c>
      <c r="N4984" s="13" t="s">
        <v>6492</v>
      </c>
      <c r="O4984" s="13" t="s">
        <v>6493</v>
      </c>
      <c r="P4984" s="13" t="str">
        <f>HYPERLINK("https://ceds.ed.gov/cedselementdetails.aspx?termid=27490")</f>
        <v>https://ceds.ed.gov/cedselementdetails.aspx?termid=27490</v>
      </c>
      <c r="Q4984" s="13">
        <v>76348</v>
      </c>
    </row>
    <row r="4985" spans="1:17" ht="345.6" x14ac:dyDescent="0.3">
      <c r="A4985" s="13" t="s">
        <v>7807</v>
      </c>
      <c r="B4985" s="13" t="s">
        <v>7808</v>
      </c>
      <c r="D4985" s="13" t="s">
        <v>7597</v>
      </c>
      <c r="E4985" s="13" t="s">
        <v>6498</v>
      </c>
      <c r="F4985" s="13" t="s">
        <v>6499</v>
      </c>
      <c r="G4985" s="13" t="s">
        <v>8260</v>
      </c>
      <c r="L4985" s="13" t="s">
        <v>8138</v>
      </c>
      <c r="M4985" s="18" t="s">
        <v>6500</v>
      </c>
      <c r="N4985" s="13" t="s">
        <v>6501</v>
      </c>
      <c r="O4985" s="13" t="s">
        <v>6502</v>
      </c>
      <c r="P4985" s="13" t="str">
        <f>HYPERLINK("https://ceds.ed.gov/cedselementdetails.aspx?termid=27491")</f>
        <v>https://ceds.ed.gov/cedselementdetails.aspx?termid=27491</v>
      </c>
      <c r="Q4985" s="13">
        <v>76349</v>
      </c>
    </row>
    <row r="4986" spans="1:17" ht="374.4" x14ac:dyDescent="0.3">
      <c r="A4986" s="13" t="s">
        <v>7807</v>
      </c>
      <c r="B4986" s="13" t="s">
        <v>7808</v>
      </c>
      <c r="D4986" s="13" t="s">
        <v>7597</v>
      </c>
      <c r="E4986" s="13" t="s">
        <v>6903</v>
      </c>
      <c r="F4986" s="13" t="s">
        <v>9323</v>
      </c>
      <c r="G4986" s="13" t="s">
        <v>32</v>
      </c>
      <c r="I4986" s="13" t="s">
        <v>160</v>
      </c>
      <c r="J4986" s="13" t="s">
        <v>812</v>
      </c>
      <c r="K4986" s="13" t="s">
        <v>12952</v>
      </c>
      <c r="L4986" s="13" t="s">
        <v>8158</v>
      </c>
      <c r="M4986" s="18" t="s">
        <v>6904</v>
      </c>
      <c r="O4986" s="13" t="s">
        <v>6905</v>
      </c>
      <c r="P4986" s="13" t="str">
        <f>HYPERLINK("https://ceds.ed.gov/cedselementdetails.aspx?termid=27193")</f>
        <v>https://ceds.ed.gov/cedselementdetails.aspx?termid=27193</v>
      </c>
      <c r="Q4986" s="13">
        <v>76350</v>
      </c>
    </row>
    <row r="4987" spans="1:17" ht="28.8" x14ac:dyDescent="0.3">
      <c r="A4987" s="13" t="s">
        <v>7807</v>
      </c>
      <c r="B4987" s="13" t="s">
        <v>7808</v>
      </c>
      <c r="D4987" s="13" t="s">
        <v>7597</v>
      </c>
      <c r="E4987" s="13" t="s">
        <v>6906</v>
      </c>
      <c r="F4987" s="13" t="s">
        <v>9324</v>
      </c>
      <c r="G4987" s="13" t="s">
        <v>32</v>
      </c>
      <c r="I4987" s="13" t="s">
        <v>160</v>
      </c>
      <c r="J4987" s="13" t="s">
        <v>812</v>
      </c>
      <c r="K4987" s="13" t="s">
        <v>12952</v>
      </c>
      <c r="M4987" s="18" t="s">
        <v>6907</v>
      </c>
      <c r="O4987" s="13" t="s">
        <v>6908</v>
      </c>
      <c r="P4987" s="13" t="str">
        <f>HYPERLINK("https://ceds.ed.gov/cedselementdetails.aspx?termid=27192")</f>
        <v>https://ceds.ed.gov/cedselementdetails.aspx?termid=27192</v>
      </c>
      <c r="Q4987" s="13">
        <v>76351</v>
      </c>
    </row>
    <row r="4988" spans="1:17" ht="86.4" x14ac:dyDescent="0.3">
      <c r="A4988" s="13" t="s">
        <v>7807</v>
      </c>
      <c r="B4988" s="13" t="s">
        <v>7808</v>
      </c>
      <c r="D4988" s="13" t="s">
        <v>7597</v>
      </c>
      <c r="E4988" s="13" t="s">
        <v>12663</v>
      </c>
      <c r="F4988" s="13" t="s">
        <v>12664</v>
      </c>
      <c r="G4988" s="13" t="s">
        <v>12893</v>
      </c>
      <c r="I4988" s="13" t="s">
        <v>155</v>
      </c>
      <c r="J4988" s="13" t="s">
        <v>2</v>
      </c>
      <c r="K4988" s="13" t="s">
        <v>12636</v>
      </c>
      <c r="M4988" s="18" t="s">
        <v>12665</v>
      </c>
      <c r="O4988" s="13" t="s">
        <v>12666</v>
      </c>
      <c r="P4988" s="13" t="str">
        <f>HYPERLINK("https://ceds.ed.gov/cedselementdetails.aspx?termid=28109")</f>
        <v>https://ceds.ed.gov/cedselementdetails.aspx?termid=28109</v>
      </c>
      <c r="Q4988" s="13">
        <v>76586</v>
      </c>
    </row>
    <row r="4989" spans="1:17" ht="57.6" x14ac:dyDescent="0.3">
      <c r="A4989" s="13" t="s">
        <v>7807</v>
      </c>
      <c r="B4989" s="13" t="s">
        <v>7808</v>
      </c>
      <c r="C4989" s="13" t="s">
        <v>7809</v>
      </c>
      <c r="D4989" s="13" t="s">
        <v>7597</v>
      </c>
      <c r="E4989" s="13" t="s">
        <v>5130</v>
      </c>
      <c r="F4989" s="13" t="s">
        <v>5131</v>
      </c>
      <c r="G4989" s="13" t="s">
        <v>32</v>
      </c>
      <c r="J4989" s="13" t="s">
        <v>305</v>
      </c>
      <c r="M4989" s="18" t="s">
        <v>5133</v>
      </c>
      <c r="O4989" s="13" t="s">
        <v>5134</v>
      </c>
      <c r="P4989" s="13" t="str">
        <f>HYPERLINK("https://ceds.ed.gov/cedselementdetails.aspx?termid=27369")</f>
        <v>https://ceds.ed.gov/cedselementdetails.aspx?termid=27369</v>
      </c>
      <c r="Q4989" s="13">
        <v>73285</v>
      </c>
    </row>
    <row r="4990" spans="1:17" ht="72" x14ac:dyDescent="0.3">
      <c r="A4990" s="13" t="s">
        <v>7807</v>
      </c>
      <c r="B4990" s="13" t="s">
        <v>7808</v>
      </c>
      <c r="C4990" s="13" t="s">
        <v>7809</v>
      </c>
      <c r="D4990" s="13" t="s">
        <v>7597</v>
      </c>
      <c r="E4990" s="13" t="s">
        <v>5135</v>
      </c>
      <c r="F4990" s="13" t="s">
        <v>5136</v>
      </c>
      <c r="G4990" s="13" t="s">
        <v>32</v>
      </c>
      <c r="J4990" s="13" t="s">
        <v>955</v>
      </c>
      <c r="M4990" s="18" t="s">
        <v>5137</v>
      </c>
      <c r="O4990" s="13" t="s">
        <v>5138</v>
      </c>
      <c r="P4990" s="13" t="str">
        <f>HYPERLINK("https://ceds.ed.gov/cedselementdetails.aspx?termid=27161")</f>
        <v>https://ceds.ed.gov/cedselementdetails.aspx?termid=27161</v>
      </c>
      <c r="Q4990" s="13">
        <v>72351</v>
      </c>
    </row>
    <row r="4991" spans="1:17" ht="28.8" x14ac:dyDescent="0.3">
      <c r="A4991" s="13" t="s">
        <v>7807</v>
      </c>
      <c r="B4991" s="13" t="s">
        <v>7808</v>
      </c>
      <c r="C4991" s="13" t="s">
        <v>7809</v>
      </c>
      <c r="D4991" s="13" t="s">
        <v>7597</v>
      </c>
      <c r="E4991" s="13" t="s">
        <v>5700</v>
      </c>
      <c r="F4991" s="13" t="s">
        <v>5701</v>
      </c>
      <c r="G4991" s="13" t="s">
        <v>32</v>
      </c>
      <c r="J4991" s="13" t="s">
        <v>106</v>
      </c>
      <c r="M4991" s="18" t="s">
        <v>5702</v>
      </c>
      <c r="O4991" s="13" t="s">
        <v>5703</v>
      </c>
      <c r="P4991" s="13" t="str">
        <f>HYPERLINK("https://ceds.ed.gov/cedselementdetails.aspx?termid=27171")</f>
        <v>https://ceds.ed.gov/cedselementdetails.aspx?termid=27171</v>
      </c>
      <c r="Q4991" s="13">
        <v>71004</v>
      </c>
    </row>
    <row r="4992" spans="1:17" ht="28.8" x14ac:dyDescent="0.3">
      <c r="A4992" s="13" t="s">
        <v>7807</v>
      </c>
      <c r="B4992" s="13" t="s">
        <v>7810</v>
      </c>
      <c r="D4992" s="13" t="s">
        <v>7597</v>
      </c>
      <c r="E4992" s="13" t="s">
        <v>5712</v>
      </c>
      <c r="F4992" s="13" t="s">
        <v>5713</v>
      </c>
      <c r="G4992" s="13" t="s">
        <v>32</v>
      </c>
      <c r="J4992" s="13" t="s">
        <v>145</v>
      </c>
      <c r="M4992" s="18" t="s">
        <v>5714</v>
      </c>
      <c r="O4992" s="13" t="s">
        <v>5715</v>
      </c>
      <c r="P4992" s="13" t="str">
        <f>HYPERLINK("https://ceds.ed.gov/cedselementdetails.aspx?termid=27160")</f>
        <v>https://ceds.ed.gov/cedselementdetails.aspx?termid=27160</v>
      </c>
      <c r="Q4992" s="13">
        <v>72350</v>
      </c>
    </row>
    <row r="4993" spans="1:17" ht="28.8" x14ac:dyDescent="0.3">
      <c r="A4993" s="13" t="s">
        <v>7807</v>
      </c>
      <c r="B4993" s="13" t="s">
        <v>7810</v>
      </c>
      <c r="D4993" s="13" t="s">
        <v>7597</v>
      </c>
      <c r="E4993" s="13" t="s">
        <v>5708</v>
      </c>
      <c r="F4993" s="13" t="s">
        <v>5709</v>
      </c>
      <c r="G4993" s="13" t="s">
        <v>32</v>
      </c>
      <c r="J4993" s="13" t="s">
        <v>955</v>
      </c>
      <c r="M4993" s="18" t="s">
        <v>5710</v>
      </c>
      <c r="O4993" s="13" t="s">
        <v>5711</v>
      </c>
      <c r="P4993" s="13" t="str">
        <f>HYPERLINK("https://ceds.ed.gov/cedselementdetails.aspx?termid=27163")</f>
        <v>https://ceds.ed.gov/cedselementdetails.aspx?termid=27163</v>
      </c>
      <c r="Q4993" s="13">
        <v>72353</v>
      </c>
    </row>
    <row r="4994" spans="1:17" ht="28.8" x14ac:dyDescent="0.3">
      <c r="A4994" s="13" t="s">
        <v>7807</v>
      </c>
      <c r="B4994" s="13" t="s">
        <v>7810</v>
      </c>
      <c r="D4994" s="13" t="s">
        <v>7597</v>
      </c>
      <c r="E4994" s="13" t="s">
        <v>5704</v>
      </c>
      <c r="F4994" s="13" t="s">
        <v>8101</v>
      </c>
      <c r="G4994" s="13" t="s">
        <v>32</v>
      </c>
      <c r="J4994" s="13" t="s">
        <v>955</v>
      </c>
      <c r="M4994" s="18" t="s">
        <v>5706</v>
      </c>
      <c r="O4994" s="13" t="s">
        <v>5707</v>
      </c>
      <c r="P4994" s="13" t="str">
        <f>HYPERLINK("https://ceds.ed.gov/cedselementdetails.aspx?termid=27162")</f>
        <v>https://ceds.ed.gov/cedselementdetails.aspx?termid=27162</v>
      </c>
      <c r="Q4994" s="13">
        <v>72352</v>
      </c>
    </row>
    <row r="4995" spans="1:17" ht="57.6" x14ac:dyDescent="0.3">
      <c r="A4995" s="13" t="s">
        <v>7807</v>
      </c>
      <c r="B4995" s="13" t="s">
        <v>7810</v>
      </c>
      <c r="D4995" s="13" t="s">
        <v>7597</v>
      </c>
      <c r="E4995" s="13" t="s">
        <v>5716</v>
      </c>
      <c r="F4995" s="13" t="s">
        <v>8102</v>
      </c>
      <c r="G4995" s="13" t="s">
        <v>32</v>
      </c>
      <c r="J4995" s="13" t="s">
        <v>955</v>
      </c>
      <c r="M4995" s="18" t="s">
        <v>5717</v>
      </c>
      <c r="O4995" s="13" t="s">
        <v>5718</v>
      </c>
      <c r="P4995" s="13" t="str">
        <f>HYPERLINK("https://ceds.ed.gov/cedselementdetails.aspx?termid=27164")</f>
        <v>https://ceds.ed.gov/cedselementdetails.aspx?termid=27164</v>
      </c>
      <c r="Q4995" s="13">
        <v>72354</v>
      </c>
    </row>
    <row r="4996" spans="1:17" ht="28.8" x14ac:dyDescent="0.3">
      <c r="A4996" s="13" t="s">
        <v>7811</v>
      </c>
      <c r="B4996" s="13" t="s">
        <v>7610</v>
      </c>
      <c r="D4996" s="13" t="s">
        <v>7597</v>
      </c>
      <c r="E4996" s="13" t="s">
        <v>5606</v>
      </c>
      <c r="F4996" s="13" t="s">
        <v>5607</v>
      </c>
      <c r="G4996" s="13" t="s">
        <v>32</v>
      </c>
      <c r="J4996" s="13" t="s">
        <v>2807</v>
      </c>
      <c r="M4996" s="18" t="s">
        <v>5608</v>
      </c>
      <c r="O4996" s="13" t="s">
        <v>5609</v>
      </c>
      <c r="P4996" s="13" t="str">
        <f>HYPERLINK("https://ceds.ed.gov/cedselementdetails.aspx?termid=27731")</f>
        <v>https://ceds.ed.gov/cedselementdetails.aspx?termid=27731</v>
      </c>
      <c r="Q4996" s="13">
        <v>74998</v>
      </c>
    </row>
    <row r="4997" spans="1:17" ht="172.8" x14ac:dyDescent="0.3">
      <c r="A4997" s="13" t="s">
        <v>7811</v>
      </c>
      <c r="B4997" s="13" t="s">
        <v>7610</v>
      </c>
      <c r="C4997" s="13" t="s">
        <v>7598</v>
      </c>
      <c r="D4997" s="13" t="s">
        <v>7597</v>
      </c>
      <c r="E4997" s="13" t="s">
        <v>3573</v>
      </c>
      <c r="F4997" s="13" t="s">
        <v>3574</v>
      </c>
      <c r="G4997" s="13" t="s">
        <v>32</v>
      </c>
      <c r="J4997" s="13" t="s">
        <v>120</v>
      </c>
      <c r="L4997" s="13" t="s">
        <v>7817</v>
      </c>
      <c r="M4997" s="18" t="s">
        <v>3575</v>
      </c>
      <c r="O4997" s="13" t="s">
        <v>3576</v>
      </c>
      <c r="P4997" s="13" t="str">
        <f>HYPERLINK("https://ceds.ed.gov/cedselementdetails.aspx?termid=26495")</f>
        <v>https://ceds.ed.gov/cedselementdetails.aspx?termid=26495</v>
      </c>
      <c r="Q4997" s="13">
        <v>70867</v>
      </c>
    </row>
    <row r="4998" spans="1:17" ht="43.2" x14ac:dyDescent="0.3">
      <c r="A4998" s="13" t="s">
        <v>7811</v>
      </c>
      <c r="B4998" s="13" t="s">
        <v>7610</v>
      </c>
      <c r="C4998" s="13" t="s">
        <v>7598</v>
      </c>
      <c r="D4998" s="13" t="s">
        <v>7597</v>
      </c>
      <c r="E4998" s="13" t="s">
        <v>5598</v>
      </c>
      <c r="F4998" s="13" t="s">
        <v>5599</v>
      </c>
      <c r="G4998" s="13" t="s">
        <v>32</v>
      </c>
      <c r="H4998" s="13" t="s">
        <v>195</v>
      </c>
      <c r="J4998" s="13" t="s">
        <v>145</v>
      </c>
      <c r="M4998" s="18" t="s">
        <v>5600</v>
      </c>
      <c r="O4998" s="13" t="s">
        <v>5601</v>
      </c>
      <c r="P4998" s="13" t="str">
        <f>HYPERLINK("https://ceds.ed.gov/cedselementdetails.aspx?termid=26204")</f>
        <v>https://ceds.ed.gov/cedselementdetails.aspx?termid=26204</v>
      </c>
      <c r="Q4998" s="13">
        <v>71599</v>
      </c>
    </row>
    <row r="4999" spans="1:17" ht="172.8" x14ac:dyDescent="0.3">
      <c r="A4999" s="13" t="s">
        <v>7811</v>
      </c>
      <c r="B4999" s="13" t="s">
        <v>7610</v>
      </c>
      <c r="C4999" s="13" t="s">
        <v>7598</v>
      </c>
      <c r="D4999" s="13" t="s">
        <v>7597</v>
      </c>
      <c r="E4999" s="13" t="s">
        <v>5586</v>
      </c>
      <c r="F4999" s="13" t="s">
        <v>5587</v>
      </c>
      <c r="G4999" s="13" t="s">
        <v>32</v>
      </c>
      <c r="H4999" s="13" t="s">
        <v>98</v>
      </c>
      <c r="J4999" s="13" t="s">
        <v>120</v>
      </c>
      <c r="L4999" s="13" t="s">
        <v>7817</v>
      </c>
      <c r="M4999" s="18" t="s">
        <v>5588</v>
      </c>
      <c r="O4999" s="13" t="s">
        <v>5589</v>
      </c>
      <c r="P4999" s="13" t="str">
        <f>HYPERLINK("https://ceds.ed.gov/cedselementdetails.aspx?termid=26825")</f>
        <v>https://ceds.ed.gov/cedselementdetails.aspx?termid=26825</v>
      </c>
      <c r="Q4999" s="13">
        <v>71600</v>
      </c>
    </row>
    <row r="5000" spans="1:17" ht="187.2" x14ac:dyDescent="0.3">
      <c r="A5000" s="13" t="s">
        <v>7811</v>
      </c>
      <c r="B5000" s="13" t="s">
        <v>7610</v>
      </c>
      <c r="C5000" s="13" t="s">
        <v>7598</v>
      </c>
      <c r="D5000" s="13" t="s">
        <v>7597</v>
      </c>
      <c r="E5000" s="13" t="s">
        <v>5582</v>
      </c>
      <c r="F5000" s="13" t="s">
        <v>5583</v>
      </c>
      <c r="G5000" s="13" t="s">
        <v>8247</v>
      </c>
      <c r="H5000" s="13" t="s">
        <v>98</v>
      </c>
      <c r="M5000" s="18" t="s">
        <v>5584</v>
      </c>
      <c r="O5000" s="13" t="s">
        <v>5585</v>
      </c>
      <c r="P5000" s="13" t="str">
        <f>HYPERLINK("https://ceds.ed.gov/cedselementdetails.aspx?termid=26827")</f>
        <v>https://ceds.ed.gov/cedselementdetails.aspx?termid=26827</v>
      </c>
      <c r="Q5000" s="13">
        <v>71601</v>
      </c>
    </row>
    <row r="5001" spans="1:17" ht="28.8" x14ac:dyDescent="0.3">
      <c r="A5001" s="13" t="s">
        <v>7811</v>
      </c>
      <c r="B5001" s="13" t="s">
        <v>7610</v>
      </c>
      <c r="C5001" s="13" t="s">
        <v>7598</v>
      </c>
      <c r="D5001" s="13" t="s">
        <v>7597</v>
      </c>
      <c r="E5001" s="13" t="s">
        <v>3618</v>
      </c>
      <c r="F5001" s="13" t="s">
        <v>3619</v>
      </c>
      <c r="G5001" s="13" t="s">
        <v>32</v>
      </c>
      <c r="J5001" s="13" t="s">
        <v>145</v>
      </c>
      <c r="M5001" s="18" t="s">
        <v>3620</v>
      </c>
      <c r="O5001" s="13" t="s">
        <v>3621</v>
      </c>
      <c r="P5001" s="13" t="str">
        <f>HYPERLINK("https://ceds.ed.gov/cedselementdetails.aspx?termid=27172")</f>
        <v>https://ceds.ed.gov/cedselementdetails.aspx?termid=27172</v>
      </c>
      <c r="Q5001" s="13">
        <v>71609</v>
      </c>
    </row>
    <row r="5002" spans="1:17" ht="409.6" x14ac:dyDescent="0.3">
      <c r="A5002" s="13" t="s">
        <v>7811</v>
      </c>
      <c r="B5002" s="13" t="s">
        <v>7610</v>
      </c>
      <c r="C5002" s="13" t="s">
        <v>7598</v>
      </c>
      <c r="D5002" s="13" t="s">
        <v>7597</v>
      </c>
      <c r="E5002" s="13" t="s">
        <v>5618</v>
      </c>
      <c r="F5002" s="13" t="s">
        <v>5619</v>
      </c>
      <c r="G5002" s="13" t="s">
        <v>9335</v>
      </c>
      <c r="L5002" s="13" t="s">
        <v>5620</v>
      </c>
      <c r="M5002" s="18" t="s">
        <v>5621</v>
      </c>
      <c r="O5002" s="13" t="s">
        <v>5622</v>
      </c>
      <c r="P5002" s="13" t="str">
        <f>HYPERLINK("https://ceds.ed.gov/cedselementdetails.aspx?termid=27165")</f>
        <v>https://ceds.ed.gov/cedselementdetails.aspx?termid=27165</v>
      </c>
      <c r="Q5002" s="13">
        <v>75001</v>
      </c>
    </row>
    <row r="5003" spans="1:17" ht="57.6" x14ac:dyDescent="0.3">
      <c r="A5003" s="13" t="s">
        <v>7811</v>
      </c>
      <c r="B5003" s="13" t="s">
        <v>7610</v>
      </c>
      <c r="C5003" s="13" t="s">
        <v>7598</v>
      </c>
      <c r="D5003" s="13" t="s">
        <v>7597</v>
      </c>
      <c r="E5003" s="13" t="s">
        <v>1536</v>
      </c>
      <c r="F5003" s="13" t="s">
        <v>1537</v>
      </c>
      <c r="G5003" s="13" t="s">
        <v>32</v>
      </c>
      <c r="J5003" s="13" t="s">
        <v>81</v>
      </c>
      <c r="M5003" s="18" t="s">
        <v>1539</v>
      </c>
      <c r="O5003" s="13" t="s">
        <v>1540</v>
      </c>
      <c r="P5003" s="13" t="str">
        <f>HYPERLINK("https://ceds.ed.gov/cedselementdetails.aspx?termid=27757")</f>
        <v>https://ceds.ed.gov/cedselementdetails.aspx?termid=27757</v>
      </c>
      <c r="Q5003" s="13">
        <v>75082</v>
      </c>
    </row>
    <row r="5004" spans="1:17" ht="28.8" x14ac:dyDescent="0.3">
      <c r="A5004" s="13" t="s">
        <v>7811</v>
      </c>
      <c r="B5004" s="13" t="s">
        <v>7610</v>
      </c>
      <c r="C5004" s="13" t="s">
        <v>7598</v>
      </c>
      <c r="D5004" s="13" t="s">
        <v>7597</v>
      </c>
      <c r="E5004" s="13" t="s">
        <v>1541</v>
      </c>
      <c r="F5004" s="13" t="s">
        <v>1542</v>
      </c>
      <c r="G5004" s="13" t="s">
        <v>32</v>
      </c>
      <c r="J5004" s="13" t="s">
        <v>55</v>
      </c>
      <c r="M5004" s="18" t="s">
        <v>1543</v>
      </c>
      <c r="O5004" s="13" t="s">
        <v>1544</v>
      </c>
      <c r="P5004" s="13" t="str">
        <f>HYPERLINK("https://ceds.ed.gov/cedselementdetails.aspx?termid=27756")</f>
        <v>https://ceds.ed.gov/cedselementdetails.aspx?termid=27756</v>
      </c>
      <c r="Q5004" s="13">
        <v>75083</v>
      </c>
    </row>
    <row r="5005" spans="1:17" ht="144" x14ac:dyDescent="0.3">
      <c r="A5005" s="13" t="s">
        <v>7811</v>
      </c>
      <c r="B5005" s="13" t="s">
        <v>7610</v>
      </c>
      <c r="C5005" s="13" t="s">
        <v>7598</v>
      </c>
      <c r="D5005" s="13" t="s">
        <v>7597</v>
      </c>
      <c r="E5005" s="13" t="s">
        <v>1563</v>
      </c>
      <c r="F5005" s="13" t="s">
        <v>1564</v>
      </c>
      <c r="G5005" s="13" t="s">
        <v>32</v>
      </c>
      <c r="J5005" s="13" t="s">
        <v>81</v>
      </c>
      <c r="M5005" s="18" t="s">
        <v>1565</v>
      </c>
      <c r="O5005" s="13" t="s">
        <v>1566</v>
      </c>
      <c r="P5005" s="13" t="str">
        <f>HYPERLINK("https://ceds.ed.gov/cedselementdetails.aspx?termid=27745")</f>
        <v>https://ceds.ed.gov/cedselementdetails.aspx?termid=27745</v>
      </c>
      <c r="Q5005" s="13">
        <v>75084</v>
      </c>
    </row>
    <row r="5006" spans="1:17" ht="144" x14ac:dyDescent="0.3">
      <c r="A5006" s="13" t="s">
        <v>7811</v>
      </c>
      <c r="B5006" s="13" t="s">
        <v>7610</v>
      </c>
      <c r="C5006" s="13" t="s">
        <v>7598</v>
      </c>
      <c r="D5006" s="13" t="s">
        <v>7597</v>
      </c>
      <c r="E5006" s="13" t="s">
        <v>1656</v>
      </c>
      <c r="F5006" s="13" t="s">
        <v>1657</v>
      </c>
      <c r="G5006" s="13" t="s">
        <v>8393</v>
      </c>
      <c r="M5006" s="18" t="s">
        <v>1658</v>
      </c>
      <c r="O5006" s="13" t="s">
        <v>1659</v>
      </c>
      <c r="P5006" s="13" t="str">
        <f>HYPERLINK("https://ceds.ed.gov/cedselementdetails.aspx?termid=27753")</f>
        <v>https://ceds.ed.gov/cedselementdetails.aspx?termid=27753</v>
      </c>
      <c r="Q5006" s="13">
        <v>75085</v>
      </c>
    </row>
    <row r="5007" spans="1:17" ht="43.2" x14ac:dyDescent="0.3">
      <c r="A5007" s="13" t="s">
        <v>7811</v>
      </c>
      <c r="B5007" s="13" t="s">
        <v>7610</v>
      </c>
      <c r="C5007" s="13" t="s">
        <v>7598</v>
      </c>
      <c r="D5007" s="13" t="s">
        <v>7597</v>
      </c>
      <c r="E5007" s="13" t="s">
        <v>1709</v>
      </c>
      <c r="F5007" s="13" t="s">
        <v>1710</v>
      </c>
      <c r="G5007" s="13" t="s">
        <v>32</v>
      </c>
      <c r="J5007" s="13" t="s">
        <v>1662</v>
      </c>
      <c r="M5007" s="18" t="s">
        <v>1711</v>
      </c>
      <c r="O5007" s="13" t="s">
        <v>1712</v>
      </c>
      <c r="P5007" s="13" t="str">
        <f>HYPERLINK("https://ceds.ed.gov/cedselementdetails.aspx?termid=27766")</f>
        <v>https://ceds.ed.gov/cedselementdetails.aspx?termid=27766</v>
      </c>
      <c r="Q5007" s="13">
        <v>75086</v>
      </c>
    </row>
    <row r="5008" spans="1:17" ht="86.4" x14ac:dyDescent="0.3">
      <c r="A5008" s="13" t="s">
        <v>7811</v>
      </c>
      <c r="B5008" s="13" t="s">
        <v>7610</v>
      </c>
      <c r="C5008" s="13" t="s">
        <v>7598</v>
      </c>
      <c r="D5008" s="13" t="s">
        <v>7597</v>
      </c>
      <c r="E5008" s="13" t="s">
        <v>1737</v>
      </c>
      <c r="F5008" s="13" t="s">
        <v>1738</v>
      </c>
      <c r="G5008" s="13" t="s">
        <v>8408</v>
      </c>
      <c r="M5008" s="18" t="s">
        <v>1739</v>
      </c>
      <c r="O5008" s="13" t="s">
        <v>1740</v>
      </c>
      <c r="P5008" s="13" t="str">
        <f>HYPERLINK("https://ceds.ed.gov/cedselementdetails.aspx?termid=27758")</f>
        <v>https://ceds.ed.gov/cedselementdetails.aspx?termid=27758</v>
      </c>
      <c r="Q5008" s="13">
        <v>75087</v>
      </c>
    </row>
  </sheetData>
  <autoFilter ref="A1:Q1" xr:uid="{A18455B6-171B-42E0-94AD-3270492B93AC}"/>
  <pageMargins left="0.75" right="0.75" top="1" bottom="1" header="0.5" footer="0.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34B13-F95E-4781-9AAD-1D7352E651EE}">
  <dimension ref="A1:G2430"/>
  <sheetViews>
    <sheetView tabSelected="1" workbookViewId="0">
      <selection activeCell="A2" sqref="A2:G2430"/>
    </sheetView>
  </sheetViews>
  <sheetFormatPr defaultRowHeight="14.4" x14ac:dyDescent="0.3"/>
  <cols>
    <col min="1" max="1" width="21.109375" style="13" bestFit="1" customWidth="1"/>
    <col min="2" max="2" width="41.21875" style="13" customWidth="1"/>
    <col min="3" max="3" width="46.109375" style="13" customWidth="1"/>
    <col min="4" max="4" width="15.33203125" style="13" bestFit="1" customWidth="1"/>
    <col min="5" max="5" width="28.109375" style="13" bestFit="1" customWidth="1"/>
    <col min="6" max="6" width="23.88671875" style="13" customWidth="1"/>
    <col min="7" max="7" width="21.88671875" style="13" customWidth="1"/>
  </cols>
  <sheetData>
    <row r="1" spans="1:7" x14ac:dyDescent="0.3">
      <c r="A1" s="1" t="s">
        <v>9435</v>
      </c>
      <c r="B1" s="1" t="s">
        <v>0</v>
      </c>
      <c r="C1" s="1" t="s">
        <v>1</v>
      </c>
      <c r="D1" s="1" t="s">
        <v>9436</v>
      </c>
      <c r="E1" s="1" t="s">
        <v>9437</v>
      </c>
      <c r="F1" s="1" t="s">
        <v>9438</v>
      </c>
      <c r="G1" s="1" t="s">
        <v>2</v>
      </c>
    </row>
    <row r="2" spans="1:7" x14ac:dyDescent="0.3">
      <c r="A2" s="13" t="s">
        <v>9439</v>
      </c>
      <c r="B2" s="13" t="s">
        <v>9440</v>
      </c>
      <c r="C2" s="13" t="s">
        <v>9441</v>
      </c>
      <c r="G2" s="13" t="s">
        <v>32</v>
      </c>
    </row>
    <row r="3" spans="1:7" x14ac:dyDescent="0.3">
      <c r="A3" s="13" t="s">
        <v>9439</v>
      </c>
      <c r="B3" s="13" t="s">
        <v>9442</v>
      </c>
      <c r="C3" s="13" t="s">
        <v>9443</v>
      </c>
      <c r="G3" s="13" t="s">
        <v>32</v>
      </c>
    </row>
    <row r="4" spans="1:7" x14ac:dyDescent="0.3">
      <c r="A4" s="13" t="s">
        <v>9439</v>
      </c>
      <c r="B4" s="13" t="s">
        <v>9444</v>
      </c>
      <c r="C4" s="13" t="s">
        <v>9445</v>
      </c>
      <c r="G4" s="13" t="s">
        <v>32</v>
      </c>
    </row>
    <row r="5" spans="1:7" ht="57.6" x14ac:dyDescent="0.3">
      <c r="A5" s="13" t="s">
        <v>9439</v>
      </c>
      <c r="B5" s="13" t="s">
        <v>9446</v>
      </c>
      <c r="C5" s="13" t="s">
        <v>9447</v>
      </c>
      <c r="G5" s="13" t="s">
        <v>32</v>
      </c>
    </row>
    <row r="6" spans="1:7" x14ac:dyDescent="0.3">
      <c r="A6" s="13" t="s">
        <v>9439</v>
      </c>
      <c r="B6" s="13" t="s">
        <v>9448</v>
      </c>
      <c r="C6" s="13" t="s">
        <v>9449</v>
      </c>
      <c r="G6" s="13" t="s">
        <v>32</v>
      </c>
    </row>
    <row r="7" spans="1:7" x14ac:dyDescent="0.3">
      <c r="A7" s="13" t="s">
        <v>9439</v>
      </c>
      <c r="B7" s="13" t="s">
        <v>9450</v>
      </c>
      <c r="C7" s="13" t="s">
        <v>9451</v>
      </c>
      <c r="G7" s="13" t="s">
        <v>32</v>
      </c>
    </row>
    <row r="8" spans="1:7" x14ac:dyDescent="0.3">
      <c r="A8" s="13" t="s">
        <v>9439</v>
      </c>
      <c r="B8" s="13" t="s">
        <v>9452</v>
      </c>
      <c r="C8" s="13" t="s">
        <v>9453</v>
      </c>
      <c r="G8" s="13" t="s">
        <v>32</v>
      </c>
    </row>
    <row r="9" spans="1:7" ht="28.8" x14ac:dyDescent="0.3">
      <c r="A9" s="13" t="s">
        <v>9439</v>
      </c>
      <c r="B9" s="13" t="s">
        <v>9454</v>
      </c>
      <c r="C9" s="13" t="s">
        <v>2332</v>
      </c>
      <c r="G9" s="13" t="s">
        <v>32</v>
      </c>
    </row>
    <row r="10" spans="1:7" ht="28.8" x14ac:dyDescent="0.3">
      <c r="A10" s="13" t="s">
        <v>9439</v>
      </c>
      <c r="B10" s="13" t="s">
        <v>9455</v>
      </c>
      <c r="C10" s="13" t="s">
        <v>9456</v>
      </c>
      <c r="G10" s="13" t="s">
        <v>32</v>
      </c>
    </row>
    <row r="11" spans="1:7" ht="28.8" x14ac:dyDescent="0.3">
      <c r="A11" s="13" t="s">
        <v>9439</v>
      </c>
      <c r="B11" s="13" t="s">
        <v>9457</v>
      </c>
      <c r="C11" s="13" t="s">
        <v>9458</v>
      </c>
      <c r="G11" s="13" t="s">
        <v>32</v>
      </c>
    </row>
    <row r="12" spans="1:7" ht="43.2" x14ac:dyDescent="0.3">
      <c r="A12" s="13" t="s">
        <v>9439</v>
      </c>
      <c r="B12" s="13" t="s">
        <v>9459</v>
      </c>
      <c r="C12" s="13" t="s">
        <v>1271</v>
      </c>
      <c r="G12" s="13" t="s">
        <v>32</v>
      </c>
    </row>
    <row r="13" spans="1:7" ht="43.2" x14ac:dyDescent="0.3">
      <c r="A13" s="13" t="s">
        <v>9439</v>
      </c>
      <c r="B13" s="13" t="s">
        <v>9460</v>
      </c>
      <c r="C13" s="13" t="s">
        <v>9461</v>
      </c>
      <c r="G13" s="13" t="s">
        <v>32</v>
      </c>
    </row>
    <row r="14" spans="1:7" ht="28.8" x14ac:dyDescent="0.3">
      <c r="A14" s="13" t="s">
        <v>9439</v>
      </c>
      <c r="B14" s="13" t="s">
        <v>9462</v>
      </c>
      <c r="C14" s="13" t="s">
        <v>9463</v>
      </c>
      <c r="G14" s="13" t="s">
        <v>32</v>
      </c>
    </row>
    <row r="15" spans="1:7" ht="43.2" x14ac:dyDescent="0.3">
      <c r="A15" s="13" t="s">
        <v>9439</v>
      </c>
      <c r="B15" s="13" t="s">
        <v>9464</v>
      </c>
      <c r="C15" s="13" t="s">
        <v>9465</v>
      </c>
      <c r="G15" s="13" t="s">
        <v>32</v>
      </c>
    </row>
    <row r="16" spans="1:7" x14ac:dyDescent="0.3">
      <c r="A16" s="13" t="s">
        <v>9439</v>
      </c>
      <c r="B16" s="13" t="s">
        <v>9466</v>
      </c>
      <c r="C16" s="13" t="s">
        <v>9467</v>
      </c>
      <c r="G16" s="13" t="s">
        <v>32</v>
      </c>
    </row>
    <row r="17" spans="1:7" x14ac:dyDescent="0.3">
      <c r="A17" s="13" t="s">
        <v>9439</v>
      </c>
      <c r="B17" s="13" t="s">
        <v>9468</v>
      </c>
      <c r="C17" s="13" t="s">
        <v>9469</v>
      </c>
      <c r="G17" s="13" t="s">
        <v>32</v>
      </c>
    </row>
    <row r="18" spans="1:7" ht="28.8" x14ac:dyDescent="0.3">
      <c r="A18" s="13" t="s">
        <v>9439</v>
      </c>
      <c r="B18" s="13" t="s">
        <v>9470</v>
      </c>
      <c r="C18" s="13" t="s">
        <v>9471</v>
      </c>
      <c r="G18" s="13" t="s">
        <v>32</v>
      </c>
    </row>
    <row r="19" spans="1:7" ht="72" x14ac:dyDescent="0.3">
      <c r="A19" s="13" t="s">
        <v>9439</v>
      </c>
      <c r="B19" s="13" t="s">
        <v>9472</v>
      </c>
      <c r="C19" s="13" t="s">
        <v>9473</v>
      </c>
      <c r="G19" s="13" t="s">
        <v>32</v>
      </c>
    </row>
    <row r="20" spans="1:7" x14ac:dyDescent="0.3">
      <c r="A20" s="13" t="s">
        <v>9439</v>
      </c>
      <c r="B20" s="13" t="s">
        <v>9474</v>
      </c>
      <c r="C20" s="13" t="s">
        <v>9475</v>
      </c>
      <c r="G20" s="13" t="s">
        <v>32</v>
      </c>
    </row>
    <row r="21" spans="1:7" ht="28.8" x14ac:dyDescent="0.3">
      <c r="A21" s="13" t="s">
        <v>9439</v>
      </c>
      <c r="B21" s="13" t="s">
        <v>9476</v>
      </c>
      <c r="C21" s="13" t="s">
        <v>9477</v>
      </c>
      <c r="G21" s="13" t="s">
        <v>32</v>
      </c>
    </row>
    <row r="22" spans="1:7" x14ac:dyDescent="0.3">
      <c r="A22" s="13" t="s">
        <v>9439</v>
      </c>
      <c r="B22" s="13" t="s">
        <v>9478</v>
      </c>
      <c r="C22" s="13" t="s">
        <v>9479</v>
      </c>
      <c r="G22" s="13" t="s">
        <v>32</v>
      </c>
    </row>
    <row r="23" spans="1:7" ht="28.8" x14ac:dyDescent="0.3">
      <c r="A23" s="13" t="s">
        <v>9439</v>
      </c>
      <c r="B23" s="13" t="s">
        <v>9480</v>
      </c>
      <c r="C23" s="13" t="s">
        <v>9481</v>
      </c>
      <c r="G23" s="13" t="s">
        <v>32</v>
      </c>
    </row>
    <row r="24" spans="1:7" x14ac:dyDescent="0.3">
      <c r="A24" s="13" t="s">
        <v>9439</v>
      </c>
      <c r="B24" s="13" t="s">
        <v>9482</v>
      </c>
      <c r="C24" s="13" t="s">
        <v>9483</v>
      </c>
      <c r="G24" s="13" t="s">
        <v>32</v>
      </c>
    </row>
    <row r="25" spans="1:7" ht="28.8" x14ac:dyDescent="0.3">
      <c r="A25" s="13" t="s">
        <v>9439</v>
      </c>
      <c r="B25" s="13" t="s">
        <v>9484</v>
      </c>
      <c r="C25" s="13" t="s">
        <v>9485</v>
      </c>
      <c r="G25" s="13" t="s">
        <v>32</v>
      </c>
    </row>
    <row r="26" spans="1:7" ht="28.8" x14ac:dyDescent="0.3">
      <c r="A26" s="13" t="s">
        <v>9439</v>
      </c>
      <c r="B26" s="13" t="s">
        <v>9486</v>
      </c>
      <c r="C26" s="13" t="s">
        <v>9487</v>
      </c>
      <c r="G26" s="13" t="s">
        <v>32</v>
      </c>
    </row>
    <row r="27" spans="1:7" x14ac:dyDescent="0.3">
      <c r="A27" s="13" t="s">
        <v>9439</v>
      </c>
      <c r="B27" s="13" t="s">
        <v>9488</v>
      </c>
      <c r="C27" s="13" t="s">
        <v>9489</v>
      </c>
      <c r="G27" s="13" t="s">
        <v>32</v>
      </c>
    </row>
    <row r="28" spans="1:7" ht="28.8" x14ac:dyDescent="0.3">
      <c r="A28" s="13" t="s">
        <v>9439</v>
      </c>
      <c r="B28" s="13" t="s">
        <v>9490</v>
      </c>
      <c r="C28" s="13" t="s">
        <v>9491</v>
      </c>
      <c r="G28" s="13" t="s">
        <v>32</v>
      </c>
    </row>
    <row r="29" spans="1:7" ht="28.8" x14ac:dyDescent="0.3">
      <c r="A29" s="13" t="s">
        <v>9439</v>
      </c>
      <c r="B29" s="13" t="s">
        <v>9492</v>
      </c>
      <c r="C29" s="13" t="s">
        <v>9493</v>
      </c>
      <c r="G29" s="13" t="s">
        <v>32</v>
      </c>
    </row>
    <row r="30" spans="1:7" ht="28.8" x14ac:dyDescent="0.3">
      <c r="A30" s="13" t="s">
        <v>9439</v>
      </c>
      <c r="B30" s="13" t="s">
        <v>9494</v>
      </c>
      <c r="C30" s="13" t="s">
        <v>9495</v>
      </c>
      <c r="G30" s="13" t="s">
        <v>32</v>
      </c>
    </row>
    <row r="31" spans="1:7" x14ac:dyDescent="0.3">
      <c r="A31" s="13" t="s">
        <v>9439</v>
      </c>
      <c r="B31" s="13" t="s">
        <v>9496</v>
      </c>
      <c r="C31" s="13" t="s">
        <v>9497</v>
      </c>
      <c r="G31" s="13" t="s">
        <v>32</v>
      </c>
    </row>
    <row r="32" spans="1:7" ht="72" x14ac:dyDescent="0.3">
      <c r="A32" s="13" t="s">
        <v>9439</v>
      </c>
      <c r="B32" s="13" t="s">
        <v>9498</v>
      </c>
      <c r="C32" s="13" t="s">
        <v>9499</v>
      </c>
      <c r="G32" s="13" t="s">
        <v>32</v>
      </c>
    </row>
    <row r="33" spans="1:7" ht="28.8" x14ac:dyDescent="0.3">
      <c r="A33" s="13" t="s">
        <v>9439</v>
      </c>
      <c r="B33" s="13" t="s">
        <v>9500</v>
      </c>
      <c r="C33" s="13" t="s">
        <v>9501</v>
      </c>
      <c r="G33" s="13" t="s">
        <v>32</v>
      </c>
    </row>
    <row r="34" spans="1:7" ht="28.8" x14ac:dyDescent="0.3">
      <c r="A34" s="13" t="s">
        <v>9439</v>
      </c>
      <c r="B34" s="13" t="s">
        <v>9502</v>
      </c>
      <c r="C34" s="13" t="s">
        <v>9503</v>
      </c>
      <c r="G34" s="13" t="s">
        <v>32</v>
      </c>
    </row>
    <row r="35" spans="1:7" ht="43.2" x14ac:dyDescent="0.3">
      <c r="A35" s="13" t="s">
        <v>9439</v>
      </c>
      <c r="B35" s="13" t="s">
        <v>9504</v>
      </c>
      <c r="C35" s="13" t="s">
        <v>9505</v>
      </c>
      <c r="G35" s="13" t="s">
        <v>32</v>
      </c>
    </row>
    <row r="36" spans="1:7" ht="28.8" x14ac:dyDescent="0.3">
      <c r="A36" s="13" t="s">
        <v>9439</v>
      </c>
      <c r="B36" s="13" t="s">
        <v>9506</v>
      </c>
      <c r="C36" s="13" t="s">
        <v>9507</v>
      </c>
      <c r="G36" s="13" t="s">
        <v>32</v>
      </c>
    </row>
    <row r="37" spans="1:7" ht="28.8" x14ac:dyDescent="0.3">
      <c r="A37" s="13" t="s">
        <v>9439</v>
      </c>
      <c r="B37" s="13" t="s">
        <v>9508</v>
      </c>
      <c r="C37" s="13" t="s">
        <v>9509</v>
      </c>
      <c r="G37" s="13" t="s">
        <v>32</v>
      </c>
    </row>
    <row r="38" spans="1:7" x14ac:dyDescent="0.3">
      <c r="A38" s="13" t="s">
        <v>9439</v>
      </c>
      <c r="B38" s="13" t="s">
        <v>9510</v>
      </c>
      <c r="C38" s="13" t="s">
        <v>9511</v>
      </c>
      <c r="G38" s="13" t="s">
        <v>32</v>
      </c>
    </row>
    <row r="39" spans="1:7" ht="43.2" x14ac:dyDescent="0.3">
      <c r="A39" s="13" t="s">
        <v>9439</v>
      </c>
      <c r="B39" s="13" t="s">
        <v>9512</v>
      </c>
      <c r="C39" s="13" t="s">
        <v>9513</v>
      </c>
      <c r="G39" s="13" t="s">
        <v>32</v>
      </c>
    </row>
    <row r="40" spans="1:7" ht="28.8" x14ac:dyDescent="0.3">
      <c r="A40" s="13" t="s">
        <v>9439</v>
      </c>
      <c r="B40" s="13" t="s">
        <v>9514</v>
      </c>
      <c r="C40" s="13" t="s">
        <v>9515</v>
      </c>
      <c r="G40" s="13" t="s">
        <v>32</v>
      </c>
    </row>
    <row r="41" spans="1:7" ht="28.8" x14ac:dyDescent="0.3">
      <c r="A41" s="13" t="s">
        <v>9439</v>
      </c>
      <c r="B41" s="13" t="s">
        <v>9516</v>
      </c>
      <c r="C41" s="13" t="s">
        <v>9517</v>
      </c>
      <c r="G41" s="13" t="s">
        <v>32</v>
      </c>
    </row>
    <row r="42" spans="1:7" ht="28.8" x14ac:dyDescent="0.3">
      <c r="A42" s="13" t="s">
        <v>9439</v>
      </c>
      <c r="B42" s="13" t="s">
        <v>9518</v>
      </c>
      <c r="C42" s="13" t="s">
        <v>9519</v>
      </c>
      <c r="G42" s="13" t="s">
        <v>32</v>
      </c>
    </row>
    <row r="43" spans="1:7" ht="28.8" x14ac:dyDescent="0.3">
      <c r="A43" s="13" t="s">
        <v>9439</v>
      </c>
      <c r="B43" s="13" t="s">
        <v>9520</v>
      </c>
      <c r="C43" s="13" t="s">
        <v>9521</v>
      </c>
      <c r="G43" s="13" t="s">
        <v>32</v>
      </c>
    </row>
    <row r="44" spans="1:7" ht="28.8" x14ac:dyDescent="0.3">
      <c r="A44" s="13" t="s">
        <v>9439</v>
      </c>
      <c r="B44" s="13" t="s">
        <v>9522</v>
      </c>
      <c r="C44" s="13" t="s">
        <v>9523</v>
      </c>
      <c r="G44" s="13" t="s">
        <v>32</v>
      </c>
    </row>
    <row r="45" spans="1:7" ht="43.2" x14ac:dyDescent="0.3">
      <c r="A45" s="13" t="s">
        <v>9439</v>
      </c>
      <c r="B45" s="13" t="s">
        <v>9524</v>
      </c>
      <c r="C45" s="13" t="s">
        <v>9525</v>
      </c>
      <c r="G45" s="13" t="s">
        <v>32</v>
      </c>
    </row>
    <row r="46" spans="1:7" ht="28.8" x14ac:dyDescent="0.3">
      <c r="A46" s="13" t="s">
        <v>9439</v>
      </c>
      <c r="B46" s="13" t="s">
        <v>9526</v>
      </c>
      <c r="C46" s="13" t="s">
        <v>9527</v>
      </c>
      <c r="G46" s="13" t="s">
        <v>32</v>
      </c>
    </row>
    <row r="47" spans="1:7" ht="28.8" x14ac:dyDescent="0.3">
      <c r="A47" s="13" t="s">
        <v>9439</v>
      </c>
      <c r="B47" s="13" t="s">
        <v>9526</v>
      </c>
      <c r="C47" s="13" t="s">
        <v>9527</v>
      </c>
      <c r="G47" s="13" t="s">
        <v>32</v>
      </c>
    </row>
    <row r="48" spans="1:7" ht="28.8" x14ac:dyDescent="0.3">
      <c r="A48" s="13" t="s">
        <v>9439</v>
      </c>
      <c r="B48" s="13" t="s">
        <v>9528</v>
      </c>
      <c r="C48" s="13" t="s">
        <v>9529</v>
      </c>
      <c r="G48" s="13" t="s">
        <v>32</v>
      </c>
    </row>
    <row r="49" spans="1:7" ht="28.8" x14ac:dyDescent="0.3">
      <c r="A49" s="13" t="s">
        <v>9439</v>
      </c>
      <c r="B49" s="13" t="s">
        <v>9528</v>
      </c>
      <c r="C49" s="13" t="s">
        <v>9529</v>
      </c>
      <c r="G49" s="13" t="s">
        <v>32</v>
      </c>
    </row>
    <row r="50" spans="1:7" ht="28.8" x14ac:dyDescent="0.3">
      <c r="A50" s="13" t="s">
        <v>9439</v>
      </c>
      <c r="B50" s="13" t="s">
        <v>9530</v>
      </c>
      <c r="C50" s="13" t="s">
        <v>9503</v>
      </c>
      <c r="G50" s="13" t="s">
        <v>32</v>
      </c>
    </row>
    <row r="51" spans="1:7" ht="28.8" x14ac:dyDescent="0.3">
      <c r="A51" s="13" t="s">
        <v>9439</v>
      </c>
      <c r="B51" s="13" t="s">
        <v>9531</v>
      </c>
      <c r="C51" s="13" t="s">
        <v>9515</v>
      </c>
      <c r="G51" s="13" t="s">
        <v>32</v>
      </c>
    </row>
    <row r="52" spans="1:7" ht="28.8" x14ac:dyDescent="0.3">
      <c r="A52" s="13" t="s">
        <v>9439</v>
      </c>
      <c r="B52" s="13" t="s">
        <v>9532</v>
      </c>
      <c r="C52" s="13" t="s">
        <v>9517</v>
      </c>
      <c r="G52" s="13" t="s">
        <v>32</v>
      </c>
    </row>
    <row r="53" spans="1:7" ht="28.8" x14ac:dyDescent="0.3">
      <c r="A53" s="13" t="s">
        <v>9439</v>
      </c>
      <c r="B53" s="13" t="s">
        <v>9533</v>
      </c>
      <c r="C53" s="13" t="s">
        <v>9519</v>
      </c>
      <c r="G53" s="13" t="s">
        <v>32</v>
      </c>
    </row>
    <row r="54" spans="1:7" ht="28.8" x14ac:dyDescent="0.3">
      <c r="A54" s="13" t="s">
        <v>9439</v>
      </c>
      <c r="B54" s="13" t="s">
        <v>9534</v>
      </c>
      <c r="C54" s="13" t="s">
        <v>9521</v>
      </c>
      <c r="G54" s="13" t="s">
        <v>32</v>
      </c>
    </row>
    <row r="55" spans="1:7" ht="28.8" x14ac:dyDescent="0.3">
      <c r="A55" s="13" t="s">
        <v>9439</v>
      </c>
      <c r="B55" s="13" t="s">
        <v>9535</v>
      </c>
      <c r="C55" s="13" t="s">
        <v>9536</v>
      </c>
      <c r="G55" s="13" t="s">
        <v>32</v>
      </c>
    </row>
    <row r="56" spans="1:7" ht="28.8" x14ac:dyDescent="0.3">
      <c r="A56" s="13" t="s">
        <v>9439</v>
      </c>
      <c r="B56" s="13" t="s">
        <v>9537</v>
      </c>
      <c r="C56" s="13" t="s">
        <v>9538</v>
      </c>
      <c r="G56" s="13" t="s">
        <v>32</v>
      </c>
    </row>
    <row r="57" spans="1:7" ht="28.8" x14ac:dyDescent="0.3">
      <c r="A57" s="13" t="s">
        <v>9439</v>
      </c>
      <c r="B57" s="13" t="s">
        <v>9539</v>
      </c>
      <c r="C57" s="13" t="s">
        <v>9540</v>
      </c>
      <c r="G57" s="13" t="s">
        <v>32</v>
      </c>
    </row>
    <row r="58" spans="1:7" ht="28.8" x14ac:dyDescent="0.3">
      <c r="A58" s="13" t="s">
        <v>9439</v>
      </c>
      <c r="B58" s="13" t="s">
        <v>9541</v>
      </c>
      <c r="C58" s="13" t="s">
        <v>9503</v>
      </c>
      <c r="G58" s="13" t="s">
        <v>32</v>
      </c>
    </row>
    <row r="59" spans="1:7" ht="28.8" x14ac:dyDescent="0.3">
      <c r="A59" s="13" t="s">
        <v>9439</v>
      </c>
      <c r="B59" s="13" t="s">
        <v>9542</v>
      </c>
      <c r="C59" s="13" t="s">
        <v>9515</v>
      </c>
      <c r="G59" s="13" t="s">
        <v>32</v>
      </c>
    </row>
    <row r="60" spans="1:7" ht="28.8" x14ac:dyDescent="0.3">
      <c r="A60" s="13" t="s">
        <v>9439</v>
      </c>
      <c r="B60" s="13" t="s">
        <v>9543</v>
      </c>
      <c r="C60" s="13" t="s">
        <v>9517</v>
      </c>
      <c r="G60" s="13" t="s">
        <v>32</v>
      </c>
    </row>
    <row r="61" spans="1:7" ht="28.8" x14ac:dyDescent="0.3">
      <c r="A61" s="13" t="s">
        <v>9439</v>
      </c>
      <c r="B61" s="13" t="s">
        <v>9544</v>
      </c>
      <c r="C61" s="13" t="s">
        <v>9519</v>
      </c>
      <c r="G61" s="13" t="s">
        <v>32</v>
      </c>
    </row>
    <row r="62" spans="1:7" ht="28.8" x14ac:dyDescent="0.3">
      <c r="A62" s="13" t="s">
        <v>9439</v>
      </c>
      <c r="B62" s="13" t="s">
        <v>9545</v>
      </c>
      <c r="C62" s="13" t="s">
        <v>9521</v>
      </c>
      <c r="G62" s="13" t="s">
        <v>32</v>
      </c>
    </row>
    <row r="63" spans="1:7" ht="28.8" x14ac:dyDescent="0.3">
      <c r="A63" s="13" t="s">
        <v>9439</v>
      </c>
      <c r="B63" s="13" t="s">
        <v>9546</v>
      </c>
      <c r="C63" s="13" t="s">
        <v>9523</v>
      </c>
      <c r="G63" s="13" t="s">
        <v>32</v>
      </c>
    </row>
    <row r="64" spans="1:7" ht="43.2" x14ac:dyDescent="0.3">
      <c r="A64" s="13" t="s">
        <v>9439</v>
      </c>
      <c r="B64" s="13" t="s">
        <v>9547</v>
      </c>
      <c r="C64" s="13" t="s">
        <v>9525</v>
      </c>
      <c r="G64" s="13" t="s">
        <v>32</v>
      </c>
    </row>
    <row r="65" spans="1:7" ht="28.8" x14ac:dyDescent="0.3">
      <c r="A65" s="13" t="s">
        <v>9439</v>
      </c>
      <c r="B65" s="13" t="s">
        <v>9548</v>
      </c>
      <c r="C65" s="13" t="s">
        <v>9549</v>
      </c>
      <c r="G65" s="13" t="s">
        <v>32</v>
      </c>
    </row>
    <row r="66" spans="1:7" ht="28.8" x14ac:dyDescent="0.3">
      <c r="A66" s="13" t="s">
        <v>9439</v>
      </c>
      <c r="B66" s="13" t="s">
        <v>9550</v>
      </c>
      <c r="C66" s="13" t="s">
        <v>9551</v>
      </c>
      <c r="G66" s="13" t="s">
        <v>32</v>
      </c>
    </row>
    <row r="67" spans="1:7" ht="57.6" x14ac:dyDescent="0.3">
      <c r="A67" s="13" t="s">
        <v>9439</v>
      </c>
      <c r="B67" s="13" t="s">
        <v>9552</v>
      </c>
      <c r="C67" s="13" t="s">
        <v>9553</v>
      </c>
      <c r="G67" s="13" t="s">
        <v>32</v>
      </c>
    </row>
    <row r="68" spans="1:7" ht="28.8" x14ac:dyDescent="0.3">
      <c r="A68" s="13" t="s">
        <v>9439</v>
      </c>
      <c r="B68" s="13" t="s">
        <v>9554</v>
      </c>
      <c r="C68" s="13" t="s">
        <v>9555</v>
      </c>
      <c r="G68" s="13" t="s">
        <v>32</v>
      </c>
    </row>
    <row r="69" spans="1:7" ht="28.8" x14ac:dyDescent="0.3">
      <c r="A69" s="13" t="s">
        <v>9439</v>
      </c>
      <c r="B69" s="13" t="s">
        <v>9556</v>
      </c>
      <c r="C69" s="13" t="s">
        <v>9557</v>
      </c>
      <c r="G69" s="13" t="s">
        <v>32</v>
      </c>
    </row>
    <row r="70" spans="1:7" ht="28.8" x14ac:dyDescent="0.3">
      <c r="A70" s="13" t="s">
        <v>9439</v>
      </c>
      <c r="B70" s="13" t="s">
        <v>9558</v>
      </c>
      <c r="C70" s="13" t="s">
        <v>9559</v>
      </c>
      <c r="G70" s="13" t="s">
        <v>32</v>
      </c>
    </row>
    <row r="71" spans="1:7" ht="28.8" x14ac:dyDescent="0.3">
      <c r="A71" s="13" t="s">
        <v>9439</v>
      </c>
      <c r="B71" s="13" t="s">
        <v>9560</v>
      </c>
      <c r="C71" s="13" t="s">
        <v>9495</v>
      </c>
      <c r="G71" s="13" t="s">
        <v>32</v>
      </c>
    </row>
    <row r="72" spans="1:7" ht="28.8" x14ac:dyDescent="0.3">
      <c r="A72" s="13" t="s">
        <v>9439</v>
      </c>
      <c r="B72" s="13" t="s">
        <v>9561</v>
      </c>
      <c r="C72" s="13" t="s">
        <v>9562</v>
      </c>
      <c r="G72" s="13" t="s">
        <v>32</v>
      </c>
    </row>
    <row r="73" spans="1:7" ht="43.2" x14ac:dyDescent="0.3">
      <c r="A73" s="13" t="s">
        <v>9439</v>
      </c>
      <c r="B73" s="13" t="s">
        <v>9563</v>
      </c>
      <c r="C73" s="13" t="s">
        <v>9564</v>
      </c>
      <c r="G73" s="13" t="s">
        <v>32</v>
      </c>
    </row>
    <row r="74" spans="1:7" ht="28.8" x14ac:dyDescent="0.3">
      <c r="A74" s="13" t="s">
        <v>9439</v>
      </c>
      <c r="B74" s="13" t="s">
        <v>9565</v>
      </c>
      <c r="C74" s="13" t="s">
        <v>9566</v>
      </c>
      <c r="G74" s="13" t="s">
        <v>32</v>
      </c>
    </row>
    <row r="75" spans="1:7" ht="28.8" x14ac:dyDescent="0.3">
      <c r="A75" s="13" t="s">
        <v>9439</v>
      </c>
      <c r="B75" s="13" t="s">
        <v>9565</v>
      </c>
      <c r="C75" s="13" t="s">
        <v>9566</v>
      </c>
      <c r="G75" s="13" t="s">
        <v>32</v>
      </c>
    </row>
    <row r="76" spans="1:7" ht="28.8" x14ac:dyDescent="0.3">
      <c r="A76" s="13" t="s">
        <v>9439</v>
      </c>
      <c r="B76" s="13" t="s">
        <v>9567</v>
      </c>
      <c r="C76" s="13" t="s">
        <v>9477</v>
      </c>
      <c r="G76" s="13" t="s">
        <v>32</v>
      </c>
    </row>
    <row r="77" spans="1:7" ht="28.8" x14ac:dyDescent="0.3">
      <c r="A77" s="13" t="s">
        <v>9439</v>
      </c>
      <c r="B77" s="13" t="s">
        <v>9567</v>
      </c>
      <c r="C77" s="13" t="s">
        <v>9477</v>
      </c>
      <c r="G77" s="13" t="s">
        <v>32</v>
      </c>
    </row>
    <row r="78" spans="1:7" ht="28.8" x14ac:dyDescent="0.3">
      <c r="A78" s="13" t="s">
        <v>9439</v>
      </c>
      <c r="B78" s="13" t="s">
        <v>9568</v>
      </c>
      <c r="C78" s="13" t="s">
        <v>9569</v>
      </c>
      <c r="G78" s="13" t="s">
        <v>32</v>
      </c>
    </row>
    <row r="79" spans="1:7" ht="28.8" x14ac:dyDescent="0.3">
      <c r="A79" s="13" t="s">
        <v>9439</v>
      </c>
      <c r="B79" s="13" t="s">
        <v>9568</v>
      </c>
      <c r="C79" s="13" t="s">
        <v>9569</v>
      </c>
      <c r="G79" s="13" t="s">
        <v>32</v>
      </c>
    </row>
    <row r="80" spans="1:7" ht="28.8" x14ac:dyDescent="0.3">
      <c r="A80" s="13" t="s">
        <v>9439</v>
      </c>
      <c r="B80" s="13" t="s">
        <v>9570</v>
      </c>
      <c r="C80" s="13" t="s">
        <v>9566</v>
      </c>
      <c r="G80" s="13" t="s">
        <v>32</v>
      </c>
    </row>
    <row r="81" spans="1:7" ht="28.8" x14ac:dyDescent="0.3">
      <c r="A81" s="13" t="s">
        <v>9439</v>
      </c>
      <c r="B81" s="13" t="s">
        <v>9570</v>
      </c>
      <c r="C81" s="13" t="s">
        <v>9566</v>
      </c>
      <c r="G81" s="13" t="s">
        <v>32</v>
      </c>
    </row>
    <row r="82" spans="1:7" ht="28.8" x14ac:dyDescent="0.3">
      <c r="A82" s="13" t="s">
        <v>9439</v>
      </c>
      <c r="B82" s="13" t="s">
        <v>9571</v>
      </c>
      <c r="C82" s="13" t="s">
        <v>9569</v>
      </c>
      <c r="G82" s="13" t="s">
        <v>32</v>
      </c>
    </row>
    <row r="83" spans="1:7" ht="28.8" x14ac:dyDescent="0.3">
      <c r="A83" s="13" t="s">
        <v>9439</v>
      </c>
      <c r="B83" s="13" t="s">
        <v>9571</v>
      </c>
      <c r="C83" s="13" t="s">
        <v>9569</v>
      </c>
      <c r="G83" s="13" t="s">
        <v>32</v>
      </c>
    </row>
    <row r="84" spans="1:7" ht="28.8" x14ac:dyDescent="0.3">
      <c r="A84" s="13" t="s">
        <v>9439</v>
      </c>
      <c r="B84" s="13" t="s">
        <v>9572</v>
      </c>
      <c r="C84" s="13" t="s">
        <v>9573</v>
      </c>
      <c r="G84" s="13" t="s">
        <v>32</v>
      </c>
    </row>
    <row r="85" spans="1:7" ht="28.8" x14ac:dyDescent="0.3">
      <c r="A85" s="13" t="s">
        <v>9439</v>
      </c>
      <c r="B85" s="13" t="s">
        <v>9572</v>
      </c>
      <c r="C85" s="13" t="s">
        <v>9573</v>
      </c>
      <c r="G85" s="13" t="s">
        <v>32</v>
      </c>
    </row>
    <row r="86" spans="1:7" ht="28.8" x14ac:dyDescent="0.3">
      <c r="A86" s="13" t="s">
        <v>9439</v>
      </c>
      <c r="B86" s="13" t="s">
        <v>9572</v>
      </c>
      <c r="C86" s="13" t="s">
        <v>9573</v>
      </c>
      <c r="G86" s="13" t="s">
        <v>32</v>
      </c>
    </row>
    <row r="87" spans="1:7" ht="28.8" x14ac:dyDescent="0.3">
      <c r="A87" s="13" t="s">
        <v>9439</v>
      </c>
      <c r="B87" s="13" t="s">
        <v>9572</v>
      </c>
      <c r="C87" s="13" t="s">
        <v>9573</v>
      </c>
      <c r="G87" s="13" t="s">
        <v>32</v>
      </c>
    </row>
    <row r="88" spans="1:7" ht="28.8" x14ac:dyDescent="0.3">
      <c r="A88" s="13" t="s">
        <v>9439</v>
      </c>
      <c r="B88" s="13" t="s">
        <v>9574</v>
      </c>
      <c r="C88" s="13" t="s">
        <v>9575</v>
      </c>
      <c r="G88" s="13" t="s">
        <v>32</v>
      </c>
    </row>
    <row r="89" spans="1:7" ht="28.8" x14ac:dyDescent="0.3">
      <c r="A89" s="13" t="s">
        <v>9439</v>
      </c>
      <c r="B89" s="13" t="s">
        <v>9574</v>
      </c>
      <c r="C89" s="13" t="s">
        <v>9575</v>
      </c>
      <c r="G89" s="13" t="s">
        <v>32</v>
      </c>
    </row>
    <row r="90" spans="1:7" ht="28.8" x14ac:dyDescent="0.3">
      <c r="A90" s="13" t="s">
        <v>9439</v>
      </c>
      <c r="B90" s="13" t="s">
        <v>9574</v>
      </c>
      <c r="C90" s="13" t="s">
        <v>9575</v>
      </c>
      <c r="G90" s="13" t="s">
        <v>32</v>
      </c>
    </row>
    <row r="91" spans="1:7" ht="28.8" x14ac:dyDescent="0.3">
      <c r="A91" s="13" t="s">
        <v>9439</v>
      </c>
      <c r="B91" s="13" t="s">
        <v>9574</v>
      </c>
      <c r="C91" s="13" t="s">
        <v>9575</v>
      </c>
      <c r="G91" s="13" t="s">
        <v>32</v>
      </c>
    </row>
    <row r="92" spans="1:7" ht="28.8" x14ac:dyDescent="0.3">
      <c r="A92" s="13" t="s">
        <v>9439</v>
      </c>
      <c r="B92" s="13" t="s">
        <v>9576</v>
      </c>
      <c r="C92" s="13" t="s">
        <v>9577</v>
      </c>
      <c r="G92" s="13" t="s">
        <v>32</v>
      </c>
    </row>
    <row r="93" spans="1:7" ht="28.8" x14ac:dyDescent="0.3">
      <c r="A93" s="13" t="s">
        <v>9439</v>
      </c>
      <c r="B93" s="13" t="s">
        <v>9576</v>
      </c>
      <c r="C93" s="13" t="s">
        <v>9577</v>
      </c>
      <c r="G93" s="13" t="s">
        <v>32</v>
      </c>
    </row>
    <row r="94" spans="1:7" ht="28.8" x14ac:dyDescent="0.3">
      <c r="A94" s="13" t="s">
        <v>9439</v>
      </c>
      <c r="B94" s="13" t="s">
        <v>9578</v>
      </c>
      <c r="C94" s="13" t="s">
        <v>9579</v>
      </c>
      <c r="G94" s="13" t="s">
        <v>32</v>
      </c>
    </row>
    <row r="95" spans="1:7" ht="28.8" x14ac:dyDescent="0.3">
      <c r="A95" s="13" t="s">
        <v>9439</v>
      </c>
      <c r="B95" s="13" t="s">
        <v>9578</v>
      </c>
      <c r="C95" s="13" t="s">
        <v>9579</v>
      </c>
      <c r="G95" s="13" t="s">
        <v>32</v>
      </c>
    </row>
    <row r="96" spans="1:7" ht="28.8" x14ac:dyDescent="0.3">
      <c r="A96" s="13" t="s">
        <v>9439</v>
      </c>
      <c r="B96" s="13" t="s">
        <v>9578</v>
      </c>
      <c r="C96" s="13" t="s">
        <v>9579</v>
      </c>
      <c r="G96" s="13" t="s">
        <v>32</v>
      </c>
    </row>
    <row r="97" spans="1:7" ht="28.8" x14ac:dyDescent="0.3">
      <c r="A97" s="13" t="s">
        <v>9439</v>
      </c>
      <c r="B97" s="13" t="s">
        <v>9578</v>
      </c>
      <c r="C97" s="13" t="s">
        <v>9579</v>
      </c>
      <c r="G97" s="13" t="s">
        <v>32</v>
      </c>
    </row>
    <row r="98" spans="1:7" ht="28.8" x14ac:dyDescent="0.3">
      <c r="A98" s="13" t="s">
        <v>9439</v>
      </c>
      <c r="B98" s="13" t="s">
        <v>9580</v>
      </c>
      <c r="C98" s="13" t="s">
        <v>9581</v>
      </c>
      <c r="G98" s="13" t="s">
        <v>32</v>
      </c>
    </row>
    <row r="99" spans="1:7" ht="28.8" x14ac:dyDescent="0.3">
      <c r="A99" s="13" t="s">
        <v>9439</v>
      </c>
      <c r="B99" s="13" t="s">
        <v>9580</v>
      </c>
      <c r="C99" s="13" t="s">
        <v>9581</v>
      </c>
      <c r="G99" s="13" t="s">
        <v>32</v>
      </c>
    </row>
    <row r="100" spans="1:7" ht="28.8" x14ac:dyDescent="0.3">
      <c r="A100" s="13" t="s">
        <v>9439</v>
      </c>
      <c r="B100" s="13" t="s">
        <v>9582</v>
      </c>
      <c r="C100" s="13" t="s">
        <v>9573</v>
      </c>
      <c r="G100" s="13" t="s">
        <v>32</v>
      </c>
    </row>
    <row r="101" spans="1:7" ht="28.8" x14ac:dyDescent="0.3">
      <c r="A101" s="13" t="s">
        <v>9439</v>
      </c>
      <c r="B101" s="13" t="s">
        <v>9582</v>
      </c>
      <c r="C101" s="13" t="s">
        <v>9573</v>
      </c>
      <c r="G101" s="13" t="s">
        <v>32</v>
      </c>
    </row>
    <row r="102" spans="1:7" ht="28.8" x14ac:dyDescent="0.3">
      <c r="A102" s="13" t="s">
        <v>9439</v>
      </c>
      <c r="B102" s="13" t="s">
        <v>9583</v>
      </c>
      <c r="C102" s="13" t="s">
        <v>9577</v>
      </c>
      <c r="G102" s="13" t="s">
        <v>32</v>
      </c>
    </row>
    <row r="103" spans="1:7" ht="28.8" x14ac:dyDescent="0.3">
      <c r="A103" s="13" t="s">
        <v>9439</v>
      </c>
      <c r="B103" s="13" t="s">
        <v>9583</v>
      </c>
      <c r="C103" s="13" t="s">
        <v>9577</v>
      </c>
      <c r="G103" s="13" t="s">
        <v>32</v>
      </c>
    </row>
    <row r="104" spans="1:7" ht="43.2" x14ac:dyDescent="0.3">
      <c r="A104" s="13" t="s">
        <v>9439</v>
      </c>
      <c r="B104" s="13" t="s">
        <v>9584</v>
      </c>
      <c r="C104" s="13" t="s">
        <v>9585</v>
      </c>
      <c r="G104" s="13" t="s">
        <v>32</v>
      </c>
    </row>
    <row r="105" spans="1:7" ht="43.2" x14ac:dyDescent="0.3">
      <c r="A105" s="13" t="s">
        <v>9439</v>
      </c>
      <c r="B105" s="13" t="s">
        <v>9584</v>
      </c>
      <c r="C105" s="13" t="s">
        <v>9585</v>
      </c>
      <c r="G105" s="13" t="s">
        <v>32</v>
      </c>
    </row>
    <row r="106" spans="1:7" ht="57.6" x14ac:dyDescent="0.3">
      <c r="A106" s="13" t="s">
        <v>9439</v>
      </c>
      <c r="B106" s="13" t="s">
        <v>9586</v>
      </c>
      <c r="C106" s="13" t="s">
        <v>9587</v>
      </c>
      <c r="G106" s="13" t="s">
        <v>32</v>
      </c>
    </row>
    <row r="107" spans="1:7" ht="57.6" x14ac:dyDescent="0.3">
      <c r="A107" s="13" t="s">
        <v>9439</v>
      </c>
      <c r="B107" s="13" t="s">
        <v>9586</v>
      </c>
      <c r="C107" s="13" t="s">
        <v>9587</v>
      </c>
      <c r="G107" s="13" t="s">
        <v>32</v>
      </c>
    </row>
    <row r="108" spans="1:7" ht="28.8" x14ac:dyDescent="0.3">
      <c r="A108" s="13" t="s">
        <v>9439</v>
      </c>
      <c r="B108" s="13" t="s">
        <v>9588</v>
      </c>
      <c r="C108" s="13" t="s">
        <v>9589</v>
      </c>
      <c r="G108" s="13" t="s">
        <v>32</v>
      </c>
    </row>
    <row r="109" spans="1:7" ht="28.8" x14ac:dyDescent="0.3">
      <c r="A109" s="13" t="s">
        <v>9439</v>
      </c>
      <c r="B109" s="13" t="s">
        <v>9588</v>
      </c>
      <c r="C109" s="13" t="s">
        <v>9589</v>
      </c>
      <c r="G109" s="13" t="s">
        <v>32</v>
      </c>
    </row>
    <row r="110" spans="1:7" ht="86.4" x14ac:dyDescent="0.3">
      <c r="A110" s="13" t="s">
        <v>9439</v>
      </c>
      <c r="B110" s="13" t="s">
        <v>9590</v>
      </c>
      <c r="C110" s="13" t="s">
        <v>9591</v>
      </c>
      <c r="G110" s="13" t="s">
        <v>32</v>
      </c>
    </row>
    <row r="111" spans="1:7" ht="86.4" x14ac:dyDescent="0.3">
      <c r="A111" s="13" t="s">
        <v>9439</v>
      </c>
      <c r="B111" s="13" t="s">
        <v>9590</v>
      </c>
      <c r="C111" s="13" t="s">
        <v>9591</v>
      </c>
      <c r="G111" s="13" t="s">
        <v>32</v>
      </c>
    </row>
    <row r="112" spans="1:7" x14ac:dyDescent="0.3">
      <c r="A112" s="13" t="s">
        <v>9439</v>
      </c>
      <c r="B112" s="13" t="s">
        <v>9592</v>
      </c>
      <c r="C112" s="13" t="s">
        <v>9593</v>
      </c>
      <c r="G112" s="13" t="s">
        <v>32</v>
      </c>
    </row>
    <row r="113" spans="1:7" x14ac:dyDescent="0.3">
      <c r="A113" s="13" t="s">
        <v>9439</v>
      </c>
      <c r="B113" s="13" t="s">
        <v>9592</v>
      </c>
      <c r="C113" s="13" t="s">
        <v>9593</v>
      </c>
      <c r="G113" s="13" t="s">
        <v>32</v>
      </c>
    </row>
    <row r="114" spans="1:7" ht="28.8" x14ac:dyDescent="0.3">
      <c r="A114" s="13" t="s">
        <v>9439</v>
      </c>
      <c r="B114" s="13" t="s">
        <v>9594</v>
      </c>
      <c r="C114" s="13" t="s">
        <v>9595</v>
      </c>
      <c r="G114" s="13" t="s">
        <v>32</v>
      </c>
    </row>
    <row r="115" spans="1:7" ht="28.8" x14ac:dyDescent="0.3">
      <c r="A115" s="13" t="s">
        <v>9439</v>
      </c>
      <c r="B115" s="13" t="s">
        <v>9594</v>
      </c>
      <c r="C115" s="13" t="s">
        <v>9595</v>
      </c>
      <c r="G115" s="13" t="s">
        <v>32</v>
      </c>
    </row>
    <row r="116" spans="1:7" ht="43.2" x14ac:dyDescent="0.3">
      <c r="A116" s="13" t="s">
        <v>9439</v>
      </c>
      <c r="B116" s="13" t="s">
        <v>9596</v>
      </c>
      <c r="C116" s="13" t="s">
        <v>9597</v>
      </c>
      <c r="G116" s="13" t="s">
        <v>32</v>
      </c>
    </row>
    <row r="117" spans="1:7" ht="28.8" x14ac:dyDescent="0.3">
      <c r="A117" s="13" t="s">
        <v>9439</v>
      </c>
      <c r="B117" s="13" t="s">
        <v>9598</v>
      </c>
      <c r="C117" s="13" t="s">
        <v>2332</v>
      </c>
      <c r="G117" s="13" t="s">
        <v>32</v>
      </c>
    </row>
    <row r="118" spans="1:7" ht="28.8" x14ac:dyDescent="0.3">
      <c r="A118" s="13" t="s">
        <v>9439</v>
      </c>
      <c r="B118" s="13" t="s">
        <v>9599</v>
      </c>
      <c r="C118" s="13" t="s">
        <v>9456</v>
      </c>
      <c r="G118" s="13" t="s">
        <v>32</v>
      </c>
    </row>
    <row r="119" spans="1:7" ht="28.8" x14ac:dyDescent="0.3">
      <c r="A119" s="13" t="s">
        <v>9439</v>
      </c>
      <c r="B119" s="13" t="s">
        <v>9600</v>
      </c>
      <c r="C119" s="13" t="s">
        <v>9601</v>
      </c>
      <c r="G119" s="13" t="s">
        <v>32</v>
      </c>
    </row>
    <row r="120" spans="1:7" ht="28.8" x14ac:dyDescent="0.3">
      <c r="A120" s="13" t="s">
        <v>9439</v>
      </c>
      <c r="B120" s="13" t="s">
        <v>9602</v>
      </c>
      <c r="C120" s="13" t="s">
        <v>9603</v>
      </c>
      <c r="G120" s="13" t="s">
        <v>32</v>
      </c>
    </row>
    <row r="121" spans="1:7" x14ac:dyDescent="0.3">
      <c r="A121" s="13" t="s">
        <v>9439</v>
      </c>
      <c r="B121" s="13" t="s">
        <v>9604</v>
      </c>
      <c r="C121" s="13" t="s">
        <v>9605</v>
      </c>
      <c r="G121" s="13" t="s">
        <v>32</v>
      </c>
    </row>
    <row r="122" spans="1:7" ht="28.8" x14ac:dyDescent="0.3">
      <c r="A122" s="13" t="s">
        <v>9439</v>
      </c>
      <c r="B122" s="13" t="s">
        <v>9606</v>
      </c>
      <c r="C122" s="13" t="s">
        <v>2332</v>
      </c>
      <c r="G122" s="13" t="s">
        <v>32</v>
      </c>
    </row>
    <row r="123" spans="1:7" ht="28.8" x14ac:dyDescent="0.3">
      <c r="A123" s="13" t="s">
        <v>9439</v>
      </c>
      <c r="B123" s="13" t="s">
        <v>9607</v>
      </c>
      <c r="C123" s="13" t="s">
        <v>9456</v>
      </c>
      <c r="G123" s="13" t="s">
        <v>32</v>
      </c>
    </row>
    <row r="124" spans="1:7" ht="28.8" x14ac:dyDescent="0.3">
      <c r="A124" s="13" t="s">
        <v>9439</v>
      </c>
      <c r="B124" s="13" t="s">
        <v>9608</v>
      </c>
      <c r="C124" s="13" t="s">
        <v>9609</v>
      </c>
      <c r="G124" s="13" t="s">
        <v>32</v>
      </c>
    </row>
    <row r="125" spans="1:7" x14ac:dyDescent="0.3">
      <c r="A125" s="13" t="s">
        <v>9439</v>
      </c>
      <c r="B125" s="13" t="s">
        <v>9610</v>
      </c>
      <c r="C125" s="13" t="s">
        <v>9611</v>
      </c>
      <c r="G125" s="13" t="s">
        <v>32</v>
      </c>
    </row>
    <row r="126" spans="1:7" ht="28.8" x14ac:dyDescent="0.3">
      <c r="A126" s="13" t="s">
        <v>9439</v>
      </c>
      <c r="B126" s="13" t="s">
        <v>9612</v>
      </c>
      <c r="C126" s="13" t="s">
        <v>9613</v>
      </c>
      <c r="G126" s="13" t="s">
        <v>32</v>
      </c>
    </row>
    <row r="127" spans="1:7" x14ac:dyDescent="0.3">
      <c r="A127" s="13" t="s">
        <v>9439</v>
      </c>
      <c r="B127" s="13" t="s">
        <v>9614</v>
      </c>
      <c r="C127" s="13" t="s">
        <v>9615</v>
      </c>
      <c r="G127" s="13" t="s">
        <v>32</v>
      </c>
    </row>
    <row r="128" spans="1:7" ht="28.8" x14ac:dyDescent="0.3">
      <c r="A128" s="13" t="s">
        <v>9439</v>
      </c>
      <c r="B128" s="13" t="s">
        <v>9616</v>
      </c>
      <c r="C128" s="13" t="s">
        <v>9617</v>
      </c>
      <c r="G128" s="13" t="s">
        <v>32</v>
      </c>
    </row>
    <row r="129" spans="1:7" ht="28.8" x14ac:dyDescent="0.3">
      <c r="A129" s="13" t="s">
        <v>9439</v>
      </c>
      <c r="B129" s="13" t="s">
        <v>9618</v>
      </c>
      <c r="C129" s="13" t="s">
        <v>9515</v>
      </c>
      <c r="G129" s="13" t="s">
        <v>32</v>
      </c>
    </row>
    <row r="130" spans="1:7" ht="28.8" x14ac:dyDescent="0.3">
      <c r="A130" s="13" t="s">
        <v>9439</v>
      </c>
      <c r="B130" s="13" t="s">
        <v>9619</v>
      </c>
      <c r="C130" s="13" t="s">
        <v>9517</v>
      </c>
      <c r="G130" s="13" t="s">
        <v>32</v>
      </c>
    </row>
    <row r="131" spans="1:7" ht="28.8" x14ac:dyDescent="0.3">
      <c r="A131" s="13" t="s">
        <v>9439</v>
      </c>
      <c r="B131" s="13" t="s">
        <v>9620</v>
      </c>
      <c r="C131" s="13" t="s">
        <v>9523</v>
      </c>
      <c r="G131" s="13" t="s">
        <v>32</v>
      </c>
    </row>
    <row r="132" spans="1:7" ht="43.2" x14ac:dyDescent="0.3">
      <c r="A132" s="13" t="s">
        <v>9439</v>
      </c>
      <c r="B132" s="13" t="s">
        <v>9621</v>
      </c>
      <c r="C132" s="13" t="s">
        <v>9525</v>
      </c>
      <c r="G132" s="13" t="s">
        <v>32</v>
      </c>
    </row>
    <row r="133" spans="1:7" ht="43.2" x14ac:dyDescent="0.3">
      <c r="A133" s="13" t="s">
        <v>9439</v>
      </c>
      <c r="B133" s="13" t="s">
        <v>9622</v>
      </c>
      <c r="C133" s="13" t="s">
        <v>9623</v>
      </c>
      <c r="G133" s="13" t="s">
        <v>32</v>
      </c>
    </row>
    <row r="134" spans="1:7" ht="28.8" x14ac:dyDescent="0.3">
      <c r="A134" s="13" t="s">
        <v>9439</v>
      </c>
      <c r="B134" s="13" t="s">
        <v>9624</v>
      </c>
      <c r="C134" s="13" t="s">
        <v>9625</v>
      </c>
      <c r="G134" s="13" t="s">
        <v>32</v>
      </c>
    </row>
    <row r="135" spans="1:7" ht="28.8" x14ac:dyDescent="0.3">
      <c r="A135" s="13" t="s">
        <v>9439</v>
      </c>
      <c r="B135" s="13" t="s">
        <v>9626</v>
      </c>
      <c r="C135" s="13" t="s">
        <v>9627</v>
      </c>
      <c r="G135" s="13" t="s">
        <v>32</v>
      </c>
    </row>
    <row r="136" spans="1:7" ht="28.8" x14ac:dyDescent="0.3">
      <c r="A136" s="13" t="s">
        <v>9439</v>
      </c>
      <c r="B136" s="13" t="s">
        <v>9628</v>
      </c>
      <c r="C136" s="13" t="s">
        <v>9629</v>
      </c>
      <c r="G136" s="13" t="s">
        <v>32</v>
      </c>
    </row>
    <row r="137" spans="1:7" ht="43.2" x14ac:dyDescent="0.3">
      <c r="A137" s="13" t="s">
        <v>9439</v>
      </c>
      <c r="B137" s="13" t="s">
        <v>9630</v>
      </c>
      <c r="C137" s="13" t="s">
        <v>9631</v>
      </c>
      <c r="G137" s="13" t="s">
        <v>32</v>
      </c>
    </row>
    <row r="138" spans="1:7" x14ac:dyDescent="0.3">
      <c r="A138" s="13" t="s">
        <v>9439</v>
      </c>
      <c r="B138" s="13" t="s">
        <v>9632</v>
      </c>
      <c r="C138" s="13" t="s">
        <v>9633</v>
      </c>
      <c r="G138" s="13" t="s">
        <v>32</v>
      </c>
    </row>
    <row r="139" spans="1:7" x14ac:dyDescent="0.3">
      <c r="A139" s="13" t="s">
        <v>9439</v>
      </c>
      <c r="B139" s="13" t="s">
        <v>9634</v>
      </c>
      <c r="C139" s="13" t="s">
        <v>9635</v>
      </c>
      <c r="G139" s="13" t="s">
        <v>32</v>
      </c>
    </row>
    <row r="140" spans="1:7" ht="28.8" x14ac:dyDescent="0.3">
      <c r="A140" s="13" t="s">
        <v>9439</v>
      </c>
      <c r="B140" s="13" t="s">
        <v>9636</v>
      </c>
      <c r="C140" s="13" t="s">
        <v>9637</v>
      </c>
      <c r="G140" s="13" t="s">
        <v>32</v>
      </c>
    </row>
    <row r="141" spans="1:7" ht="28.8" x14ac:dyDescent="0.3">
      <c r="A141" s="13" t="s">
        <v>9439</v>
      </c>
      <c r="B141" s="13" t="s">
        <v>9638</v>
      </c>
      <c r="C141" s="13" t="s">
        <v>9639</v>
      </c>
      <c r="G141" s="13" t="s">
        <v>32</v>
      </c>
    </row>
    <row r="142" spans="1:7" ht="72" x14ac:dyDescent="0.3">
      <c r="A142" s="13" t="s">
        <v>9439</v>
      </c>
      <c r="B142" s="13" t="s">
        <v>9640</v>
      </c>
      <c r="C142" s="13" t="s">
        <v>9641</v>
      </c>
      <c r="G142" s="13" t="s">
        <v>32</v>
      </c>
    </row>
    <row r="143" spans="1:7" ht="43.2" x14ac:dyDescent="0.3">
      <c r="A143" s="13" t="s">
        <v>9439</v>
      </c>
      <c r="B143" s="13" t="s">
        <v>9642</v>
      </c>
      <c r="C143" s="13" t="s">
        <v>9643</v>
      </c>
      <c r="G143" s="13" t="s">
        <v>32</v>
      </c>
    </row>
    <row r="144" spans="1:7" ht="28.8" x14ac:dyDescent="0.3">
      <c r="A144" s="13" t="s">
        <v>9439</v>
      </c>
      <c r="B144" s="13" t="s">
        <v>9644</v>
      </c>
      <c r="C144" s="13" t="s">
        <v>9523</v>
      </c>
      <c r="G144" s="13" t="s">
        <v>32</v>
      </c>
    </row>
    <row r="145" spans="1:7" ht="28.8" x14ac:dyDescent="0.3">
      <c r="A145" s="13" t="s">
        <v>9439</v>
      </c>
      <c r="B145" s="13" t="s">
        <v>9645</v>
      </c>
      <c r="C145" s="13" t="s">
        <v>9646</v>
      </c>
      <c r="G145" s="13" t="s">
        <v>32</v>
      </c>
    </row>
    <row r="146" spans="1:7" ht="43.2" x14ac:dyDescent="0.3">
      <c r="A146" s="13" t="s">
        <v>9439</v>
      </c>
      <c r="B146" s="13" t="s">
        <v>9647</v>
      </c>
      <c r="C146" s="13" t="s">
        <v>9525</v>
      </c>
      <c r="G146" s="13" t="s">
        <v>32</v>
      </c>
    </row>
    <row r="147" spans="1:7" ht="28.8" x14ac:dyDescent="0.3">
      <c r="A147" s="13" t="s">
        <v>9439</v>
      </c>
      <c r="B147" s="13" t="s">
        <v>9648</v>
      </c>
      <c r="C147" s="13" t="s">
        <v>9649</v>
      </c>
      <c r="G147" s="13" t="s">
        <v>32</v>
      </c>
    </row>
    <row r="148" spans="1:7" ht="43.2" x14ac:dyDescent="0.3">
      <c r="A148" s="13" t="s">
        <v>9439</v>
      </c>
      <c r="B148" s="13" t="s">
        <v>9650</v>
      </c>
      <c r="C148" s="13" t="s">
        <v>9651</v>
      </c>
      <c r="G148" s="13" t="s">
        <v>32</v>
      </c>
    </row>
    <row r="149" spans="1:7" ht="43.2" x14ac:dyDescent="0.3">
      <c r="A149" s="13" t="s">
        <v>9439</v>
      </c>
      <c r="B149" s="13" t="s">
        <v>9652</v>
      </c>
      <c r="C149" s="13" t="s">
        <v>9653</v>
      </c>
      <c r="G149" s="13" t="s">
        <v>32</v>
      </c>
    </row>
    <row r="150" spans="1:7" ht="43.2" x14ac:dyDescent="0.3">
      <c r="A150" s="13" t="s">
        <v>9439</v>
      </c>
      <c r="B150" s="13" t="s">
        <v>9654</v>
      </c>
      <c r="C150" s="13" t="s">
        <v>9655</v>
      </c>
      <c r="G150" s="13" t="s">
        <v>32</v>
      </c>
    </row>
    <row r="151" spans="1:7" ht="43.2" x14ac:dyDescent="0.3">
      <c r="A151" s="13" t="s">
        <v>9439</v>
      </c>
      <c r="B151" s="13" t="s">
        <v>9656</v>
      </c>
      <c r="C151" s="13" t="s">
        <v>9657</v>
      </c>
      <c r="G151" s="13" t="s">
        <v>32</v>
      </c>
    </row>
    <row r="152" spans="1:7" ht="28.8" x14ac:dyDescent="0.3">
      <c r="A152" s="13" t="s">
        <v>9439</v>
      </c>
      <c r="B152" s="13" t="s">
        <v>9658</v>
      </c>
      <c r="C152" s="13" t="s">
        <v>9659</v>
      </c>
      <c r="G152" s="13" t="s">
        <v>32</v>
      </c>
    </row>
    <row r="153" spans="1:7" x14ac:dyDescent="0.3">
      <c r="A153" s="13" t="s">
        <v>9439</v>
      </c>
      <c r="B153" s="13" t="s">
        <v>9660</v>
      </c>
      <c r="C153" s="13" t="s">
        <v>9661</v>
      </c>
      <c r="G153" s="13" t="s">
        <v>32</v>
      </c>
    </row>
    <row r="154" spans="1:7" x14ac:dyDescent="0.3">
      <c r="A154" s="13" t="s">
        <v>9439</v>
      </c>
      <c r="B154" s="13" t="s">
        <v>9662</v>
      </c>
      <c r="C154" s="13" t="s">
        <v>9663</v>
      </c>
      <c r="G154" s="13" t="s">
        <v>32</v>
      </c>
    </row>
    <row r="155" spans="1:7" ht="28.8" x14ac:dyDescent="0.3">
      <c r="A155" s="13" t="s">
        <v>9439</v>
      </c>
      <c r="B155" s="13" t="s">
        <v>9664</v>
      </c>
      <c r="C155" s="13" t="s">
        <v>9665</v>
      </c>
      <c r="G155" s="13" t="s">
        <v>32</v>
      </c>
    </row>
    <row r="156" spans="1:7" ht="28.8" x14ac:dyDescent="0.3">
      <c r="A156" s="13" t="s">
        <v>9439</v>
      </c>
      <c r="B156" s="13" t="s">
        <v>9666</v>
      </c>
      <c r="C156" s="13" t="s">
        <v>9667</v>
      </c>
      <c r="G156" s="13" t="s">
        <v>32</v>
      </c>
    </row>
    <row r="157" spans="1:7" ht="28.8" x14ac:dyDescent="0.3">
      <c r="A157" s="13" t="s">
        <v>9439</v>
      </c>
      <c r="B157" s="13" t="s">
        <v>9668</v>
      </c>
      <c r="C157" s="13" t="s">
        <v>9669</v>
      </c>
      <c r="G157" s="13" t="s">
        <v>32</v>
      </c>
    </row>
    <row r="158" spans="1:7" x14ac:dyDescent="0.3">
      <c r="A158" s="13" t="s">
        <v>9439</v>
      </c>
      <c r="B158" s="13" t="s">
        <v>9670</v>
      </c>
      <c r="C158" s="13" t="s">
        <v>9671</v>
      </c>
      <c r="G158" s="13" t="s">
        <v>32</v>
      </c>
    </row>
    <row r="159" spans="1:7" ht="28.8" x14ac:dyDescent="0.3">
      <c r="A159" s="13" t="s">
        <v>9439</v>
      </c>
      <c r="B159" s="13" t="s">
        <v>9672</v>
      </c>
      <c r="C159" s="13" t="s">
        <v>9673</v>
      </c>
      <c r="G159" s="13" t="s">
        <v>32</v>
      </c>
    </row>
    <row r="160" spans="1:7" x14ac:dyDescent="0.3">
      <c r="A160" s="13" t="s">
        <v>9439</v>
      </c>
      <c r="B160" s="13" t="s">
        <v>9674</v>
      </c>
      <c r="C160" s="13" t="s">
        <v>9515</v>
      </c>
      <c r="G160" s="13" t="s">
        <v>32</v>
      </c>
    </row>
    <row r="161" spans="1:7" ht="28.8" x14ac:dyDescent="0.3">
      <c r="A161" s="13" t="s">
        <v>9439</v>
      </c>
      <c r="B161" s="13" t="s">
        <v>9675</v>
      </c>
      <c r="C161" s="13" t="s">
        <v>9517</v>
      </c>
      <c r="G161" s="13" t="s">
        <v>32</v>
      </c>
    </row>
    <row r="162" spans="1:7" ht="28.8" x14ac:dyDescent="0.3">
      <c r="A162" s="13" t="s">
        <v>9439</v>
      </c>
      <c r="B162" s="13" t="s">
        <v>9676</v>
      </c>
      <c r="C162" s="13" t="s">
        <v>9523</v>
      </c>
      <c r="G162" s="13" t="s">
        <v>32</v>
      </c>
    </row>
    <row r="163" spans="1:7" ht="43.2" x14ac:dyDescent="0.3">
      <c r="A163" s="13" t="s">
        <v>9439</v>
      </c>
      <c r="B163" s="13" t="s">
        <v>9677</v>
      </c>
      <c r="C163" s="13" t="s">
        <v>9525</v>
      </c>
      <c r="G163" s="13" t="s">
        <v>32</v>
      </c>
    </row>
    <row r="164" spans="1:7" ht="43.2" x14ac:dyDescent="0.3">
      <c r="A164" s="13" t="s">
        <v>9439</v>
      </c>
      <c r="B164" s="13" t="s">
        <v>9678</v>
      </c>
      <c r="C164" s="13" t="s">
        <v>9679</v>
      </c>
      <c r="G164" s="13" t="s">
        <v>32</v>
      </c>
    </row>
    <row r="165" spans="1:7" ht="28.8" x14ac:dyDescent="0.3">
      <c r="A165" s="13" t="s">
        <v>9439</v>
      </c>
      <c r="B165" s="13" t="s">
        <v>9680</v>
      </c>
      <c r="C165" s="13" t="s">
        <v>9523</v>
      </c>
      <c r="G165" s="13" t="s">
        <v>32</v>
      </c>
    </row>
    <row r="166" spans="1:7" ht="28.8" x14ac:dyDescent="0.3">
      <c r="A166" s="13" t="s">
        <v>9439</v>
      </c>
      <c r="B166" s="13" t="s">
        <v>9681</v>
      </c>
      <c r="C166" s="13" t="s">
        <v>9646</v>
      </c>
      <c r="G166" s="13" t="s">
        <v>32</v>
      </c>
    </row>
    <row r="167" spans="1:7" ht="43.2" x14ac:dyDescent="0.3">
      <c r="A167" s="13" t="s">
        <v>9439</v>
      </c>
      <c r="B167" s="13" t="s">
        <v>9682</v>
      </c>
      <c r="C167" s="13" t="s">
        <v>9525</v>
      </c>
      <c r="G167" s="13" t="s">
        <v>32</v>
      </c>
    </row>
    <row r="168" spans="1:7" ht="43.2" x14ac:dyDescent="0.3">
      <c r="A168" s="13" t="s">
        <v>9439</v>
      </c>
      <c r="B168" s="13" t="s">
        <v>9683</v>
      </c>
      <c r="C168" s="13" t="s">
        <v>9651</v>
      </c>
      <c r="G168" s="13" t="s">
        <v>32</v>
      </c>
    </row>
    <row r="169" spans="1:7" ht="43.2" x14ac:dyDescent="0.3">
      <c r="A169" s="13" t="s">
        <v>9439</v>
      </c>
      <c r="B169" s="13" t="s">
        <v>9684</v>
      </c>
      <c r="C169" s="13" t="s">
        <v>9653</v>
      </c>
      <c r="G169" s="13" t="s">
        <v>32</v>
      </c>
    </row>
    <row r="170" spans="1:7" ht="43.2" x14ac:dyDescent="0.3">
      <c r="A170" s="13" t="s">
        <v>9439</v>
      </c>
      <c r="B170" s="13" t="s">
        <v>9685</v>
      </c>
      <c r="C170" s="13" t="s">
        <v>9655</v>
      </c>
      <c r="G170" s="13" t="s">
        <v>32</v>
      </c>
    </row>
    <row r="171" spans="1:7" ht="43.2" x14ac:dyDescent="0.3">
      <c r="A171" s="13" t="s">
        <v>9439</v>
      </c>
      <c r="B171" s="13" t="s">
        <v>9686</v>
      </c>
      <c r="C171" s="13" t="s">
        <v>9657</v>
      </c>
      <c r="G171" s="13" t="s">
        <v>32</v>
      </c>
    </row>
    <row r="172" spans="1:7" ht="43.2" x14ac:dyDescent="0.3">
      <c r="A172" s="13" t="s">
        <v>9439</v>
      </c>
      <c r="B172" s="13" t="s">
        <v>9687</v>
      </c>
      <c r="C172" s="13" t="s">
        <v>9659</v>
      </c>
      <c r="G172" s="13" t="s">
        <v>32</v>
      </c>
    </row>
    <row r="173" spans="1:7" ht="43.2" x14ac:dyDescent="0.3">
      <c r="A173" s="13" t="s">
        <v>9439</v>
      </c>
      <c r="B173" s="13" t="s">
        <v>9688</v>
      </c>
      <c r="C173" s="13" t="s">
        <v>9651</v>
      </c>
      <c r="G173" s="13" t="s">
        <v>32</v>
      </c>
    </row>
    <row r="174" spans="1:7" ht="43.2" x14ac:dyDescent="0.3">
      <c r="A174" s="13" t="s">
        <v>9439</v>
      </c>
      <c r="B174" s="13" t="s">
        <v>9689</v>
      </c>
      <c r="C174" s="13" t="s">
        <v>9653</v>
      </c>
      <c r="G174" s="13" t="s">
        <v>32</v>
      </c>
    </row>
    <row r="175" spans="1:7" ht="43.2" x14ac:dyDescent="0.3">
      <c r="A175" s="13" t="s">
        <v>9439</v>
      </c>
      <c r="B175" s="13" t="s">
        <v>9690</v>
      </c>
      <c r="C175" s="13" t="s">
        <v>9655</v>
      </c>
      <c r="G175" s="13" t="s">
        <v>32</v>
      </c>
    </row>
    <row r="176" spans="1:7" ht="43.2" x14ac:dyDescent="0.3">
      <c r="A176" s="13" t="s">
        <v>9439</v>
      </c>
      <c r="B176" s="13" t="s">
        <v>9691</v>
      </c>
      <c r="C176" s="13" t="s">
        <v>9657</v>
      </c>
      <c r="G176" s="13" t="s">
        <v>32</v>
      </c>
    </row>
    <row r="177" spans="1:7" ht="43.2" x14ac:dyDescent="0.3">
      <c r="A177" s="13" t="s">
        <v>9439</v>
      </c>
      <c r="B177" s="13" t="s">
        <v>9692</v>
      </c>
      <c r="C177" s="13" t="s">
        <v>9659</v>
      </c>
      <c r="G177" s="13" t="s">
        <v>32</v>
      </c>
    </row>
    <row r="178" spans="1:7" ht="28.8" x14ac:dyDescent="0.3">
      <c r="A178" s="13" t="s">
        <v>9439</v>
      </c>
      <c r="B178" s="13" t="s">
        <v>9693</v>
      </c>
      <c r="C178" s="13" t="s">
        <v>9694</v>
      </c>
      <c r="G178" s="13" t="s">
        <v>32</v>
      </c>
    </row>
    <row r="179" spans="1:7" x14ac:dyDescent="0.3">
      <c r="A179" s="13" t="s">
        <v>9439</v>
      </c>
      <c r="B179" s="13" t="s">
        <v>9695</v>
      </c>
      <c r="C179" s="13" t="s">
        <v>9696</v>
      </c>
      <c r="G179" s="13" t="s">
        <v>32</v>
      </c>
    </row>
    <row r="180" spans="1:7" ht="28.8" x14ac:dyDescent="0.3">
      <c r="A180" s="13" t="s">
        <v>9439</v>
      </c>
      <c r="B180" s="13" t="s">
        <v>9697</v>
      </c>
      <c r="C180" s="13" t="s">
        <v>9649</v>
      </c>
      <c r="G180" s="13" t="s">
        <v>32</v>
      </c>
    </row>
    <row r="181" spans="1:7" ht="43.2" x14ac:dyDescent="0.3">
      <c r="A181" s="13" t="s">
        <v>9439</v>
      </c>
      <c r="B181" s="13" t="s">
        <v>9698</v>
      </c>
      <c r="C181" s="13" t="s">
        <v>9651</v>
      </c>
      <c r="G181" s="13" t="s">
        <v>32</v>
      </c>
    </row>
    <row r="182" spans="1:7" ht="43.2" x14ac:dyDescent="0.3">
      <c r="A182" s="13" t="s">
        <v>9439</v>
      </c>
      <c r="B182" s="13" t="s">
        <v>9699</v>
      </c>
      <c r="C182" s="13" t="s">
        <v>9653</v>
      </c>
      <c r="G182" s="13" t="s">
        <v>32</v>
      </c>
    </row>
    <row r="183" spans="1:7" ht="43.2" x14ac:dyDescent="0.3">
      <c r="A183" s="13" t="s">
        <v>9439</v>
      </c>
      <c r="B183" s="13" t="s">
        <v>9700</v>
      </c>
      <c r="C183" s="13" t="s">
        <v>9655</v>
      </c>
      <c r="G183" s="13" t="s">
        <v>32</v>
      </c>
    </row>
    <row r="184" spans="1:7" ht="43.2" x14ac:dyDescent="0.3">
      <c r="A184" s="13" t="s">
        <v>9439</v>
      </c>
      <c r="B184" s="13" t="s">
        <v>9701</v>
      </c>
      <c r="C184" s="13" t="s">
        <v>9657</v>
      </c>
      <c r="G184" s="13" t="s">
        <v>32</v>
      </c>
    </row>
    <row r="185" spans="1:7" ht="28.8" x14ac:dyDescent="0.3">
      <c r="A185" s="13" t="s">
        <v>9439</v>
      </c>
      <c r="B185" s="13" t="s">
        <v>9702</v>
      </c>
      <c r="C185" s="13" t="s">
        <v>9659</v>
      </c>
      <c r="G185" s="13" t="s">
        <v>32</v>
      </c>
    </row>
    <row r="186" spans="1:7" x14ac:dyDescent="0.3">
      <c r="A186" s="13" t="s">
        <v>9439</v>
      </c>
      <c r="B186" s="13" t="s">
        <v>9703</v>
      </c>
      <c r="C186" s="13" t="s">
        <v>9704</v>
      </c>
      <c r="G186" s="13" t="s">
        <v>32</v>
      </c>
    </row>
    <row r="187" spans="1:7" ht="28.8" x14ac:dyDescent="0.3">
      <c r="A187" s="13" t="s">
        <v>9439</v>
      </c>
      <c r="B187" s="13" t="s">
        <v>9705</v>
      </c>
      <c r="C187" s="13" t="s">
        <v>9706</v>
      </c>
      <c r="G187" s="13" t="s">
        <v>32</v>
      </c>
    </row>
    <row r="188" spans="1:7" x14ac:dyDescent="0.3">
      <c r="A188" s="13" t="s">
        <v>9439</v>
      </c>
      <c r="B188" s="13" t="s">
        <v>9707</v>
      </c>
      <c r="C188" s="13" t="s">
        <v>9708</v>
      </c>
      <c r="G188" s="13" t="s">
        <v>32</v>
      </c>
    </row>
    <row r="189" spans="1:7" ht="57.6" x14ac:dyDescent="0.3">
      <c r="A189" s="13" t="s">
        <v>9439</v>
      </c>
      <c r="B189" s="13" t="s">
        <v>9709</v>
      </c>
      <c r="C189" s="13" t="s">
        <v>9710</v>
      </c>
      <c r="G189" s="13" t="s">
        <v>32</v>
      </c>
    </row>
    <row r="190" spans="1:7" ht="43.2" x14ac:dyDescent="0.3">
      <c r="A190" s="13" t="s">
        <v>9439</v>
      </c>
      <c r="B190" s="13" t="s">
        <v>9711</v>
      </c>
      <c r="C190" s="13" t="s">
        <v>9712</v>
      </c>
      <c r="G190" s="13" t="s">
        <v>32</v>
      </c>
    </row>
    <row r="191" spans="1:7" ht="28.8" x14ac:dyDescent="0.3">
      <c r="A191" s="13" t="s">
        <v>9439</v>
      </c>
      <c r="B191" s="13" t="s">
        <v>9713</v>
      </c>
      <c r="C191" s="13" t="s">
        <v>9714</v>
      </c>
      <c r="G191" s="13" t="s">
        <v>32</v>
      </c>
    </row>
    <row r="192" spans="1:7" x14ac:dyDescent="0.3">
      <c r="A192" s="13" t="s">
        <v>9439</v>
      </c>
      <c r="B192" s="13" t="s">
        <v>9715</v>
      </c>
      <c r="C192" s="13" t="s">
        <v>9716</v>
      </c>
      <c r="G192" s="13" t="s">
        <v>32</v>
      </c>
    </row>
    <row r="193" spans="1:7" x14ac:dyDescent="0.3">
      <c r="A193" s="13" t="s">
        <v>9439</v>
      </c>
      <c r="B193" s="13" t="s">
        <v>9717</v>
      </c>
      <c r="C193" s="13" t="s">
        <v>9718</v>
      </c>
      <c r="G193" s="13" t="s">
        <v>32</v>
      </c>
    </row>
    <row r="194" spans="1:7" ht="57.6" x14ac:dyDescent="0.3">
      <c r="A194" s="13" t="s">
        <v>9439</v>
      </c>
      <c r="B194" s="13" t="s">
        <v>9719</v>
      </c>
      <c r="C194" s="13" t="s">
        <v>9720</v>
      </c>
      <c r="G194" s="13" t="s">
        <v>32</v>
      </c>
    </row>
    <row r="195" spans="1:7" ht="28.8" x14ac:dyDescent="0.3">
      <c r="A195" s="13" t="s">
        <v>9439</v>
      </c>
      <c r="B195" s="13" t="s">
        <v>9721</v>
      </c>
      <c r="C195" s="13" t="s">
        <v>9515</v>
      </c>
      <c r="G195" s="13" t="s">
        <v>32</v>
      </c>
    </row>
    <row r="196" spans="1:7" ht="28.8" x14ac:dyDescent="0.3">
      <c r="A196" s="13" t="s">
        <v>9439</v>
      </c>
      <c r="B196" s="13" t="s">
        <v>9722</v>
      </c>
      <c r="C196" s="13" t="s">
        <v>9517</v>
      </c>
      <c r="G196" s="13" t="s">
        <v>32</v>
      </c>
    </row>
    <row r="197" spans="1:7" ht="28.8" x14ac:dyDescent="0.3">
      <c r="A197" s="13" t="s">
        <v>9439</v>
      </c>
      <c r="B197" s="13" t="s">
        <v>9723</v>
      </c>
      <c r="C197" s="13" t="s">
        <v>9523</v>
      </c>
      <c r="G197" s="13" t="s">
        <v>32</v>
      </c>
    </row>
    <row r="198" spans="1:7" ht="43.2" x14ac:dyDescent="0.3">
      <c r="A198" s="13" t="s">
        <v>9439</v>
      </c>
      <c r="B198" s="13" t="s">
        <v>9724</v>
      </c>
      <c r="C198" s="13" t="s">
        <v>9525</v>
      </c>
      <c r="G198" s="13" t="s">
        <v>32</v>
      </c>
    </row>
    <row r="199" spans="1:7" ht="43.2" x14ac:dyDescent="0.3">
      <c r="A199" s="13" t="s">
        <v>9439</v>
      </c>
      <c r="B199" s="13" t="s">
        <v>9725</v>
      </c>
      <c r="C199" s="13" t="s">
        <v>9726</v>
      </c>
      <c r="G199" s="13" t="s">
        <v>32</v>
      </c>
    </row>
    <row r="200" spans="1:7" ht="28.8" x14ac:dyDescent="0.3">
      <c r="A200" s="13" t="s">
        <v>9439</v>
      </c>
      <c r="B200" s="13" t="s">
        <v>9727</v>
      </c>
      <c r="C200" s="13" t="s">
        <v>9523</v>
      </c>
      <c r="G200" s="13" t="s">
        <v>32</v>
      </c>
    </row>
    <row r="201" spans="1:7" ht="28.8" x14ac:dyDescent="0.3">
      <c r="A201" s="13" t="s">
        <v>9439</v>
      </c>
      <c r="B201" s="13" t="s">
        <v>9728</v>
      </c>
      <c r="C201" s="13" t="s">
        <v>9646</v>
      </c>
      <c r="G201" s="13" t="s">
        <v>32</v>
      </c>
    </row>
    <row r="202" spans="1:7" ht="43.2" x14ac:dyDescent="0.3">
      <c r="A202" s="13" t="s">
        <v>9439</v>
      </c>
      <c r="B202" s="13" t="s">
        <v>9729</v>
      </c>
      <c r="C202" s="13" t="s">
        <v>9525</v>
      </c>
      <c r="G202" s="13" t="s">
        <v>32</v>
      </c>
    </row>
    <row r="203" spans="1:7" ht="43.2" x14ac:dyDescent="0.3">
      <c r="A203" s="13" t="s">
        <v>9439</v>
      </c>
      <c r="B203" s="13" t="s">
        <v>9730</v>
      </c>
      <c r="C203" s="13" t="s">
        <v>9651</v>
      </c>
      <c r="G203" s="13" t="s">
        <v>32</v>
      </c>
    </row>
    <row r="204" spans="1:7" ht="43.2" x14ac:dyDescent="0.3">
      <c r="A204" s="13" t="s">
        <v>9439</v>
      </c>
      <c r="B204" s="13" t="s">
        <v>9731</v>
      </c>
      <c r="C204" s="13" t="s">
        <v>9653</v>
      </c>
      <c r="G204" s="13" t="s">
        <v>32</v>
      </c>
    </row>
    <row r="205" spans="1:7" ht="43.2" x14ac:dyDescent="0.3">
      <c r="A205" s="13" t="s">
        <v>9439</v>
      </c>
      <c r="B205" s="13" t="s">
        <v>9732</v>
      </c>
      <c r="C205" s="13" t="s">
        <v>9655</v>
      </c>
      <c r="G205" s="13" t="s">
        <v>32</v>
      </c>
    </row>
    <row r="206" spans="1:7" ht="43.2" x14ac:dyDescent="0.3">
      <c r="A206" s="13" t="s">
        <v>9439</v>
      </c>
      <c r="B206" s="13" t="s">
        <v>9733</v>
      </c>
      <c r="C206" s="13" t="s">
        <v>9657</v>
      </c>
      <c r="G206" s="13" t="s">
        <v>32</v>
      </c>
    </row>
    <row r="207" spans="1:7" ht="43.2" x14ac:dyDescent="0.3">
      <c r="A207" s="13" t="s">
        <v>9439</v>
      </c>
      <c r="B207" s="13" t="s">
        <v>9734</v>
      </c>
      <c r="C207" s="13" t="s">
        <v>9659</v>
      </c>
      <c r="G207" s="13" t="s">
        <v>32</v>
      </c>
    </row>
    <row r="208" spans="1:7" ht="43.2" x14ac:dyDescent="0.3">
      <c r="A208" s="13" t="s">
        <v>9439</v>
      </c>
      <c r="B208" s="13" t="s">
        <v>9735</v>
      </c>
      <c r="C208" s="13" t="s">
        <v>9651</v>
      </c>
      <c r="G208" s="13" t="s">
        <v>32</v>
      </c>
    </row>
    <row r="209" spans="1:7" ht="43.2" x14ac:dyDescent="0.3">
      <c r="A209" s="13" t="s">
        <v>9439</v>
      </c>
      <c r="B209" s="13" t="s">
        <v>9736</v>
      </c>
      <c r="C209" s="13" t="s">
        <v>9653</v>
      </c>
      <c r="G209" s="13" t="s">
        <v>32</v>
      </c>
    </row>
    <row r="210" spans="1:7" ht="43.2" x14ac:dyDescent="0.3">
      <c r="A210" s="13" t="s">
        <v>9439</v>
      </c>
      <c r="B210" s="13" t="s">
        <v>9737</v>
      </c>
      <c r="C210" s="13" t="s">
        <v>9655</v>
      </c>
      <c r="G210" s="13" t="s">
        <v>32</v>
      </c>
    </row>
    <row r="211" spans="1:7" ht="43.2" x14ac:dyDescent="0.3">
      <c r="A211" s="13" t="s">
        <v>9439</v>
      </c>
      <c r="B211" s="13" t="s">
        <v>9738</v>
      </c>
      <c r="C211" s="13" t="s">
        <v>9657</v>
      </c>
      <c r="G211" s="13" t="s">
        <v>32</v>
      </c>
    </row>
    <row r="212" spans="1:7" ht="43.2" x14ac:dyDescent="0.3">
      <c r="A212" s="13" t="s">
        <v>9439</v>
      </c>
      <c r="B212" s="13" t="s">
        <v>9739</v>
      </c>
      <c r="C212" s="13" t="s">
        <v>9659</v>
      </c>
      <c r="G212" s="13" t="s">
        <v>32</v>
      </c>
    </row>
    <row r="213" spans="1:7" x14ac:dyDescent="0.3">
      <c r="A213" s="13" t="s">
        <v>9439</v>
      </c>
      <c r="B213" s="13" t="s">
        <v>9740</v>
      </c>
      <c r="C213" s="13" t="s">
        <v>9741</v>
      </c>
      <c r="G213" s="13" t="s">
        <v>32</v>
      </c>
    </row>
    <row r="214" spans="1:7" ht="28.8" x14ac:dyDescent="0.3">
      <c r="A214" s="13" t="s">
        <v>9439</v>
      </c>
      <c r="B214" s="13" t="s">
        <v>9742</v>
      </c>
      <c r="C214" s="13" t="s">
        <v>9743</v>
      </c>
      <c r="G214" s="13" t="s">
        <v>32</v>
      </c>
    </row>
    <row r="215" spans="1:7" ht="28.8" x14ac:dyDescent="0.3">
      <c r="A215" s="13" t="s">
        <v>9439</v>
      </c>
      <c r="B215" s="13" t="s">
        <v>9744</v>
      </c>
      <c r="C215" s="13" t="s">
        <v>9745</v>
      </c>
      <c r="G215" s="13" t="s">
        <v>32</v>
      </c>
    </row>
    <row r="216" spans="1:7" ht="28.8" x14ac:dyDescent="0.3">
      <c r="A216" s="13" t="s">
        <v>9439</v>
      </c>
      <c r="B216" s="13" t="s">
        <v>9746</v>
      </c>
      <c r="C216" s="13" t="s">
        <v>9747</v>
      </c>
      <c r="G216" s="13" t="s">
        <v>32</v>
      </c>
    </row>
    <row r="217" spans="1:7" ht="28.8" x14ac:dyDescent="0.3">
      <c r="A217" s="13" t="s">
        <v>9439</v>
      </c>
      <c r="B217" s="13" t="s">
        <v>9748</v>
      </c>
      <c r="C217" s="13" t="s">
        <v>9649</v>
      </c>
      <c r="G217" s="13" t="s">
        <v>32</v>
      </c>
    </row>
    <row r="218" spans="1:7" x14ac:dyDescent="0.3">
      <c r="A218" s="13" t="s">
        <v>9439</v>
      </c>
      <c r="B218" s="13" t="s">
        <v>9749</v>
      </c>
      <c r="C218" s="13" t="s">
        <v>9750</v>
      </c>
      <c r="G218" s="13" t="s">
        <v>32</v>
      </c>
    </row>
    <row r="219" spans="1:7" ht="43.2" x14ac:dyDescent="0.3">
      <c r="A219" s="13" t="s">
        <v>9439</v>
      </c>
      <c r="B219" s="13" t="s">
        <v>9751</v>
      </c>
      <c r="C219" s="13" t="s">
        <v>9651</v>
      </c>
      <c r="G219" s="13" t="s">
        <v>32</v>
      </c>
    </row>
    <row r="220" spans="1:7" ht="43.2" x14ac:dyDescent="0.3">
      <c r="A220" s="13" t="s">
        <v>9439</v>
      </c>
      <c r="B220" s="13" t="s">
        <v>9752</v>
      </c>
      <c r="C220" s="13" t="s">
        <v>9653</v>
      </c>
      <c r="G220" s="13" t="s">
        <v>32</v>
      </c>
    </row>
    <row r="221" spans="1:7" ht="43.2" x14ac:dyDescent="0.3">
      <c r="A221" s="13" t="s">
        <v>9439</v>
      </c>
      <c r="B221" s="13" t="s">
        <v>9753</v>
      </c>
      <c r="C221" s="13" t="s">
        <v>9655</v>
      </c>
      <c r="G221" s="13" t="s">
        <v>32</v>
      </c>
    </row>
    <row r="222" spans="1:7" ht="43.2" x14ac:dyDescent="0.3">
      <c r="A222" s="13" t="s">
        <v>9439</v>
      </c>
      <c r="B222" s="13" t="s">
        <v>9754</v>
      </c>
      <c r="C222" s="13" t="s">
        <v>9657</v>
      </c>
      <c r="G222" s="13" t="s">
        <v>32</v>
      </c>
    </row>
    <row r="223" spans="1:7" ht="28.8" x14ac:dyDescent="0.3">
      <c r="A223" s="13" t="s">
        <v>9439</v>
      </c>
      <c r="B223" s="13" t="s">
        <v>9755</v>
      </c>
      <c r="C223" s="13" t="s">
        <v>9659</v>
      </c>
      <c r="G223" s="13" t="s">
        <v>32</v>
      </c>
    </row>
    <row r="224" spans="1:7" ht="28.8" x14ac:dyDescent="0.3">
      <c r="A224" s="13" t="s">
        <v>9439</v>
      </c>
      <c r="B224" s="13" t="s">
        <v>9756</v>
      </c>
      <c r="C224" s="13" t="s">
        <v>9757</v>
      </c>
      <c r="G224" s="13" t="s">
        <v>32</v>
      </c>
    </row>
    <row r="225" spans="1:7" ht="28.8" x14ac:dyDescent="0.3">
      <c r="A225" s="13" t="s">
        <v>9439</v>
      </c>
      <c r="B225" s="13" t="s">
        <v>9758</v>
      </c>
      <c r="C225" s="13" t="s">
        <v>9667</v>
      </c>
      <c r="G225" s="13" t="s">
        <v>32</v>
      </c>
    </row>
    <row r="226" spans="1:7" ht="28.8" x14ac:dyDescent="0.3">
      <c r="A226" s="13" t="s">
        <v>9439</v>
      </c>
      <c r="B226" s="13" t="s">
        <v>9759</v>
      </c>
      <c r="C226" s="13" t="s">
        <v>9760</v>
      </c>
      <c r="G226" s="13" t="s">
        <v>32</v>
      </c>
    </row>
    <row r="227" spans="1:7" ht="28.8" x14ac:dyDescent="0.3">
      <c r="A227" s="13" t="s">
        <v>9439</v>
      </c>
      <c r="B227" s="13" t="s">
        <v>9761</v>
      </c>
      <c r="C227" s="13" t="s">
        <v>9762</v>
      </c>
      <c r="G227" s="13" t="s">
        <v>32</v>
      </c>
    </row>
    <row r="228" spans="1:7" ht="28.8" x14ac:dyDescent="0.3">
      <c r="A228" s="13" t="s">
        <v>9439</v>
      </c>
      <c r="B228" s="13" t="s">
        <v>9763</v>
      </c>
      <c r="C228" s="13" t="s">
        <v>9757</v>
      </c>
      <c r="G228" s="13" t="s">
        <v>32</v>
      </c>
    </row>
    <row r="229" spans="1:7" ht="28.8" x14ac:dyDescent="0.3">
      <c r="A229" s="13" t="s">
        <v>9439</v>
      </c>
      <c r="B229" s="13" t="s">
        <v>9764</v>
      </c>
      <c r="C229" s="13" t="s">
        <v>9765</v>
      </c>
      <c r="G229" s="13" t="s">
        <v>32</v>
      </c>
    </row>
    <row r="230" spans="1:7" x14ac:dyDescent="0.3">
      <c r="A230" s="13" t="s">
        <v>9439</v>
      </c>
      <c r="B230" s="13" t="s">
        <v>9766</v>
      </c>
      <c r="C230" s="13" t="s">
        <v>9767</v>
      </c>
      <c r="G230" s="13" t="s">
        <v>32</v>
      </c>
    </row>
    <row r="231" spans="1:7" ht="28.8" x14ac:dyDescent="0.3">
      <c r="A231" s="13" t="s">
        <v>9439</v>
      </c>
      <c r="B231" s="13" t="s">
        <v>9768</v>
      </c>
      <c r="C231" s="13" t="s">
        <v>9769</v>
      </c>
      <c r="G231" s="13" t="s">
        <v>32</v>
      </c>
    </row>
    <row r="232" spans="1:7" ht="28.8" x14ac:dyDescent="0.3">
      <c r="A232" s="13" t="s">
        <v>9439</v>
      </c>
      <c r="B232" s="13" t="s">
        <v>9770</v>
      </c>
      <c r="C232" s="13" t="s">
        <v>9771</v>
      </c>
      <c r="G232" s="13" t="s">
        <v>32</v>
      </c>
    </row>
    <row r="233" spans="1:7" ht="28.8" x14ac:dyDescent="0.3">
      <c r="A233" s="13" t="s">
        <v>9439</v>
      </c>
      <c r="B233" s="13" t="s">
        <v>9772</v>
      </c>
      <c r="C233" s="13" t="s">
        <v>9769</v>
      </c>
      <c r="G233" s="13" t="s">
        <v>32</v>
      </c>
    </row>
    <row r="234" spans="1:7" ht="28.8" x14ac:dyDescent="0.3">
      <c r="A234" s="13" t="s">
        <v>9439</v>
      </c>
      <c r="B234" s="13" t="s">
        <v>9773</v>
      </c>
      <c r="C234" s="13" t="s">
        <v>9774</v>
      </c>
      <c r="G234" s="13" t="s">
        <v>32</v>
      </c>
    </row>
    <row r="235" spans="1:7" ht="28.8" x14ac:dyDescent="0.3">
      <c r="A235" s="13" t="s">
        <v>9439</v>
      </c>
      <c r="B235" s="13" t="s">
        <v>9775</v>
      </c>
      <c r="C235" s="13" t="s">
        <v>9776</v>
      </c>
      <c r="G235" s="13" t="s">
        <v>32</v>
      </c>
    </row>
    <row r="236" spans="1:7" ht="28.8" x14ac:dyDescent="0.3">
      <c r="A236" s="13" t="s">
        <v>9439</v>
      </c>
      <c r="B236" s="13" t="s">
        <v>9777</v>
      </c>
      <c r="C236" s="13" t="s">
        <v>9769</v>
      </c>
      <c r="G236" s="13" t="s">
        <v>32</v>
      </c>
    </row>
    <row r="237" spans="1:7" ht="28.8" x14ac:dyDescent="0.3">
      <c r="A237" s="13" t="s">
        <v>9439</v>
      </c>
      <c r="B237" s="13" t="s">
        <v>9778</v>
      </c>
      <c r="C237" s="13" t="s">
        <v>9774</v>
      </c>
      <c r="G237" s="13" t="s">
        <v>32</v>
      </c>
    </row>
    <row r="238" spans="1:7" ht="28.8" x14ac:dyDescent="0.3">
      <c r="A238" s="13" t="s">
        <v>9439</v>
      </c>
      <c r="B238" s="13" t="s">
        <v>9779</v>
      </c>
      <c r="C238" s="13" t="s">
        <v>9776</v>
      </c>
      <c r="G238" s="13" t="s">
        <v>32</v>
      </c>
    </row>
    <row r="239" spans="1:7" ht="28.8" x14ac:dyDescent="0.3">
      <c r="A239" s="13" t="s">
        <v>9439</v>
      </c>
      <c r="B239" s="13" t="s">
        <v>9780</v>
      </c>
      <c r="C239" s="13" t="s">
        <v>9781</v>
      </c>
      <c r="G239" s="13" t="s">
        <v>32</v>
      </c>
    </row>
    <row r="240" spans="1:7" ht="28.8" x14ac:dyDescent="0.3">
      <c r="A240" s="13" t="s">
        <v>9439</v>
      </c>
      <c r="B240" s="13" t="s">
        <v>9782</v>
      </c>
      <c r="C240" s="13" t="s">
        <v>9783</v>
      </c>
      <c r="G240" s="13" t="s">
        <v>32</v>
      </c>
    </row>
    <row r="241" spans="1:7" ht="28.8" x14ac:dyDescent="0.3">
      <c r="A241" s="13" t="s">
        <v>9439</v>
      </c>
      <c r="B241" s="13" t="s">
        <v>9784</v>
      </c>
      <c r="C241" s="13" t="s">
        <v>9785</v>
      </c>
      <c r="G241" s="13" t="s">
        <v>32</v>
      </c>
    </row>
    <row r="242" spans="1:7" ht="28.8" x14ac:dyDescent="0.3">
      <c r="A242" s="13" t="s">
        <v>9439</v>
      </c>
      <c r="B242" s="13" t="s">
        <v>9786</v>
      </c>
      <c r="C242" s="13" t="s">
        <v>9787</v>
      </c>
      <c r="G242" s="13" t="s">
        <v>32</v>
      </c>
    </row>
    <row r="243" spans="1:7" ht="28.8" x14ac:dyDescent="0.3">
      <c r="A243" s="13" t="s">
        <v>9439</v>
      </c>
      <c r="B243" s="13" t="s">
        <v>9788</v>
      </c>
      <c r="C243" s="13" t="s">
        <v>9789</v>
      </c>
      <c r="G243" s="13" t="s">
        <v>32</v>
      </c>
    </row>
    <row r="244" spans="1:7" ht="28.8" x14ac:dyDescent="0.3">
      <c r="A244" s="13" t="s">
        <v>9439</v>
      </c>
      <c r="B244" s="13" t="s">
        <v>9790</v>
      </c>
      <c r="C244" s="13" t="s">
        <v>9791</v>
      </c>
      <c r="G244" s="13" t="s">
        <v>32</v>
      </c>
    </row>
    <row r="245" spans="1:7" ht="28.8" x14ac:dyDescent="0.3">
      <c r="A245" s="13" t="s">
        <v>9439</v>
      </c>
      <c r="B245" s="13" t="s">
        <v>9792</v>
      </c>
      <c r="C245" s="13" t="s">
        <v>9793</v>
      </c>
      <c r="G245" s="13" t="s">
        <v>32</v>
      </c>
    </row>
    <row r="246" spans="1:7" ht="28.8" x14ac:dyDescent="0.3">
      <c r="A246" s="13" t="s">
        <v>9439</v>
      </c>
      <c r="B246" s="13" t="s">
        <v>9794</v>
      </c>
      <c r="C246" s="13" t="s">
        <v>9795</v>
      </c>
      <c r="G246" s="13" t="s">
        <v>32</v>
      </c>
    </row>
    <row r="247" spans="1:7" ht="28.8" x14ac:dyDescent="0.3">
      <c r="A247" s="13" t="s">
        <v>9439</v>
      </c>
      <c r="B247" s="13" t="s">
        <v>9796</v>
      </c>
      <c r="C247" s="13" t="s">
        <v>9797</v>
      </c>
      <c r="G247" s="13" t="s">
        <v>32</v>
      </c>
    </row>
    <row r="248" spans="1:7" ht="28.8" x14ac:dyDescent="0.3">
      <c r="A248" s="13" t="s">
        <v>9439</v>
      </c>
      <c r="B248" s="13" t="s">
        <v>9798</v>
      </c>
      <c r="C248" s="13" t="s">
        <v>9799</v>
      </c>
      <c r="G248" s="13" t="s">
        <v>32</v>
      </c>
    </row>
    <row r="249" spans="1:7" ht="28.8" x14ac:dyDescent="0.3">
      <c r="A249" s="13" t="s">
        <v>9439</v>
      </c>
      <c r="B249" s="13" t="s">
        <v>9800</v>
      </c>
      <c r="C249" s="13" t="s">
        <v>9801</v>
      </c>
      <c r="G249" s="13" t="s">
        <v>32</v>
      </c>
    </row>
    <row r="250" spans="1:7" ht="43.2" x14ac:dyDescent="0.3">
      <c r="A250" s="13" t="s">
        <v>9439</v>
      </c>
      <c r="B250" s="13" t="s">
        <v>9802</v>
      </c>
      <c r="C250" s="13" t="s">
        <v>9585</v>
      </c>
      <c r="G250" s="13" t="s">
        <v>32</v>
      </c>
    </row>
    <row r="251" spans="1:7" ht="28.8" x14ac:dyDescent="0.3">
      <c r="A251" s="13" t="s">
        <v>9439</v>
      </c>
      <c r="B251" s="13" t="s">
        <v>9803</v>
      </c>
      <c r="C251" s="13" t="s">
        <v>9804</v>
      </c>
      <c r="G251" s="13" t="s">
        <v>32</v>
      </c>
    </row>
    <row r="252" spans="1:7" ht="57.6" x14ac:dyDescent="0.3">
      <c r="A252" s="13" t="s">
        <v>9439</v>
      </c>
      <c r="B252" s="13" t="s">
        <v>9805</v>
      </c>
      <c r="C252" s="13" t="s">
        <v>9587</v>
      </c>
      <c r="G252" s="13" t="s">
        <v>32</v>
      </c>
    </row>
    <row r="253" spans="1:7" ht="86.4" x14ac:dyDescent="0.3">
      <c r="A253" s="13" t="s">
        <v>9439</v>
      </c>
      <c r="B253" s="13" t="s">
        <v>9806</v>
      </c>
      <c r="C253" s="13" t="s">
        <v>9807</v>
      </c>
      <c r="G253" s="13" t="s">
        <v>32</v>
      </c>
    </row>
    <row r="254" spans="1:7" ht="28.8" x14ac:dyDescent="0.3">
      <c r="A254" s="13" t="s">
        <v>9439</v>
      </c>
      <c r="B254" s="13" t="s">
        <v>9808</v>
      </c>
      <c r="C254" s="13" t="s">
        <v>9589</v>
      </c>
      <c r="G254" s="13" t="s">
        <v>32</v>
      </c>
    </row>
    <row r="255" spans="1:7" ht="28.8" x14ac:dyDescent="0.3">
      <c r="A255" s="13" t="s">
        <v>9439</v>
      </c>
      <c r="B255" s="13" t="s">
        <v>9809</v>
      </c>
      <c r="C255" s="13" t="s">
        <v>9795</v>
      </c>
      <c r="G255" s="13" t="s">
        <v>32</v>
      </c>
    </row>
    <row r="256" spans="1:7" ht="28.8" x14ac:dyDescent="0.3">
      <c r="A256" s="13" t="s">
        <v>9439</v>
      </c>
      <c r="B256" s="13" t="s">
        <v>9810</v>
      </c>
      <c r="C256" s="13" t="s">
        <v>9811</v>
      </c>
      <c r="G256" s="13" t="s">
        <v>32</v>
      </c>
    </row>
    <row r="257" spans="1:7" ht="28.8" x14ac:dyDescent="0.3">
      <c r="A257" s="13" t="s">
        <v>9439</v>
      </c>
      <c r="B257" s="13" t="s">
        <v>9812</v>
      </c>
      <c r="C257" s="13" t="s">
        <v>9813</v>
      </c>
      <c r="G257" s="13" t="s">
        <v>32</v>
      </c>
    </row>
    <row r="258" spans="1:7" ht="28.8" x14ac:dyDescent="0.3">
      <c r="A258" s="13" t="s">
        <v>9439</v>
      </c>
      <c r="B258" s="13" t="s">
        <v>9814</v>
      </c>
      <c r="C258" s="13" t="s">
        <v>9815</v>
      </c>
      <c r="G258" s="13" t="s">
        <v>32</v>
      </c>
    </row>
    <row r="259" spans="1:7" ht="28.8" x14ac:dyDescent="0.3">
      <c r="A259" s="13" t="s">
        <v>9439</v>
      </c>
      <c r="B259" s="13" t="s">
        <v>9816</v>
      </c>
      <c r="C259" s="13" t="s">
        <v>9793</v>
      </c>
      <c r="G259" s="13" t="s">
        <v>32</v>
      </c>
    </row>
    <row r="260" spans="1:7" ht="28.8" x14ac:dyDescent="0.3">
      <c r="A260" s="13" t="s">
        <v>9439</v>
      </c>
      <c r="B260" s="13" t="s">
        <v>9817</v>
      </c>
      <c r="C260" s="13" t="s">
        <v>9795</v>
      </c>
      <c r="G260" s="13" t="s">
        <v>32</v>
      </c>
    </row>
    <row r="261" spans="1:7" ht="57.6" x14ac:dyDescent="0.3">
      <c r="A261" s="13" t="s">
        <v>9439</v>
      </c>
      <c r="B261" s="13" t="s">
        <v>9818</v>
      </c>
      <c r="C261" s="13" t="s">
        <v>9819</v>
      </c>
      <c r="G261" s="13" t="s">
        <v>32</v>
      </c>
    </row>
    <row r="262" spans="1:7" ht="28.8" x14ac:dyDescent="0.3">
      <c r="A262" s="13" t="s">
        <v>9439</v>
      </c>
      <c r="B262" s="13" t="s">
        <v>9820</v>
      </c>
      <c r="C262" s="13" t="s">
        <v>9795</v>
      </c>
      <c r="G262" s="13" t="s">
        <v>32</v>
      </c>
    </row>
    <row r="263" spans="1:7" ht="28.8" x14ac:dyDescent="0.3">
      <c r="A263" s="13" t="s">
        <v>9439</v>
      </c>
      <c r="B263" s="13" t="s">
        <v>9821</v>
      </c>
      <c r="C263" s="13" t="s">
        <v>9793</v>
      </c>
      <c r="G263" s="13" t="s">
        <v>32</v>
      </c>
    </row>
    <row r="264" spans="1:7" ht="28.8" x14ac:dyDescent="0.3">
      <c r="A264" s="13" t="s">
        <v>9439</v>
      </c>
      <c r="B264" s="13" t="s">
        <v>9822</v>
      </c>
      <c r="C264" s="13" t="s">
        <v>9795</v>
      </c>
      <c r="G264" s="13" t="s">
        <v>32</v>
      </c>
    </row>
    <row r="265" spans="1:7" ht="28.8" x14ac:dyDescent="0.3">
      <c r="A265" s="13" t="s">
        <v>9439</v>
      </c>
      <c r="B265" s="13" t="s">
        <v>9823</v>
      </c>
      <c r="C265" s="13" t="s">
        <v>9523</v>
      </c>
      <c r="G265" s="13" t="s">
        <v>32</v>
      </c>
    </row>
    <row r="266" spans="1:7" ht="43.2" x14ac:dyDescent="0.3">
      <c r="A266" s="13" t="s">
        <v>9439</v>
      </c>
      <c r="B266" s="13" t="s">
        <v>9824</v>
      </c>
      <c r="C266" s="13" t="s">
        <v>9525</v>
      </c>
      <c r="G266" s="13" t="s">
        <v>32</v>
      </c>
    </row>
    <row r="267" spans="1:7" ht="28.8" x14ac:dyDescent="0.3">
      <c r="A267" s="13" t="s">
        <v>9439</v>
      </c>
      <c r="B267" s="13" t="s">
        <v>9825</v>
      </c>
      <c r="C267" s="13" t="s">
        <v>9694</v>
      </c>
      <c r="G267" s="13" t="s">
        <v>32</v>
      </c>
    </row>
    <row r="268" spans="1:7" x14ac:dyDescent="0.3">
      <c r="A268" s="13" t="s">
        <v>9439</v>
      </c>
      <c r="B268" s="13" t="s">
        <v>9826</v>
      </c>
      <c r="C268" s="13" t="s">
        <v>9696</v>
      </c>
      <c r="G268" s="13" t="s">
        <v>32</v>
      </c>
    </row>
    <row r="269" spans="1:7" ht="43.2" x14ac:dyDescent="0.3">
      <c r="A269" s="13" t="s">
        <v>9439</v>
      </c>
      <c r="B269" s="13" t="s">
        <v>9827</v>
      </c>
      <c r="C269" s="13" t="s">
        <v>9828</v>
      </c>
      <c r="G269" s="13" t="s">
        <v>32</v>
      </c>
    </row>
    <row r="270" spans="1:7" ht="28.8" x14ac:dyDescent="0.3">
      <c r="A270" s="13" t="s">
        <v>9829</v>
      </c>
      <c r="B270" s="13" t="s">
        <v>9830</v>
      </c>
      <c r="C270" s="13" t="s">
        <v>9831</v>
      </c>
      <c r="D270" s="13">
        <v>1452</v>
      </c>
      <c r="E270" s="13" t="s">
        <v>9832</v>
      </c>
      <c r="F270" s="13">
        <v>5</v>
      </c>
      <c r="G270" s="13" t="s">
        <v>9833</v>
      </c>
    </row>
    <row r="271" spans="1:7" ht="28.8" x14ac:dyDescent="0.3">
      <c r="A271" s="13" t="s">
        <v>9829</v>
      </c>
      <c r="B271" s="13" t="s">
        <v>9834</v>
      </c>
      <c r="C271" s="13" t="s">
        <v>9835</v>
      </c>
      <c r="D271" s="13">
        <v>10</v>
      </c>
      <c r="E271" s="13" t="s">
        <v>9836</v>
      </c>
      <c r="F271" s="13">
        <v>60</v>
      </c>
      <c r="G271" s="13" t="s">
        <v>9837</v>
      </c>
    </row>
    <row r="272" spans="1:7" ht="28.8" x14ac:dyDescent="0.3">
      <c r="A272" s="13" t="s">
        <v>9829</v>
      </c>
      <c r="B272" s="13" t="s">
        <v>9834</v>
      </c>
      <c r="C272" s="13" t="s">
        <v>9835</v>
      </c>
      <c r="D272" s="13">
        <v>10</v>
      </c>
      <c r="E272" s="13" t="s">
        <v>9836</v>
      </c>
      <c r="F272" s="13">
        <v>60</v>
      </c>
      <c r="G272" s="13" t="s">
        <v>9837</v>
      </c>
    </row>
    <row r="273" spans="1:7" ht="28.8" x14ac:dyDescent="0.3">
      <c r="A273" s="13" t="s">
        <v>9829</v>
      </c>
      <c r="B273" s="13" t="s">
        <v>9834</v>
      </c>
      <c r="C273" s="13" t="s">
        <v>9835</v>
      </c>
      <c r="D273" s="13">
        <v>10</v>
      </c>
      <c r="E273" s="13" t="s">
        <v>9836</v>
      </c>
      <c r="F273" s="13">
        <v>60</v>
      </c>
      <c r="G273" s="13" t="s">
        <v>9837</v>
      </c>
    </row>
    <row r="274" spans="1:7" ht="331.2" x14ac:dyDescent="0.3">
      <c r="A274" s="13" t="s">
        <v>9829</v>
      </c>
      <c r="B274" s="13" t="s">
        <v>9838</v>
      </c>
      <c r="C274" s="13" t="s">
        <v>9839</v>
      </c>
      <c r="D274" s="13">
        <v>11</v>
      </c>
      <c r="E274" s="13" t="s">
        <v>9832</v>
      </c>
      <c r="F274" s="13">
        <v>5</v>
      </c>
      <c r="G274" s="13" t="s">
        <v>13105</v>
      </c>
    </row>
    <row r="275" spans="1:7" ht="331.2" x14ac:dyDescent="0.3">
      <c r="A275" s="13" t="s">
        <v>9829</v>
      </c>
      <c r="B275" s="13" t="s">
        <v>9838</v>
      </c>
      <c r="C275" s="13" t="s">
        <v>9839</v>
      </c>
      <c r="D275" s="13">
        <v>11</v>
      </c>
      <c r="E275" s="13" t="s">
        <v>9832</v>
      </c>
      <c r="F275" s="13">
        <v>5</v>
      </c>
      <c r="G275" s="13" t="s">
        <v>13105</v>
      </c>
    </row>
    <row r="276" spans="1:7" ht="331.2" x14ac:dyDescent="0.3">
      <c r="A276" s="13" t="s">
        <v>9829</v>
      </c>
      <c r="B276" s="13" t="s">
        <v>9838</v>
      </c>
      <c r="C276" s="13" t="s">
        <v>9839</v>
      </c>
      <c r="D276" s="13">
        <v>11</v>
      </c>
      <c r="E276" s="13" t="s">
        <v>9832</v>
      </c>
      <c r="F276" s="13">
        <v>5</v>
      </c>
      <c r="G276" s="13" t="s">
        <v>13105</v>
      </c>
    </row>
    <row r="277" spans="1:7" ht="28.8" x14ac:dyDescent="0.3">
      <c r="A277" s="13" t="s">
        <v>9829</v>
      </c>
      <c r="B277" s="13" t="s">
        <v>9840</v>
      </c>
      <c r="C277" s="13" t="s">
        <v>9841</v>
      </c>
      <c r="D277" s="13">
        <v>12</v>
      </c>
      <c r="E277" s="13" t="s">
        <v>9836</v>
      </c>
      <c r="F277" s="13">
        <v>60</v>
      </c>
      <c r="G277" s="13" t="s">
        <v>9837</v>
      </c>
    </row>
    <row r="278" spans="1:7" ht="28.8" x14ac:dyDescent="0.3">
      <c r="A278" s="13" t="s">
        <v>9829</v>
      </c>
      <c r="B278" s="13" t="s">
        <v>9840</v>
      </c>
      <c r="C278" s="13" t="s">
        <v>9841</v>
      </c>
      <c r="D278" s="13">
        <v>12</v>
      </c>
      <c r="E278" s="13" t="s">
        <v>9836</v>
      </c>
      <c r="F278" s="13">
        <v>60</v>
      </c>
      <c r="G278" s="13" t="s">
        <v>9837</v>
      </c>
    </row>
    <row r="279" spans="1:7" ht="28.8" x14ac:dyDescent="0.3">
      <c r="A279" s="13" t="s">
        <v>9829</v>
      </c>
      <c r="B279" s="13" t="s">
        <v>9840</v>
      </c>
      <c r="C279" s="13" t="s">
        <v>9841</v>
      </c>
      <c r="D279" s="13">
        <v>12</v>
      </c>
      <c r="E279" s="13" t="s">
        <v>9836</v>
      </c>
      <c r="F279" s="13">
        <v>60</v>
      </c>
      <c r="G279" s="13" t="s">
        <v>9837</v>
      </c>
    </row>
    <row r="280" spans="1:7" ht="302.39999999999998" x14ac:dyDescent="0.3">
      <c r="A280" s="13" t="s">
        <v>9829</v>
      </c>
      <c r="B280" s="13" t="s">
        <v>9842</v>
      </c>
      <c r="C280" s="13" t="s">
        <v>9843</v>
      </c>
      <c r="D280" s="13">
        <v>842</v>
      </c>
      <c r="E280" s="13" t="s">
        <v>9832</v>
      </c>
      <c r="F280" s="13">
        <v>5</v>
      </c>
      <c r="G280" s="13" t="s">
        <v>13106</v>
      </c>
    </row>
    <row r="281" spans="1:7" ht="302.39999999999998" x14ac:dyDescent="0.3">
      <c r="A281" s="13" t="s">
        <v>9829</v>
      </c>
      <c r="B281" s="13" t="s">
        <v>9842</v>
      </c>
      <c r="C281" s="13" t="s">
        <v>9843</v>
      </c>
      <c r="D281" s="13">
        <v>842</v>
      </c>
      <c r="E281" s="13" t="s">
        <v>9832</v>
      </c>
      <c r="F281" s="13">
        <v>5</v>
      </c>
      <c r="G281" s="13" t="s">
        <v>13106</v>
      </c>
    </row>
    <row r="282" spans="1:7" ht="302.39999999999998" x14ac:dyDescent="0.3">
      <c r="A282" s="13" t="s">
        <v>9829</v>
      </c>
      <c r="B282" s="13" t="s">
        <v>9842</v>
      </c>
      <c r="C282" s="13" t="s">
        <v>9843</v>
      </c>
      <c r="D282" s="13">
        <v>842</v>
      </c>
      <c r="E282" s="13" t="s">
        <v>9832</v>
      </c>
      <c r="F282" s="13">
        <v>5</v>
      </c>
      <c r="G282" s="13" t="s">
        <v>13106</v>
      </c>
    </row>
    <row r="283" spans="1:7" ht="302.39999999999998" x14ac:dyDescent="0.3">
      <c r="A283" s="13" t="s">
        <v>9829</v>
      </c>
      <c r="B283" s="13" t="s">
        <v>9844</v>
      </c>
      <c r="C283" s="13" t="s">
        <v>9845</v>
      </c>
      <c r="D283" s="13">
        <v>14</v>
      </c>
      <c r="E283" s="13" t="s">
        <v>9832</v>
      </c>
      <c r="F283" s="13">
        <v>5</v>
      </c>
      <c r="G283" s="13" t="s">
        <v>13107</v>
      </c>
    </row>
    <row r="284" spans="1:7" ht="302.39999999999998" x14ac:dyDescent="0.3">
      <c r="A284" s="13" t="s">
        <v>9829</v>
      </c>
      <c r="B284" s="13" t="s">
        <v>9844</v>
      </c>
      <c r="C284" s="13" t="s">
        <v>9845</v>
      </c>
      <c r="D284" s="13">
        <v>14</v>
      </c>
      <c r="E284" s="13" t="s">
        <v>9832</v>
      </c>
      <c r="F284" s="13">
        <v>5</v>
      </c>
      <c r="G284" s="13" t="s">
        <v>13107</v>
      </c>
    </row>
    <row r="285" spans="1:7" ht="302.39999999999998" x14ac:dyDescent="0.3">
      <c r="A285" s="13" t="s">
        <v>9829</v>
      </c>
      <c r="B285" s="13" t="s">
        <v>9844</v>
      </c>
      <c r="C285" s="13" t="s">
        <v>9845</v>
      </c>
      <c r="D285" s="13">
        <v>14</v>
      </c>
      <c r="E285" s="13" t="s">
        <v>9832</v>
      </c>
      <c r="F285" s="13">
        <v>5</v>
      </c>
      <c r="G285" s="13" t="s">
        <v>13107</v>
      </c>
    </row>
    <row r="286" spans="1:7" ht="403.2" x14ac:dyDescent="0.3">
      <c r="A286" s="13" t="s">
        <v>9829</v>
      </c>
      <c r="B286" s="13" t="s">
        <v>9846</v>
      </c>
      <c r="C286" s="13" t="s">
        <v>9847</v>
      </c>
      <c r="D286" s="13">
        <v>15</v>
      </c>
      <c r="E286" s="13" t="s">
        <v>9832</v>
      </c>
      <c r="F286" s="13">
        <v>5</v>
      </c>
      <c r="G286" s="13" t="s">
        <v>13108</v>
      </c>
    </row>
    <row r="287" spans="1:7" ht="403.2" x14ac:dyDescent="0.3">
      <c r="A287" s="13" t="s">
        <v>9829</v>
      </c>
      <c r="B287" s="13" t="s">
        <v>9846</v>
      </c>
      <c r="C287" s="13" t="s">
        <v>9847</v>
      </c>
      <c r="D287" s="13">
        <v>15</v>
      </c>
      <c r="E287" s="13" t="s">
        <v>9832</v>
      </c>
      <c r="F287" s="13">
        <v>5</v>
      </c>
      <c r="G287" s="13" t="s">
        <v>13108</v>
      </c>
    </row>
    <row r="288" spans="1:7" ht="403.2" x14ac:dyDescent="0.3">
      <c r="A288" s="13" t="s">
        <v>9829</v>
      </c>
      <c r="B288" s="13" t="s">
        <v>9846</v>
      </c>
      <c r="C288" s="13" t="s">
        <v>9847</v>
      </c>
      <c r="D288" s="13">
        <v>15</v>
      </c>
      <c r="E288" s="13" t="s">
        <v>9832</v>
      </c>
      <c r="F288" s="13">
        <v>5</v>
      </c>
      <c r="G288" s="13" t="s">
        <v>13108</v>
      </c>
    </row>
    <row r="289" spans="1:7" ht="86.4" x14ac:dyDescent="0.3">
      <c r="A289" s="13" t="s">
        <v>9829</v>
      </c>
      <c r="B289" s="13" t="s">
        <v>9848</v>
      </c>
      <c r="C289" s="13" t="s">
        <v>9849</v>
      </c>
      <c r="D289" s="13">
        <v>1121</v>
      </c>
      <c r="E289" s="13" t="s">
        <v>9832</v>
      </c>
      <c r="F289" s="13">
        <v>5</v>
      </c>
      <c r="G289" s="13" t="s">
        <v>9833</v>
      </c>
    </row>
    <row r="290" spans="1:7" ht="115.2" x14ac:dyDescent="0.3">
      <c r="A290" s="13" t="s">
        <v>9829</v>
      </c>
      <c r="B290" s="13" t="s">
        <v>9850</v>
      </c>
      <c r="C290" s="13" t="s">
        <v>9851</v>
      </c>
      <c r="D290" s="13">
        <v>24</v>
      </c>
      <c r="E290" s="13" t="s">
        <v>9832</v>
      </c>
      <c r="F290" s="13">
        <v>5</v>
      </c>
      <c r="G290" s="13" t="s">
        <v>13109</v>
      </c>
    </row>
    <row r="291" spans="1:7" ht="115.2" x14ac:dyDescent="0.3">
      <c r="A291" s="13" t="s">
        <v>9829</v>
      </c>
      <c r="B291" s="13" t="s">
        <v>9850</v>
      </c>
      <c r="C291" s="13" t="s">
        <v>9851</v>
      </c>
      <c r="D291" s="13">
        <v>24</v>
      </c>
      <c r="E291" s="13" t="s">
        <v>9832</v>
      </c>
      <c r="F291" s="13">
        <v>5</v>
      </c>
      <c r="G291" s="13" t="s">
        <v>13109</v>
      </c>
    </row>
    <row r="292" spans="1:7" ht="115.2" x14ac:dyDescent="0.3">
      <c r="A292" s="13" t="s">
        <v>9829</v>
      </c>
      <c r="B292" s="13" t="s">
        <v>9850</v>
      </c>
      <c r="C292" s="13" t="s">
        <v>9851</v>
      </c>
      <c r="D292" s="13">
        <v>24</v>
      </c>
      <c r="E292" s="13" t="s">
        <v>9832</v>
      </c>
      <c r="F292" s="13">
        <v>5</v>
      </c>
      <c r="G292" s="13" t="s">
        <v>13109</v>
      </c>
    </row>
    <row r="293" spans="1:7" ht="28.8" x14ac:dyDescent="0.3">
      <c r="A293" s="13" t="s">
        <v>9829</v>
      </c>
      <c r="B293" s="13" t="s">
        <v>113</v>
      </c>
      <c r="C293" s="13" t="s">
        <v>9852</v>
      </c>
      <c r="D293" s="13">
        <v>20</v>
      </c>
      <c r="E293" s="13" t="s">
        <v>9836</v>
      </c>
      <c r="F293" s="13">
        <v>80</v>
      </c>
      <c r="G293" s="13" t="s">
        <v>9837</v>
      </c>
    </row>
    <row r="294" spans="1:7" ht="28.8" x14ac:dyDescent="0.3">
      <c r="A294" s="13" t="s">
        <v>9829</v>
      </c>
      <c r="B294" s="13" t="s">
        <v>113</v>
      </c>
      <c r="C294" s="13" t="s">
        <v>9852</v>
      </c>
      <c r="D294" s="13">
        <v>20</v>
      </c>
      <c r="E294" s="13" t="s">
        <v>9836</v>
      </c>
      <c r="F294" s="13">
        <v>80</v>
      </c>
      <c r="G294" s="13" t="s">
        <v>9837</v>
      </c>
    </row>
    <row r="295" spans="1:7" ht="28.8" x14ac:dyDescent="0.3">
      <c r="A295" s="13" t="s">
        <v>9829</v>
      </c>
      <c r="B295" s="13" t="s">
        <v>113</v>
      </c>
      <c r="C295" s="13" t="s">
        <v>9852</v>
      </c>
      <c r="D295" s="13">
        <v>20</v>
      </c>
      <c r="E295" s="13" t="s">
        <v>9836</v>
      </c>
      <c r="F295" s="13">
        <v>80</v>
      </c>
      <c r="G295" s="13" t="s">
        <v>9837</v>
      </c>
    </row>
    <row r="296" spans="1:7" ht="259.2" x14ac:dyDescent="0.3">
      <c r="A296" s="13" t="s">
        <v>9829</v>
      </c>
      <c r="B296" s="13" t="s">
        <v>9853</v>
      </c>
      <c r="C296" s="13" t="s">
        <v>9854</v>
      </c>
      <c r="D296" s="13">
        <v>1311</v>
      </c>
      <c r="E296" s="13" t="s">
        <v>9832</v>
      </c>
      <c r="F296" s="13">
        <v>5</v>
      </c>
      <c r="G296" s="13" t="s">
        <v>13110</v>
      </c>
    </row>
    <row r="297" spans="1:7" ht="288" x14ac:dyDescent="0.3">
      <c r="A297" s="13" t="s">
        <v>9829</v>
      </c>
      <c r="B297" s="13" t="s">
        <v>9855</v>
      </c>
      <c r="C297" s="13" t="s">
        <v>9856</v>
      </c>
      <c r="D297" s="13">
        <v>21</v>
      </c>
      <c r="E297" s="13" t="s">
        <v>9836</v>
      </c>
      <c r="F297" s="13">
        <v>35</v>
      </c>
      <c r="G297" s="13" t="s">
        <v>13111</v>
      </c>
    </row>
    <row r="298" spans="1:7" ht="288" x14ac:dyDescent="0.3">
      <c r="A298" s="13" t="s">
        <v>9829</v>
      </c>
      <c r="B298" s="13" t="s">
        <v>9855</v>
      </c>
      <c r="C298" s="13" t="s">
        <v>9856</v>
      </c>
      <c r="D298" s="13">
        <v>21</v>
      </c>
      <c r="E298" s="13" t="s">
        <v>9836</v>
      </c>
      <c r="F298" s="13">
        <v>35</v>
      </c>
      <c r="G298" s="13" t="s">
        <v>13111</v>
      </c>
    </row>
    <row r="299" spans="1:7" ht="288" x14ac:dyDescent="0.3">
      <c r="A299" s="13" t="s">
        <v>9829</v>
      </c>
      <c r="B299" s="13" t="s">
        <v>9855</v>
      </c>
      <c r="C299" s="13" t="s">
        <v>9856</v>
      </c>
      <c r="D299" s="13">
        <v>21</v>
      </c>
      <c r="E299" s="13" t="s">
        <v>9836</v>
      </c>
      <c r="F299" s="13">
        <v>35</v>
      </c>
      <c r="G299" s="13" t="s">
        <v>13111</v>
      </c>
    </row>
    <row r="300" spans="1:7" ht="288" x14ac:dyDescent="0.3">
      <c r="A300" s="13" t="s">
        <v>9829</v>
      </c>
      <c r="B300" s="13" t="s">
        <v>9855</v>
      </c>
      <c r="C300" s="13" t="s">
        <v>9856</v>
      </c>
      <c r="D300" s="13">
        <v>21</v>
      </c>
      <c r="E300" s="13" t="s">
        <v>9836</v>
      </c>
      <c r="F300" s="13">
        <v>35</v>
      </c>
      <c r="G300" s="13" t="s">
        <v>13111</v>
      </c>
    </row>
    <row r="301" spans="1:7" ht="158.4" x14ac:dyDescent="0.3">
      <c r="A301" s="13" t="s">
        <v>9829</v>
      </c>
      <c r="B301" s="13" t="s">
        <v>9857</v>
      </c>
      <c r="C301" s="13" t="s">
        <v>9858</v>
      </c>
      <c r="D301" s="13">
        <v>22</v>
      </c>
      <c r="E301" s="13" t="s">
        <v>9832</v>
      </c>
      <c r="F301" s="13">
        <v>5</v>
      </c>
      <c r="G301" s="13" t="s">
        <v>13112</v>
      </c>
    </row>
    <row r="302" spans="1:7" ht="158.4" x14ac:dyDescent="0.3">
      <c r="A302" s="13" t="s">
        <v>9829</v>
      </c>
      <c r="B302" s="13" t="s">
        <v>9857</v>
      </c>
      <c r="C302" s="13" t="s">
        <v>9858</v>
      </c>
      <c r="D302" s="13">
        <v>22</v>
      </c>
      <c r="E302" s="13" t="s">
        <v>9832</v>
      </c>
      <c r="F302" s="13">
        <v>5</v>
      </c>
      <c r="G302" s="13" t="s">
        <v>13112</v>
      </c>
    </row>
    <row r="303" spans="1:7" ht="409.6" x14ac:dyDescent="0.3">
      <c r="A303" s="13" t="s">
        <v>9829</v>
      </c>
      <c r="B303" s="13" t="s">
        <v>9859</v>
      </c>
      <c r="C303" s="13" t="s">
        <v>9860</v>
      </c>
      <c r="D303" s="13">
        <v>679</v>
      </c>
      <c r="E303" s="13" t="s">
        <v>9832</v>
      </c>
      <c r="F303" s="13">
        <v>5</v>
      </c>
      <c r="G303" s="13" t="s">
        <v>13113</v>
      </c>
    </row>
    <row r="304" spans="1:7" ht="409.6" x14ac:dyDescent="0.3">
      <c r="A304" s="13" t="s">
        <v>9829</v>
      </c>
      <c r="B304" s="13" t="s">
        <v>9859</v>
      </c>
      <c r="C304" s="13" t="s">
        <v>9860</v>
      </c>
      <c r="D304" s="13">
        <v>679</v>
      </c>
      <c r="E304" s="13" t="s">
        <v>9832</v>
      </c>
      <c r="F304" s="13">
        <v>5</v>
      </c>
      <c r="G304" s="13" t="s">
        <v>13113</v>
      </c>
    </row>
    <row r="305" spans="1:7" ht="43.2" x14ac:dyDescent="0.3">
      <c r="A305" s="13" t="s">
        <v>9829</v>
      </c>
      <c r="B305" s="13" t="s">
        <v>9861</v>
      </c>
      <c r="C305" s="13" t="s">
        <v>9862</v>
      </c>
      <c r="D305" s="13">
        <v>517</v>
      </c>
      <c r="E305" s="13" t="s">
        <v>9863</v>
      </c>
      <c r="F305" s="13">
        <v>8</v>
      </c>
      <c r="G305" s="13" t="s">
        <v>9837</v>
      </c>
    </row>
    <row r="306" spans="1:7" ht="187.2" x14ac:dyDescent="0.3">
      <c r="A306" s="13" t="s">
        <v>9829</v>
      </c>
      <c r="B306" s="13" t="s">
        <v>9864</v>
      </c>
      <c r="C306" s="13" t="s">
        <v>9865</v>
      </c>
      <c r="D306" s="13">
        <v>498</v>
      </c>
      <c r="E306" s="13" t="s">
        <v>9832</v>
      </c>
      <c r="F306" s="13">
        <v>5</v>
      </c>
      <c r="G306" s="13" t="s">
        <v>13114</v>
      </c>
    </row>
    <row r="307" spans="1:7" ht="28.8" x14ac:dyDescent="0.3">
      <c r="A307" s="13" t="s">
        <v>9829</v>
      </c>
      <c r="B307" s="13" t="s">
        <v>9866</v>
      </c>
      <c r="C307" s="13" t="s">
        <v>9867</v>
      </c>
      <c r="D307" s="13">
        <v>202</v>
      </c>
      <c r="E307" s="13" t="s">
        <v>9836</v>
      </c>
      <c r="F307" s="13">
        <v>60</v>
      </c>
      <c r="G307" s="13" t="s">
        <v>9837</v>
      </c>
    </row>
    <row r="308" spans="1:7" ht="28.8" x14ac:dyDescent="0.3">
      <c r="A308" s="13" t="s">
        <v>9829</v>
      </c>
      <c r="B308" s="13" t="s">
        <v>9866</v>
      </c>
      <c r="C308" s="13" t="s">
        <v>9867</v>
      </c>
      <c r="D308" s="13">
        <v>202</v>
      </c>
      <c r="E308" s="13" t="s">
        <v>9836</v>
      </c>
      <c r="F308" s="13">
        <v>60</v>
      </c>
      <c r="G308" s="13" t="s">
        <v>9837</v>
      </c>
    </row>
    <row r="309" spans="1:7" ht="28.8" x14ac:dyDescent="0.3">
      <c r="A309" s="13" t="s">
        <v>9829</v>
      </c>
      <c r="B309" s="13" t="s">
        <v>9866</v>
      </c>
      <c r="C309" s="13" t="s">
        <v>9867</v>
      </c>
      <c r="D309" s="13">
        <v>202</v>
      </c>
      <c r="E309" s="13" t="s">
        <v>9836</v>
      </c>
      <c r="F309" s="13">
        <v>60</v>
      </c>
      <c r="G309" s="13" t="s">
        <v>9837</v>
      </c>
    </row>
    <row r="310" spans="1:7" ht="28.8" x14ac:dyDescent="0.3">
      <c r="A310" s="13" t="s">
        <v>9829</v>
      </c>
      <c r="B310" s="13" t="s">
        <v>9866</v>
      </c>
      <c r="C310" s="13" t="s">
        <v>9867</v>
      </c>
      <c r="D310" s="13">
        <v>202</v>
      </c>
      <c r="E310" s="13" t="s">
        <v>9836</v>
      </c>
      <c r="F310" s="13">
        <v>60</v>
      </c>
      <c r="G310" s="13" t="s">
        <v>9837</v>
      </c>
    </row>
    <row r="311" spans="1:7" ht="43.2" x14ac:dyDescent="0.3">
      <c r="A311" s="13" t="s">
        <v>9829</v>
      </c>
      <c r="B311" s="13" t="s">
        <v>9868</v>
      </c>
      <c r="C311" s="13" t="s">
        <v>9869</v>
      </c>
      <c r="D311" s="13">
        <v>344</v>
      </c>
      <c r="E311" s="13" t="s">
        <v>9836</v>
      </c>
      <c r="F311" s="13">
        <v>60</v>
      </c>
      <c r="G311" s="13" t="s">
        <v>9837</v>
      </c>
    </row>
    <row r="312" spans="1:7" ht="57.6" x14ac:dyDescent="0.3">
      <c r="A312" s="13" t="s">
        <v>9829</v>
      </c>
      <c r="B312" s="13" t="s">
        <v>9870</v>
      </c>
      <c r="C312" s="13" t="s">
        <v>9871</v>
      </c>
      <c r="D312" s="13">
        <v>715</v>
      </c>
      <c r="E312" s="13" t="s">
        <v>9836</v>
      </c>
      <c r="F312" s="13">
        <v>60</v>
      </c>
      <c r="G312" s="13" t="s">
        <v>9837</v>
      </c>
    </row>
    <row r="313" spans="1:7" ht="72" x14ac:dyDescent="0.3">
      <c r="A313" s="13" t="s">
        <v>9829</v>
      </c>
      <c r="B313" s="13" t="s">
        <v>9872</v>
      </c>
      <c r="C313" s="13" t="s">
        <v>9873</v>
      </c>
      <c r="D313" s="13">
        <v>351</v>
      </c>
      <c r="E313" s="13" t="s">
        <v>9836</v>
      </c>
      <c r="F313" s="13">
        <v>60</v>
      </c>
      <c r="G313" s="13" t="s">
        <v>9837</v>
      </c>
    </row>
    <row r="314" spans="1:7" ht="72" x14ac:dyDescent="0.3">
      <c r="A314" s="13" t="s">
        <v>9829</v>
      </c>
      <c r="B314" s="13" t="s">
        <v>9872</v>
      </c>
      <c r="C314" s="13" t="s">
        <v>9873</v>
      </c>
      <c r="D314" s="13">
        <v>351</v>
      </c>
      <c r="E314" s="13" t="s">
        <v>9836</v>
      </c>
      <c r="F314" s="13">
        <v>60</v>
      </c>
      <c r="G314" s="13" t="s">
        <v>9837</v>
      </c>
    </row>
    <row r="315" spans="1:7" ht="28.8" x14ac:dyDescent="0.3">
      <c r="A315" s="13" t="s">
        <v>9829</v>
      </c>
      <c r="B315" s="13" t="s">
        <v>9874</v>
      </c>
      <c r="C315" s="13" t="s">
        <v>9875</v>
      </c>
      <c r="D315" s="13">
        <v>26</v>
      </c>
      <c r="E315" s="13" t="s">
        <v>9863</v>
      </c>
      <c r="F315" s="13">
        <v>8</v>
      </c>
      <c r="G315" s="13" t="s">
        <v>9837</v>
      </c>
    </row>
    <row r="316" spans="1:7" ht="28.8" x14ac:dyDescent="0.3">
      <c r="A316" s="13" t="s">
        <v>9829</v>
      </c>
      <c r="B316" s="13" t="s">
        <v>9874</v>
      </c>
      <c r="C316" s="13" t="s">
        <v>9875</v>
      </c>
      <c r="D316" s="13">
        <v>26</v>
      </c>
      <c r="E316" s="13" t="s">
        <v>9863</v>
      </c>
      <c r="F316" s="13">
        <v>8</v>
      </c>
      <c r="G316" s="13" t="s">
        <v>9837</v>
      </c>
    </row>
    <row r="317" spans="1:7" ht="28.8" x14ac:dyDescent="0.3">
      <c r="A317" s="13" t="s">
        <v>9829</v>
      </c>
      <c r="B317" s="13" t="s">
        <v>9874</v>
      </c>
      <c r="C317" s="13" t="s">
        <v>9875</v>
      </c>
      <c r="D317" s="13">
        <v>26</v>
      </c>
      <c r="E317" s="13" t="s">
        <v>9863</v>
      </c>
      <c r="F317" s="13">
        <v>8</v>
      </c>
      <c r="G317" s="13" t="s">
        <v>9837</v>
      </c>
    </row>
    <row r="318" spans="1:7" ht="28.8" x14ac:dyDescent="0.3">
      <c r="A318" s="13" t="s">
        <v>9829</v>
      </c>
      <c r="B318" s="13" t="s">
        <v>9876</v>
      </c>
      <c r="C318" s="13" t="s">
        <v>9877</v>
      </c>
      <c r="D318" s="13">
        <v>27</v>
      </c>
      <c r="E318" s="13" t="s">
        <v>9863</v>
      </c>
      <c r="F318" s="13">
        <v>8</v>
      </c>
      <c r="G318" s="13" t="s">
        <v>9837</v>
      </c>
    </row>
    <row r="319" spans="1:7" ht="28.8" x14ac:dyDescent="0.3">
      <c r="A319" s="13" t="s">
        <v>9829</v>
      </c>
      <c r="B319" s="13" t="s">
        <v>9876</v>
      </c>
      <c r="C319" s="13" t="s">
        <v>9877</v>
      </c>
      <c r="D319" s="13">
        <v>27</v>
      </c>
      <c r="E319" s="13" t="s">
        <v>9863</v>
      </c>
      <c r="F319" s="13">
        <v>8</v>
      </c>
      <c r="G319" s="13" t="s">
        <v>9837</v>
      </c>
    </row>
    <row r="320" spans="1:7" ht="28.8" x14ac:dyDescent="0.3">
      <c r="A320" s="13" t="s">
        <v>9829</v>
      </c>
      <c r="B320" s="13" t="s">
        <v>9876</v>
      </c>
      <c r="C320" s="13" t="s">
        <v>9877</v>
      </c>
      <c r="D320" s="13">
        <v>27</v>
      </c>
      <c r="E320" s="13" t="s">
        <v>9863</v>
      </c>
      <c r="F320" s="13">
        <v>8</v>
      </c>
      <c r="G320" s="13" t="s">
        <v>9837</v>
      </c>
    </row>
    <row r="321" spans="1:7" ht="28.8" x14ac:dyDescent="0.3">
      <c r="A321" s="13" t="s">
        <v>9829</v>
      </c>
      <c r="B321" s="13" t="s">
        <v>9878</v>
      </c>
      <c r="C321" s="13" t="s">
        <v>9879</v>
      </c>
      <c r="D321" s="13">
        <v>524</v>
      </c>
      <c r="E321" s="13" t="s">
        <v>9880</v>
      </c>
      <c r="F321" s="13">
        <v>6.2</v>
      </c>
      <c r="G321" s="13" t="s">
        <v>9837</v>
      </c>
    </row>
    <row r="322" spans="1:7" ht="28.8" x14ac:dyDescent="0.3">
      <c r="A322" s="13" t="s">
        <v>9829</v>
      </c>
      <c r="B322" s="13" t="s">
        <v>9881</v>
      </c>
      <c r="C322" s="13" t="s">
        <v>9882</v>
      </c>
      <c r="D322" s="13">
        <v>616</v>
      </c>
      <c r="E322" s="13" t="s">
        <v>9863</v>
      </c>
      <c r="F322" s="13">
        <v>8</v>
      </c>
      <c r="G322" s="13" t="s">
        <v>9837</v>
      </c>
    </row>
    <row r="323" spans="1:7" ht="331.2" x14ac:dyDescent="0.3">
      <c r="A323" s="13" t="s">
        <v>9829</v>
      </c>
      <c r="B323" s="13" t="s">
        <v>9883</v>
      </c>
      <c r="C323" s="13" t="s">
        <v>9884</v>
      </c>
      <c r="D323" s="13">
        <v>617</v>
      </c>
      <c r="E323" s="13" t="s">
        <v>9832</v>
      </c>
      <c r="F323" s="13">
        <v>5</v>
      </c>
      <c r="G323" s="13" t="s">
        <v>13115</v>
      </c>
    </row>
    <row r="324" spans="1:7" ht="28.8" x14ac:dyDescent="0.3">
      <c r="A324" s="13" t="s">
        <v>9829</v>
      </c>
      <c r="B324" s="13" t="s">
        <v>9885</v>
      </c>
      <c r="C324" s="13" t="s">
        <v>9886</v>
      </c>
      <c r="D324" s="13">
        <v>525</v>
      </c>
      <c r="E324" s="13" t="s">
        <v>9880</v>
      </c>
      <c r="F324" s="13">
        <v>6.2</v>
      </c>
      <c r="G324" s="13" t="s">
        <v>9837</v>
      </c>
    </row>
    <row r="325" spans="1:7" ht="409.6" x14ac:dyDescent="0.3">
      <c r="A325" s="13" t="s">
        <v>9829</v>
      </c>
      <c r="B325" s="13" t="s">
        <v>9887</v>
      </c>
      <c r="C325" s="13" t="s">
        <v>9888</v>
      </c>
      <c r="D325" s="13">
        <v>30</v>
      </c>
      <c r="E325" s="13" t="s">
        <v>9832</v>
      </c>
      <c r="F325" s="13">
        <v>5</v>
      </c>
      <c r="G325" s="13" t="s">
        <v>13116</v>
      </c>
    </row>
    <row r="326" spans="1:7" ht="409.6" x14ac:dyDescent="0.3">
      <c r="A326" s="13" t="s">
        <v>9829</v>
      </c>
      <c r="B326" s="13" t="s">
        <v>9887</v>
      </c>
      <c r="C326" s="13" t="s">
        <v>9888</v>
      </c>
      <c r="D326" s="13">
        <v>30</v>
      </c>
      <c r="E326" s="13" t="s">
        <v>9832</v>
      </c>
      <c r="F326" s="13">
        <v>5</v>
      </c>
      <c r="G326" s="13" t="s">
        <v>13116</v>
      </c>
    </row>
    <row r="327" spans="1:7" ht="409.6" x14ac:dyDescent="0.3">
      <c r="A327" s="13" t="s">
        <v>9829</v>
      </c>
      <c r="B327" s="13" t="s">
        <v>9887</v>
      </c>
      <c r="C327" s="13" t="s">
        <v>9888</v>
      </c>
      <c r="D327" s="13">
        <v>30</v>
      </c>
      <c r="E327" s="13" t="s">
        <v>9832</v>
      </c>
      <c r="F327" s="13">
        <v>5</v>
      </c>
      <c r="G327" s="13" t="s">
        <v>13116</v>
      </c>
    </row>
    <row r="328" spans="1:7" ht="409.6" x14ac:dyDescent="0.3">
      <c r="A328" s="13" t="s">
        <v>9829</v>
      </c>
      <c r="B328" s="13" t="s">
        <v>9887</v>
      </c>
      <c r="C328" s="13" t="s">
        <v>9888</v>
      </c>
      <c r="D328" s="13">
        <v>30</v>
      </c>
      <c r="E328" s="13" t="s">
        <v>9832</v>
      </c>
      <c r="F328" s="13">
        <v>5</v>
      </c>
      <c r="G328" s="13" t="s">
        <v>13116</v>
      </c>
    </row>
    <row r="329" spans="1:7" ht="28.8" x14ac:dyDescent="0.3">
      <c r="A329" s="13" t="s">
        <v>9829</v>
      </c>
      <c r="B329" s="13" t="s">
        <v>9889</v>
      </c>
      <c r="C329" s="13" t="s">
        <v>9890</v>
      </c>
      <c r="D329" s="13">
        <v>1598</v>
      </c>
      <c r="E329" s="13" t="s">
        <v>9836</v>
      </c>
      <c r="F329" s="13">
        <v>60</v>
      </c>
      <c r="G329" s="13" t="s">
        <v>9837</v>
      </c>
    </row>
    <row r="330" spans="1:7" ht="28.8" x14ac:dyDescent="0.3">
      <c r="A330" s="13" t="s">
        <v>9829</v>
      </c>
      <c r="B330" s="13" t="s">
        <v>9889</v>
      </c>
      <c r="C330" s="13" t="s">
        <v>9890</v>
      </c>
      <c r="D330" s="13">
        <v>1598</v>
      </c>
      <c r="E330" s="13" t="s">
        <v>9836</v>
      </c>
      <c r="F330" s="13">
        <v>60</v>
      </c>
      <c r="G330" s="13" t="s">
        <v>9837</v>
      </c>
    </row>
    <row r="331" spans="1:7" ht="43.2" x14ac:dyDescent="0.3">
      <c r="A331" s="13" t="s">
        <v>9829</v>
      </c>
      <c r="B331" s="13" t="s">
        <v>9891</v>
      </c>
      <c r="C331" s="13" t="s">
        <v>9892</v>
      </c>
      <c r="D331" s="13">
        <v>1075</v>
      </c>
      <c r="E331" s="13" t="s">
        <v>9880</v>
      </c>
      <c r="F331" s="13">
        <v>2.2000000000000002</v>
      </c>
      <c r="G331" s="13" t="s">
        <v>9837</v>
      </c>
    </row>
    <row r="332" spans="1:7" ht="244.8" x14ac:dyDescent="0.3">
      <c r="A332" s="13" t="s">
        <v>9829</v>
      </c>
      <c r="B332" s="13" t="s">
        <v>9893</v>
      </c>
      <c r="C332" s="13" t="s">
        <v>9894</v>
      </c>
      <c r="D332" s="13">
        <v>1296</v>
      </c>
      <c r="E332" s="13" t="s">
        <v>9832</v>
      </c>
      <c r="F332" s="13">
        <v>5</v>
      </c>
      <c r="G332" s="13" t="s">
        <v>13117</v>
      </c>
    </row>
    <row r="333" spans="1:7" ht="28.8" x14ac:dyDescent="0.3">
      <c r="A333" s="13" t="s">
        <v>9829</v>
      </c>
      <c r="B333" s="13" t="s">
        <v>9895</v>
      </c>
      <c r="C333" s="13" t="s">
        <v>9896</v>
      </c>
      <c r="D333" s="13">
        <v>33</v>
      </c>
      <c r="E333" s="13" t="s">
        <v>9836</v>
      </c>
      <c r="F333" s="13">
        <v>35</v>
      </c>
      <c r="G333" s="13" t="s">
        <v>9837</v>
      </c>
    </row>
    <row r="334" spans="1:7" ht="28.8" x14ac:dyDescent="0.3">
      <c r="A334" s="13" t="s">
        <v>9829</v>
      </c>
      <c r="B334" s="13" t="s">
        <v>9895</v>
      </c>
      <c r="C334" s="13" t="s">
        <v>9896</v>
      </c>
      <c r="D334" s="13">
        <v>33</v>
      </c>
      <c r="E334" s="13" t="s">
        <v>9836</v>
      </c>
      <c r="F334" s="13">
        <v>35</v>
      </c>
      <c r="G334" s="13" t="s">
        <v>9837</v>
      </c>
    </row>
    <row r="335" spans="1:7" ht="28.8" x14ac:dyDescent="0.3">
      <c r="A335" s="13" t="s">
        <v>9829</v>
      </c>
      <c r="B335" s="13" t="s">
        <v>9897</v>
      </c>
      <c r="C335" s="13" t="s">
        <v>9898</v>
      </c>
      <c r="D335" s="13">
        <v>1424</v>
      </c>
      <c r="E335" s="13" t="s">
        <v>9836</v>
      </c>
      <c r="F335" s="13">
        <v>35</v>
      </c>
      <c r="G335" s="13" t="s">
        <v>9837</v>
      </c>
    </row>
    <row r="336" spans="1:7" ht="28.8" x14ac:dyDescent="0.3">
      <c r="A336" s="13" t="s">
        <v>9829</v>
      </c>
      <c r="B336" s="13" t="s">
        <v>9897</v>
      </c>
      <c r="C336" s="13" t="s">
        <v>9898</v>
      </c>
      <c r="D336" s="13">
        <v>1424</v>
      </c>
      <c r="E336" s="13" t="s">
        <v>9836</v>
      </c>
      <c r="F336" s="13">
        <v>35</v>
      </c>
      <c r="G336" s="13" t="s">
        <v>9837</v>
      </c>
    </row>
    <row r="337" spans="1:7" ht="28.8" x14ac:dyDescent="0.3">
      <c r="A337" s="13" t="s">
        <v>9829</v>
      </c>
      <c r="B337" s="13" t="s">
        <v>9899</v>
      </c>
      <c r="C337" s="13" t="s">
        <v>9900</v>
      </c>
      <c r="D337" s="13">
        <v>542</v>
      </c>
      <c r="E337" s="13" t="s">
        <v>9901</v>
      </c>
      <c r="F337" s="13">
        <v>2</v>
      </c>
      <c r="G337" s="13" t="s">
        <v>9837</v>
      </c>
    </row>
    <row r="338" spans="1:7" ht="72" x14ac:dyDescent="0.3">
      <c r="A338" s="13" t="s">
        <v>9829</v>
      </c>
      <c r="B338" s="13" t="s">
        <v>9902</v>
      </c>
      <c r="C338" s="13" t="s">
        <v>9903</v>
      </c>
      <c r="D338" s="13">
        <v>36</v>
      </c>
      <c r="E338" s="13" t="s">
        <v>9832</v>
      </c>
      <c r="F338" s="13">
        <v>5</v>
      </c>
      <c r="G338" s="13" t="s">
        <v>9833</v>
      </c>
    </row>
    <row r="339" spans="1:7" ht="43.2" x14ac:dyDescent="0.3">
      <c r="A339" s="13" t="s">
        <v>9829</v>
      </c>
      <c r="B339" s="13" t="s">
        <v>9904</v>
      </c>
      <c r="C339" s="13" t="s">
        <v>9905</v>
      </c>
      <c r="D339" s="13">
        <v>682</v>
      </c>
      <c r="E339" s="13" t="s">
        <v>9836</v>
      </c>
      <c r="F339" s="13">
        <v>35</v>
      </c>
      <c r="G339" s="13" t="s">
        <v>9837</v>
      </c>
    </row>
    <row r="340" spans="1:7" ht="43.2" x14ac:dyDescent="0.3">
      <c r="A340" s="13" t="s">
        <v>9829</v>
      </c>
      <c r="B340" s="13" t="s">
        <v>9904</v>
      </c>
      <c r="C340" s="13" t="s">
        <v>9905</v>
      </c>
      <c r="D340" s="13">
        <v>682</v>
      </c>
      <c r="E340" s="13" t="s">
        <v>9836</v>
      </c>
      <c r="F340" s="13">
        <v>35</v>
      </c>
      <c r="G340" s="13" t="s">
        <v>9837</v>
      </c>
    </row>
    <row r="341" spans="1:7" ht="43.2" x14ac:dyDescent="0.3">
      <c r="A341" s="13" t="s">
        <v>9829</v>
      </c>
      <c r="B341" s="13" t="s">
        <v>9906</v>
      </c>
      <c r="C341" s="13" t="s">
        <v>9907</v>
      </c>
      <c r="D341" s="13">
        <v>692</v>
      </c>
      <c r="E341" s="13" t="s">
        <v>9836</v>
      </c>
      <c r="F341" s="13">
        <v>35</v>
      </c>
      <c r="G341" s="13" t="s">
        <v>9837</v>
      </c>
    </row>
    <row r="342" spans="1:7" ht="43.2" x14ac:dyDescent="0.3">
      <c r="A342" s="13" t="s">
        <v>9829</v>
      </c>
      <c r="B342" s="13" t="s">
        <v>9908</v>
      </c>
      <c r="C342" s="13" t="s">
        <v>9909</v>
      </c>
      <c r="D342" s="13">
        <v>1255</v>
      </c>
      <c r="E342" s="13" t="s">
        <v>9901</v>
      </c>
      <c r="F342" s="13">
        <v>7</v>
      </c>
      <c r="G342" s="13" t="s">
        <v>9837</v>
      </c>
    </row>
    <row r="343" spans="1:7" ht="43.2" x14ac:dyDescent="0.3">
      <c r="A343" s="13" t="s">
        <v>9829</v>
      </c>
      <c r="B343" s="13" t="s">
        <v>9910</v>
      </c>
      <c r="C343" s="13" t="s">
        <v>9911</v>
      </c>
      <c r="D343" s="13">
        <v>1560</v>
      </c>
      <c r="E343" s="13" t="s">
        <v>9901</v>
      </c>
      <c r="F343" s="13">
        <v>5</v>
      </c>
      <c r="G343" s="13" t="s">
        <v>9837</v>
      </c>
    </row>
    <row r="344" spans="1:7" ht="43.2" x14ac:dyDescent="0.3">
      <c r="A344" s="13" t="s">
        <v>9829</v>
      </c>
      <c r="B344" s="13" t="s">
        <v>9912</v>
      </c>
      <c r="C344" s="13" t="s">
        <v>9913</v>
      </c>
      <c r="D344" s="13">
        <v>1558</v>
      </c>
      <c r="E344" s="13" t="s">
        <v>9901</v>
      </c>
      <c r="F344" s="13">
        <v>5</v>
      </c>
      <c r="G344" s="13" t="s">
        <v>9837</v>
      </c>
    </row>
    <row r="345" spans="1:7" ht="43.2" x14ac:dyDescent="0.3">
      <c r="A345" s="13" t="s">
        <v>9829</v>
      </c>
      <c r="B345" s="13" t="s">
        <v>9914</v>
      </c>
      <c r="C345" s="13" t="s">
        <v>9915</v>
      </c>
      <c r="D345" s="13">
        <v>1559</v>
      </c>
      <c r="E345" s="13" t="s">
        <v>9901</v>
      </c>
      <c r="F345" s="13">
        <v>5</v>
      </c>
      <c r="G345" s="13" t="s">
        <v>9837</v>
      </c>
    </row>
    <row r="346" spans="1:7" ht="43.2" x14ac:dyDescent="0.3">
      <c r="A346" s="13" t="s">
        <v>9829</v>
      </c>
      <c r="B346" s="13" t="s">
        <v>9916</v>
      </c>
      <c r="C346" s="13" t="s">
        <v>9917</v>
      </c>
      <c r="D346" s="13">
        <v>1562</v>
      </c>
      <c r="E346" s="13" t="s">
        <v>9901</v>
      </c>
      <c r="F346" s="13">
        <v>5</v>
      </c>
      <c r="G346" s="13" t="s">
        <v>9837</v>
      </c>
    </row>
    <row r="347" spans="1:7" ht="43.2" x14ac:dyDescent="0.3">
      <c r="A347" s="13" t="s">
        <v>9829</v>
      </c>
      <c r="B347" s="13" t="s">
        <v>9918</v>
      </c>
      <c r="C347" s="13" t="s">
        <v>9919</v>
      </c>
      <c r="D347" s="13">
        <v>1561</v>
      </c>
      <c r="E347" s="13" t="s">
        <v>9901</v>
      </c>
      <c r="F347" s="13">
        <v>5</v>
      </c>
      <c r="G347" s="13" t="s">
        <v>9837</v>
      </c>
    </row>
    <row r="348" spans="1:7" ht="43.2" x14ac:dyDescent="0.3">
      <c r="A348" s="13" t="s">
        <v>9829</v>
      </c>
      <c r="B348" s="13" t="s">
        <v>9920</v>
      </c>
      <c r="C348" s="13" t="s">
        <v>9921</v>
      </c>
      <c r="D348" s="13">
        <v>531</v>
      </c>
      <c r="E348" s="13" t="s">
        <v>9880</v>
      </c>
      <c r="F348" s="13">
        <v>6.2</v>
      </c>
      <c r="G348" s="13" t="s">
        <v>9837</v>
      </c>
    </row>
    <row r="349" spans="1:7" ht="409.6" x14ac:dyDescent="0.3">
      <c r="A349" s="13" t="s">
        <v>9829</v>
      </c>
      <c r="B349" s="13" t="s">
        <v>9922</v>
      </c>
      <c r="C349" s="13" t="s">
        <v>9923</v>
      </c>
      <c r="D349" s="13">
        <v>38</v>
      </c>
      <c r="E349" s="13" t="s">
        <v>9832</v>
      </c>
      <c r="F349" s="13">
        <v>5</v>
      </c>
      <c r="G349" s="13" t="s">
        <v>13118</v>
      </c>
    </row>
    <row r="350" spans="1:7" ht="409.6" x14ac:dyDescent="0.3">
      <c r="A350" s="13" t="s">
        <v>9829</v>
      </c>
      <c r="B350" s="13" t="s">
        <v>9922</v>
      </c>
      <c r="C350" s="13" t="s">
        <v>9923</v>
      </c>
      <c r="D350" s="13">
        <v>38</v>
      </c>
      <c r="E350" s="13" t="s">
        <v>9832</v>
      </c>
      <c r="F350" s="13">
        <v>5</v>
      </c>
      <c r="G350" s="13" t="s">
        <v>13118</v>
      </c>
    </row>
    <row r="351" spans="1:7" ht="409.6" x14ac:dyDescent="0.3">
      <c r="A351" s="13" t="s">
        <v>9829</v>
      </c>
      <c r="B351" s="13" t="s">
        <v>9922</v>
      </c>
      <c r="C351" s="13" t="s">
        <v>9923</v>
      </c>
      <c r="D351" s="13">
        <v>38</v>
      </c>
      <c r="E351" s="13" t="s">
        <v>9832</v>
      </c>
      <c r="F351" s="13">
        <v>5</v>
      </c>
      <c r="G351" s="13" t="s">
        <v>13118</v>
      </c>
    </row>
    <row r="352" spans="1:7" ht="409.6" x14ac:dyDescent="0.3">
      <c r="A352" s="13" t="s">
        <v>9829</v>
      </c>
      <c r="B352" s="13" t="s">
        <v>9922</v>
      </c>
      <c r="C352" s="13" t="s">
        <v>9923</v>
      </c>
      <c r="D352" s="13">
        <v>38</v>
      </c>
      <c r="E352" s="13" t="s">
        <v>9832</v>
      </c>
      <c r="F352" s="13">
        <v>5</v>
      </c>
      <c r="G352" s="13" t="s">
        <v>13118</v>
      </c>
    </row>
    <row r="353" spans="1:7" ht="86.4" x14ac:dyDescent="0.3">
      <c r="A353" s="13" t="s">
        <v>9829</v>
      </c>
      <c r="B353" s="13" t="s">
        <v>9924</v>
      </c>
      <c r="C353" s="13" t="s">
        <v>9925</v>
      </c>
      <c r="D353" s="13">
        <v>459</v>
      </c>
      <c r="E353" s="13" t="s">
        <v>9832</v>
      </c>
      <c r="F353" s="13">
        <v>5</v>
      </c>
      <c r="G353" s="13" t="s">
        <v>13119</v>
      </c>
    </row>
    <row r="354" spans="1:7" ht="43.2" x14ac:dyDescent="0.3">
      <c r="A354" s="13" t="s">
        <v>9829</v>
      </c>
      <c r="B354" s="13" t="s">
        <v>9926</v>
      </c>
      <c r="C354" s="13" t="s">
        <v>9927</v>
      </c>
      <c r="D354" s="13">
        <v>451</v>
      </c>
      <c r="E354" s="13" t="s">
        <v>9836</v>
      </c>
      <c r="F354" s="13">
        <v>80</v>
      </c>
      <c r="G354" s="13" t="s">
        <v>9837</v>
      </c>
    </row>
    <row r="355" spans="1:7" ht="28.8" x14ac:dyDescent="0.3">
      <c r="A355" s="13" t="s">
        <v>9829</v>
      </c>
      <c r="B355" s="13" t="s">
        <v>9928</v>
      </c>
      <c r="C355" s="13" t="s">
        <v>9929</v>
      </c>
      <c r="D355" s="13">
        <v>39</v>
      </c>
      <c r="E355" s="13" t="s">
        <v>9863</v>
      </c>
      <c r="F355" s="13">
        <v>8</v>
      </c>
      <c r="G355" s="13" t="s">
        <v>9837</v>
      </c>
    </row>
    <row r="356" spans="1:7" ht="28.8" x14ac:dyDescent="0.3">
      <c r="A356" s="13" t="s">
        <v>9829</v>
      </c>
      <c r="B356" s="13" t="s">
        <v>9930</v>
      </c>
      <c r="C356" s="13" t="s">
        <v>9931</v>
      </c>
      <c r="D356" s="13">
        <v>44</v>
      </c>
      <c r="E356" s="13" t="s">
        <v>9836</v>
      </c>
      <c r="F356" s="13">
        <v>60</v>
      </c>
      <c r="G356" s="13" t="s">
        <v>9837</v>
      </c>
    </row>
    <row r="357" spans="1:7" ht="273.60000000000002" x14ac:dyDescent="0.3">
      <c r="A357" s="13" t="s">
        <v>9829</v>
      </c>
      <c r="B357" s="13" t="s">
        <v>9932</v>
      </c>
      <c r="C357" s="13" t="s">
        <v>9933</v>
      </c>
      <c r="D357" s="13">
        <v>45</v>
      </c>
      <c r="E357" s="13" t="s">
        <v>9832</v>
      </c>
      <c r="F357" s="13">
        <v>5</v>
      </c>
      <c r="G357" s="13" t="s">
        <v>13120</v>
      </c>
    </row>
    <row r="358" spans="1:7" ht="28.8" x14ac:dyDescent="0.3">
      <c r="A358" s="13" t="s">
        <v>9829</v>
      </c>
      <c r="B358" s="13" t="s">
        <v>9934</v>
      </c>
      <c r="C358" s="13" t="s">
        <v>9935</v>
      </c>
      <c r="D358" s="13">
        <v>1143</v>
      </c>
      <c r="E358" s="13" t="s">
        <v>9836</v>
      </c>
      <c r="F358" s="13">
        <v>60</v>
      </c>
      <c r="G358" s="13" t="s">
        <v>9837</v>
      </c>
    </row>
    <row r="359" spans="1:7" ht="28.8" x14ac:dyDescent="0.3">
      <c r="A359" s="13" t="s">
        <v>9829</v>
      </c>
      <c r="B359" s="13" t="s">
        <v>9936</v>
      </c>
      <c r="C359" s="13" t="s">
        <v>9937</v>
      </c>
      <c r="D359" s="13">
        <v>1611</v>
      </c>
      <c r="E359" s="13" t="s">
        <v>9836</v>
      </c>
      <c r="F359" s="13">
        <v>50</v>
      </c>
      <c r="G359" s="13" t="s">
        <v>9837</v>
      </c>
    </row>
    <row r="360" spans="1:7" ht="230.4" x14ac:dyDescent="0.3">
      <c r="A360" s="13" t="s">
        <v>9829</v>
      </c>
      <c r="B360" s="13" t="s">
        <v>9938</v>
      </c>
      <c r="C360" s="13" t="s">
        <v>9939</v>
      </c>
      <c r="D360" s="13">
        <v>1393</v>
      </c>
      <c r="E360" s="13" t="s">
        <v>9832</v>
      </c>
      <c r="F360" s="13">
        <v>5</v>
      </c>
      <c r="G360" s="13" t="s">
        <v>13121</v>
      </c>
    </row>
    <row r="361" spans="1:7" ht="172.8" x14ac:dyDescent="0.3">
      <c r="A361" s="13" t="s">
        <v>9829</v>
      </c>
      <c r="B361" s="13" t="s">
        <v>9940</v>
      </c>
      <c r="C361" s="13" t="s">
        <v>9941</v>
      </c>
      <c r="D361" s="13">
        <v>49</v>
      </c>
      <c r="E361" s="13" t="s">
        <v>9832</v>
      </c>
      <c r="F361" s="13">
        <v>5</v>
      </c>
      <c r="G361" s="13" t="s">
        <v>13122</v>
      </c>
    </row>
    <row r="362" spans="1:7" ht="28.8" x14ac:dyDescent="0.3">
      <c r="A362" s="13" t="s">
        <v>9829</v>
      </c>
      <c r="B362" s="13" t="s">
        <v>9942</v>
      </c>
      <c r="C362" s="13" t="s">
        <v>9943</v>
      </c>
      <c r="D362" s="13">
        <v>1487</v>
      </c>
      <c r="E362" s="13" t="s">
        <v>9836</v>
      </c>
      <c r="F362" s="13">
        <v>50</v>
      </c>
      <c r="G362" s="13" t="s">
        <v>9837</v>
      </c>
    </row>
    <row r="363" spans="1:7" ht="28.8" x14ac:dyDescent="0.3">
      <c r="A363" s="13" t="s">
        <v>9829</v>
      </c>
      <c r="B363" s="13" t="s">
        <v>9944</v>
      </c>
      <c r="C363" s="13" t="s">
        <v>9945</v>
      </c>
      <c r="D363" s="13">
        <v>1488</v>
      </c>
      <c r="E363" s="13" t="s">
        <v>9901</v>
      </c>
      <c r="F363" s="13">
        <v>5</v>
      </c>
      <c r="G363" s="13" t="s">
        <v>9837</v>
      </c>
    </row>
    <row r="364" spans="1:7" ht="43.2" x14ac:dyDescent="0.3">
      <c r="A364" s="13" t="s">
        <v>9829</v>
      </c>
      <c r="B364" s="13" t="s">
        <v>9946</v>
      </c>
      <c r="C364" s="13" t="s">
        <v>9947</v>
      </c>
      <c r="D364" s="13">
        <v>1486</v>
      </c>
      <c r="E364" s="13" t="s">
        <v>9836</v>
      </c>
      <c r="F364" s="13">
        <v>5</v>
      </c>
      <c r="G364" s="13" t="s">
        <v>9837</v>
      </c>
    </row>
    <row r="365" spans="1:7" ht="28.8" x14ac:dyDescent="0.3">
      <c r="A365" s="13" t="s">
        <v>9829</v>
      </c>
      <c r="B365" s="13" t="s">
        <v>9948</v>
      </c>
      <c r="C365" s="13" t="s">
        <v>9949</v>
      </c>
      <c r="D365" s="13">
        <v>1615</v>
      </c>
      <c r="E365" s="13" t="s">
        <v>9836</v>
      </c>
      <c r="F365" s="13">
        <v>80</v>
      </c>
      <c r="G365" s="13" t="s">
        <v>9837</v>
      </c>
    </row>
    <row r="366" spans="1:7" ht="28.8" x14ac:dyDescent="0.3">
      <c r="A366" s="13" t="s">
        <v>9829</v>
      </c>
      <c r="B366" s="13" t="s">
        <v>9950</v>
      </c>
      <c r="C366" s="13" t="s">
        <v>9951</v>
      </c>
      <c r="D366" s="13">
        <v>1352</v>
      </c>
      <c r="E366" s="13" t="s">
        <v>9836</v>
      </c>
      <c r="F366" s="13">
        <v>60</v>
      </c>
      <c r="G366" s="13" t="s">
        <v>9837</v>
      </c>
    </row>
    <row r="367" spans="1:7" ht="28.8" x14ac:dyDescent="0.3">
      <c r="A367" s="13" t="s">
        <v>9829</v>
      </c>
      <c r="B367" s="13" t="s">
        <v>9952</v>
      </c>
      <c r="C367" s="13" t="s">
        <v>9953</v>
      </c>
      <c r="D367" s="13">
        <v>1629</v>
      </c>
      <c r="E367" s="13" t="s">
        <v>9836</v>
      </c>
      <c r="F367" s="13">
        <v>30</v>
      </c>
      <c r="G367" s="13" t="s">
        <v>9837</v>
      </c>
    </row>
    <row r="368" spans="1:7" ht="43.2" x14ac:dyDescent="0.3">
      <c r="A368" s="13" t="s">
        <v>9829</v>
      </c>
      <c r="B368" s="13" t="s">
        <v>9954</v>
      </c>
      <c r="C368" s="13" t="s">
        <v>9955</v>
      </c>
      <c r="D368" s="13">
        <v>1353</v>
      </c>
      <c r="E368" s="13" t="s">
        <v>9836</v>
      </c>
      <c r="F368" s="13">
        <v>45</v>
      </c>
      <c r="G368" s="13" t="s">
        <v>9837</v>
      </c>
    </row>
    <row r="369" spans="1:7" ht="28.8" x14ac:dyDescent="0.3">
      <c r="A369" s="13" t="s">
        <v>9829</v>
      </c>
      <c r="B369" s="13" t="s">
        <v>9956</v>
      </c>
      <c r="C369" s="13" t="s">
        <v>9957</v>
      </c>
      <c r="D369" s="13">
        <v>1351</v>
      </c>
      <c r="E369" s="13" t="s">
        <v>9836</v>
      </c>
      <c r="F369" s="13">
        <v>45</v>
      </c>
      <c r="G369" s="13" t="s">
        <v>9837</v>
      </c>
    </row>
    <row r="370" spans="1:7" ht="28.8" x14ac:dyDescent="0.3">
      <c r="A370" s="13" t="s">
        <v>9829</v>
      </c>
      <c r="B370" s="13" t="s">
        <v>9958</v>
      </c>
      <c r="C370" s="13" t="s">
        <v>9959</v>
      </c>
      <c r="D370" s="13">
        <v>199</v>
      </c>
      <c r="E370" s="13" t="s">
        <v>9901</v>
      </c>
      <c r="F370" s="13">
        <v>3</v>
      </c>
      <c r="G370" s="13" t="s">
        <v>9837</v>
      </c>
    </row>
    <row r="371" spans="1:7" ht="230.4" x14ac:dyDescent="0.3">
      <c r="A371" s="13" t="s">
        <v>9829</v>
      </c>
      <c r="B371" s="13" t="s">
        <v>9960</v>
      </c>
      <c r="C371" s="13" t="s">
        <v>9961</v>
      </c>
      <c r="D371" s="13">
        <v>1513</v>
      </c>
      <c r="E371" s="13" t="s">
        <v>9832</v>
      </c>
      <c r="F371" s="13">
        <v>5</v>
      </c>
      <c r="G371" s="13" t="s">
        <v>13123</v>
      </c>
    </row>
    <row r="372" spans="1:7" ht="28.8" x14ac:dyDescent="0.3">
      <c r="A372" s="13" t="s">
        <v>9829</v>
      </c>
      <c r="B372" s="13" t="s">
        <v>9960</v>
      </c>
      <c r="C372" s="13" t="s">
        <v>9961</v>
      </c>
      <c r="D372" s="13">
        <v>1513</v>
      </c>
      <c r="E372" s="13" t="s">
        <v>9832</v>
      </c>
      <c r="F372" s="13">
        <v>5</v>
      </c>
      <c r="G372" s="13" t="s">
        <v>9837</v>
      </c>
    </row>
    <row r="373" spans="1:7" ht="187.2" x14ac:dyDescent="0.3">
      <c r="A373" s="13" t="s">
        <v>9829</v>
      </c>
      <c r="B373" s="13" t="s">
        <v>9962</v>
      </c>
      <c r="C373" s="13" t="s">
        <v>9963</v>
      </c>
      <c r="D373" s="13">
        <v>54</v>
      </c>
      <c r="E373" s="13" t="s">
        <v>9832</v>
      </c>
      <c r="F373" s="13">
        <v>5</v>
      </c>
      <c r="G373" s="13" t="s">
        <v>13124</v>
      </c>
    </row>
    <row r="374" spans="1:7" ht="409.6" x14ac:dyDescent="0.3">
      <c r="A374" s="13" t="s">
        <v>9829</v>
      </c>
      <c r="B374" s="13" t="s">
        <v>9964</v>
      </c>
      <c r="C374" s="13" t="s">
        <v>9965</v>
      </c>
      <c r="D374" s="13">
        <v>2061</v>
      </c>
      <c r="E374" s="13" t="s">
        <v>9832</v>
      </c>
      <c r="F374" s="13">
        <v>5</v>
      </c>
      <c r="G374" s="13" t="s">
        <v>13125</v>
      </c>
    </row>
    <row r="375" spans="1:7" ht="409.6" x14ac:dyDescent="0.3">
      <c r="A375" s="13" t="s">
        <v>9829</v>
      </c>
      <c r="B375" s="13" t="s">
        <v>9966</v>
      </c>
      <c r="C375" s="13" t="s">
        <v>9967</v>
      </c>
      <c r="D375" s="13">
        <v>55</v>
      </c>
      <c r="E375" s="13" t="s">
        <v>9832</v>
      </c>
      <c r="F375" s="13">
        <v>5</v>
      </c>
      <c r="G375" s="13" t="s">
        <v>13126</v>
      </c>
    </row>
    <row r="376" spans="1:7" ht="409.6" x14ac:dyDescent="0.3">
      <c r="A376" s="13" t="s">
        <v>9829</v>
      </c>
      <c r="B376" s="13" t="s">
        <v>9968</v>
      </c>
      <c r="C376" s="13" t="s">
        <v>9969</v>
      </c>
      <c r="D376" s="13">
        <v>57</v>
      </c>
      <c r="E376" s="13" t="s">
        <v>9832</v>
      </c>
      <c r="F376" s="13">
        <v>5</v>
      </c>
      <c r="G376" s="13" t="s">
        <v>13127</v>
      </c>
    </row>
    <row r="377" spans="1:7" ht="409.6" x14ac:dyDescent="0.3">
      <c r="A377" s="13" t="s">
        <v>9829</v>
      </c>
      <c r="B377" s="13" t="s">
        <v>9970</v>
      </c>
      <c r="C377" s="13" t="s">
        <v>9971</v>
      </c>
      <c r="D377" s="13">
        <v>59</v>
      </c>
      <c r="E377" s="13" t="s">
        <v>9832</v>
      </c>
      <c r="F377" s="13">
        <v>5</v>
      </c>
      <c r="G377" s="13" t="s">
        <v>13128</v>
      </c>
    </row>
    <row r="378" spans="1:7" ht="43.2" x14ac:dyDescent="0.3">
      <c r="A378" s="13" t="s">
        <v>9829</v>
      </c>
      <c r="B378" s="13" t="s">
        <v>9972</v>
      </c>
      <c r="C378" s="13" t="s">
        <v>9973</v>
      </c>
      <c r="D378" s="13">
        <v>60</v>
      </c>
      <c r="E378" s="13" t="s">
        <v>9836</v>
      </c>
      <c r="F378" s="13">
        <v>45</v>
      </c>
      <c r="G378" s="13" t="s">
        <v>9837</v>
      </c>
    </row>
    <row r="379" spans="1:7" ht="28.8" x14ac:dyDescent="0.3">
      <c r="A379" s="13" t="s">
        <v>9829</v>
      </c>
      <c r="B379" s="13" t="s">
        <v>9974</v>
      </c>
      <c r="C379" s="13" t="s">
        <v>9975</v>
      </c>
      <c r="D379" s="13">
        <v>68</v>
      </c>
      <c r="E379" s="13" t="s">
        <v>9836</v>
      </c>
      <c r="F379" s="13">
        <v>60</v>
      </c>
      <c r="G379" s="13" t="s">
        <v>9837</v>
      </c>
    </row>
    <row r="380" spans="1:7" ht="100.8" x14ac:dyDescent="0.3">
      <c r="A380" s="13" t="s">
        <v>9829</v>
      </c>
      <c r="B380" s="13" t="s">
        <v>9976</v>
      </c>
      <c r="C380" s="13" t="s">
        <v>9977</v>
      </c>
      <c r="D380" s="13">
        <v>1632</v>
      </c>
      <c r="E380" s="13" t="s">
        <v>9880</v>
      </c>
      <c r="F380" s="13">
        <v>10.199999999999999</v>
      </c>
      <c r="G380" s="13" t="s">
        <v>9837</v>
      </c>
    </row>
    <row r="381" spans="1:7" ht="28.8" x14ac:dyDescent="0.3">
      <c r="A381" s="13" t="s">
        <v>9829</v>
      </c>
      <c r="B381" s="13" t="s">
        <v>7713</v>
      </c>
      <c r="C381" s="13" t="s">
        <v>9978</v>
      </c>
      <c r="D381" s="13">
        <v>69</v>
      </c>
      <c r="E381" s="13" t="s">
        <v>9836</v>
      </c>
      <c r="F381" s="13">
        <v>60</v>
      </c>
      <c r="G381" s="13" t="s">
        <v>9837</v>
      </c>
    </row>
    <row r="382" spans="1:7" ht="28.8" x14ac:dyDescent="0.3">
      <c r="A382" s="13" t="s">
        <v>9829</v>
      </c>
      <c r="B382" s="13" t="s">
        <v>7713</v>
      </c>
      <c r="C382" s="13" t="s">
        <v>9978</v>
      </c>
      <c r="D382" s="13">
        <v>69</v>
      </c>
      <c r="E382" s="13" t="s">
        <v>9836</v>
      </c>
      <c r="F382" s="13">
        <v>60</v>
      </c>
      <c r="G382" s="13" t="s">
        <v>9837</v>
      </c>
    </row>
    <row r="383" spans="1:7" ht="72" x14ac:dyDescent="0.3">
      <c r="A383" s="13" t="s">
        <v>9829</v>
      </c>
      <c r="B383" s="13" t="s">
        <v>9979</v>
      </c>
      <c r="C383" s="13" t="s">
        <v>9980</v>
      </c>
      <c r="D383" s="13">
        <v>558</v>
      </c>
      <c r="E383" s="13" t="s">
        <v>9836</v>
      </c>
      <c r="F383" s="13">
        <v>80</v>
      </c>
      <c r="G383" s="13" t="s">
        <v>9837</v>
      </c>
    </row>
    <row r="384" spans="1:7" ht="28.8" x14ac:dyDescent="0.3">
      <c r="A384" s="13" t="s">
        <v>9829</v>
      </c>
      <c r="B384" s="13" t="s">
        <v>9981</v>
      </c>
      <c r="C384" s="13" t="s">
        <v>9982</v>
      </c>
      <c r="D384" s="13">
        <v>71</v>
      </c>
      <c r="E384" s="13" t="s">
        <v>9863</v>
      </c>
      <c r="F384" s="13">
        <v>8</v>
      </c>
      <c r="G384" s="13" t="s">
        <v>9837</v>
      </c>
    </row>
    <row r="385" spans="1:7" ht="28.8" x14ac:dyDescent="0.3">
      <c r="A385" s="13" t="s">
        <v>9829</v>
      </c>
      <c r="B385" s="13" t="s">
        <v>9981</v>
      </c>
      <c r="C385" s="13" t="s">
        <v>9982</v>
      </c>
      <c r="D385" s="13">
        <v>71</v>
      </c>
      <c r="E385" s="13" t="s">
        <v>9863</v>
      </c>
      <c r="F385" s="13">
        <v>8</v>
      </c>
      <c r="G385" s="13" t="s">
        <v>9837</v>
      </c>
    </row>
    <row r="386" spans="1:7" ht="43.2" x14ac:dyDescent="0.3">
      <c r="A386" s="13" t="s">
        <v>9829</v>
      </c>
      <c r="B386" s="13" t="s">
        <v>9983</v>
      </c>
      <c r="C386" s="13" t="s">
        <v>9984</v>
      </c>
      <c r="D386" s="13">
        <v>72</v>
      </c>
      <c r="E386" s="13" t="s">
        <v>9901</v>
      </c>
      <c r="F386" s="13">
        <v>2</v>
      </c>
      <c r="G386" s="13" t="s">
        <v>9837</v>
      </c>
    </row>
    <row r="387" spans="1:7" ht="43.2" x14ac:dyDescent="0.3">
      <c r="A387" s="13" t="s">
        <v>9829</v>
      </c>
      <c r="B387" s="13" t="s">
        <v>9983</v>
      </c>
      <c r="C387" s="13" t="s">
        <v>9984</v>
      </c>
      <c r="D387" s="13">
        <v>72</v>
      </c>
      <c r="E387" s="13" t="s">
        <v>9901</v>
      </c>
      <c r="F387" s="13">
        <v>2</v>
      </c>
      <c r="G387" s="13" t="s">
        <v>9837</v>
      </c>
    </row>
    <row r="388" spans="1:7" ht="28.8" x14ac:dyDescent="0.3">
      <c r="A388" s="13" t="s">
        <v>9829</v>
      </c>
      <c r="B388" s="13" t="s">
        <v>9985</v>
      </c>
      <c r="C388" s="13" t="s">
        <v>9986</v>
      </c>
      <c r="D388" s="13">
        <v>1114</v>
      </c>
      <c r="E388" s="13" t="s">
        <v>9836</v>
      </c>
      <c r="F388" s="13">
        <v>30</v>
      </c>
      <c r="G388" s="13" t="s">
        <v>9837</v>
      </c>
    </row>
    <row r="389" spans="1:7" ht="28.8" x14ac:dyDescent="0.3">
      <c r="A389" s="13" t="s">
        <v>9829</v>
      </c>
      <c r="B389" s="13" t="s">
        <v>9985</v>
      </c>
      <c r="C389" s="13" t="s">
        <v>9986</v>
      </c>
      <c r="D389" s="13">
        <v>1114</v>
      </c>
      <c r="E389" s="13" t="s">
        <v>9836</v>
      </c>
      <c r="F389" s="13">
        <v>30</v>
      </c>
      <c r="G389" s="13" t="s">
        <v>9837</v>
      </c>
    </row>
    <row r="390" spans="1:7" ht="28.8" x14ac:dyDescent="0.3">
      <c r="A390" s="13" t="s">
        <v>9829</v>
      </c>
      <c r="B390" s="13" t="s">
        <v>9985</v>
      </c>
      <c r="C390" s="13" t="s">
        <v>9986</v>
      </c>
      <c r="D390" s="13">
        <v>1114</v>
      </c>
      <c r="E390" s="13" t="s">
        <v>9836</v>
      </c>
      <c r="F390" s="13">
        <v>30</v>
      </c>
      <c r="G390" s="13" t="s">
        <v>9837</v>
      </c>
    </row>
    <row r="391" spans="1:7" ht="230.4" x14ac:dyDescent="0.3">
      <c r="A391" s="13" t="s">
        <v>9829</v>
      </c>
      <c r="B391" s="13" t="s">
        <v>9987</v>
      </c>
      <c r="C391" s="13" t="s">
        <v>9988</v>
      </c>
      <c r="D391" s="13">
        <v>1224</v>
      </c>
      <c r="E391" s="13" t="s">
        <v>9832</v>
      </c>
      <c r="F391" s="13">
        <v>5</v>
      </c>
      <c r="G391" s="13" t="s">
        <v>13129</v>
      </c>
    </row>
    <row r="392" spans="1:7" ht="28.8" x14ac:dyDescent="0.3">
      <c r="A392" s="13" t="s">
        <v>9829</v>
      </c>
      <c r="B392" s="13" t="s">
        <v>9989</v>
      </c>
      <c r="C392" s="13" t="s">
        <v>9990</v>
      </c>
      <c r="D392" s="13">
        <v>1379</v>
      </c>
      <c r="E392" s="13" t="s">
        <v>9832</v>
      </c>
      <c r="F392" s="13">
        <v>5</v>
      </c>
      <c r="G392" s="13" t="s">
        <v>9833</v>
      </c>
    </row>
    <row r="393" spans="1:7" ht="57.6" x14ac:dyDescent="0.3">
      <c r="A393" s="13" t="s">
        <v>9829</v>
      </c>
      <c r="B393" s="13" t="s">
        <v>9991</v>
      </c>
      <c r="C393" s="13" t="s">
        <v>9992</v>
      </c>
      <c r="D393" s="13">
        <v>960</v>
      </c>
      <c r="E393" s="13" t="s">
        <v>9836</v>
      </c>
      <c r="F393" s="13">
        <v>30</v>
      </c>
      <c r="G393" s="13" t="s">
        <v>9837</v>
      </c>
    </row>
    <row r="394" spans="1:7" ht="28.8" x14ac:dyDescent="0.3">
      <c r="A394" s="13" t="s">
        <v>9829</v>
      </c>
      <c r="B394" s="13" t="s">
        <v>9993</v>
      </c>
      <c r="C394" s="13" t="s">
        <v>9994</v>
      </c>
      <c r="D394" s="13">
        <v>1199</v>
      </c>
      <c r="E394" s="13" t="s">
        <v>9836</v>
      </c>
      <c r="F394" s="13">
        <v>60</v>
      </c>
      <c r="G394" s="13" t="s">
        <v>9837</v>
      </c>
    </row>
    <row r="395" spans="1:7" ht="201.6" x14ac:dyDescent="0.3">
      <c r="A395" s="13" t="s">
        <v>9829</v>
      </c>
      <c r="B395" s="13" t="s">
        <v>9995</v>
      </c>
      <c r="C395" s="13" t="s">
        <v>9996</v>
      </c>
      <c r="D395" s="13">
        <v>1297</v>
      </c>
      <c r="E395" s="13" t="s">
        <v>9832</v>
      </c>
      <c r="F395" s="13">
        <v>5</v>
      </c>
      <c r="G395" s="13" t="s">
        <v>13130</v>
      </c>
    </row>
    <row r="396" spans="1:7" ht="28.8" x14ac:dyDescent="0.3">
      <c r="A396" s="13" t="s">
        <v>9829</v>
      </c>
      <c r="B396" s="13" t="s">
        <v>9997</v>
      </c>
      <c r="C396" s="13" t="s">
        <v>9998</v>
      </c>
      <c r="D396" s="13">
        <v>1200</v>
      </c>
      <c r="E396" s="13" t="s">
        <v>9836</v>
      </c>
      <c r="F396" s="13">
        <v>10</v>
      </c>
      <c r="G396" s="13" t="s">
        <v>9837</v>
      </c>
    </row>
    <row r="397" spans="1:7" ht="28.8" x14ac:dyDescent="0.3">
      <c r="A397" s="13" t="s">
        <v>9829</v>
      </c>
      <c r="B397" s="13" t="s">
        <v>9999</v>
      </c>
      <c r="C397" s="13" t="s">
        <v>10000</v>
      </c>
      <c r="D397" s="13">
        <v>2201</v>
      </c>
      <c r="E397" s="13" t="s">
        <v>9836</v>
      </c>
      <c r="G397" s="13" t="s">
        <v>32</v>
      </c>
    </row>
    <row r="398" spans="1:7" ht="409.6" x14ac:dyDescent="0.3">
      <c r="A398" s="13" t="s">
        <v>9829</v>
      </c>
      <c r="B398" s="13" t="s">
        <v>10001</v>
      </c>
      <c r="C398" s="13" t="s">
        <v>10002</v>
      </c>
      <c r="D398" s="13">
        <v>420</v>
      </c>
      <c r="E398" s="13" t="s">
        <v>9832</v>
      </c>
      <c r="F398" s="13">
        <v>5</v>
      </c>
      <c r="G398" s="13" t="s">
        <v>13131</v>
      </c>
    </row>
    <row r="399" spans="1:7" ht="43.2" x14ac:dyDescent="0.3">
      <c r="A399" s="13" t="s">
        <v>9829</v>
      </c>
      <c r="B399" s="13" t="s">
        <v>10003</v>
      </c>
      <c r="C399" s="13" t="s">
        <v>10004</v>
      </c>
      <c r="D399" s="13">
        <v>489</v>
      </c>
      <c r="E399" s="13" t="s">
        <v>9832</v>
      </c>
      <c r="F399" s="13">
        <v>5</v>
      </c>
      <c r="G399" s="13" t="s">
        <v>9833</v>
      </c>
    </row>
    <row r="400" spans="1:7" ht="43.2" x14ac:dyDescent="0.3">
      <c r="A400" s="13" t="s">
        <v>9829</v>
      </c>
      <c r="B400" s="13" t="s">
        <v>10005</v>
      </c>
      <c r="C400" s="13" t="s">
        <v>10006</v>
      </c>
      <c r="D400" s="13">
        <v>490</v>
      </c>
      <c r="E400" s="13" t="s">
        <v>9832</v>
      </c>
      <c r="F400" s="13">
        <v>5</v>
      </c>
      <c r="G400" s="13" t="s">
        <v>9833</v>
      </c>
    </row>
    <row r="401" spans="1:7" ht="57.6" x14ac:dyDescent="0.3">
      <c r="A401" s="13" t="s">
        <v>9829</v>
      </c>
      <c r="B401" s="13" t="s">
        <v>10007</v>
      </c>
      <c r="C401" s="13" t="s">
        <v>10008</v>
      </c>
      <c r="D401" s="13">
        <v>450</v>
      </c>
      <c r="E401" s="13" t="s">
        <v>9836</v>
      </c>
      <c r="F401" s="13">
        <v>80</v>
      </c>
      <c r="G401" s="13" t="s">
        <v>9837</v>
      </c>
    </row>
    <row r="402" spans="1:7" ht="28.8" x14ac:dyDescent="0.3">
      <c r="A402" s="13" t="s">
        <v>9829</v>
      </c>
      <c r="B402" s="13" t="s">
        <v>10009</v>
      </c>
      <c r="C402" s="13" t="s">
        <v>10010</v>
      </c>
      <c r="D402" s="13">
        <v>77</v>
      </c>
      <c r="E402" s="13" t="s">
        <v>9880</v>
      </c>
      <c r="F402" s="13">
        <v>7.2</v>
      </c>
      <c r="G402" s="13" t="s">
        <v>9837</v>
      </c>
    </row>
    <row r="403" spans="1:7" ht="28.8" x14ac:dyDescent="0.3">
      <c r="A403" s="13" t="s">
        <v>9829</v>
      </c>
      <c r="B403" s="13" t="s">
        <v>10009</v>
      </c>
      <c r="C403" s="13" t="s">
        <v>10010</v>
      </c>
      <c r="D403" s="13">
        <v>77</v>
      </c>
      <c r="E403" s="13" t="s">
        <v>9880</v>
      </c>
      <c r="F403" s="13">
        <v>7.2</v>
      </c>
      <c r="G403" s="13" t="s">
        <v>9837</v>
      </c>
    </row>
    <row r="404" spans="1:7" ht="28.8" x14ac:dyDescent="0.3">
      <c r="A404" s="13" t="s">
        <v>9829</v>
      </c>
      <c r="B404" s="13" t="s">
        <v>10009</v>
      </c>
      <c r="C404" s="13" t="s">
        <v>10010</v>
      </c>
      <c r="D404" s="13">
        <v>77</v>
      </c>
      <c r="E404" s="13" t="s">
        <v>9880</v>
      </c>
      <c r="F404" s="13">
        <v>7.2</v>
      </c>
      <c r="G404" s="13" t="s">
        <v>9837</v>
      </c>
    </row>
    <row r="405" spans="1:7" ht="57.6" x14ac:dyDescent="0.3">
      <c r="A405" s="13" t="s">
        <v>9829</v>
      </c>
      <c r="B405" s="13" t="s">
        <v>10011</v>
      </c>
      <c r="C405" s="13" t="s">
        <v>10012</v>
      </c>
      <c r="D405" s="13">
        <v>403</v>
      </c>
      <c r="E405" s="13" t="s">
        <v>9863</v>
      </c>
      <c r="F405" s="13">
        <v>8</v>
      </c>
      <c r="G405" s="13" t="s">
        <v>9837</v>
      </c>
    </row>
    <row r="406" spans="1:7" ht="57.6" x14ac:dyDescent="0.3">
      <c r="A406" s="13" t="s">
        <v>9829</v>
      </c>
      <c r="B406" s="13" t="s">
        <v>10011</v>
      </c>
      <c r="C406" s="13" t="s">
        <v>10012</v>
      </c>
      <c r="D406" s="13">
        <v>403</v>
      </c>
      <c r="E406" s="13" t="s">
        <v>9863</v>
      </c>
      <c r="F406" s="13">
        <v>8</v>
      </c>
      <c r="G406" s="13" t="s">
        <v>9837</v>
      </c>
    </row>
    <row r="407" spans="1:7" ht="72" x14ac:dyDescent="0.3">
      <c r="A407" s="13" t="s">
        <v>9829</v>
      </c>
      <c r="B407" s="13" t="s">
        <v>10013</v>
      </c>
      <c r="C407" s="13" t="s">
        <v>10014</v>
      </c>
      <c r="D407" s="13">
        <v>402</v>
      </c>
      <c r="E407" s="13" t="s">
        <v>9836</v>
      </c>
      <c r="F407" s="13">
        <v>60</v>
      </c>
      <c r="G407" s="13" t="s">
        <v>9837</v>
      </c>
    </row>
    <row r="408" spans="1:7" ht="72" x14ac:dyDescent="0.3">
      <c r="A408" s="13" t="s">
        <v>9829</v>
      </c>
      <c r="B408" s="13" t="s">
        <v>10013</v>
      </c>
      <c r="C408" s="13" t="s">
        <v>10014</v>
      </c>
      <c r="D408" s="13">
        <v>402</v>
      </c>
      <c r="E408" s="13" t="s">
        <v>9836</v>
      </c>
      <c r="F408" s="13">
        <v>60</v>
      </c>
      <c r="G408" s="13" t="s">
        <v>9837</v>
      </c>
    </row>
    <row r="409" spans="1:7" ht="201.6" x14ac:dyDescent="0.3">
      <c r="A409" s="13" t="s">
        <v>9829</v>
      </c>
      <c r="B409" s="13" t="s">
        <v>10015</v>
      </c>
      <c r="C409" s="13" t="s">
        <v>10016</v>
      </c>
      <c r="D409" s="13">
        <v>401</v>
      </c>
      <c r="E409" s="13" t="s">
        <v>9832</v>
      </c>
      <c r="F409" s="13">
        <v>5</v>
      </c>
      <c r="G409" s="13" t="s">
        <v>13132</v>
      </c>
    </row>
    <row r="410" spans="1:7" ht="201.6" x14ac:dyDescent="0.3">
      <c r="A410" s="13" t="s">
        <v>9829</v>
      </c>
      <c r="B410" s="13" t="s">
        <v>10015</v>
      </c>
      <c r="C410" s="13" t="s">
        <v>10016</v>
      </c>
      <c r="D410" s="13">
        <v>401</v>
      </c>
      <c r="E410" s="13" t="s">
        <v>9832</v>
      </c>
      <c r="F410" s="13">
        <v>5</v>
      </c>
      <c r="G410" s="13" t="s">
        <v>13132</v>
      </c>
    </row>
    <row r="411" spans="1:7" ht="144" x14ac:dyDescent="0.3">
      <c r="A411" s="13" t="s">
        <v>9829</v>
      </c>
      <c r="B411" s="13" t="s">
        <v>10017</v>
      </c>
      <c r="C411" s="13" t="s">
        <v>10018</v>
      </c>
      <c r="D411" s="13">
        <v>534</v>
      </c>
      <c r="E411" s="13" t="s">
        <v>9832</v>
      </c>
      <c r="F411" s="13">
        <v>5</v>
      </c>
      <c r="G411" s="13" t="s">
        <v>13133</v>
      </c>
    </row>
    <row r="412" spans="1:7" ht="144" x14ac:dyDescent="0.3">
      <c r="A412" s="13" t="s">
        <v>9829</v>
      </c>
      <c r="B412" s="13" t="s">
        <v>10019</v>
      </c>
      <c r="C412" s="13" t="s">
        <v>10020</v>
      </c>
      <c r="D412" s="13">
        <v>78</v>
      </c>
      <c r="E412" s="13" t="s">
        <v>9832</v>
      </c>
      <c r="F412" s="13">
        <v>5</v>
      </c>
      <c r="G412" s="13" t="s">
        <v>13134</v>
      </c>
    </row>
    <row r="413" spans="1:7" ht="144" x14ac:dyDescent="0.3">
      <c r="A413" s="13" t="s">
        <v>9829</v>
      </c>
      <c r="B413" s="13" t="s">
        <v>10019</v>
      </c>
      <c r="C413" s="13" t="s">
        <v>10020</v>
      </c>
      <c r="D413" s="13">
        <v>78</v>
      </c>
      <c r="E413" s="13" t="s">
        <v>9832</v>
      </c>
      <c r="F413" s="13">
        <v>5</v>
      </c>
      <c r="G413" s="13" t="s">
        <v>13134</v>
      </c>
    </row>
    <row r="414" spans="1:7" ht="144" x14ac:dyDescent="0.3">
      <c r="A414" s="13" t="s">
        <v>9829</v>
      </c>
      <c r="B414" s="13" t="s">
        <v>10019</v>
      </c>
      <c r="C414" s="13" t="s">
        <v>10020</v>
      </c>
      <c r="D414" s="13">
        <v>78</v>
      </c>
      <c r="E414" s="13" t="s">
        <v>9832</v>
      </c>
      <c r="F414" s="13">
        <v>5</v>
      </c>
      <c r="G414" s="13" t="s">
        <v>13134</v>
      </c>
    </row>
    <row r="415" spans="1:7" ht="43.2" x14ac:dyDescent="0.3">
      <c r="A415" s="13" t="s">
        <v>9829</v>
      </c>
      <c r="B415" s="13" t="s">
        <v>10021</v>
      </c>
      <c r="C415" s="13" t="s">
        <v>10022</v>
      </c>
      <c r="D415" s="13">
        <v>981</v>
      </c>
      <c r="E415" s="13" t="s">
        <v>9880</v>
      </c>
      <c r="F415" s="13">
        <v>6.2</v>
      </c>
      <c r="G415" s="13" t="s">
        <v>9837</v>
      </c>
    </row>
    <row r="416" spans="1:7" ht="28.8" x14ac:dyDescent="0.3">
      <c r="A416" s="13" t="s">
        <v>9829</v>
      </c>
      <c r="B416" s="13" t="s">
        <v>10023</v>
      </c>
      <c r="C416" s="13" t="s">
        <v>10024</v>
      </c>
      <c r="D416" s="13">
        <v>1522</v>
      </c>
      <c r="E416" s="13" t="s">
        <v>9836</v>
      </c>
      <c r="F416" s="13">
        <v>80</v>
      </c>
      <c r="G416" s="13" t="s">
        <v>9837</v>
      </c>
    </row>
    <row r="417" spans="1:7" ht="28.8" x14ac:dyDescent="0.3">
      <c r="A417" s="13" t="s">
        <v>9829</v>
      </c>
      <c r="B417" s="13" t="s">
        <v>10025</v>
      </c>
      <c r="C417" s="13" t="s">
        <v>10026</v>
      </c>
      <c r="D417" s="13">
        <v>1523</v>
      </c>
      <c r="E417" s="13" t="s">
        <v>9836</v>
      </c>
      <c r="F417" s="13">
        <v>80</v>
      </c>
      <c r="G417" s="13" t="s">
        <v>9837</v>
      </c>
    </row>
    <row r="418" spans="1:7" ht="28.8" x14ac:dyDescent="0.3">
      <c r="A418" s="13" t="s">
        <v>9829</v>
      </c>
      <c r="B418" s="13" t="s">
        <v>10027</v>
      </c>
      <c r="C418" s="13" t="s">
        <v>10028</v>
      </c>
      <c r="D418" s="13">
        <v>79</v>
      </c>
      <c r="E418" s="13" t="s">
        <v>9863</v>
      </c>
      <c r="F418" s="13">
        <v>8</v>
      </c>
      <c r="G418" s="13" t="s">
        <v>9837</v>
      </c>
    </row>
    <row r="419" spans="1:7" ht="28.8" x14ac:dyDescent="0.3">
      <c r="A419" s="13" t="s">
        <v>9829</v>
      </c>
      <c r="B419" s="13" t="s">
        <v>10027</v>
      </c>
      <c r="C419" s="13" t="s">
        <v>10028</v>
      </c>
      <c r="D419" s="13">
        <v>79</v>
      </c>
      <c r="E419" s="13" t="s">
        <v>9863</v>
      </c>
      <c r="F419" s="13">
        <v>8</v>
      </c>
      <c r="G419" s="13" t="s">
        <v>9837</v>
      </c>
    </row>
    <row r="420" spans="1:7" ht="28.8" x14ac:dyDescent="0.3">
      <c r="A420" s="13" t="s">
        <v>9829</v>
      </c>
      <c r="B420" s="13" t="s">
        <v>10027</v>
      </c>
      <c r="C420" s="13" t="s">
        <v>10028</v>
      </c>
      <c r="D420" s="13">
        <v>79</v>
      </c>
      <c r="E420" s="13" t="s">
        <v>9863</v>
      </c>
      <c r="F420" s="13">
        <v>8</v>
      </c>
      <c r="G420" s="13" t="s">
        <v>9837</v>
      </c>
    </row>
    <row r="421" spans="1:7" ht="28.8" x14ac:dyDescent="0.3">
      <c r="A421" s="13" t="s">
        <v>9829</v>
      </c>
      <c r="B421" s="13" t="s">
        <v>10029</v>
      </c>
      <c r="C421" s="13" t="s">
        <v>10030</v>
      </c>
      <c r="D421" s="13">
        <v>1461</v>
      </c>
      <c r="E421" s="13" t="s">
        <v>9836</v>
      </c>
      <c r="F421" s="13">
        <v>10</v>
      </c>
      <c r="G421" s="13" t="s">
        <v>9837</v>
      </c>
    </row>
    <row r="422" spans="1:7" ht="28.8" x14ac:dyDescent="0.3">
      <c r="A422" s="13" t="s">
        <v>9829</v>
      </c>
      <c r="B422" s="13" t="s">
        <v>10031</v>
      </c>
      <c r="C422" s="13" t="s">
        <v>10032</v>
      </c>
      <c r="D422" s="13">
        <v>1460</v>
      </c>
      <c r="E422" s="13" t="s">
        <v>9836</v>
      </c>
      <c r="F422" s="13">
        <v>10</v>
      </c>
      <c r="G422" s="13" t="s">
        <v>9837</v>
      </c>
    </row>
    <row r="423" spans="1:7" ht="28.8" x14ac:dyDescent="0.3">
      <c r="A423" s="13" t="s">
        <v>9829</v>
      </c>
      <c r="B423" s="13" t="s">
        <v>10033</v>
      </c>
      <c r="C423" s="13" t="s">
        <v>10034</v>
      </c>
      <c r="D423" s="13">
        <v>1456</v>
      </c>
      <c r="E423" s="13" t="s">
        <v>9836</v>
      </c>
      <c r="F423" s="13">
        <v>25</v>
      </c>
      <c r="G423" s="13" t="s">
        <v>9837</v>
      </c>
    </row>
    <row r="424" spans="1:7" ht="28.8" x14ac:dyDescent="0.3">
      <c r="A424" s="13" t="s">
        <v>9829</v>
      </c>
      <c r="B424" s="13" t="s">
        <v>10035</v>
      </c>
      <c r="C424" s="13" t="s">
        <v>10036</v>
      </c>
      <c r="D424" s="13">
        <v>520</v>
      </c>
      <c r="E424" s="13" t="s">
        <v>9880</v>
      </c>
      <c r="F424" s="13">
        <v>6.2</v>
      </c>
      <c r="G424" s="13" t="s">
        <v>9837</v>
      </c>
    </row>
    <row r="425" spans="1:7" ht="129.6" x14ac:dyDescent="0.3">
      <c r="A425" s="13" t="s">
        <v>9829</v>
      </c>
      <c r="B425" s="13" t="s">
        <v>10037</v>
      </c>
      <c r="C425" s="13" t="s">
        <v>10038</v>
      </c>
      <c r="D425" s="13">
        <v>519</v>
      </c>
      <c r="E425" s="13" t="s">
        <v>9832</v>
      </c>
      <c r="F425" s="13">
        <v>5</v>
      </c>
      <c r="G425" s="13" t="s">
        <v>13135</v>
      </c>
    </row>
    <row r="426" spans="1:7" ht="409.6" x14ac:dyDescent="0.3">
      <c r="A426" s="13" t="s">
        <v>9829</v>
      </c>
      <c r="B426" s="13" t="s">
        <v>10039</v>
      </c>
      <c r="C426" s="13" t="s">
        <v>10040</v>
      </c>
      <c r="D426" s="13">
        <v>518</v>
      </c>
      <c r="E426" s="13" t="s">
        <v>9832</v>
      </c>
      <c r="F426" s="13">
        <v>5</v>
      </c>
      <c r="G426" s="13" t="s">
        <v>13136</v>
      </c>
    </row>
    <row r="427" spans="1:7" ht="43.2" x14ac:dyDescent="0.3">
      <c r="A427" s="13" t="s">
        <v>9829</v>
      </c>
      <c r="B427" s="13" t="s">
        <v>10041</v>
      </c>
      <c r="C427" s="13" t="s">
        <v>10042</v>
      </c>
      <c r="D427" s="13">
        <v>516</v>
      </c>
      <c r="E427" s="13" t="s">
        <v>9863</v>
      </c>
      <c r="F427" s="13">
        <v>8</v>
      </c>
      <c r="G427" s="13" t="s">
        <v>9837</v>
      </c>
    </row>
    <row r="428" spans="1:7" ht="259.2" x14ac:dyDescent="0.3">
      <c r="A428" s="13" t="s">
        <v>9829</v>
      </c>
      <c r="B428" s="13" t="s">
        <v>10043</v>
      </c>
      <c r="C428" s="13" t="s">
        <v>10044</v>
      </c>
      <c r="D428" s="13">
        <v>1169</v>
      </c>
      <c r="E428" s="13" t="s">
        <v>9832</v>
      </c>
      <c r="F428" s="13">
        <v>5</v>
      </c>
      <c r="G428" s="13" t="s">
        <v>13137</v>
      </c>
    </row>
    <row r="429" spans="1:7" ht="259.2" x14ac:dyDescent="0.3">
      <c r="A429" s="13" t="s">
        <v>9829</v>
      </c>
      <c r="B429" s="13" t="s">
        <v>10043</v>
      </c>
      <c r="C429" s="13" t="s">
        <v>10044</v>
      </c>
      <c r="D429" s="13">
        <v>1169</v>
      </c>
      <c r="E429" s="13" t="s">
        <v>9832</v>
      </c>
      <c r="F429" s="13">
        <v>5</v>
      </c>
      <c r="G429" s="13" t="s">
        <v>13137</v>
      </c>
    </row>
    <row r="430" spans="1:7" ht="57.6" x14ac:dyDescent="0.3">
      <c r="A430" s="13" t="s">
        <v>9829</v>
      </c>
      <c r="B430" s="13" t="s">
        <v>10045</v>
      </c>
      <c r="C430" s="13" t="s">
        <v>10046</v>
      </c>
      <c r="D430" s="13">
        <v>759</v>
      </c>
      <c r="E430" s="13" t="s">
        <v>9836</v>
      </c>
      <c r="F430" s="13">
        <v>8</v>
      </c>
      <c r="G430" s="13" t="s">
        <v>9837</v>
      </c>
    </row>
    <row r="431" spans="1:7" ht="201.6" x14ac:dyDescent="0.3">
      <c r="A431" s="13" t="s">
        <v>9829</v>
      </c>
      <c r="B431" s="13" t="s">
        <v>10047</v>
      </c>
      <c r="C431" s="13" t="s">
        <v>10048</v>
      </c>
      <c r="D431" s="13">
        <v>624</v>
      </c>
      <c r="E431" s="13" t="s">
        <v>9832</v>
      </c>
      <c r="F431" s="13">
        <v>5</v>
      </c>
      <c r="G431" s="13" t="s">
        <v>13138</v>
      </c>
    </row>
    <row r="432" spans="1:7" ht="28.8" x14ac:dyDescent="0.3">
      <c r="A432" s="13" t="s">
        <v>9829</v>
      </c>
      <c r="B432" s="13" t="s">
        <v>10049</v>
      </c>
      <c r="C432" s="13" t="s">
        <v>10050</v>
      </c>
      <c r="D432" s="13">
        <v>1016</v>
      </c>
      <c r="E432" s="13" t="s">
        <v>9880</v>
      </c>
      <c r="F432" s="13">
        <v>2.2000000000000002</v>
      </c>
      <c r="G432" s="13" t="s">
        <v>9837</v>
      </c>
    </row>
    <row r="433" spans="1:7" ht="28.8" x14ac:dyDescent="0.3">
      <c r="A433" s="13" t="s">
        <v>9829</v>
      </c>
      <c r="B433" s="13" t="s">
        <v>10051</v>
      </c>
      <c r="C433" s="13" t="s">
        <v>10052</v>
      </c>
      <c r="D433" s="13">
        <v>1014</v>
      </c>
      <c r="E433" s="13" t="s">
        <v>9901</v>
      </c>
      <c r="F433" s="13">
        <v>2</v>
      </c>
      <c r="G433" s="13" t="s">
        <v>9837</v>
      </c>
    </row>
    <row r="434" spans="1:7" ht="28.8" x14ac:dyDescent="0.3">
      <c r="A434" s="13" t="s">
        <v>9829</v>
      </c>
      <c r="B434" s="13" t="s">
        <v>10053</v>
      </c>
      <c r="C434" s="13" t="s">
        <v>10054</v>
      </c>
      <c r="D434" s="13">
        <v>1015</v>
      </c>
      <c r="E434" s="13" t="s">
        <v>9901</v>
      </c>
      <c r="F434" s="13">
        <v>4</v>
      </c>
      <c r="G434" s="13" t="s">
        <v>9837</v>
      </c>
    </row>
    <row r="435" spans="1:7" ht="115.2" x14ac:dyDescent="0.3">
      <c r="A435" s="13" t="s">
        <v>9829</v>
      </c>
      <c r="B435" s="13" t="s">
        <v>10055</v>
      </c>
      <c r="C435" s="13" t="s">
        <v>10056</v>
      </c>
      <c r="D435" s="13">
        <v>584</v>
      </c>
      <c r="E435" s="13" t="s">
        <v>9832</v>
      </c>
      <c r="F435" s="13">
        <v>5</v>
      </c>
      <c r="G435" s="13" t="s">
        <v>13139</v>
      </c>
    </row>
    <row r="436" spans="1:7" ht="28.8" x14ac:dyDescent="0.3">
      <c r="A436" s="13" t="s">
        <v>9829</v>
      </c>
      <c r="B436" s="13" t="s">
        <v>10057</v>
      </c>
      <c r="C436" s="13" t="s">
        <v>10058</v>
      </c>
      <c r="D436" s="13">
        <v>1877</v>
      </c>
      <c r="E436" s="13" t="s">
        <v>9836</v>
      </c>
      <c r="F436" s="13">
        <v>50</v>
      </c>
      <c r="G436" s="13" t="s">
        <v>9837</v>
      </c>
    </row>
    <row r="437" spans="1:7" ht="28.8" x14ac:dyDescent="0.3">
      <c r="A437" s="13" t="s">
        <v>9829</v>
      </c>
      <c r="B437" s="13" t="s">
        <v>10059</v>
      </c>
      <c r="C437" s="13" t="s">
        <v>10060</v>
      </c>
      <c r="D437" s="13">
        <v>1328</v>
      </c>
      <c r="E437" s="13" t="s">
        <v>9836</v>
      </c>
      <c r="F437" s="13">
        <v>45</v>
      </c>
      <c r="G437" s="13" t="s">
        <v>9837</v>
      </c>
    </row>
    <row r="438" spans="1:7" ht="28.8" x14ac:dyDescent="0.3">
      <c r="A438" s="13" t="s">
        <v>9829</v>
      </c>
      <c r="B438" s="13" t="s">
        <v>10061</v>
      </c>
      <c r="C438" s="13" t="s">
        <v>10062</v>
      </c>
      <c r="D438" s="13">
        <v>1327</v>
      </c>
      <c r="E438" s="13" t="s">
        <v>9901</v>
      </c>
      <c r="F438" s="13">
        <v>3</v>
      </c>
      <c r="G438" s="13" t="s">
        <v>9837</v>
      </c>
    </row>
    <row r="439" spans="1:7" ht="43.2" x14ac:dyDescent="0.3">
      <c r="A439" s="13" t="s">
        <v>9829</v>
      </c>
      <c r="B439" s="13" t="s">
        <v>10063</v>
      </c>
      <c r="C439" s="13" t="s">
        <v>10064</v>
      </c>
      <c r="D439" s="13">
        <v>1325</v>
      </c>
      <c r="E439" s="13" t="s">
        <v>9836</v>
      </c>
      <c r="F439" s="13">
        <v>45</v>
      </c>
      <c r="G439" s="13" t="s">
        <v>9837</v>
      </c>
    </row>
    <row r="440" spans="1:7" ht="28.8" x14ac:dyDescent="0.3">
      <c r="A440" s="13" t="s">
        <v>9829</v>
      </c>
      <c r="B440" s="13" t="s">
        <v>10065</v>
      </c>
      <c r="C440" s="13" t="s">
        <v>10066</v>
      </c>
      <c r="D440" s="13">
        <v>1330</v>
      </c>
      <c r="E440" s="13" t="s">
        <v>9836</v>
      </c>
      <c r="F440" s="13">
        <v>6</v>
      </c>
      <c r="G440" s="13" t="s">
        <v>9837</v>
      </c>
    </row>
    <row r="441" spans="1:7" ht="28.8" x14ac:dyDescent="0.3">
      <c r="A441" s="13" t="s">
        <v>9829</v>
      </c>
      <c r="B441" s="13" t="s">
        <v>10067</v>
      </c>
      <c r="C441" s="13" t="s">
        <v>10068</v>
      </c>
      <c r="D441" s="13">
        <v>1332</v>
      </c>
      <c r="E441" s="13" t="s">
        <v>9836</v>
      </c>
      <c r="F441" s="13">
        <v>6</v>
      </c>
      <c r="G441" s="13" t="s">
        <v>9837</v>
      </c>
    </row>
    <row r="442" spans="1:7" ht="28.8" x14ac:dyDescent="0.3">
      <c r="A442" s="13" t="s">
        <v>9829</v>
      </c>
      <c r="B442" s="13" t="s">
        <v>10069</v>
      </c>
      <c r="C442" s="13" t="s">
        <v>10070</v>
      </c>
      <c r="D442" s="13">
        <v>1329</v>
      </c>
      <c r="E442" s="13" t="s">
        <v>9836</v>
      </c>
      <c r="F442" s="13">
        <v>6</v>
      </c>
      <c r="G442" s="13" t="s">
        <v>9837</v>
      </c>
    </row>
    <row r="443" spans="1:7" ht="43.2" x14ac:dyDescent="0.3">
      <c r="A443" s="13" t="s">
        <v>9829</v>
      </c>
      <c r="B443" s="13" t="s">
        <v>10071</v>
      </c>
      <c r="C443" s="13" t="s">
        <v>10072</v>
      </c>
      <c r="D443" s="13">
        <v>1331</v>
      </c>
      <c r="E443" s="13" t="s">
        <v>9836</v>
      </c>
      <c r="F443" s="13">
        <v>6</v>
      </c>
      <c r="G443" s="13" t="s">
        <v>9837</v>
      </c>
    </row>
    <row r="444" spans="1:7" ht="28.8" x14ac:dyDescent="0.3">
      <c r="A444" s="13" t="s">
        <v>9829</v>
      </c>
      <c r="B444" s="13" t="s">
        <v>10073</v>
      </c>
      <c r="C444" s="13" t="s">
        <v>10074</v>
      </c>
      <c r="D444" s="13">
        <v>1324</v>
      </c>
      <c r="E444" s="13" t="s">
        <v>9836</v>
      </c>
      <c r="F444" s="13">
        <v>30</v>
      </c>
      <c r="G444" s="13" t="s">
        <v>9837</v>
      </c>
    </row>
    <row r="445" spans="1:7" ht="28.8" x14ac:dyDescent="0.3">
      <c r="A445" s="13" t="s">
        <v>9829</v>
      </c>
      <c r="B445" s="13" t="s">
        <v>10073</v>
      </c>
      <c r="C445" s="13" t="s">
        <v>10074</v>
      </c>
      <c r="D445" s="13">
        <v>1324</v>
      </c>
      <c r="E445" s="13" t="s">
        <v>9836</v>
      </c>
      <c r="F445" s="13">
        <v>30</v>
      </c>
      <c r="G445" s="13" t="s">
        <v>9837</v>
      </c>
    </row>
    <row r="446" spans="1:7" ht="86.4" x14ac:dyDescent="0.3">
      <c r="A446" s="13" t="s">
        <v>9829</v>
      </c>
      <c r="B446" s="13" t="s">
        <v>10075</v>
      </c>
      <c r="C446" s="13" t="s">
        <v>10076</v>
      </c>
      <c r="D446" s="13">
        <v>1326</v>
      </c>
      <c r="E446" s="13" t="s">
        <v>9832</v>
      </c>
      <c r="F446" s="13">
        <v>5</v>
      </c>
      <c r="G446" s="13" t="s">
        <v>13140</v>
      </c>
    </row>
    <row r="447" spans="1:7" ht="28.8" x14ac:dyDescent="0.3">
      <c r="A447" s="13" t="s">
        <v>9829</v>
      </c>
      <c r="B447" s="13" t="s">
        <v>10077</v>
      </c>
      <c r="C447" s="13" t="s">
        <v>10078</v>
      </c>
      <c r="D447" s="13">
        <v>1336</v>
      </c>
      <c r="E447" s="13" t="s">
        <v>9836</v>
      </c>
      <c r="F447" s="13">
        <v>10</v>
      </c>
      <c r="G447" s="13" t="s">
        <v>9837</v>
      </c>
    </row>
    <row r="448" spans="1:7" ht="28.8" x14ac:dyDescent="0.3">
      <c r="A448" s="13" t="s">
        <v>9829</v>
      </c>
      <c r="B448" s="13" t="s">
        <v>10077</v>
      </c>
      <c r="C448" s="13" t="s">
        <v>10078</v>
      </c>
      <c r="D448" s="13">
        <v>1336</v>
      </c>
      <c r="E448" s="13" t="s">
        <v>9836</v>
      </c>
      <c r="F448" s="13">
        <v>10</v>
      </c>
      <c r="G448" s="13" t="s">
        <v>9837</v>
      </c>
    </row>
    <row r="449" spans="1:7" ht="43.2" x14ac:dyDescent="0.3">
      <c r="A449" s="13" t="s">
        <v>9829</v>
      </c>
      <c r="B449" s="13" t="s">
        <v>10079</v>
      </c>
      <c r="C449" s="13" t="s">
        <v>10080</v>
      </c>
      <c r="D449" s="13">
        <v>1334</v>
      </c>
      <c r="E449" s="13" t="s">
        <v>9836</v>
      </c>
      <c r="F449" s="13">
        <v>45</v>
      </c>
      <c r="G449" s="13" t="s">
        <v>9837</v>
      </c>
    </row>
    <row r="450" spans="1:7" ht="43.2" x14ac:dyDescent="0.3">
      <c r="A450" s="13" t="s">
        <v>9829</v>
      </c>
      <c r="B450" s="13" t="s">
        <v>10079</v>
      </c>
      <c r="C450" s="13" t="s">
        <v>10080</v>
      </c>
      <c r="D450" s="13">
        <v>1334</v>
      </c>
      <c r="E450" s="13" t="s">
        <v>9836</v>
      </c>
      <c r="F450" s="13">
        <v>45</v>
      </c>
      <c r="G450" s="13" t="s">
        <v>9837</v>
      </c>
    </row>
    <row r="451" spans="1:7" ht="43.2" x14ac:dyDescent="0.3">
      <c r="A451" s="13" t="s">
        <v>9829</v>
      </c>
      <c r="B451" s="13" t="s">
        <v>10081</v>
      </c>
      <c r="C451" s="13" t="s">
        <v>10082</v>
      </c>
      <c r="D451" s="13">
        <v>1339</v>
      </c>
      <c r="E451" s="13" t="s">
        <v>9836</v>
      </c>
      <c r="F451" s="13">
        <v>6</v>
      </c>
      <c r="G451" s="13" t="s">
        <v>9837</v>
      </c>
    </row>
    <row r="452" spans="1:7" ht="28.8" x14ac:dyDescent="0.3">
      <c r="A452" s="13" t="s">
        <v>9829</v>
      </c>
      <c r="B452" s="13" t="s">
        <v>10083</v>
      </c>
      <c r="C452" s="13" t="s">
        <v>10084</v>
      </c>
      <c r="D452" s="13">
        <v>1338</v>
      </c>
      <c r="E452" s="13" t="s">
        <v>9836</v>
      </c>
      <c r="F452" s="13">
        <v>30</v>
      </c>
      <c r="G452" s="13" t="s">
        <v>9837</v>
      </c>
    </row>
    <row r="453" spans="1:7" ht="28.8" x14ac:dyDescent="0.3">
      <c r="A453" s="13" t="s">
        <v>9829</v>
      </c>
      <c r="B453" s="13" t="s">
        <v>10085</v>
      </c>
      <c r="C453" s="13" t="s">
        <v>10086</v>
      </c>
      <c r="D453" s="13">
        <v>1333</v>
      </c>
      <c r="E453" s="13" t="s">
        <v>9836</v>
      </c>
      <c r="F453" s="13">
        <v>30</v>
      </c>
      <c r="G453" s="13" t="s">
        <v>9837</v>
      </c>
    </row>
    <row r="454" spans="1:7" ht="28.8" x14ac:dyDescent="0.3">
      <c r="A454" s="13" t="s">
        <v>9829</v>
      </c>
      <c r="B454" s="13" t="s">
        <v>10087</v>
      </c>
      <c r="C454" s="13" t="s">
        <v>10088</v>
      </c>
      <c r="D454" s="13">
        <v>1335</v>
      </c>
      <c r="E454" s="13" t="s">
        <v>9836</v>
      </c>
      <c r="F454" s="13">
        <v>6</v>
      </c>
      <c r="G454" s="13" t="s">
        <v>9837</v>
      </c>
    </row>
    <row r="455" spans="1:7" ht="28.8" x14ac:dyDescent="0.3">
      <c r="A455" s="13" t="s">
        <v>9829</v>
      </c>
      <c r="B455" s="13" t="s">
        <v>10087</v>
      </c>
      <c r="C455" s="13" t="s">
        <v>10088</v>
      </c>
      <c r="D455" s="13">
        <v>1335</v>
      </c>
      <c r="E455" s="13" t="s">
        <v>9836</v>
      </c>
      <c r="F455" s="13">
        <v>6</v>
      </c>
      <c r="G455" s="13" t="s">
        <v>9837</v>
      </c>
    </row>
    <row r="456" spans="1:7" ht="28.8" x14ac:dyDescent="0.3">
      <c r="A456" s="13" t="s">
        <v>9829</v>
      </c>
      <c r="B456" s="13" t="s">
        <v>10089</v>
      </c>
      <c r="C456" s="13" t="s">
        <v>10086</v>
      </c>
      <c r="D456" s="13">
        <v>1337</v>
      </c>
      <c r="E456" s="13" t="s">
        <v>9836</v>
      </c>
      <c r="F456" s="13">
        <v>30</v>
      </c>
      <c r="G456" s="13" t="s">
        <v>9837</v>
      </c>
    </row>
    <row r="457" spans="1:7" ht="409.6" x14ac:dyDescent="0.3">
      <c r="A457" s="13" t="s">
        <v>9829</v>
      </c>
      <c r="B457" s="13" t="s">
        <v>10090</v>
      </c>
      <c r="C457" s="13" t="s">
        <v>10091</v>
      </c>
      <c r="D457" s="13">
        <v>429</v>
      </c>
      <c r="E457" s="13" t="s">
        <v>9832</v>
      </c>
      <c r="F457" s="13">
        <v>5</v>
      </c>
      <c r="G457" s="13" t="s">
        <v>13116</v>
      </c>
    </row>
    <row r="458" spans="1:7" ht="28.8" x14ac:dyDescent="0.3">
      <c r="A458" s="13" t="s">
        <v>9829</v>
      </c>
      <c r="B458" s="13" t="s">
        <v>10092</v>
      </c>
      <c r="C458" s="13" t="s">
        <v>10093</v>
      </c>
      <c r="D458" s="13">
        <v>1471</v>
      </c>
      <c r="E458" s="13" t="s">
        <v>9901</v>
      </c>
      <c r="F458" s="13">
        <v>5</v>
      </c>
      <c r="G458" s="13" t="s">
        <v>9837</v>
      </c>
    </row>
    <row r="459" spans="1:7" ht="28.8" x14ac:dyDescent="0.3">
      <c r="A459" s="13" t="s">
        <v>9829</v>
      </c>
      <c r="B459" s="13" t="s">
        <v>10092</v>
      </c>
      <c r="C459" s="13" t="s">
        <v>10093</v>
      </c>
      <c r="D459" s="13">
        <v>1471</v>
      </c>
      <c r="E459" s="13" t="s">
        <v>9901</v>
      </c>
      <c r="F459" s="13">
        <v>5</v>
      </c>
      <c r="G459" s="13" t="s">
        <v>9837</v>
      </c>
    </row>
    <row r="460" spans="1:7" ht="28.8" x14ac:dyDescent="0.3">
      <c r="A460" s="13" t="s">
        <v>9829</v>
      </c>
      <c r="B460" s="13" t="s">
        <v>10094</v>
      </c>
      <c r="C460" s="13" t="s">
        <v>10095</v>
      </c>
      <c r="D460" s="13">
        <v>86</v>
      </c>
      <c r="E460" s="13" t="s">
        <v>9836</v>
      </c>
      <c r="F460" s="13">
        <v>45</v>
      </c>
      <c r="G460" s="13" t="s">
        <v>9837</v>
      </c>
    </row>
    <row r="461" spans="1:7" ht="28.8" x14ac:dyDescent="0.3">
      <c r="A461" s="13" t="s">
        <v>9829</v>
      </c>
      <c r="B461" s="13" t="s">
        <v>10094</v>
      </c>
      <c r="C461" s="13" t="s">
        <v>10095</v>
      </c>
      <c r="D461" s="13">
        <v>86</v>
      </c>
      <c r="E461" s="13" t="s">
        <v>9836</v>
      </c>
      <c r="F461" s="13">
        <v>45</v>
      </c>
      <c r="G461" s="13" t="s">
        <v>9837</v>
      </c>
    </row>
    <row r="462" spans="1:7" ht="28.8" x14ac:dyDescent="0.3">
      <c r="A462" s="13" t="s">
        <v>9829</v>
      </c>
      <c r="B462" s="13" t="s">
        <v>10094</v>
      </c>
      <c r="C462" s="13" t="s">
        <v>10095</v>
      </c>
      <c r="D462" s="13">
        <v>86</v>
      </c>
      <c r="E462" s="13" t="s">
        <v>9836</v>
      </c>
      <c r="F462" s="13">
        <v>45</v>
      </c>
      <c r="G462" s="13" t="s">
        <v>9837</v>
      </c>
    </row>
    <row r="463" spans="1:7" ht="28.8" x14ac:dyDescent="0.3">
      <c r="A463" s="13" t="s">
        <v>9829</v>
      </c>
      <c r="B463" s="13" t="s">
        <v>10096</v>
      </c>
      <c r="C463" s="13" t="s">
        <v>10097</v>
      </c>
      <c r="D463" s="13">
        <v>87</v>
      </c>
      <c r="E463" s="13" t="s">
        <v>9863</v>
      </c>
      <c r="F463" s="13">
        <v>8</v>
      </c>
      <c r="G463" s="13" t="s">
        <v>9837</v>
      </c>
    </row>
    <row r="464" spans="1:7" ht="28.8" x14ac:dyDescent="0.3">
      <c r="A464" s="13" t="s">
        <v>9829</v>
      </c>
      <c r="B464" s="13" t="s">
        <v>10096</v>
      </c>
      <c r="C464" s="13" t="s">
        <v>10097</v>
      </c>
      <c r="D464" s="13">
        <v>87</v>
      </c>
      <c r="E464" s="13" t="s">
        <v>9863</v>
      </c>
      <c r="F464" s="13">
        <v>8</v>
      </c>
      <c r="G464" s="13" t="s">
        <v>9837</v>
      </c>
    </row>
    <row r="465" spans="1:7" ht="28.8" x14ac:dyDescent="0.3">
      <c r="A465" s="13" t="s">
        <v>9829</v>
      </c>
      <c r="B465" s="13" t="s">
        <v>10096</v>
      </c>
      <c r="C465" s="13" t="s">
        <v>10097</v>
      </c>
      <c r="D465" s="13">
        <v>87</v>
      </c>
      <c r="E465" s="13" t="s">
        <v>9863</v>
      </c>
      <c r="F465" s="13">
        <v>8</v>
      </c>
      <c r="G465" s="13" t="s">
        <v>9837</v>
      </c>
    </row>
    <row r="466" spans="1:7" ht="187.2" x14ac:dyDescent="0.3">
      <c r="A466" s="13" t="s">
        <v>9829</v>
      </c>
      <c r="B466" s="13" t="s">
        <v>10098</v>
      </c>
      <c r="C466" s="13" t="s">
        <v>10099</v>
      </c>
      <c r="D466" s="13">
        <v>88</v>
      </c>
      <c r="E466" s="13" t="s">
        <v>9832</v>
      </c>
      <c r="F466" s="13">
        <v>5</v>
      </c>
      <c r="G466" s="13" t="s">
        <v>13141</v>
      </c>
    </row>
    <row r="467" spans="1:7" ht="187.2" x14ac:dyDescent="0.3">
      <c r="A467" s="13" t="s">
        <v>9829</v>
      </c>
      <c r="B467" s="13" t="s">
        <v>10098</v>
      </c>
      <c r="C467" s="13" t="s">
        <v>10099</v>
      </c>
      <c r="D467" s="13">
        <v>88</v>
      </c>
      <c r="E467" s="13" t="s">
        <v>9832</v>
      </c>
      <c r="F467" s="13">
        <v>5</v>
      </c>
      <c r="G467" s="13" t="s">
        <v>13141</v>
      </c>
    </row>
    <row r="468" spans="1:7" ht="187.2" x14ac:dyDescent="0.3">
      <c r="A468" s="13" t="s">
        <v>9829</v>
      </c>
      <c r="B468" s="13" t="s">
        <v>10098</v>
      </c>
      <c r="C468" s="13" t="s">
        <v>10099</v>
      </c>
      <c r="D468" s="13">
        <v>88</v>
      </c>
      <c r="E468" s="13" t="s">
        <v>9832</v>
      </c>
      <c r="F468" s="13">
        <v>5</v>
      </c>
      <c r="G468" s="13" t="s">
        <v>13141</v>
      </c>
    </row>
    <row r="469" spans="1:7" ht="187.2" x14ac:dyDescent="0.3">
      <c r="A469" s="13" t="s">
        <v>9829</v>
      </c>
      <c r="B469" s="13" t="s">
        <v>10098</v>
      </c>
      <c r="C469" s="13" t="s">
        <v>10099</v>
      </c>
      <c r="D469" s="13">
        <v>88</v>
      </c>
      <c r="E469" s="13" t="s">
        <v>9832</v>
      </c>
      <c r="F469" s="13">
        <v>5</v>
      </c>
      <c r="G469" s="13" t="s">
        <v>13141</v>
      </c>
    </row>
    <row r="470" spans="1:7" ht="28.8" x14ac:dyDescent="0.3">
      <c r="A470" s="13" t="s">
        <v>9829</v>
      </c>
      <c r="B470" s="13" t="s">
        <v>10100</v>
      </c>
      <c r="C470" s="13" t="s">
        <v>10101</v>
      </c>
      <c r="D470" s="13">
        <v>1009</v>
      </c>
      <c r="E470" s="13" t="s">
        <v>9901</v>
      </c>
      <c r="F470" s="13">
        <v>4</v>
      </c>
      <c r="G470" s="13" t="s">
        <v>9837</v>
      </c>
    </row>
    <row r="471" spans="1:7" ht="28.8" x14ac:dyDescent="0.3">
      <c r="A471" s="13" t="s">
        <v>9829</v>
      </c>
      <c r="B471" s="13" t="s">
        <v>10102</v>
      </c>
      <c r="C471" s="13" t="s">
        <v>10103</v>
      </c>
      <c r="D471" s="13">
        <v>1035</v>
      </c>
      <c r="E471" s="13" t="s">
        <v>9880</v>
      </c>
      <c r="F471" s="13">
        <v>8.1999999999999993</v>
      </c>
      <c r="G471" s="13" t="s">
        <v>9837</v>
      </c>
    </row>
    <row r="472" spans="1:7" ht="28.8" x14ac:dyDescent="0.3">
      <c r="A472" s="13" t="s">
        <v>9829</v>
      </c>
      <c r="B472" s="13" t="s">
        <v>10104</v>
      </c>
      <c r="C472" s="13" t="s">
        <v>10105</v>
      </c>
      <c r="D472" s="13">
        <v>1012</v>
      </c>
      <c r="E472" s="13" t="s">
        <v>9880</v>
      </c>
      <c r="F472" s="13">
        <v>8.1999999999999993</v>
      </c>
      <c r="G472" s="13" t="s">
        <v>9837</v>
      </c>
    </row>
    <row r="473" spans="1:7" ht="409.6" x14ac:dyDescent="0.3">
      <c r="A473" s="13" t="s">
        <v>9829</v>
      </c>
      <c r="B473" s="13" t="s">
        <v>10106</v>
      </c>
      <c r="C473" s="13" t="s">
        <v>10107</v>
      </c>
      <c r="D473" s="13">
        <v>971</v>
      </c>
      <c r="E473" s="13" t="s">
        <v>9832</v>
      </c>
      <c r="F473" s="13">
        <v>5</v>
      </c>
      <c r="G473" s="13" t="s">
        <v>13142</v>
      </c>
    </row>
    <row r="474" spans="1:7" ht="28.8" x14ac:dyDescent="0.3">
      <c r="A474" s="13" t="s">
        <v>9829</v>
      </c>
      <c r="B474" s="13" t="s">
        <v>10108</v>
      </c>
      <c r="C474" s="13" t="s">
        <v>10109</v>
      </c>
      <c r="D474" s="13">
        <v>977</v>
      </c>
      <c r="E474" s="13" t="s">
        <v>9863</v>
      </c>
      <c r="F474" s="13">
        <v>8</v>
      </c>
      <c r="G474" s="13" t="s">
        <v>9837</v>
      </c>
    </row>
    <row r="475" spans="1:7" ht="28.8" x14ac:dyDescent="0.3">
      <c r="A475" s="13" t="s">
        <v>9829</v>
      </c>
      <c r="B475" s="13" t="s">
        <v>10110</v>
      </c>
      <c r="C475" s="13" t="s">
        <v>10111</v>
      </c>
      <c r="D475" s="13">
        <v>1034</v>
      </c>
      <c r="E475" s="13" t="s">
        <v>9863</v>
      </c>
      <c r="F475" s="13">
        <v>8</v>
      </c>
      <c r="G475" s="13" t="s">
        <v>9837</v>
      </c>
    </row>
    <row r="476" spans="1:7" ht="57.6" x14ac:dyDescent="0.3">
      <c r="A476" s="13" t="s">
        <v>9829</v>
      </c>
      <c r="B476" s="13" t="s">
        <v>10112</v>
      </c>
      <c r="C476" s="13" t="s">
        <v>10113</v>
      </c>
      <c r="D476" s="13">
        <v>1552</v>
      </c>
      <c r="E476" s="13" t="s">
        <v>9863</v>
      </c>
      <c r="F476" s="13">
        <v>8</v>
      </c>
      <c r="G476" s="13" t="s">
        <v>9837</v>
      </c>
    </row>
    <row r="477" spans="1:7" ht="28.8" x14ac:dyDescent="0.3">
      <c r="A477" s="13" t="s">
        <v>9829</v>
      </c>
      <c r="B477" s="13" t="s">
        <v>10114</v>
      </c>
      <c r="C477" s="13" t="s">
        <v>10115</v>
      </c>
      <c r="D477" s="13">
        <v>1551</v>
      </c>
      <c r="E477" s="13" t="s">
        <v>9863</v>
      </c>
      <c r="F477" s="13">
        <v>8</v>
      </c>
      <c r="G477" s="13" t="s">
        <v>9837</v>
      </c>
    </row>
    <row r="478" spans="1:7" ht="331.2" x14ac:dyDescent="0.3">
      <c r="A478" s="13" t="s">
        <v>9829</v>
      </c>
      <c r="B478" s="13" t="s">
        <v>10116</v>
      </c>
      <c r="C478" s="13" t="s">
        <v>10117</v>
      </c>
      <c r="D478" s="13">
        <v>972</v>
      </c>
      <c r="E478" s="13" t="s">
        <v>9832</v>
      </c>
      <c r="F478" s="13">
        <v>5</v>
      </c>
      <c r="G478" s="13" t="s">
        <v>13143</v>
      </c>
    </row>
    <row r="479" spans="1:7" ht="28.8" x14ac:dyDescent="0.3">
      <c r="A479" s="13" t="s">
        <v>9829</v>
      </c>
      <c r="B479" s="13" t="s">
        <v>10118</v>
      </c>
      <c r="C479" s="13" t="s">
        <v>10119</v>
      </c>
      <c r="D479" s="13">
        <v>1010</v>
      </c>
      <c r="E479" s="13" t="s">
        <v>9880</v>
      </c>
      <c r="F479" s="13">
        <v>8.1999999999999993</v>
      </c>
      <c r="G479" s="13" t="s">
        <v>9837</v>
      </c>
    </row>
    <row r="480" spans="1:7" ht="28.8" x14ac:dyDescent="0.3">
      <c r="A480" s="13" t="s">
        <v>9829</v>
      </c>
      <c r="B480" s="13" t="s">
        <v>10120</v>
      </c>
      <c r="C480" s="13" t="s">
        <v>10121</v>
      </c>
      <c r="D480" s="13">
        <v>976</v>
      </c>
      <c r="E480" s="13" t="s">
        <v>9863</v>
      </c>
      <c r="F480" s="13">
        <v>8</v>
      </c>
      <c r="G480" s="13" t="s">
        <v>9837</v>
      </c>
    </row>
    <row r="481" spans="1:7" ht="28.8" x14ac:dyDescent="0.3">
      <c r="A481" s="13" t="s">
        <v>9829</v>
      </c>
      <c r="B481" s="13" t="s">
        <v>10122</v>
      </c>
      <c r="C481" s="13" t="s">
        <v>10123</v>
      </c>
      <c r="D481" s="13">
        <v>974</v>
      </c>
      <c r="E481" s="13" t="s">
        <v>9836</v>
      </c>
      <c r="F481" s="13">
        <v>80</v>
      </c>
      <c r="G481" s="13" t="s">
        <v>9837</v>
      </c>
    </row>
    <row r="482" spans="1:7" ht="28.8" x14ac:dyDescent="0.3">
      <c r="A482" s="13" t="s">
        <v>9829</v>
      </c>
      <c r="B482" s="13" t="s">
        <v>10124</v>
      </c>
      <c r="C482" s="13" t="s">
        <v>10125</v>
      </c>
      <c r="D482" s="13">
        <v>975</v>
      </c>
      <c r="E482" s="13" t="s">
        <v>9863</v>
      </c>
      <c r="F482" s="13">
        <v>8</v>
      </c>
      <c r="G482" s="13" t="s">
        <v>9837</v>
      </c>
    </row>
    <row r="483" spans="1:7" ht="409.6" x14ac:dyDescent="0.3">
      <c r="A483" s="13" t="s">
        <v>9829</v>
      </c>
      <c r="B483" s="13" t="s">
        <v>10126</v>
      </c>
      <c r="C483" s="13" t="s">
        <v>10127</v>
      </c>
      <c r="D483" s="13">
        <v>1553</v>
      </c>
      <c r="E483" s="13" t="s">
        <v>9832</v>
      </c>
      <c r="F483" s="13">
        <v>5</v>
      </c>
      <c r="G483" s="13" t="s">
        <v>13144</v>
      </c>
    </row>
    <row r="484" spans="1:7" ht="409.6" x14ac:dyDescent="0.3">
      <c r="A484" s="13" t="s">
        <v>9829</v>
      </c>
      <c r="B484" s="13" t="s">
        <v>10128</v>
      </c>
      <c r="C484" s="13" t="s">
        <v>10129</v>
      </c>
      <c r="D484" s="13">
        <v>973</v>
      </c>
      <c r="E484" s="13" t="s">
        <v>9832</v>
      </c>
      <c r="F484" s="13">
        <v>5</v>
      </c>
      <c r="G484" s="13" t="s">
        <v>13144</v>
      </c>
    </row>
    <row r="485" spans="1:7" ht="28.8" x14ac:dyDescent="0.3">
      <c r="A485" s="13" t="s">
        <v>9829</v>
      </c>
      <c r="B485" s="13" t="s">
        <v>10130</v>
      </c>
      <c r="C485" s="13" t="s">
        <v>10131</v>
      </c>
      <c r="D485" s="13">
        <v>848</v>
      </c>
      <c r="E485" s="13" t="s">
        <v>9863</v>
      </c>
      <c r="F485" s="13">
        <v>8</v>
      </c>
      <c r="G485" s="13" t="s">
        <v>9837</v>
      </c>
    </row>
    <row r="486" spans="1:7" ht="57.6" x14ac:dyDescent="0.3">
      <c r="A486" s="13" t="s">
        <v>9829</v>
      </c>
      <c r="B486" s="13" t="s">
        <v>10132</v>
      </c>
      <c r="C486" s="13" t="s">
        <v>10133</v>
      </c>
      <c r="D486" s="13">
        <v>847</v>
      </c>
      <c r="E486" s="13" t="s">
        <v>9832</v>
      </c>
      <c r="F486" s="13">
        <v>5</v>
      </c>
      <c r="G486" s="13" t="s">
        <v>13145</v>
      </c>
    </row>
    <row r="487" spans="1:7" ht="28.8" x14ac:dyDescent="0.3">
      <c r="A487" s="13" t="s">
        <v>9829</v>
      </c>
      <c r="B487" s="13" t="s">
        <v>10134</v>
      </c>
      <c r="C487" s="13" t="s">
        <v>10135</v>
      </c>
      <c r="D487" s="13">
        <v>814</v>
      </c>
      <c r="E487" s="13" t="s">
        <v>9863</v>
      </c>
      <c r="F487" s="13">
        <v>8</v>
      </c>
      <c r="G487" s="13" t="s">
        <v>9837</v>
      </c>
    </row>
    <row r="488" spans="1:7" ht="43.2" x14ac:dyDescent="0.3">
      <c r="A488" s="13" t="s">
        <v>9829</v>
      </c>
      <c r="B488" s="13" t="s">
        <v>10136</v>
      </c>
      <c r="C488" s="13" t="s">
        <v>10137</v>
      </c>
      <c r="D488" s="13">
        <v>845</v>
      </c>
      <c r="E488" s="13" t="s">
        <v>9880</v>
      </c>
      <c r="F488" s="13">
        <v>3.1</v>
      </c>
      <c r="G488" s="13" t="s">
        <v>9837</v>
      </c>
    </row>
    <row r="489" spans="1:7" ht="316.8" x14ac:dyDescent="0.3">
      <c r="A489" s="13" t="s">
        <v>9829</v>
      </c>
      <c r="B489" s="13" t="s">
        <v>10138</v>
      </c>
      <c r="C489" s="13" t="s">
        <v>10139</v>
      </c>
      <c r="D489" s="13">
        <v>570</v>
      </c>
      <c r="E489" s="13" t="s">
        <v>9832</v>
      </c>
      <c r="F489" s="13">
        <v>5</v>
      </c>
      <c r="G489" s="13" t="s">
        <v>13146</v>
      </c>
    </row>
    <row r="490" spans="1:7" ht="409.6" x14ac:dyDescent="0.3">
      <c r="A490" s="13" t="s">
        <v>9829</v>
      </c>
      <c r="B490" s="13" t="s">
        <v>10140</v>
      </c>
      <c r="C490" s="13" t="s">
        <v>10141</v>
      </c>
      <c r="D490" s="13">
        <v>712</v>
      </c>
      <c r="E490" s="13" t="s">
        <v>9832</v>
      </c>
      <c r="F490" s="13">
        <v>5</v>
      </c>
      <c r="G490" s="13" t="s">
        <v>13147</v>
      </c>
    </row>
    <row r="491" spans="1:7" ht="158.4" x14ac:dyDescent="0.3">
      <c r="A491" s="13" t="s">
        <v>9829</v>
      </c>
      <c r="B491" s="13" t="s">
        <v>10142</v>
      </c>
      <c r="C491" s="13" t="s">
        <v>10143</v>
      </c>
      <c r="D491" s="13">
        <v>1648</v>
      </c>
      <c r="E491" s="13" t="s">
        <v>9832</v>
      </c>
      <c r="F491" s="13">
        <v>5</v>
      </c>
      <c r="G491" s="13" t="s">
        <v>13148</v>
      </c>
    </row>
    <row r="492" spans="1:7" ht="72" x14ac:dyDescent="0.3">
      <c r="A492" s="13" t="s">
        <v>9829</v>
      </c>
      <c r="B492" s="13" t="s">
        <v>10144</v>
      </c>
      <c r="C492" s="13" t="s">
        <v>10145</v>
      </c>
      <c r="D492" s="13">
        <v>800</v>
      </c>
      <c r="E492" s="13" t="s">
        <v>9836</v>
      </c>
      <c r="F492" s="13">
        <v>35</v>
      </c>
      <c r="G492" s="13" t="s">
        <v>9837</v>
      </c>
    </row>
    <row r="493" spans="1:7" ht="28.8" x14ac:dyDescent="0.3">
      <c r="A493" s="13" t="s">
        <v>9829</v>
      </c>
      <c r="B493" s="13" t="s">
        <v>10146</v>
      </c>
      <c r="C493" s="13" t="s">
        <v>10147</v>
      </c>
      <c r="D493" s="13">
        <v>1507</v>
      </c>
      <c r="E493" s="13" t="s">
        <v>9836</v>
      </c>
      <c r="F493" s="13">
        <v>45</v>
      </c>
      <c r="G493" s="13" t="s">
        <v>9837</v>
      </c>
    </row>
    <row r="494" spans="1:7" ht="409.6" x14ac:dyDescent="0.3">
      <c r="A494" s="13" t="s">
        <v>9829</v>
      </c>
      <c r="B494" s="13" t="s">
        <v>10148</v>
      </c>
      <c r="C494" s="13" t="s">
        <v>10149</v>
      </c>
      <c r="D494" s="13">
        <v>1173</v>
      </c>
      <c r="E494" s="13" t="s">
        <v>9832</v>
      </c>
      <c r="F494" s="13">
        <v>5</v>
      </c>
      <c r="G494" s="13" t="s">
        <v>13149</v>
      </c>
    </row>
    <row r="495" spans="1:7" ht="409.6" x14ac:dyDescent="0.3">
      <c r="A495" s="13" t="s">
        <v>9829</v>
      </c>
      <c r="B495" s="13" t="s">
        <v>10148</v>
      </c>
      <c r="C495" s="13" t="s">
        <v>10149</v>
      </c>
      <c r="D495" s="13">
        <v>1173</v>
      </c>
      <c r="E495" s="13" t="s">
        <v>9832</v>
      </c>
      <c r="F495" s="13">
        <v>5</v>
      </c>
      <c r="G495" s="13" t="s">
        <v>13149</v>
      </c>
    </row>
    <row r="496" spans="1:7" ht="409.6" x14ac:dyDescent="0.3">
      <c r="A496" s="13" t="s">
        <v>9829</v>
      </c>
      <c r="B496" s="13" t="s">
        <v>10148</v>
      </c>
      <c r="C496" s="13" t="s">
        <v>10149</v>
      </c>
      <c r="D496" s="13">
        <v>1173</v>
      </c>
      <c r="E496" s="13" t="s">
        <v>9832</v>
      </c>
      <c r="F496" s="13">
        <v>5</v>
      </c>
      <c r="G496" s="13" t="s">
        <v>13149</v>
      </c>
    </row>
    <row r="497" spans="1:7" ht="409.6" x14ac:dyDescent="0.3">
      <c r="A497" s="13" t="s">
        <v>9829</v>
      </c>
      <c r="B497" s="13" t="s">
        <v>10148</v>
      </c>
      <c r="C497" s="13" t="s">
        <v>10149</v>
      </c>
      <c r="D497" s="13">
        <v>1173</v>
      </c>
      <c r="E497" s="13" t="s">
        <v>9832</v>
      </c>
      <c r="F497" s="13">
        <v>5</v>
      </c>
      <c r="G497" s="13" t="s">
        <v>13149</v>
      </c>
    </row>
    <row r="498" spans="1:7" ht="28.8" x14ac:dyDescent="0.3">
      <c r="A498" s="13" t="s">
        <v>9829</v>
      </c>
      <c r="B498" s="13" t="s">
        <v>10150</v>
      </c>
      <c r="C498" s="13" t="s">
        <v>10151</v>
      </c>
      <c r="D498" s="13">
        <v>1419</v>
      </c>
      <c r="E498" s="13" t="s">
        <v>9832</v>
      </c>
      <c r="F498" s="13">
        <v>5</v>
      </c>
      <c r="G498" s="13" t="s">
        <v>9833</v>
      </c>
    </row>
    <row r="499" spans="1:7" ht="28.8" x14ac:dyDescent="0.3">
      <c r="A499" s="13" t="s">
        <v>9829</v>
      </c>
      <c r="B499" s="13" t="s">
        <v>10150</v>
      </c>
      <c r="C499" s="13" t="s">
        <v>10151</v>
      </c>
      <c r="D499" s="13">
        <v>1419</v>
      </c>
      <c r="E499" s="13" t="s">
        <v>9832</v>
      </c>
      <c r="F499" s="13">
        <v>5</v>
      </c>
      <c r="G499" s="13" t="s">
        <v>9833</v>
      </c>
    </row>
    <row r="500" spans="1:7" ht="409.6" x14ac:dyDescent="0.3">
      <c r="A500" s="13" t="s">
        <v>9829</v>
      </c>
      <c r="B500" s="13" t="s">
        <v>10152</v>
      </c>
      <c r="C500" s="13" t="s">
        <v>10153</v>
      </c>
      <c r="D500" s="13">
        <v>1246</v>
      </c>
      <c r="E500" s="13" t="s">
        <v>9832</v>
      </c>
      <c r="F500" s="13">
        <v>5</v>
      </c>
      <c r="G500" s="13" t="s">
        <v>13150</v>
      </c>
    </row>
    <row r="501" spans="1:7" ht="100.8" x14ac:dyDescent="0.3">
      <c r="A501" s="13" t="s">
        <v>9829</v>
      </c>
      <c r="B501" s="13" t="s">
        <v>10154</v>
      </c>
      <c r="C501" s="13" t="s">
        <v>10155</v>
      </c>
      <c r="D501" s="13">
        <v>1572</v>
      </c>
      <c r="E501" s="13" t="s">
        <v>9832</v>
      </c>
      <c r="F501" s="13">
        <v>5</v>
      </c>
      <c r="G501" s="13" t="s">
        <v>13151</v>
      </c>
    </row>
    <row r="502" spans="1:7" ht="28.8" x14ac:dyDescent="0.3">
      <c r="A502" s="13" t="s">
        <v>9829</v>
      </c>
      <c r="B502" s="13" t="s">
        <v>10156</v>
      </c>
      <c r="C502" s="13" t="s">
        <v>10157</v>
      </c>
      <c r="D502" s="13">
        <v>1650</v>
      </c>
      <c r="E502" s="13" t="s">
        <v>9880</v>
      </c>
      <c r="F502" s="13">
        <v>5.2</v>
      </c>
      <c r="G502" s="13" t="s">
        <v>9837</v>
      </c>
    </row>
    <row r="503" spans="1:7" ht="28.8" x14ac:dyDescent="0.3">
      <c r="A503" s="13" t="s">
        <v>9829</v>
      </c>
      <c r="B503" s="13" t="s">
        <v>10156</v>
      </c>
      <c r="C503" s="13" t="s">
        <v>10157</v>
      </c>
      <c r="D503" s="13">
        <v>1650</v>
      </c>
      <c r="E503" s="13" t="s">
        <v>9880</v>
      </c>
      <c r="F503" s="13">
        <v>5.2</v>
      </c>
      <c r="G503" s="13" t="s">
        <v>9837</v>
      </c>
    </row>
    <row r="504" spans="1:7" ht="409.6" x14ac:dyDescent="0.3">
      <c r="A504" s="13" t="s">
        <v>9829</v>
      </c>
      <c r="B504" s="13" t="s">
        <v>10158</v>
      </c>
      <c r="C504" s="13" t="s">
        <v>10159</v>
      </c>
      <c r="D504" s="13">
        <v>1276</v>
      </c>
      <c r="E504" s="13" t="s">
        <v>9832</v>
      </c>
      <c r="F504" s="13">
        <v>5</v>
      </c>
      <c r="G504" s="13" t="s">
        <v>13152</v>
      </c>
    </row>
    <row r="505" spans="1:7" ht="158.4" x14ac:dyDescent="0.3">
      <c r="A505" s="13" t="s">
        <v>9829</v>
      </c>
      <c r="B505" s="13" t="s">
        <v>10160</v>
      </c>
      <c r="C505" s="13" t="s">
        <v>10161</v>
      </c>
      <c r="D505" s="13">
        <v>640</v>
      </c>
      <c r="E505" s="13" t="s">
        <v>9832</v>
      </c>
      <c r="F505" s="13">
        <v>5</v>
      </c>
      <c r="G505" s="13" t="s">
        <v>13153</v>
      </c>
    </row>
    <row r="506" spans="1:7" ht="201.6" x14ac:dyDescent="0.3">
      <c r="A506" s="13" t="s">
        <v>9829</v>
      </c>
      <c r="B506" s="13" t="s">
        <v>10160</v>
      </c>
      <c r="C506" s="13" t="s">
        <v>10161</v>
      </c>
      <c r="D506" s="13">
        <v>640</v>
      </c>
      <c r="E506" s="13" t="s">
        <v>9832</v>
      </c>
      <c r="F506" s="13">
        <v>5</v>
      </c>
      <c r="G506" s="13" t="s">
        <v>13154</v>
      </c>
    </row>
    <row r="507" spans="1:7" ht="158.4" x14ac:dyDescent="0.3">
      <c r="A507" s="13" t="s">
        <v>9829</v>
      </c>
      <c r="B507" s="13" t="s">
        <v>10160</v>
      </c>
      <c r="C507" s="13" t="s">
        <v>10161</v>
      </c>
      <c r="D507" s="13">
        <v>640</v>
      </c>
      <c r="E507" s="13" t="s">
        <v>9832</v>
      </c>
      <c r="F507" s="13">
        <v>5</v>
      </c>
      <c r="G507" s="13" t="s">
        <v>13153</v>
      </c>
    </row>
    <row r="508" spans="1:7" ht="201.6" x14ac:dyDescent="0.3">
      <c r="A508" s="13" t="s">
        <v>9829</v>
      </c>
      <c r="B508" s="13" t="s">
        <v>10160</v>
      </c>
      <c r="C508" s="13" t="s">
        <v>10161</v>
      </c>
      <c r="D508" s="13">
        <v>640</v>
      </c>
      <c r="E508" s="13" t="s">
        <v>9832</v>
      </c>
      <c r="F508" s="13">
        <v>5</v>
      </c>
      <c r="G508" s="13" t="s">
        <v>13154</v>
      </c>
    </row>
    <row r="509" spans="1:7" ht="331.2" x14ac:dyDescent="0.3">
      <c r="A509" s="13" t="s">
        <v>9829</v>
      </c>
      <c r="B509" s="13" t="s">
        <v>10162</v>
      </c>
      <c r="C509" s="13" t="s">
        <v>10163</v>
      </c>
      <c r="D509" s="13">
        <v>94</v>
      </c>
      <c r="E509" s="13" t="s">
        <v>9832</v>
      </c>
      <c r="F509" s="13">
        <v>5</v>
      </c>
      <c r="G509" s="13" t="s">
        <v>13155</v>
      </c>
    </row>
    <row r="510" spans="1:7" ht="144" x14ac:dyDescent="0.3">
      <c r="A510" s="13" t="s">
        <v>9829</v>
      </c>
      <c r="B510" s="13" t="s">
        <v>10164</v>
      </c>
      <c r="C510" s="13" t="s">
        <v>10165</v>
      </c>
      <c r="D510" s="13">
        <v>1146</v>
      </c>
      <c r="E510" s="13" t="s">
        <v>9832</v>
      </c>
      <c r="F510" s="13">
        <v>5</v>
      </c>
      <c r="G510" s="13" t="s">
        <v>13156</v>
      </c>
    </row>
    <row r="511" spans="1:7" ht="43.2" x14ac:dyDescent="0.3">
      <c r="A511" s="13" t="s">
        <v>9829</v>
      </c>
      <c r="B511" s="13" t="s">
        <v>10166</v>
      </c>
      <c r="C511" s="13" t="s">
        <v>10167</v>
      </c>
      <c r="D511" s="13">
        <v>953</v>
      </c>
      <c r="E511" s="13" t="s">
        <v>9832</v>
      </c>
      <c r="F511" s="13">
        <v>5</v>
      </c>
      <c r="G511" s="13" t="s">
        <v>10168</v>
      </c>
    </row>
    <row r="512" spans="1:7" ht="115.2" x14ac:dyDescent="0.3">
      <c r="A512" s="13" t="s">
        <v>9829</v>
      </c>
      <c r="B512" s="13" t="s">
        <v>10169</v>
      </c>
      <c r="C512" s="13" t="s">
        <v>10170</v>
      </c>
      <c r="D512" s="13">
        <v>96</v>
      </c>
      <c r="E512" s="13" t="s">
        <v>9832</v>
      </c>
      <c r="F512" s="13">
        <v>5</v>
      </c>
      <c r="G512" s="13" t="s">
        <v>13157</v>
      </c>
    </row>
    <row r="513" spans="1:7" ht="172.8" x14ac:dyDescent="0.3">
      <c r="A513" s="13" t="s">
        <v>9829</v>
      </c>
      <c r="B513" s="13" t="s">
        <v>10171</v>
      </c>
      <c r="C513" s="13" t="s">
        <v>10172</v>
      </c>
      <c r="D513" s="13">
        <v>1293</v>
      </c>
      <c r="E513" s="13" t="s">
        <v>9832</v>
      </c>
      <c r="F513" s="13">
        <v>5</v>
      </c>
      <c r="G513" s="13" t="s">
        <v>13158</v>
      </c>
    </row>
    <row r="514" spans="1:7" ht="28.8" x14ac:dyDescent="0.3">
      <c r="A514" s="13" t="s">
        <v>9829</v>
      </c>
      <c r="B514" s="13" t="s">
        <v>10173</v>
      </c>
      <c r="C514" s="13" t="s">
        <v>10174</v>
      </c>
      <c r="D514" s="13">
        <v>1525</v>
      </c>
      <c r="E514" s="13" t="s">
        <v>9836</v>
      </c>
      <c r="F514" s="13">
        <v>80</v>
      </c>
      <c r="G514" s="13" t="s">
        <v>9837</v>
      </c>
    </row>
    <row r="515" spans="1:7" ht="28.8" x14ac:dyDescent="0.3">
      <c r="A515" s="13" t="s">
        <v>9829</v>
      </c>
      <c r="B515" s="13" t="s">
        <v>10173</v>
      </c>
      <c r="C515" s="13" t="s">
        <v>10174</v>
      </c>
      <c r="D515" s="13">
        <v>1525</v>
      </c>
      <c r="E515" s="13" t="s">
        <v>9836</v>
      </c>
      <c r="F515" s="13">
        <v>80</v>
      </c>
      <c r="G515" s="13" t="s">
        <v>9837</v>
      </c>
    </row>
    <row r="516" spans="1:7" ht="28.8" x14ac:dyDescent="0.3">
      <c r="A516" s="13" t="s">
        <v>9829</v>
      </c>
      <c r="B516" s="13" t="s">
        <v>10175</v>
      </c>
      <c r="C516" s="13" t="s">
        <v>10176</v>
      </c>
      <c r="D516" s="13">
        <v>1209</v>
      </c>
      <c r="E516" s="13" t="s">
        <v>9901</v>
      </c>
      <c r="F516" s="13">
        <v>5</v>
      </c>
      <c r="G516" s="13" t="s">
        <v>9837</v>
      </c>
    </row>
    <row r="517" spans="1:7" ht="360" x14ac:dyDescent="0.3">
      <c r="A517" s="13" t="s">
        <v>9829</v>
      </c>
      <c r="B517" s="13" t="s">
        <v>10177</v>
      </c>
      <c r="C517" s="13" t="s">
        <v>10178</v>
      </c>
      <c r="D517" s="13">
        <v>1172</v>
      </c>
      <c r="E517" s="13" t="s">
        <v>9832</v>
      </c>
      <c r="F517" s="13">
        <v>5</v>
      </c>
      <c r="G517" s="13" t="s">
        <v>13159</v>
      </c>
    </row>
    <row r="518" spans="1:7" ht="360" x14ac:dyDescent="0.3">
      <c r="A518" s="13" t="s">
        <v>9829</v>
      </c>
      <c r="B518" s="13" t="s">
        <v>10177</v>
      </c>
      <c r="C518" s="13" t="s">
        <v>10178</v>
      </c>
      <c r="D518" s="13">
        <v>1172</v>
      </c>
      <c r="E518" s="13" t="s">
        <v>9832</v>
      </c>
      <c r="F518" s="13">
        <v>5</v>
      </c>
      <c r="G518" s="13" t="s">
        <v>13159</v>
      </c>
    </row>
    <row r="519" spans="1:7" ht="43.2" x14ac:dyDescent="0.3">
      <c r="A519" s="13" t="s">
        <v>9829</v>
      </c>
      <c r="B519" s="13" t="s">
        <v>10179</v>
      </c>
      <c r="C519" s="13" t="s">
        <v>10180</v>
      </c>
      <c r="D519" s="13">
        <v>504</v>
      </c>
      <c r="E519" s="13" t="s">
        <v>9880</v>
      </c>
      <c r="F519" s="13">
        <v>6.2</v>
      </c>
      <c r="G519" s="13" t="s">
        <v>9837</v>
      </c>
    </row>
    <row r="520" spans="1:7" ht="57.6" x14ac:dyDescent="0.3">
      <c r="A520" s="13" t="s">
        <v>9829</v>
      </c>
      <c r="B520" s="13" t="s">
        <v>10181</v>
      </c>
      <c r="C520" s="13" t="s">
        <v>10182</v>
      </c>
      <c r="D520" s="13">
        <v>502</v>
      </c>
      <c r="E520" s="13" t="s">
        <v>9836</v>
      </c>
      <c r="F520" s="13">
        <v>60</v>
      </c>
      <c r="G520" s="13" t="s">
        <v>9837</v>
      </c>
    </row>
    <row r="521" spans="1:7" ht="57.6" x14ac:dyDescent="0.3">
      <c r="A521" s="13" t="s">
        <v>9829</v>
      </c>
      <c r="B521" s="13" t="s">
        <v>10183</v>
      </c>
      <c r="C521" s="13" t="s">
        <v>10184</v>
      </c>
      <c r="D521" s="13">
        <v>503</v>
      </c>
      <c r="E521" s="13" t="s">
        <v>9836</v>
      </c>
      <c r="F521" s="13">
        <v>60</v>
      </c>
      <c r="G521" s="13" t="s">
        <v>9837</v>
      </c>
    </row>
    <row r="522" spans="1:7" ht="43.2" x14ac:dyDescent="0.3">
      <c r="A522" s="13" t="s">
        <v>9829</v>
      </c>
      <c r="B522" s="13" t="s">
        <v>10185</v>
      </c>
      <c r="C522" s="13" t="s">
        <v>10186</v>
      </c>
      <c r="D522" s="13">
        <v>368</v>
      </c>
      <c r="E522" s="13" t="s">
        <v>9863</v>
      </c>
      <c r="F522" s="13">
        <v>8</v>
      </c>
      <c r="G522" s="13" t="s">
        <v>9837</v>
      </c>
    </row>
    <row r="523" spans="1:7" ht="129.6" x14ac:dyDescent="0.3">
      <c r="A523" s="13" t="s">
        <v>9829</v>
      </c>
      <c r="B523" s="13" t="s">
        <v>10187</v>
      </c>
      <c r="C523" s="13" t="s">
        <v>10188</v>
      </c>
      <c r="D523" s="13">
        <v>651</v>
      </c>
      <c r="E523" s="13" t="s">
        <v>9836</v>
      </c>
      <c r="F523" s="13">
        <v>60</v>
      </c>
      <c r="G523" s="13" t="s">
        <v>9837</v>
      </c>
    </row>
    <row r="524" spans="1:7" ht="273.60000000000002" x14ac:dyDescent="0.3">
      <c r="A524" s="13" t="s">
        <v>9829</v>
      </c>
      <c r="B524" s="13" t="s">
        <v>10189</v>
      </c>
      <c r="C524" s="13" t="s">
        <v>10190</v>
      </c>
      <c r="D524" s="13">
        <v>1094</v>
      </c>
      <c r="E524" s="13" t="s">
        <v>9832</v>
      </c>
      <c r="F524" s="13">
        <v>5</v>
      </c>
      <c r="G524" s="13" t="s">
        <v>13160</v>
      </c>
    </row>
    <row r="525" spans="1:7" ht="273.60000000000002" x14ac:dyDescent="0.3">
      <c r="A525" s="13" t="s">
        <v>9829</v>
      </c>
      <c r="B525" s="13" t="s">
        <v>10189</v>
      </c>
      <c r="C525" s="13" t="s">
        <v>10190</v>
      </c>
      <c r="D525" s="13">
        <v>1094</v>
      </c>
      <c r="E525" s="13" t="s">
        <v>9832</v>
      </c>
      <c r="F525" s="13">
        <v>5</v>
      </c>
      <c r="G525" s="13" t="s">
        <v>13160</v>
      </c>
    </row>
    <row r="526" spans="1:7" ht="409.6" x14ac:dyDescent="0.3">
      <c r="A526" s="13" t="s">
        <v>9829</v>
      </c>
      <c r="B526" s="13" t="s">
        <v>10191</v>
      </c>
      <c r="C526" s="13" t="s">
        <v>10192</v>
      </c>
      <c r="D526" s="13">
        <v>1093</v>
      </c>
      <c r="E526" s="13" t="s">
        <v>9832</v>
      </c>
      <c r="F526" s="13">
        <v>5</v>
      </c>
      <c r="G526" s="13" t="s">
        <v>13161</v>
      </c>
    </row>
    <row r="527" spans="1:7" ht="409.6" x14ac:dyDescent="0.3">
      <c r="A527" s="13" t="s">
        <v>9829</v>
      </c>
      <c r="B527" s="13" t="s">
        <v>10191</v>
      </c>
      <c r="C527" s="13" t="s">
        <v>10192</v>
      </c>
      <c r="D527" s="13">
        <v>1093</v>
      </c>
      <c r="E527" s="13" t="s">
        <v>9832</v>
      </c>
      <c r="F527" s="13">
        <v>5</v>
      </c>
      <c r="G527" s="13" t="s">
        <v>13161</v>
      </c>
    </row>
    <row r="528" spans="1:7" ht="57.6" x14ac:dyDescent="0.3">
      <c r="A528" s="13" t="s">
        <v>9829</v>
      </c>
      <c r="B528" s="13" t="s">
        <v>10193</v>
      </c>
      <c r="C528" s="13" t="s">
        <v>10194</v>
      </c>
      <c r="D528" s="13">
        <v>1396</v>
      </c>
      <c r="E528" s="13" t="s">
        <v>9880</v>
      </c>
      <c r="F528" s="13">
        <v>6</v>
      </c>
      <c r="G528" s="13" t="s">
        <v>9837</v>
      </c>
    </row>
    <row r="529" spans="1:7" ht="57.6" x14ac:dyDescent="0.3">
      <c r="A529" s="13" t="s">
        <v>9829</v>
      </c>
      <c r="B529" s="13" t="s">
        <v>10193</v>
      </c>
      <c r="C529" s="13" t="s">
        <v>10194</v>
      </c>
      <c r="D529" s="13">
        <v>1396</v>
      </c>
      <c r="E529" s="13" t="s">
        <v>9880</v>
      </c>
      <c r="F529" s="13">
        <v>6</v>
      </c>
      <c r="G529" s="13" t="s">
        <v>9837</v>
      </c>
    </row>
    <row r="530" spans="1:7" ht="28.8" x14ac:dyDescent="0.3">
      <c r="A530" s="13" t="s">
        <v>9829</v>
      </c>
      <c r="B530" s="13" t="s">
        <v>10195</v>
      </c>
      <c r="C530" s="13" t="s">
        <v>10196</v>
      </c>
      <c r="D530" s="13">
        <v>433</v>
      </c>
      <c r="E530" s="13" t="s">
        <v>9836</v>
      </c>
      <c r="F530" s="13">
        <v>60</v>
      </c>
      <c r="G530" s="13" t="s">
        <v>9837</v>
      </c>
    </row>
    <row r="531" spans="1:7" ht="28.8" x14ac:dyDescent="0.3">
      <c r="A531" s="13" t="s">
        <v>9829</v>
      </c>
      <c r="B531" s="13" t="s">
        <v>10197</v>
      </c>
      <c r="C531" s="13" t="s">
        <v>10198</v>
      </c>
      <c r="D531" s="13">
        <v>767</v>
      </c>
      <c r="E531" s="13" t="s">
        <v>9863</v>
      </c>
      <c r="F531" s="13">
        <v>8</v>
      </c>
      <c r="G531" s="13" t="s">
        <v>9837</v>
      </c>
    </row>
    <row r="532" spans="1:7" ht="187.2" x14ac:dyDescent="0.3">
      <c r="A532" s="13" t="s">
        <v>9829</v>
      </c>
      <c r="B532" s="13" t="s">
        <v>10199</v>
      </c>
      <c r="C532" s="13" t="s">
        <v>10200</v>
      </c>
      <c r="D532" s="13">
        <v>1095</v>
      </c>
      <c r="E532" s="13" t="s">
        <v>9836</v>
      </c>
      <c r="F532" s="13">
        <v>2</v>
      </c>
      <c r="G532" s="13" t="s">
        <v>9837</v>
      </c>
    </row>
    <row r="533" spans="1:7" ht="187.2" x14ac:dyDescent="0.3">
      <c r="A533" s="13" t="s">
        <v>9829</v>
      </c>
      <c r="B533" s="13" t="s">
        <v>10199</v>
      </c>
      <c r="C533" s="13" t="s">
        <v>10200</v>
      </c>
      <c r="D533" s="13">
        <v>1095</v>
      </c>
      <c r="E533" s="13" t="s">
        <v>9836</v>
      </c>
      <c r="F533" s="13">
        <v>2</v>
      </c>
      <c r="G533" s="13" t="s">
        <v>9837</v>
      </c>
    </row>
    <row r="534" spans="1:7" ht="28.8" x14ac:dyDescent="0.3">
      <c r="A534" s="13" t="s">
        <v>9829</v>
      </c>
      <c r="B534" s="13" t="s">
        <v>10201</v>
      </c>
      <c r="C534" s="13" t="s">
        <v>10202</v>
      </c>
      <c r="D534" s="13">
        <v>1455</v>
      </c>
      <c r="E534" s="13" t="s">
        <v>9901</v>
      </c>
      <c r="F534" s="13">
        <v>2</v>
      </c>
      <c r="G534" s="13" t="s">
        <v>9837</v>
      </c>
    </row>
    <row r="535" spans="1:7" ht="57.6" x14ac:dyDescent="0.3">
      <c r="A535" s="13" t="s">
        <v>9829</v>
      </c>
      <c r="B535" s="13" t="s">
        <v>10203</v>
      </c>
      <c r="C535" s="13" t="s">
        <v>10204</v>
      </c>
      <c r="D535" s="13">
        <v>469</v>
      </c>
      <c r="E535" s="13" t="s">
        <v>9863</v>
      </c>
      <c r="F535" s="13">
        <v>8</v>
      </c>
      <c r="G535" s="13" t="s">
        <v>9837</v>
      </c>
    </row>
    <row r="536" spans="1:7" ht="57.6" x14ac:dyDescent="0.3">
      <c r="A536" s="13" t="s">
        <v>9829</v>
      </c>
      <c r="B536" s="13" t="s">
        <v>10205</v>
      </c>
      <c r="C536" s="13" t="s">
        <v>10206</v>
      </c>
      <c r="D536" s="13">
        <v>470</v>
      </c>
      <c r="E536" s="13" t="s">
        <v>9863</v>
      </c>
      <c r="F536" s="13">
        <v>8</v>
      </c>
      <c r="G536" s="13" t="s">
        <v>9837</v>
      </c>
    </row>
    <row r="537" spans="1:7" ht="201.6" x14ac:dyDescent="0.3">
      <c r="A537" s="13" t="s">
        <v>9829</v>
      </c>
      <c r="B537" s="13" t="s">
        <v>10207</v>
      </c>
      <c r="C537" s="13" t="s">
        <v>10208</v>
      </c>
      <c r="D537" s="13">
        <v>468</v>
      </c>
      <c r="E537" s="13" t="s">
        <v>9832</v>
      </c>
      <c r="F537" s="13">
        <v>5</v>
      </c>
      <c r="G537" s="13" t="s">
        <v>13162</v>
      </c>
    </row>
    <row r="538" spans="1:7" ht="28.8" x14ac:dyDescent="0.3">
      <c r="A538" s="13" t="s">
        <v>9829</v>
      </c>
      <c r="B538" s="13" t="s">
        <v>10209</v>
      </c>
      <c r="C538" s="13" t="s">
        <v>10210</v>
      </c>
      <c r="D538" s="13">
        <v>98</v>
      </c>
      <c r="E538" s="13" t="s">
        <v>9863</v>
      </c>
      <c r="F538" s="13">
        <v>8</v>
      </c>
      <c r="G538" s="13" t="s">
        <v>9837</v>
      </c>
    </row>
    <row r="539" spans="1:7" ht="28.8" x14ac:dyDescent="0.3">
      <c r="A539" s="13" t="s">
        <v>9829</v>
      </c>
      <c r="B539" s="13" t="s">
        <v>10209</v>
      </c>
      <c r="C539" s="13" t="s">
        <v>10210</v>
      </c>
      <c r="D539" s="13">
        <v>98</v>
      </c>
      <c r="E539" s="13" t="s">
        <v>9863</v>
      </c>
      <c r="F539" s="13">
        <v>8</v>
      </c>
      <c r="G539" s="13" t="s">
        <v>9837</v>
      </c>
    </row>
    <row r="540" spans="1:7" ht="28.8" x14ac:dyDescent="0.3">
      <c r="A540" s="13" t="s">
        <v>9829</v>
      </c>
      <c r="B540" s="13" t="s">
        <v>10209</v>
      </c>
      <c r="C540" s="13" t="s">
        <v>10210</v>
      </c>
      <c r="D540" s="13">
        <v>98</v>
      </c>
      <c r="E540" s="13" t="s">
        <v>9863</v>
      </c>
      <c r="F540" s="13">
        <v>8</v>
      </c>
      <c r="G540" s="13" t="s">
        <v>9837</v>
      </c>
    </row>
    <row r="541" spans="1:7" ht="28.8" x14ac:dyDescent="0.3">
      <c r="A541" s="13" t="s">
        <v>9829</v>
      </c>
      <c r="B541" s="13" t="s">
        <v>10209</v>
      </c>
      <c r="C541" s="13" t="s">
        <v>10210</v>
      </c>
      <c r="D541" s="13">
        <v>98</v>
      </c>
      <c r="E541" s="13" t="s">
        <v>9863</v>
      </c>
      <c r="F541" s="13">
        <v>8</v>
      </c>
      <c r="G541" s="13" t="s">
        <v>9837</v>
      </c>
    </row>
    <row r="542" spans="1:7" ht="28.8" x14ac:dyDescent="0.3">
      <c r="A542" s="13" t="s">
        <v>9829</v>
      </c>
      <c r="B542" s="13" t="s">
        <v>10211</v>
      </c>
      <c r="C542" s="13" t="s">
        <v>10212</v>
      </c>
      <c r="D542" s="13">
        <v>1501</v>
      </c>
      <c r="E542" s="13" t="s">
        <v>9836</v>
      </c>
      <c r="F542" s="13">
        <v>60</v>
      </c>
      <c r="G542" s="13" t="s">
        <v>9837</v>
      </c>
    </row>
    <row r="543" spans="1:7" ht="28.8" x14ac:dyDescent="0.3">
      <c r="A543" s="13" t="s">
        <v>9829</v>
      </c>
      <c r="B543" s="13" t="s">
        <v>10211</v>
      </c>
      <c r="C543" s="13" t="s">
        <v>10212</v>
      </c>
      <c r="D543" s="13">
        <v>1501</v>
      </c>
      <c r="E543" s="13" t="s">
        <v>9836</v>
      </c>
      <c r="F543" s="13">
        <v>60</v>
      </c>
      <c r="G543" s="13" t="s">
        <v>9837</v>
      </c>
    </row>
    <row r="544" spans="1:7" ht="28.8" x14ac:dyDescent="0.3">
      <c r="A544" s="13" t="s">
        <v>9829</v>
      </c>
      <c r="B544" s="13" t="s">
        <v>10211</v>
      </c>
      <c r="C544" s="13" t="s">
        <v>10212</v>
      </c>
      <c r="D544" s="13">
        <v>1501</v>
      </c>
      <c r="E544" s="13" t="s">
        <v>9836</v>
      </c>
      <c r="F544" s="13">
        <v>60</v>
      </c>
      <c r="G544" s="13" t="s">
        <v>9837</v>
      </c>
    </row>
    <row r="545" spans="1:7" ht="72" x14ac:dyDescent="0.3">
      <c r="A545" s="13" t="s">
        <v>9829</v>
      </c>
      <c r="B545" s="13" t="s">
        <v>10213</v>
      </c>
      <c r="C545" s="13" t="s">
        <v>10214</v>
      </c>
      <c r="D545" s="13">
        <v>757</v>
      </c>
      <c r="E545" s="13" t="s">
        <v>9836</v>
      </c>
      <c r="F545" s="13">
        <v>35</v>
      </c>
      <c r="G545" s="13" t="s">
        <v>9837</v>
      </c>
    </row>
    <row r="546" spans="1:7" ht="43.2" x14ac:dyDescent="0.3">
      <c r="A546" s="13" t="s">
        <v>9829</v>
      </c>
      <c r="B546" s="13" t="s">
        <v>10215</v>
      </c>
      <c r="C546" s="13" t="s">
        <v>10216</v>
      </c>
      <c r="D546" s="13">
        <v>764</v>
      </c>
      <c r="E546" s="13" t="s">
        <v>9836</v>
      </c>
      <c r="F546" s="13">
        <v>35</v>
      </c>
      <c r="G546" s="13" t="s">
        <v>9837</v>
      </c>
    </row>
    <row r="547" spans="1:7" ht="28.8" x14ac:dyDescent="0.3">
      <c r="A547" s="13" t="s">
        <v>9829</v>
      </c>
      <c r="B547" s="13" t="s">
        <v>10217</v>
      </c>
      <c r="C547" s="13" t="s">
        <v>10218</v>
      </c>
      <c r="D547" s="13">
        <v>765</v>
      </c>
      <c r="E547" s="13" t="s">
        <v>9836</v>
      </c>
      <c r="F547" s="13">
        <v>60</v>
      </c>
      <c r="G547" s="13" t="s">
        <v>9837</v>
      </c>
    </row>
    <row r="548" spans="1:7" ht="409.6" x14ac:dyDescent="0.3">
      <c r="A548" s="13" t="s">
        <v>9829</v>
      </c>
      <c r="B548" s="13" t="s">
        <v>10219</v>
      </c>
      <c r="C548" s="13" t="s">
        <v>10220</v>
      </c>
      <c r="D548" s="13">
        <v>323</v>
      </c>
      <c r="E548" s="13" t="s">
        <v>9832</v>
      </c>
      <c r="F548" s="13">
        <v>5</v>
      </c>
      <c r="G548" s="13" t="s">
        <v>13163</v>
      </c>
    </row>
    <row r="549" spans="1:7" ht="409.6" x14ac:dyDescent="0.3">
      <c r="A549" s="13" t="s">
        <v>9829</v>
      </c>
      <c r="B549" s="13" t="s">
        <v>10219</v>
      </c>
      <c r="C549" s="13" t="s">
        <v>10220</v>
      </c>
      <c r="D549" s="13">
        <v>323</v>
      </c>
      <c r="E549" s="13" t="s">
        <v>9832</v>
      </c>
      <c r="F549" s="13">
        <v>5</v>
      </c>
      <c r="G549" s="13" t="s">
        <v>13163</v>
      </c>
    </row>
    <row r="550" spans="1:7" ht="129.6" x14ac:dyDescent="0.3">
      <c r="A550" s="13" t="s">
        <v>9829</v>
      </c>
      <c r="B550" s="13" t="s">
        <v>10221</v>
      </c>
      <c r="C550" s="13" t="s">
        <v>10222</v>
      </c>
      <c r="D550" s="13">
        <v>100</v>
      </c>
      <c r="E550" s="13" t="s">
        <v>9832</v>
      </c>
      <c r="F550" s="13">
        <v>5</v>
      </c>
      <c r="G550" s="13" t="s">
        <v>10223</v>
      </c>
    </row>
    <row r="551" spans="1:7" ht="129.6" x14ac:dyDescent="0.3">
      <c r="A551" s="13" t="s">
        <v>9829</v>
      </c>
      <c r="B551" s="13" t="s">
        <v>10221</v>
      </c>
      <c r="C551" s="13" t="s">
        <v>10222</v>
      </c>
      <c r="D551" s="13">
        <v>100</v>
      </c>
      <c r="E551" s="13" t="s">
        <v>9832</v>
      </c>
      <c r="F551" s="13">
        <v>5</v>
      </c>
      <c r="G551" s="13" t="s">
        <v>10223</v>
      </c>
    </row>
    <row r="552" spans="1:7" ht="129.6" x14ac:dyDescent="0.3">
      <c r="A552" s="13" t="s">
        <v>9829</v>
      </c>
      <c r="B552" s="13" t="s">
        <v>10221</v>
      </c>
      <c r="C552" s="13" t="s">
        <v>10222</v>
      </c>
      <c r="D552" s="13">
        <v>100</v>
      </c>
      <c r="E552" s="13" t="s">
        <v>9832</v>
      </c>
      <c r="F552" s="13">
        <v>5</v>
      </c>
      <c r="G552" s="13" t="s">
        <v>10223</v>
      </c>
    </row>
    <row r="553" spans="1:7" ht="129.6" x14ac:dyDescent="0.3">
      <c r="A553" s="13" t="s">
        <v>9829</v>
      </c>
      <c r="B553" s="13" t="s">
        <v>10221</v>
      </c>
      <c r="C553" s="13" t="s">
        <v>10222</v>
      </c>
      <c r="D553" s="13">
        <v>100</v>
      </c>
      <c r="E553" s="13" t="s">
        <v>9832</v>
      </c>
      <c r="F553" s="13">
        <v>5</v>
      </c>
      <c r="G553" s="13" t="s">
        <v>10223</v>
      </c>
    </row>
    <row r="554" spans="1:7" ht="129.6" x14ac:dyDescent="0.3">
      <c r="A554" s="13" t="s">
        <v>9829</v>
      </c>
      <c r="B554" s="13" t="s">
        <v>10221</v>
      </c>
      <c r="C554" s="13" t="s">
        <v>10222</v>
      </c>
      <c r="D554" s="13">
        <v>100</v>
      </c>
      <c r="E554" s="13" t="s">
        <v>9832</v>
      </c>
      <c r="F554" s="13">
        <v>5</v>
      </c>
      <c r="G554" s="13" t="s">
        <v>10223</v>
      </c>
    </row>
    <row r="555" spans="1:7" ht="129.6" x14ac:dyDescent="0.3">
      <c r="A555" s="13" t="s">
        <v>9829</v>
      </c>
      <c r="B555" s="13" t="s">
        <v>10221</v>
      </c>
      <c r="C555" s="13" t="s">
        <v>10222</v>
      </c>
      <c r="D555" s="13">
        <v>100</v>
      </c>
      <c r="E555" s="13" t="s">
        <v>9832</v>
      </c>
      <c r="F555" s="13">
        <v>5</v>
      </c>
      <c r="G555" s="13" t="s">
        <v>10223</v>
      </c>
    </row>
    <row r="556" spans="1:7" ht="129.6" x14ac:dyDescent="0.3">
      <c r="A556" s="13" t="s">
        <v>9829</v>
      </c>
      <c r="B556" s="13" t="s">
        <v>10221</v>
      </c>
      <c r="C556" s="13" t="s">
        <v>10222</v>
      </c>
      <c r="D556" s="13">
        <v>100</v>
      </c>
      <c r="E556" s="13" t="s">
        <v>9832</v>
      </c>
      <c r="F556" s="13">
        <v>5</v>
      </c>
      <c r="G556" s="13" t="s">
        <v>10223</v>
      </c>
    </row>
    <row r="557" spans="1:7" ht="129.6" x14ac:dyDescent="0.3">
      <c r="A557" s="13" t="s">
        <v>9829</v>
      </c>
      <c r="B557" s="13" t="s">
        <v>10221</v>
      </c>
      <c r="C557" s="13" t="s">
        <v>10222</v>
      </c>
      <c r="D557" s="13">
        <v>100</v>
      </c>
      <c r="E557" s="13" t="s">
        <v>9832</v>
      </c>
      <c r="F557" s="13">
        <v>5</v>
      </c>
      <c r="G557" s="13" t="s">
        <v>10223</v>
      </c>
    </row>
    <row r="558" spans="1:7" ht="43.2" x14ac:dyDescent="0.3">
      <c r="A558" s="13" t="s">
        <v>9829</v>
      </c>
      <c r="B558" s="13" t="s">
        <v>10224</v>
      </c>
      <c r="C558" s="13" t="s">
        <v>10225</v>
      </c>
      <c r="D558" s="13">
        <v>317</v>
      </c>
      <c r="E558" s="13" t="s">
        <v>9836</v>
      </c>
      <c r="F558" s="13">
        <v>30</v>
      </c>
      <c r="G558" s="13" t="s">
        <v>9837</v>
      </c>
    </row>
    <row r="559" spans="1:7" ht="43.2" x14ac:dyDescent="0.3">
      <c r="A559" s="13" t="s">
        <v>9829</v>
      </c>
      <c r="B559" s="13" t="s">
        <v>10224</v>
      </c>
      <c r="C559" s="13" t="s">
        <v>10225</v>
      </c>
      <c r="D559" s="13">
        <v>317</v>
      </c>
      <c r="E559" s="13" t="s">
        <v>9836</v>
      </c>
      <c r="F559" s="13">
        <v>30</v>
      </c>
      <c r="G559" s="13" t="s">
        <v>9837</v>
      </c>
    </row>
    <row r="560" spans="1:7" ht="57.6" x14ac:dyDescent="0.3">
      <c r="A560" s="13" t="s">
        <v>9829</v>
      </c>
      <c r="B560" s="13" t="s">
        <v>10226</v>
      </c>
      <c r="C560" s="13" t="s">
        <v>10227</v>
      </c>
      <c r="D560" s="13">
        <v>1123</v>
      </c>
      <c r="E560" s="13" t="s">
        <v>9836</v>
      </c>
      <c r="F560" s="13">
        <v>30</v>
      </c>
      <c r="G560" s="13" t="s">
        <v>9837</v>
      </c>
    </row>
    <row r="561" spans="1:7" ht="57.6" x14ac:dyDescent="0.3">
      <c r="A561" s="13" t="s">
        <v>9829</v>
      </c>
      <c r="B561" s="13" t="s">
        <v>10226</v>
      </c>
      <c r="C561" s="13" t="s">
        <v>10227</v>
      </c>
      <c r="D561" s="13">
        <v>1123</v>
      </c>
      <c r="E561" s="13" t="s">
        <v>9836</v>
      </c>
      <c r="F561" s="13">
        <v>30</v>
      </c>
      <c r="G561" s="13" t="s">
        <v>9837</v>
      </c>
    </row>
    <row r="562" spans="1:7" ht="57.6" x14ac:dyDescent="0.3">
      <c r="A562" s="13" t="s">
        <v>9829</v>
      </c>
      <c r="B562" s="13" t="s">
        <v>10226</v>
      </c>
      <c r="C562" s="13" t="s">
        <v>10227</v>
      </c>
      <c r="D562" s="13">
        <v>1123</v>
      </c>
      <c r="E562" s="13" t="s">
        <v>9836</v>
      </c>
      <c r="F562" s="13">
        <v>30</v>
      </c>
      <c r="G562" s="13" t="s">
        <v>9837</v>
      </c>
    </row>
    <row r="563" spans="1:7" ht="43.2" x14ac:dyDescent="0.3">
      <c r="A563" s="13" t="s">
        <v>9829</v>
      </c>
      <c r="B563" s="13" t="s">
        <v>10228</v>
      </c>
      <c r="C563" s="13" t="s">
        <v>10229</v>
      </c>
      <c r="D563" s="13">
        <v>1122</v>
      </c>
      <c r="E563" s="13" t="s">
        <v>9832</v>
      </c>
      <c r="F563" s="13">
        <v>5</v>
      </c>
      <c r="G563" s="13" t="s">
        <v>9833</v>
      </c>
    </row>
    <row r="564" spans="1:7" ht="43.2" x14ac:dyDescent="0.3">
      <c r="A564" s="13" t="s">
        <v>9829</v>
      </c>
      <c r="B564" s="13" t="s">
        <v>10228</v>
      </c>
      <c r="C564" s="13" t="s">
        <v>10229</v>
      </c>
      <c r="D564" s="13">
        <v>1122</v>
      </c>
      <c r="E564" s="13" t="s">
        <v>9832</v>
      </c>
      <c r="F564" s="13">
        <v>5</v>
      </c>
      <c r="G564" s="13" t="s">
        <v>9833</v>
      </c>
    </row>
    <row r="565" spans="1:7" ht="43.2" x14ac:dyDescent="0.3">
      <c r="A565" s="13" t="s">
        <v>9829</v>
      </c>
      <c r="B565" s="13" t="s">
        <v>10228</v>
      </c>
      <c r="C565" s="13" t="s">
        <v>10229</v>
      </c>
      <c r="D565" s="13">
        <v>1122</v>
      </c>
      <c r="E565" s="13" t="s">
        <v>9832</v>
      </c>
      <c r="F565" s="13">
        <v>5</v>
      </c>
      <c r="G565" s="13" t="s">
        <v>9833</v>
      </c>
    </row>
    <row r="566" spans="1:7" ht="28.8" x14ac:dyDescent="0.3">
      <c r="A566" s="13" t="s">
        <v>9829</v>
      </c>
      <c r="B566" s="13" t="s">
        <v>10230</v>
      </c>
      <c r="C566" s="13" t="s">
        <v>10231</v>
      </c>
      <c r="D566" s="13">
        <v>1193</v>
      </c>
      <c r="E566" s="13" t="s">
        <v>9901</v>
      </c>
      <c r="F566" s="13">
        <v>5</v>
      </c>
      <c r="G566" s="13" t="s">
        <v>9837</v>
      </c>
    </row>
    <row r="567" spans="1:7" ht="28.8" x14ac:dyDescent="0.3">
      <c r="A567" s="13" t="s">
        <v>9829</v>
      </c>
      <c r="B567" s="13" t="s">
        <v>10232</v>
      </c>
      <c r="C567" s="13" t="s">
        <v>10233</v>
      </c>
      <c r="D567" s="13">
        <v>511</v>
      </c>
      <c r="E567" s="13" t="s">
        <v>9880</v>
      </c>
      <c r="F567" s="13">
        <v>7.2</v>
      </c>
      <c r="G567" s="13" t="s">
        <v>9837</v>
      </c>
    </row>
    <row r="568" spans="1:7" ht="28.8" x14ac:dyDescent="0.3">
      <c r="A568" s="13" t="s">
        <v>9829</v>
      </c>
      <c r="B568" s="13" t="s">
        <v>10234</v>
      </c>
      <c r="C568" s="13" t="s">
        <v>10235</v>
      </c>
      <c r="D568" s="13">
        <v>513</v>
      </c>
      <c r="E568" s="13" t="s">
        <v>9863</v>
      </c>
      <c r="F568" s="13">
        <v>8</v>
      </c>
      <c r="G568" s="13" t="s">
        <v>9837</v>
      </c>
    </row>
    <row r="569" spans="1:7" ht="28.8" x14ac:dyDescent="0.3">
      <c r="A569" s="13" t="s">
        <v>9829</v>
      </c>
      <c r="B569" s="13" t="s">
        <v>10236</v>
      </c>
      <c r="C569" s="13" t="s">
        <v>10237</v>
      </c>
      <c r="D569" s="13">
        <v>508</v>
      </c>
      <c r="E569" s="13" t="s">
        <v>9836</v>
      </c>
      <c r="F569" s="13">
        <v>80</v>
      </c>
      <c r="G569" s="13" t="s">
        <v>9837</v>
      </c>
    </row>
    <row r="570" spans="1:7" ht="28.8" x14ac:dyDescent="0.3">
      <c r="A570" s="13" t="s">
        <v>9829</v>
      </c>
      <c r="B570" s="13" t="s">
        <v>10238</v>
      </c>
      <c r="C570" s="13" t="s">
        <v>10239</v>
      </c>
      <c r="D570" s="13">
        <v>514</v>
      </c>
      <c r="E570" s="13" t="s">
        <v>9863</v>
      </c>
      <c r="F570" s="13">
        <v>8</v>
      </c>
      <c r="G570" s="13" t="s">
        <v>9837</v>
      </c>
    </row>
    <row r="571" spans="1:7" ht="43.2" x14ac:dyDescent="0.3">
      <c r="A571" s="13" t="s">
        <v>9829</v>
      </c>
      <c r="B571" s="13" t="s">
        <v>10240</v>
      </c>
      <c r="C571" s="13" t="s">
        <v>10241</v>
      </c>
      <c r="D571" s="13">
        <v>510</v>
      </c>
      <c r="E571" s="13" t="s">
        <v>9836</v>
      </c>
      <c r="F571" s="13">
        <v>45</v>
      </c>
      <c r="G571" s="13" t="s">
        <v>9837</v>
      </c>
    </row>
    <row r="572" spans="1:7" ht="302.39999999999998" x14ac:dyDescent="0.3">
      <c r="A572" s="13" t="s">
        <v>9829</v>
      </c>
      <c r="B572" s="13" t="s">
        <v>10242</v>
      </c>
      <c r="C572" s="13" t="s">
        <v>10243</v>
      </c>
      <c r="D572" s="13">
        <v>509</v>
      </c>
      <c r="E572" s="13" t="s">
        <v>9836</v>
      </c>
      <c r="F572" s="13">
        <v>60</v>
      </c>
      <c r="G572" s="13" t="s">
        <v>13164</v>
      </c>
    </row>
    <row r="573" spans="1:7" ht="409.6" x14ac:dyDescent="0.3">
      <c r="A573" s="13" t="s">
        <v>9829</v>
      </c>
      <c r="B573" s="13" t="s">
        <v>10244</v>
      </c>
      <c r="C573" s="13" t="s">
        <v>10245</v>
      </c>
      <c r="D573" s="13">
        <v>1164</v>
      </c>
      <c r="E573" s="13" t="s">
        <v>9832</v>
      </c>
      <c r="F573" s="13">
        <v>5</v>
      </c>
      <c r="G573" s="13" t="s">
        <v>13165</v>
      </c>
    </row>
    <row r="574" spans="1:7" ht="409.6" x14ac:dyDescent="0.3">
      <c r="A574" s="13" t="s">
        <v>9829</v>
      </c>
      <c r="B574" s="13" t="s">
        <v>10244</v>
      </c>
      <c r="C574" s="13" t="s">
        <v>10245</v>
      </c>
      <c r="D574" s="13">
        <v>1164</v>
      </c>
      <c r="E574" s="13" t="s">
        <v>9832</v>
      </c>
      <c r="F574" s="13">
        <v>5</v>
      </c>
      <c r="G574" s="13" t="s">
        <v>13165</v>
      </c>
    </row>
    <row r="575" spans="1:7" ht="57.6" x14ac:dyDescent="0.3">
      <c r="A575" s="13" t="s">
        <v>9829</v>
      </c>
      <c r="B575" s="13" t="s">
        <v>10246</v>
      </c>
      <c r="C575" s="13" t="s">
        <v>10247</v>
      </c>
      <c r="D575" s="13">
        <v>413</v>
      </c>
      <c r="E575" s="13" t="s">
        <v>9836</v>
      </c>
      <c r="F575" s="13">
        <v>30</v>
      </c>
      <c r="G575" s="13" t="s">
        <v>9837</v>
      </c>
    </row>
    <row r="576" spans="1:7" ht="409.6" x14ac:dyDescent="0.3">
      <c r="A576" s="13" t="s">
        <v>9829</v>
      </c>
      <c r="B576" s="13" t="s">
        <v>10248</v>
      </c>
      <c r="C576" s="13" t="s">
        <v>10249</v>
      </c>
      <c r="D576" s="13">
        <v>416</v>
      </c>
      <c r="E576" s="13" t="s">
        <v>9832</v>
      </c>
      <c r="F576" s="13">
        <v>5</v>
      </c>
      <c r="G576" s="13" t="s">
        <v>13166</v>
      </c>
    </row>
    <row r="577" spans="1:7" ht="43.2" x14ac:dyDescent="0.3">
      <c r="A577" s="13" t="s">
        <v>9829</v>
      </c>
      <c r="B577" s="13" t="s">
        <v>10250</v>
      </c>
      <c r="C577" s="13" t="s">
        <v>10251</v>
      </c>
      <c r="D577" s="13">
        <v>417</v>
      </c>
      <c r="E577" s="13" t="s">
        <v>9836</v>
      </c>
      <c r="F577" s="13">
        <v>35</v>
      </c>
      <c r="G577" s="13" t="s">
        <v>9837</v>
      </c>
    </row>
    <row r="578" spans="1:7" ht="28.8" x14ac:dyDescent="0.3">
      <c r="A578" s="13" t="s">
        <v>9829</v>
      </c>
      <c r="B578" s="13" t="s">
        <v>10252</v>
      </c>
      <c r="C578" s="13" t="s">
        <v>10253</v>
      </c>
      <c r="D578" s="13">
        <v>418</v>
      </c>
      <c r="E578" s="13" t="s">
        <v>9863</v>
      </c>
      <c r="F578" s="13">
        <v>8</v>
      </c>
      <c r="G578" s="13" t="s">
        <v>9837</v>
      </c>
    </row>
    <row r="579" spans="1:7" ht="201.6" x14ac:dyDescent="0.3">
      <c r="A579" s="13" t="s">
        <v>9829</v>
      </c>
      <c r="B579" s="13" t="s">
        <v>10254</v>
      </c>
      <c r="C579" s="13" t="s">
        <v>10255</v>
      </c>
      <c r="D579" s="13">
        <v>412</v>
      </c>
      <c r="E579" s="13" t="s">
        <v>9832</v>
      </c>
      <c r="F579" s="13">
        <v>5</v>
      </c>
      <c r="G579" s="13" t="s">
        <v>13167</v>
      </c>
    </row>
    <row r="580" spans="1:7" ht="28.8" x14ac:dyDescent="0.3">
      <c r="A580" s="13" t="s">
        <v>9829</v>
      </c>
      <c r="B580" s="13" t="s">
        <v>10256</v>
      </c>
      <c r="C580" s="13" t="s">
        <v>10257</v>
      </c>
      <c r="D580" s="13">
        <v>430</v>
      </c>
      <c r="E580" s="13" t="s">
        <v>9836</v>
      </c>
      <c r="F580" s="13">
        <v>35</v>
      </c>
      <c r="G580" s="13" t="s">
        <v>9837</v>
      </c>
    </row>
    <row r="581" spans="1:7" ht="72" x14ac:dyDescent="0.3">
      <c r="A581" s="13" t="s">
        <v>9829</v>
      </c>
      <c r="B581" s="13" t="s">
        <v>10258</v>
      </c>
      <c r="C581" s="13" t="s">
        <v>10259</v>
      </c>
      <c r="D581" s="13">
        <v>419</v>
      </c>
      <c r="E581" s="13" t="s">
        <v>9836</v>
      </c>
      <c r="F581" s="13">
        <v>30</v>
      </c>
      <c r="G581" s="13" t="s">
        <v>9837</v>
      </c>
    </row>
    <row r="582" spans="1:7" ht="28.8" x14ac:dyDescent="0.3">
      <c r="A582" s="13" t="s">
        <v>9829</v>
      </c>
      <c r="B582" s="13" t="s">
        <v>2784</v>
      </c>
      <c r="C582" s="13" t="s">
        <v>10260</v>
      </c>
      <c r="D582" s="13">
        <v>396</v>
      </c>
      <c r="E582" s="13" t="s">
        <v>9836</v>
      </c>
      <c r="F582" s="13">
        <v>60</v>
      </c>
      <c r="G582" s="13" t="s">
        <v>9837</v>
      </c>
    </row>
    <row r="583" spans="1:7" ht="28.8" x14ac:dyDescent="0.3">
      <c r="A583" s="13" t="s">
        <v>9829</v>
      </c>
      <c r="B583" s="13" t="s">
        <v>10261</v>
      </c>
      <c r="C583" s="13" t="s">
        <v>10262</v>
      </c>
      <c r="D583" s="13">
        <v>422</v>
      </c>
      <c r="E583" s="13" t="s">
        <v>9880</v>
      </c>
      <c r="F583" s="13">
        <v>5.2</v>
      </c>
      <c r="G583" s="13" t="s">
        <v>9837</v>
      </c>
    </row>
    <row r="584" spans="1:7" ht="28.8" x14ac:dyDescent="0.3">
      <c r="A584" s="13" t="s">
        <v>9829</v>
      </c>
      <c r="B584" s="13" t="s">
        <v>10263</v>
      </c>
      <c r="C584" s="13" t="s">
        <v>10264</v>
      </c>
      <c r="D584" s="13">
        <v>410</v>
      </c>
      <c r="E584" s="13" t="s">
        <v>9863</v>
      </c>
      <c r="F584" s="13">
        <v>8</v>
      </c>
      <c r="G584" s="13" t="s">
        <v>9837</v>
      </c>
    </row>
    <row r="585" spans="1:7" ht="409.6" x14ac:dyDescent="0.3">
      <c r="A585" s="13" t="s">
        <v>9829</v>
      </c>
      <c r="B585" s="13" t="s">
        <v>10265</v>
      </c>
      <c r="C585" s="13" t="s">
        <v>10266</v>
      </c>
      <c r="D585" s="13">
        <v>405</v>
      </c>
      <c r="E585" s="13" t="s">
        <v>9832</v>
      </c>
      <c r="F585" s="13">
        <v>5</v>
      </c>
      <c r="G585" s="13" t="s">
        <v>13168</v>
      </c>
    </row>
    <row r="586" spans="1:7" ht="28.8" x14ac:dyDescent="0.3">
      <c r="A586" s="13" t="s">
        <v>9829</v>
      </c>
      <c r="B586" s="13" t="s">
        <v>10267</v>
      </c>
      <c r="C586" s="13" t="s">
        <v>10268</v>
      </c>
      <c r="D586" s="13">
        <v>407</v>
      </c>
      <c r="E586" s="13" t="s">
        <v>9901</v>
      </c>
      <c r="F586" s="13">
        <v>3</v>
      </c>
      <c r="G586" s="13" t="s">
        <v>9837</v>
      </c>
    </row>
    <row r="587" spans="1:7" ht="28.8" x14ac:dyDescent="0.3">
      <c r="A587" s="13" t="s">
        <v>9829</v>
      </c>
      <c r="B587" s="13" t="s">
        <v>10269</v>
      </c>
      <c r="C587" s="13" t="s">
        <v>10270</v>
      </c>
      <c r="D587" s="13">
        <v>408</v>
      </c>
      <c r="E587" s="13" t="s">
        <v>9901</v>
      </c>
      <c r="F587" s="13">
        <v>3</v>
      </c>
      <c r="G587" s="13" t="s">
        <v>9837</v>
      </c>
    </row>
    <row r="588" spans="1:7" ht="28.8" x14ac:dyDescent="0.3">
      <c r="A588" s="13" t="s">
        <v>9829</v>
      </c>
      <c r="B588" s="13" t="s">
        <v>10271</v>
      </c>
      <c r="C588" s="13" t="s">
        <v>10272</v>
      </c>
      <c r="D588" s="13">
        <v>425</v>
      </c>
      <c r="E588" s="13" t="s">
        <v>9863</v>
      </c>
      <c r="F588" s="13">
        <v>8</v>
      </c>
      <c r="G588" s="13" t="s">
        <v>9837</v>
      </c>
    </row>
    <row r="589" spans="1:7" ht="28.8" x14ac:dyDescent="0.3">
      <c r="A589" s="13" t="s">
        <v>9829</v>
      </c>
      <c r="B589" s="13" t="s">
        <v>10273</v>
      </c>
      <c r="C589" s="13" t="s">
        <v>10274</v>
      </c>
      <c r="D589" s="13">
        <v>426</v>
      </c>
      <c r="E589" s="13" t="s">
        <v>9836</v>
      </c>
      <c r="F589" s="13">
        <v>60</v>
      </c>
      <c r="G589" s="13" t="s">
        <v>9837</v>
      </c>
    </row>
    <row r="590" spans="1:7" ht="28.8" x14ac:dyDescent="0.3">
      <c r="A590" s="13" t="s">
        <v>9829</v>
      </c>
      <c r="B590" s="13" t="s">
        <v>10275</v>
      </c>
      <c r="C590" s="13" t="s">
        <v>10276</v>
      </c>
      <c r="D590" s="13">
        <v>657</v>
      </c>
      <c r="E590" s="13" t="s">
        <v>9880</v>
      </c>
      <c r="F590" s="13">
        <v>2.1</v>
      </c>
      <c r="G590" s="13" t="s">
        <v>9837</v>
      </c>
    </row>
    <row r="591" spans="1:7" ht="43.2" x14ac:dyDescent="0.3">
      <c r="A591" s="13" t="s">
        <v>9829</v>
      </c>
      <c r="B591" s="13" t="s">
        <v>10277</v>
      </c>
      <c r="C591" s="13" t="s">
        <v>10278</v>
      </c>
      <c r="D591" s="13">
        <v>659</v>
      </c>
      <c r="E591" s="13" t="s">
        <v>9880</v>
      </c>
      <c r="F591" s="13">
        <v>2.1</v>
      </c>
      <c r="G591" s="13" t="s">
        <v>9837</v>
      </c>
    </row>
    <row r="592" spans="1:7" ht="28.8" x14ac:dyDescent="0.3">
      <c r="A592" s="13" t="s">
        <v>9829</v>
      </c>
      <c r="B592" s="13" t="s">
        <v>10279</v>
      </c>
      <c r="C592" s="13" t="s">
        <v>10280</v>
      </c>
      <c r="D592" s="13">
        <v>658</v>
      </c>
      <c r="E592" s="13" t="s">
        <v>9880</v>
      </c>
      <c r="F592" s="13">
        <v>2.1</v>
      </c>
      <c r="G592" s="13" t="s">
        <v>9837</v>
      </c>
    </row>
    <row r="593" spans="1:7" ht="28.8" x14ac:dyDescent="0.3">
      <c r="A593" s="13" t="s">
        <v>9829</v>
      </c>
      <c r="B593" s="13" t="s">
        <v>10281</v>
      </c>
      <c r="C593" s="13" t="s">
        <v>10282</v>
      </c>
      <c r="D593" s="13">
        <v>375</v>
      </c>
      <c r="E593" s="13" t="s">
        <v>9880</v>
      </c>
      <c r="F593" s="13">
        <v>2.1</v>
      </c>
      <c r="G593" s="13" t="s">
        <v>9837</v>
      </c>
    </row>
    <row r="594" spans="1:7" ht="28.8" x14ac:dyDescent="0.3">
      <c r="A594" s="13" t="s">
        <v>9829</v>
      </c>
      <c r="B594" s="13" t="s">
        <v>10281</v>
      </c>
      <c r="C594" s="13" t="s">
        <v>10282</v>
      </c>
      <c r="D594" s="13">
        <v>375</v>
      </c>
      <c r="E594" s="13" t="s">
        <v>9880</v>
      </c>
      <c r="F594" s="13">
        <v>2.1</v>
      </c>
      <c r="G594" s="13" t="s">
        <v>9837</v>
      </c>
    </row>
    <row r="595" spans="1:7" ht="43.2" x14ac:dyDescent="0.3">
      <c r="A595" s="13" t="s">
        <v>9829</v>
      </c>
      <c r="B595" s="13" t="s">
        <v>10283</v>
      </c>
      <c r="C595" s="13" t="s">
        <v>10284</v>
      </c>
      <c r="D595" s="13">
        <v>661</v>
      </c>
      <c r="E595" s="13" t="s">
        <v>9880</v>
      </c>
      <c r="F595" s="13">
        <v>2.1</v>
      </c>
      <c r="G595" s="13" t="s">
        <v>9837</v>
      </c>
    </row>
    <row r="596" spans="1:7" ht="43.2" x14ac:dyDescent="0.3">
      <c r="A596" s="13" t="s">
        <v>9829</v>
      </c>
      <c r="B596" s="13" t="s">
        <v>10285</v>
      </c>
      <c r="C596" s="13" t="s">
        <v>10286</v>
      </c>
      <c r="D596" s="13">
        <v>663</v>
      </c>
      <c r="E596" s="13" t="s">
        <v>9880</v>
      </c>
      <c r="F596" s="13">
        <v>2.1</v>
      </c>
      <c r="G596" s="13" t="s">
        <v>9837</v>
      </c>
    </row>
    <row r="597" spans="1:7" ht="43.2" x14ac:dyDescent="0.3">
      <c r="A597" s="13" t="s">
        <v>9829</v>
      </c>
      <c r="B597" s="13" t="s">
        <v>10287</v>
      </c>
      <c r="C597" s="13" t="s">
        <v>10288</v>
      </c>
      <c r="D597" s="13">
        <v>662</v>
      </c>
      <c r="E597" s="13" t="s">
        <v>9880</v>
      </c>
      <c r="F597" s="13">
        <v>2.1</v>
      </c>
      <c r="G597" s="13" t="s">
        <v>9837</v>
      </c>
    </row>
    <row r="598" spans="1:7" ht="28.8" x14ac:dyDescent="0.3">
      <c r="A598" s="13" t="s">
        <v>9829</v>
      </c>
      <c r="B598" s="13" t="s">
        <v>10289</v>
      </c>
      <c r="C598" s="13" t="s">
        <v>2946</v>
      </c>
      <c r="D598" s="13">
        <v>1361</v>
      </c>
      <c r="E598" s="13" t="s">
        <v>9836</v>
      </c>
      <c r="F598" s="13">
        <v>35</v>
      </c>
      <c r="G598" s="13" t="s">
        <v>9837</v>
      </c>
    </row>
    <row r="599" spans="1:7" ht="28.8" x14ac:dyDescent="0.3">
      <c r="A599" s="13" t="s">
        <v>9829</v>
      </c>
      <c r="B599" s="13" t="s">
        <v>10289</v>
      </c>
      <c r="C599" s="13" t="s">
        <v>2946</v>
      </c>
      <c r="D599" s="13">
        <v>1361</v>
      </c>
      <c r="E599" s="13" t="s">
        <v>9836</v>
      </c>
      <c r="F599" s="13">
        <v>35</v>
      </c>
      <c r="G599" s="13" t="s">
        <v>9837</v>
      </c>
    </row>
    <row r="600" spans="1:7" ht="28.8" x14ac:dyDescent="0.3">
      <c r="A600" s="13" t="s">
        <v>9829</v>
      </c>
      <c r="B600" s="13" t="s">
        <v>10289</v>
      </c>
      <c r="C600" s="13" t="s">
        <v>2946</v>
      </c>
      <c r="D600" s="13">
        <v>1361</v>
      </c>
      <c r="E600" s="13" t="s">
        <v>9836</v>
      </c>
      <c r="F600" s="13">
        <v>35</v>
      </c>
      <c r="G600" s="13" t="s">
        <v>9837</v>
      </c>
    </row>
    <row r="601" spans="1:7" ht="28.8" x14ac:dyDescent="0.3">
      <c r="A601" s="13" t="s">
        <v>9829</v>
      </c>
      <c r="B601" s="13" t="s">
        <v>10290</v>
      </c>
      <c r="C601" s="13" t="s">
        <v>10291</v>
      </c>
      <c r="D601" s="13">
        <v>109</v>
      </c>
      <c r="E601" s="13" t="s">
        <v>9836</v>
      </c>
      <c r="F601" s="13">
        <v>45</v>
      </c>
      <c r="G601" s="13" t="s">
        <v>9837</v>
      </c>
    </row>
    <row r="602" spans="1:7" ht="28.8" x14ac:dyDescent="0.3">
      <c r="A602" s="13" t="s">
        <v>9829</v>
      </c>
      <c r="B602" s="13" t="s">
        <v>10290</v>
      </c>
      <c r="C602" s="13" t="s">
        <v>10291</v>
      </c>
      <c r="D602" s="13">
        <v>109</v>
      </c>
      <c r="E602" s="13" t="s">
        <v>9836</v>
      </c>
      <c r="F602" s="13">
        <v>45</v>
      </c>
      <c r="G602" s="13" t="s">
        <v>9837</v>
      </c>
    </row>
    <row r="603" spans="1:7" ht="28.8" x14ac:dyDescent="0.3">
      <c r="A603" s="13" t="s">
        <v>9829</v>
      </c>
      <c r="B603" s="13" t="s">
        <v>10290</v>
      </c>
      <c r="C603" s="13" t="s">
        <v>10291</v>
      </c>
      <c r="D603" s="13">
        <v>109</v>
      </c>
      <c r="E603" s="13" t="s">
        <v>9836</v>
      </c>
      <c r="F603" s="13">
        <v>45</v>
      </c>
      <c r="G603" s="13" t="s">
        <v>9837</v>
      </c>
    </row>
    <row r="604" spans="1:7" ht="28.8" x14ac:dyDescent="0.3">
      <c r="A604" s="13" t="s">
        <v>9829</v>
      </c>
      <c r="B604" s="13" t="s">
        <v>10292</v>
      </c>
      <c r="C604" s="13" t="s">
        <v>10293</v>
      </c>
      <c r="D604" s="13">
        <v>1454</v>
      </c>
      <c r="E604" s="13" t="s">
        <v>9832</v>
      </c>
      <c r="F604" s="13">
        <v>5</v>
      </c>
      <c r="G604" s="13" t="s">
        <v>9833</v>
      </c>
    </row>
    <row r="605" spans="1:7" ht="201.6" x14ac:dyDescent="0.3">
      <c r="A605" s="13" t="s">
        <v>9829</v>
      </c>
      <c r="B605" s="13" t="s">
        <v>10294</v>
      </c>
      <c r="C605" s="13" t="s">
        <v>10295</v>
      </c>
      <c r="D605" s="13">
        <v>636</v>
      </c>
      <c r="E605" s="13" t="s">
        <v>9832</v>
      </c>
      <c r="F605" s="13">
        <v>5</v>
      </c>
      <c r="G605" s="13" t="s">
        <v>13154</v>
      </c>
    </row>
    <row r="606" spans="1:7" ht="28.8" x14ac:dyDescent="0.3">
      <c r="A606" s="13" t="s">
        <v>9829</v>
      </c>
      <c r="B606" s="13" t="s">
        <v>10296</v>
      </c>
      <c r="C606" s="13" t="s">
        <v>10297</v>
      </c>
      <c r="D606" s="13">
        <v>1473</v>
      </c>
      <c r="E606" s="13" t="s">
        <v>9901</v>
      </c>
      <c r="F606" s="13">
        <v>5</v>
      </c>
      <c r="G606" s="13" t="s">
        <v>9837</v>
      </c>
    </row>
    <row r="607" spans="1:7" ht="28.8" x14ac:dyDescent="0.3">
      <c r="A607" s="13" t="s">
        <v>9829</v>
      </c>
      <c r="B607" s="13" t="s">
        <v>10296</v>
      </c>
      <c r="C607" s="13" t="s">
        <v>10297</v>
      </c>
      <c r="D607" s="13">
        <v>1473</v>
      </c>
      <c r="E607" s="13" t="s">
        <v>9901</v>
      </c>
      <c r="F607" s="13">
        <v>5</v>
      </c>
      <c r="G607" s="13" t="s">
        <v>9837</v>
      </c>
    </row>
    <row r="608" spans="1:7" ht="28.8" x14ac:dyDescent="0.3">
      <c r="A608" s="13" t="s">
        <v>9829</v>
      </c>
      <c r="B608" s="13" t="s">
        <v>10298</v>
      </c>
      <c r="C608" s="13" t="s">
        <v>10299</v>
      </c>
      <c r="D608" s="13">
        <v>1472</v>
      </c>
      <c r="E608" s="13" t="s">
        <v>9832</v>
      </c>
      <c r="F608" s="13">
        <v>5</v>
      </c>
      <c r="G608" s="13" t="s">
        <v>9833</v>
      </c>
    </row>
    <row r="609" spans="1:7" ht="28.8" x14ac:dyDescent="0.3">
      <c r="A609" s="13" t="s">
        <v>9829</v>
      </c>
      <c r="B609" s="13" t="s">
        <v>10300</v>
      </c>
      <c r="C609" s="13" t="s">
        <v>10301</v>
      </c>
      <c r="D609" s="13">
        <v>397</v>
      </c>
      <c r="E609" s="13" t="s">
        <v>9863</v>
      </c>
      <c r="F609" s="13">
        <v>8</v>
      </c>
      <c r="G609" s="13" t="s">
        <v>9837</v>
      </c>
    </row>
    <row r="610" spans="1:7" ht="28.8" x14ac:dyDescent="0.3">
      <c r="A610" s="13" t="s">
        <v>9829</v>
      </c>
      <c r="B610" s="13" t="s">
        <v>10302</v>
      </c>
      <c r="C610" s="13" t="s">
        <v>10303</v>
      </c>
      <c r="D610" s="13">
        <v>843</v>
      </c>
      <c r="E610" s="13" t="s">
        <v>9863</v>
      </c>
      <c r="F610" s="13">
        <v>8</v>
      </c>
      <c r="G610" s="13" t="s">
        <v>9837</v>
      </c>
    </row>
    <row r="611" spans="1:7" ht="28.8" x14ac:dyDescent="0.3">
      <c r="A611" s="13" t="s">
        <v>9829</v>
      </c>
      <c r="B611" s="13" t="s">
        <v>10302</v>
      </c>
      <c r="C611" s="13" t="s">
        <v>10303</v>
      </c>
      <c r="D611" s="13">
        <v>843</v>
      </c>
      <c r="E611" s="13" t="s">
        <v>9863</v>
      </c>
      <c r="F611" s="13">
        <v>8</v>
      </c>
      <c r="G611" s="13" t="s">
        <v>9837</v>
      </c>
    </row>
    <row r="612" spans="1:7" ht="28.8" x14ac:dyDescent="0.3">
      <c r="A612" s="13" t="s">
        <v>9829</v>
      </c>
      <c r="B612" s="13" t="s">
        <v>10302</v>
      </c>
      <c r="C612" s="13" t="s">
        <v>10303</v>
      </c>
      <c r="D612" s="13">
        <v>843</v>
      </c>
      <c r="E612" s="13" t="s">
        <v>9863</v>
      </c>
      <c r="F612" s="13">
        <v>8</v>
      </c>
      <c r="G612" s="13" t="s">
        <v>9837</v>
      </c>
    </row>
    <row r="613" spans="1:7" ht="43.2" x14ac:dyDescent="0.3">
      <c r="A613" s="13" t="s">
        <v>9829</v>
      </c>
      <c r="B613" s="13" t="s">
        <v>10304</v>
      </c>
      <c r="C613" s="13" t="s">
        <v>1271</v>
      </c>
      <c r="D613" s="13">
        <v>112</v>
      </c>
      <c r="E613" s="13" t="s">
        <v>9863</v>
      </c>
      <c r="F613" s="13">
        <v>8</v>
      </c>
      <c r="G613" s="13" t="s">
        <v>9837</v>
      </c>
    </row>
    <row r="614" spans="1:7" ht="43.2" x14ac:dyDescent="0.3">
      <c r="A614" s="13" t="s">
        <v>9829</v>
      </c>
      <c r="B614" s="13" t="s">
        <v>10305</v>
      </c>
      <c r="C614" s="13" t="s">
        <v>10306</v>
      </c>
      <c r="D614" s="13">
        <v>1008</v>
      </c>
      <c r="E614" s="13" t="s">
        <v>9863</v>
      </c>
      <c r="F614" s="13">
        <v>8</v>
      </c>
      <c r="G614" s="13" t="s">
        <v>9837</v>
      </c>
    </row>
    <row r="615" spans="1:7" ht="28.8" x14ac:dyDescent="0.3">
      <c r="A615" s="13" t="s">
        <v>9829</v>
      </c>
      <c r="B615" s="13" t="s">
        <v>10307</v>
      </c>
      <c r="C615" s="13" t="s">
        <v>10308</v>
      </c>
      <c r="D615" s="13">
        <v>113</v>
      </c>
      <c r="E615" s="13" t="s">
        <v>9863</v>
      </c>
      <c r="F615" s="13">
        <v>8</v>
      </c>
      <c r="G615" s="13" t="s">
        <v>9837</v>
      </c>
    </row>
    <row r="616" spans="1:7" ht="28.8" x14ac:dyDescent="0.3">
      <c r="A616" s="13" t="s">
        <v>9829</v>
      </c>
      <c r="B616" s="13" t="s">
        <v>10307</v>
      </c>
      <c r="C616" s="13" t="s">
        <v>10308</v>
      </c>
      <c r="D616" s="13">
        <v>113</v>
      </c>
      <c r="E616" s="13" t="s">
        <v>9863</v>
      </c>
      <c r="F616" s="13">
        <v>8</v>
      </c>
      <c r="G616" s="13" t="s">
        <v>9837</v>
      </c>
    </row>
    <row r="617" spans="1:7" ht="28.8" x14ac:dyDescent="0.3">
      <c r="A617" s="13" t="s">
        <v>9829</v>
      </c>
      <c r="B617" s="13" t="s">
        <v>10307</v>
      </c>
      <c r="C617" s="13" t="s">
        <v>10308</v>
      </c>
      <c r="D617" s="13">
        <v>113</v>
      </c>
      <c r="E617" s="13" t="s">
        <v>9863</v>
      </c>
      <c r="F617" s="13">
        <v>8</v>
      </c>
      <c r="G617" s="13" t="s">
        <v>9837</v>
      </c>
    </row>
    <row r="618" spans="1:7" ht="43.2" x14ac:dyDescent="0.3">
      <c r="A618" s="13" t="s">
        <v>9829</v>
      </c>
      <c r="B618" s="13" t="s">
        <v>10309</v>
      </c>
      <c r="C618" s="13" t="s">
        <v>10310</v>
      </c>
      <c r="D618" s="13">
        <v>576</v>
      </c>
      <c r="E618" s="13" t="s">
        <v>9863</v>
      </c>
      <c r="F618" s="13">
        <v>8</v>
      </c>
      <c r="G618" s="13" t="s">
        <v>9837</v>
      </c>
    </row>
    <row r="619" spans="1:7" ht="57.6" x14ac:dyDescent="0.3">
      <c r="A619" s="13" t="s">
        <v>9829</v>
      </c>
      <c r="B619" s="13" t="s">
        <v>10311</v>
      </c>
      <c r="C619" s="13" t="s">
        <v>10312</v>
      </c>
      <c r="D619" s="13">
        <v>1021</v>
      </c>
      <c r="E619" s="13" t="s">
        <v>9863</v>
      </c>
      <c r="F619" s="13">
        <v>8</v>
      </c>
      <c r="G619" s="13" t="s">
        <v>9837</v>
      </c>
    </row>
    <row r="620" spans="1:7" ht="28.8" x14ac:dyDescent="0.3">
      <c r="A620" s="13" t="s">
        <v>9829</v>
      </c>
      <c r="B620" s="13" t="s">
        <v>10313</v>
      </c>
      <c r="C620" s="13" t="s">
        <v>10314</v>
      </c>
      <c r="D620" s="13">
        <v>114</v>
      </c>
      <c r="E620" s="13" t="s">
        <v>9863</v>
      </c>
      <c r="F620" s="13">
        <v>8</v>
      </c>
      <c r="G620" s="13" t="s">
        <v>9837</v>
      </c>
    </row>
    <row r="621" spans="1:7" ht="28.8" x14ac:dyDescent="0.3">
      <c r="A621" s="13" t="s">
        <v>9829</v>
      </c>
      <c r="B621" s="13" t="s">
        <v>10313</v>
      </c>
      <c r="C621" s="13" t="s">
        <v>10314</v>
      </c>
      <c r="D621" s="13">
        <v>114</v>
      </c>
      <c r="E621" s="13" t="s">
        <v>9863</v>
      </c>
      <c r="F621" s="13">
        <v>8</v>
      </c>
      <c r="G621" s="13" t="s">
        <v>9837</v>
      </c>
    </row>
    <row r="622" spans="1:7" ht="28.8" x14ac:dyDescent="0.3">
      <c r="A622" s="13" t="s">
        <v>9829</v>
      </c>
      <c r="B622" s="13" t="s">
        <v>10313</v>
      </c>
      <c r="C622" s="13" t="s">
        <v>10314</v>
      </c>
      <c r="D622" s="13">
        <v>114</v>
      </c>
      <c r="E622" s="13" t="s">
        <v>9863</v>
      </c>
      <c r="F622" s="13">
        <v>8</v>
      </c>
      <c r="G622" s="13" t="s">
        <v>9837</v>
      </c>
    </row>
    <row r="623" spans="1:7" ht="28.8" x14ac:dyDescent="0.3">
      <c r="A623" s="13" t="s">
        <v>9829</v>
      </c>
      <c r="B623" s="13" t="s">
        <v>10315</v>
      </c>
      <c r="C623" s="13" t="s">
        <v>10316</v>
      </c>
      <c r="D623" s="13">
        <v>111</v>
      </c>
      <c r="E623" s="13" t="s">
        <v>9863</v>
      </c>
      <c r="F623" s="13">
        <v>8</v>
      </c>
      <c r="G623" s="13" t="s">
        <v>9837</v>
      </c>
    </row>
    <row r="624" spans="1:7" ht="28.8" x14ac:dyDescent="0.3">
      <c r="A624" s="13" t="s">
        <v>9829</v>
      </c>
      <c r="B624" s="13" t="s">
        <v>10315</v>
      </c>
      <c r="C624" s="13" t="s">
        <v>10316</v>
      </c>
      <c r="D624" s="13">
        <v>111</v>
      </c>
      <c r="E624" s="13" t="s">
        <v>9863</v>
      </c>
      <c r="F624" s="13">
        <v>8</v>
      </c>
      <c r="G624" s="13" t="s">
        <v>9837</v>
      </c>
    </row>
    <row r="625" spans="1:7" ht="28.8" x14ac:dyDescent="0.3">
      <c r="A625" s="13" t="s">
        <v>9829</v>
      </c>
      <c r="B625" s="13" t="s">
        <v>10315</v>
      </c>
      <c r="C625" s="13" t="s">
        <v>10316</v>
      </c>
      <c r="D625" s="13">
        <v>111</v>
      </c>
      <c r="E625" s="13" t="s">
        <v>9863</v>
      </c>
      <c r="F625" s="13">
        <v>8</v>
      </c>
      <c r="G625" s="13" t="s">
        <v>9837</v>
      </c>
    </row>
    <row r="626" spans="1:7" ht="201.6" x14ac:dyDescent="0.3">
      <c r="A626" s="13" t="s">
        <v>9829</v>
      </c>
      <c r="B626" s="13" t="s">
        <v>10317</v>
      </c>
      <c r="C626" s="13" t="s">
        <v>10318</v>
      </c>
      <c r="D626" s="13">
        <v>115</v>
      </c>
      <c r="E626" s="13" t="s">
        <v>9832</v>
      </c>
      <c r="F626" s="13">
        <v>5</v>
      </c>
      <c r="G626" s="13" t="s">
        <v>13169</v>
      </c>
    </row>
    <row r="627" spans="1:7" ht="201.6" x14ac:dyDescent="0.3">
      <c r="A627" s="13" t="s">
        <v>9829</v>
      </c>
      <c r="B627" s="13" t="s">
        <v>10317</v>
      </c>
      <c r="C627" s="13" t="s">
        <v>10318</v>
      </c>
      <c r="D627" s="13">
        <v>115</v>
      </c>
      <c r="E627" s="13" t="s">
        <v>9832</v>
      </c>
      <c r="F627" s="13">
        <v>5</v>
      </c>
      <c r="G627" s="13" t="s">
        <v>13169</v>
      </c>
    </row>
    <row r="628" spans="1:7" ht="201.6" x14ac:dyDescent="0.3">
      <c r="A628" s="13" t="s">
        <v>9829</v>
      </c>
      <c r="B628" s="13" t="s">
        <v>10317</v>
      </c>
      <c r="C628" s="13" t="s">
        <v>10318</v>
      </c>
      <c r="D628" s="13">
        <v>115</v>
      </c>
      <c r="E628" s="13" t="s">
        <v>9832</v>
      </c>
      <c r="F628" s="13">
        <v>5</v>
      </c>
      <c r="G628" s="13" t="s">
        <v>13169</v>
      </c>
    </row>
    <row r="629" spans="1:7" ht="216" x14ac:dyDescent="0.3">
      <c r="A629" s="13" t="s">
        <v>9829</v>
      </c>
      <c r="B629" s="13" t="s">
        <v>10319</v>
      </c>
      <c r="C629" s="13" t="s">
        <v>10320</v>
      </c>
      <c r="D629" s="13">
        <v>623</v>
      </c>
      <c r="E629" s="13" t="s">
        <v>9832</v>
      </c>
      <c r="F629" s="13">
        <v>5</v>
      </c>
      <c r="G629" s="13" t="s">
        <v>13170</v>
      </c>
    </row>
    <row r="630" spans="1:7" ht="43.2" x14ac:dyDescent="0.3">
      <c r="A630" s="13" t="s">
        <v>9829</v>
      </c>
      <c r="B630" s="13" t="s">
        <v>10321</v>
      </c>
      <c r="C630" s="13" t="s">
        <v>10322</v>
      </c>
      <c r="D630" s="13">
        <v>478</v>
      </c>
      <c r="E630" s="13" t="s">
        <v>9880</v>
      </c>
      <c r="F630" s="13">
        <v>1.2</v>
      </c>
      <c r="G630" s="13" t="s">
        <v>9837</v>
      </c>
    </row>
    <row r="631" spans="1:7" ht="28.8" x14ac:dyDescent="0.3">
      <c r="A631" s="13" t="s">
        <v>9829</v>
      </c>
      <c r="B631" s="13" t="s">
        <v>10323</v>
      </c>
      <c r="C631" s="13" t="s">
        <v>10324</v>
      </c>
      <c r="D631" s="13">
        <v>646</v>
      </c>
      <c r="E631" s="13" t="s">
        <v>9836</v>
      </c>
      <c r="F631" s="13">
        <v>35</v>
      </c>
      <c r="G631" s="13" t="s">
        <v>9837</v>
      </c>
    </row>
    <row r="632" spans="1:7" ht="28.8" x14ac:dyDescent="0.3">
      <c r="A632" s="13" t="s">
        <v>9829</v>
      </c>
      <c r="B632" s="13" t="s">
        <v>10325</v>
      </c>
      <c r="C632" s="13" t="s">
        <v>10326</v>
      </c>
      <c r="D632" s="13">
        <v>645</v>
      </c>
      <c r="E632" s="13" t="s">
        <v>9863</v>
      </c>
      <c r="F632" s="13">
        <v>8</v>
      </c>
      <c r="G632" s="13" t="s">
        <v>9837</v>
      </c>
    </row>
    <row r="633" spans="1:7" ht="28.8" x14ac:dyDescent="0.3">
      <c r="A633" s="13" t="s">
        <v>9829</v>
      </c>
      <c r="B633" s="13" t="s">
        <v>10327</v>
      </c>
      <c r="C633" s="13" t="s">
        <v>10328</v>
      </c>
      <c r="D633" s="13">
        <v>1020</v>
      </c>
      <c r="E633" s="13" t="s">
        <v>9880</v>
      </c>
      <c r="F633" s="13">
        <v>8.1999999999999993</v>
      </c>
      <c r="G633" s="13" t="s">
        <v>9837</v>
      </c>
    </row>
    <row r="634" spans="1:7" ht="388.8" x14ac:dyDescent="0.3">
      <c r="A634" s="13" t="s">
        <v>9829</v>
      </c>
      <c r="B634" s="13" t="s">
        <v>10329</v>
      </c>
      <c r="C634" s="13" t="s">
        <v>10330</v>
      </c>
      <c r="D634" s="13">
        <v>1013</v>
      </c>
      <c r="E634" s="13" t="s">
        <v>9832</v>
      </c>
      <c r="F634" s="13">
        <v>5</v>
      </c>
      <c r="G634" s="13" t="s">
        <v>13171</v>
      </c>
    </row>
    <row r="635" spans="1:7" ht="28.8" x14ac:dyDescent="0.3">
      <c r="A635" s="13" t="s">
        <v>9829</v>
      </c>
      <c r="B635" s="13" t="s">
        <v>10331</v>
      </c>
      <c r="C635" s="13" t="s">
        <v>10332</v>
      </c>
      <c r="D635" s="13">
        <v>530</v>
      </c>
      <c r="E635" s="13" t="s">
        <v>9880</v>
      </c>
      <c r="F635" s="13">
        <v>6.2</v>
      </c>
      <c r="G635" s="13" t="s">
        <v>9837</v>
      </c>
    </row>
    <row r="636" spans="1:7" ht="72" x14ac:dyDescent="0.3">
      <c r="A636" s="13" t="s">
        <v>9829</v>
      </c>
      <c r="B636" s="13" t="s">
        <v>10333</v>
      </c>
      <c r="C636" s="13" t="s">
        <v>10334</v>
      </c>
      <c r="D636" s="13">
        <v>529</v>
      </c>
      <c r="E636" s="13" t="s">
        <v>9836</v>
      </c>
      <c r="F636" s="13">
        <v>45</v>
      </c>
      <c r="G636" s="13" t="s">
        <v>9837</v>
      </c>
    </row>
    <row r="637" spans="1:7" ht="409.6" x14ac:dyDescent="0.3">
      <c r="A637" s="13" t="s">
        <v>9829</v>
      </c>
      <c r="B637" s="13" t="s">
        <v>10335</v>
      </c>
      <c r="C637" s="13" t="s">
        <v>10336</v>
      </c>
      <c r="D637" s="13">
        <v>1270</v>
      </c>
      <c r="E637" s="13" t="s">
        <v>9832</v>
      </c>
      <c r="F637" s="13">
        <v>5</v>
      </c>
      <c r="G637" s="13" t="s">
        <v>13172</v>
      </c>
    </row>
    <row r="638" spans="1:7" ht="28.8" x14ac:dyDescent="0.3">
      <c r="A638" s="13" t="s">
        <v>9829</v>
      </c>
      <c r="B638" s="13" t="s">
        <v>10337</v>
      </c>
      <c r="C638" s="13" t="s">
        <v>10338</v>
      </c>
      <c r="D638" s="13">
        <v>535</v>
      </c>
      <c r="E638" s="13" t="s">
        <v>9880</v>
      </c>
      <c r="F638" s="13">
        <v>6.2</v>
      </c>
      <c r="G638" s="13" t="s">
        <v>9837</v>
      </c>
    </row>
    <row r="639" spans="1:7" ht="28.8" x14ac:dyDescent="0.3">
      <c r="A639" s="13" t="s">
        <v>9829</v>
      </c>
      <c r="B639" s="13" t="s">
        <v>10339</v>
      </c>
      <c r="C639" s="13" t="s">
        <v>10340</v>
      </c>
      <c r="D639" s="13">
        <v>536</v>
      </c>
      <c r="E639" s="13" t="s">
        <v>9863</v>
      </c>
      <c r="F639" s="13">
        <v>8</v>
      </c>
      <c r="G639" s="13" t="s">
        <v>9837</v>
      </c>
    </row>
    <row r="640" spans="1:7" ht="28.8" x14ac:dyDescent="0.3">
      <c r="A640" s="13" t="s">
        <v>9829</v>
      </c>
      <c r="B640" s="13" t="s">
        <v>10341</v>
      </c>
      <c r="C640" s="13" t="s">
        <v>10342</v>
      </c>
      <c r="D640" s="13">
        <v>291</v>
      </c>
      <c r="E640" s="13" t="s">
        <v>9836</v>
      </c>
      <c r="F640" s="13">
        <v>60</v>
      </c>
      <c r="G640" s="13" t="s">
        <v>9837</v>
      </c>
    </row>
    <row r="641" spans="1:7" ht="28.8" x14ac:dyDescent="0.3">
      <c r="A641" s="13" t="s">
        <v>9829</v>
      </c>
      <c r="B641" s="13" t="s">
        <v>10341</v>
      </c>
      <c r="C641" s="13" t="s">
        <v>10342</v>
      </c>
      <c r="D641" s="13">
        <v>291</v>
      </c>
      <c r="E641" s="13" t="s">
        <v>9836</v>
      </c>
      <c r="F641" s="13">
        <v>60</v>
      </c>
      <c r="G641" s="13" t="s">
        <v>9837</v>
      </c>
    </row>
    <row r="642" spans="1:7" ht="28.8" x14ac:dyDescent="0.3">
      <c r="A642" s="13" t="s">
        <v>9829</v>
      </c>
      <c r="B642" s="13" t="s">
        <v>10341</v>
      </c>
      <c r="C642" s="13" t="s">
        <v>10342</v>
      </c>
      <c r="D642" s="13">
        <v>291</v>
      </c>
      <c r="E642" s="13" t="s">
        <v>9836</v>
      </c>
      <c r="F642" s="13">
        <v>60</v>
      </c>
      <c r="G642" s="13" t="s">
        <v>9837</v>
      </c>
    </row>
    <row r="643" spans="1:7" ht="28.8" x14ac:dyDescent="0.3">
      <c r="A643" s="13" t="s">
        <v>9829</v>
      </c>
      <c r="B643" s="13" t="s">
        <v>10341</v>
      </c>
      <c r="C643" s="13" t="s">
        <v>10342</v>
      </c>
      <c r="D643" s="13">
        <v>291</v>
      </c>
      <c r="E643" s="13" t="s">
        <v>9836</v>
      </c>
      <c r="F643" s="13">
        <v>60</v>
      </c>
      <c r="G643" s="13" t="s">
        <v>9837</v>
      </c>
    </row>
    <row r="644" spans="1:7" ht="28.8" x14ac:dyDescent="0.3">
      <c r="A644" s="13" t="s">
        <v>9829</v>
      </c>
      <c r="B644" s="13" t="s">
        <v>10343</v>
      </c>
      <c r="C644" s="13" t="s">
        <v>10344</v>
      </c>
      <c r="D644" s="13">
        <v>987</v>
      </c>
      <c r="E644" s="13" t="s">
        <v>9836</v>
      </c>
      <c r="F644" s="13">
        <v>80</v>
      </c>
      <c r="G644" s="13" t="s">
        <v>9837</v>
      </c>
    </row>
    <row r="645" spans="1:7" ht="409.6" x14ac:dyDescent="0.3">
      <c r="A645" s="13" t="s">
        <v>9829</v>
      </c>
      <c r="B645" s="13" t="s">
        <v>10345</v>
      </c>
      <c r="C645" s="13" t="s">
        <v>10346</v>
      </c>
      <c r="D645" s="13">
        <v>1223</v>
      </c>
      <c r="E645" s="13" t="s">
        <v>9832</v>
      </c>
      <c r="F645" s="13">
        <v>5</v>
      </c>
      <c r="G645" s="13" t="s">
        <v>13150</v>
      </c>
    </row>
    <row r="646" spans="1:7" ht="129.6" x14ac:dyDescent="0.3">
      <c r="A646" s="13" t="s">
        <v>9829</v>
      </c>
      <c r="B646" s="13" t="s">
        <v>10347</v>
      </c>
      <c r="C646" s="13" t="s">
        <v>10348</v>
      </c>
      <c r="D646" s="13">
        <v>1670</v>
      </c>
      <c r="E646" s="13" t="s">
        <v>9832</v>
      </c>
      <c r="F646" s="13">
        <v>5</v>
      </c>
      <c r="G646" s="13" t="s">
        <v>13173</v>
      </c>
    </row>
    <row r="647" spans="1:7" ht="43.2" x14ac:dyDescent="0.3">
      <c r="A647" s="13" t="s">
        <v>9829</v>
      </c>
      <c r="B647" s="13" t="s">
        <v>10349</v>
      </c>
      <c r="C647" s="13" t="s">
        <v>10350</v>
      </c>
      <c r="D647" s="13">
        <v>766</v>
      </c>
      <c r="E647" s="13" t="s">
        <v>9836</v>
      </c>
      <c r="F647" s="13">
        <v>60</v>
      </c>
      <c r="G647" s="13" t="s">
        <v>9837</v>
      </c>
    </row>
    <row r="648" spans="1:7" ht="28.8" x14ac:dyDescent="0.3">
      <c r="A648" s="13" t="s">
        <v>9829</v>
      </c>
      <c r="B648" s="13" t="s">
        <v>10351</v>
      </c>
      <c r="C648" s="13" t="s">
        <v>10352</v>
      </c>
      <c r="D648" s="13">
        <v>1174</v>
      </c>
      <c r="E648" s="13" t="s">
        <v>9836</v>
      </c>
      <c r="F648" s="13">
        <v>60</v>
      </c>
      <c r="G648" s="13" t="s">
        <v>9837</v>
      </c>
    </row>
    <row r="649" spans="1:7" ht="28.8" x14ac:dyDescent="0.3">
      <c r="A649" s="13" t="s">
        <v>9829</v>
      </c>
      <c r="B649" s="13" t="s">
        <v>10351</v>
      </c>
      <c r="C649" s="13" t="s">
        <v>10352</v>
      </c>
      <c r="D649" s="13">
        <v>1174</v>
      </c>
      <c r="E649" s="13" t="s">
        <v>9836</v>
      </c>
      <c r="F649" s="13">
        <v>60</v>
      </c>
      <c r="G649" s="13" t="s">
        <v>9837</v>
      </c>
    </row>
    <row r="650" spans="1:7" ht="144" x14ac:dyDescent="0.3">
      <c r="A650" s="13" t="s">
        <v>9829</v>
      </c>
      <c r="B650" s="13" t="s">
        <v>10353</v>
      </c>
      <c r="C650" s="13" t="s">
        <v>10354</v>
      </c>
      <c r="D650" s="13">
        <v>41</v>
      </c>
      <c r="E650" s="13" t="s">
        <v>9832</v>
      </c>
      <c r="F650" s="13">
        <v>5</v>
      </c>
      <c r="G650" s="13" t="s">
        <v>13174</v>
      </c>
    </row>
    <row r="651" spans="1:7" ht="43.2" x14ac:dyDescent="0.3">
      <c r="A651" s="13" t="s">
        <v>9829</v>
      </c>
      <c r="B651" s="13" t="s">
        <v>10355</v>
      </c>
      <c r="C651" s="13" t="s">
        <v>10356</v>
      </c>
      <c r="D651" s="13">
        <v>772</v>
      </c>
      <c r="E651" s="13" t="s">
        <v>9836</v>
      </c>
      <c r="F651" s="13">
        <v>35</v>
      </c>
      <c r="G651" s="13" t="s">
        <v>9837</v>
      </c>
    </row>
    <row r="652" spans="1:7" ht="259.2" x14ac:dyDescent="0.3">
      <c r="A652" s="13" t="s">
        <v>9829</v>
      </c>
      <c r="B652" s="13" t="s">
        <v>10357</v>
      </c>
      <c r="C652" s="13" t="s">
        <v>10358</v>
      </c>
      <c r="D652" s="13">
        <v>1226</v>
      </c>
      <c r="E652" s="13" t="s">
        <v>9832</v>
      </c>
      <c r="F652" s="13">
        <v>5</v>
      </c>
      <c r="G652" s="13" t="s">
        <v>13175</v>
      </c>
    </row>
    <row r="653" spans="1:7" ht="409.6" x14ac:dyDescent="0.3">
      <c r="A653" s="13" t="s">
        <v>9829</v>
      </c>
      <c r="B653" s="13" t="s">
        <v>10359</v>
      </c>
      <c r="C653" s="13" t="s">
        <v>10360</v>
      </c>
      <c r="D653" s="13">
        <v>650</v>
      </c>
      <c r="E653" s="13" t="s">
        <v>9832</v>
      </c>
      <c r="F653" s="13">
        <v>5</v>
      </c>
      <c r="G653" s="13" t="s">
        <v>13176</v>
      </c>
    </row>
    <row r="654" spans="1:7" ht="28.8" x14ac:dyDescent="0.3">
      <c r="A654" s="13" t="s">
        <v>9829</v>
      </c>
      <c r="B654" s="13" t="s">
        <v>10361</v>
      </c>
      <c r="C654" s="13" t="s">
        <v>10362</v>
      </c>
      <c r="D654" s="13">
        <v>1017</v>
      </c>
      <c r="E654" s="13" t="s">
        <v>9880</v>
      </c>
      <c r="F654" s="13">
        <v>2.2000000000000002</v>
      </c>
      <c r="G654" s="13" t="s">
        <v>9837</v>
      </c>
    </row>
    <row r="655" spans="1:7" ht="409.6" x14ac:dyDescent="0.3">
      <c r="A655" s="13" t="s">
        <v>9829</v>
      </c>
      <c r="B655" s="13" t="s">
        <v>10363</v>
      </c>
      <c r="C655" s="13" t="s">
        <v>10364</v>
      </c>
      <c r="D655" s="13">
        <v>747</v>
      </c>
      <c r="E655" s="13" t="s">
        <v>9832</v>
      </c>
      <c r="F655" s="13">
        <v>5</v>
      </c>
      <c r="G655" s="13" t="s">
        <v>13177</v>
      </c>
    </row>
    <row r="656" spans="1:7" ht="43.2" x14ac:dyDescent="0.3">
      <c r="A656" s="13" t="s">
        <v>9829</v>
      </c>
      <c r="B656" s="13" t="s">
        <v>10365</v>
      </c>
      <c r="C656" s="13" t="s">
        <v>10366</v>
      </c>
      <c r="D656" s="13">
        <v>723</v>
      </c>
      <c r="E656" s="13" t="s">
        <v>9836</v>
      </c>
      <c r="F656" s="13">
        <v>8</v>
      </c>
      <c r="G656" s="13" t="s">
        <v>9837</v>
      </c>
    </row>
    <row r="657" spans="1:7" ht="43.2" x14ac:dyDescent="0.3">
      <c r="A657" s="13" t="s">
        <v>9829</v>
      </c>
      <c r="B657" s="13" t="s">
        <v>10367</v>
      </c>
      <c r="C657" s="13" t="s">
        <v>10368</v>
      </c>
      <c r="D657" s="13">
        <v>1097</v>
      </c>
      <c r="E657" s="13" t="s">
        <v>9832</v>
      </c>
      <c r="F657" s="13">
        <v>5</v>
      </c>
      <c r="G657" s="13" t="s">
        <v>9833</v>
      </c>
    </row>
    <row r="658" spans="1:7" ht="409.6" x14ac:dyDescent="0.3">
      <c r="A658" s="13" t="s">
        <v>9829</v>
      </c>
      <c r="B658" s="13" t="s">
        <v>10369</v>
      </c>
      <c r="C658" s="13" t="s">
        <v>10370</v>
      </c>
      <c r="D658" s="13">
        <v>1298</v>
      </c>
      <c r="E658" s="13" t="s">
        <v>9832</v>
      </c>
      <c r="F658" s="13">
        <v>5</v>
      </c>
      <c r="G658" s="13" t="s">
        <v>13178</v>
      </c>
    </row>
    <row r="659" spans="1:7" ht="409.6" x14ac:dyDescent="0.3">
      <c r="A659" s="13" t="s">
        <v>9829</v>
      </c>
      <c r="B659" s="13" t="s">
        <v>10371</v>
      </c>
      <c r="C659" s="13" t="s">
        <v>10372</v>
      </c>
      <c r="D659" s="13">
        <v>600</v>
      </c>
      <c r="E659" s="13" t="s">
        <v>9832</v>
      </c>
      <c r="F659" s="13">
        <v>5</v>
      </c>
      <c r="G659" s="13" t="s">
        <v>13179</v>
      </c>
    </row>
    <row r="660" spans="1:7" ht="158.4" x14ac:dyDescent="0.3">
      <c r="A660" s="13" t="s">
        <v>9829</v>
      </c>
      <c r="B660" s="13" t="s">
        <v>10373</v>
      </c>
      <c r="C660" s="13" t="s">
        <v>10374</v>
      </c>
      <c r="D660" s="13">
        <v>601</v>
      </c>
      <c r="E660" s="13" t="s">
        <v>9832</v>
      </c>
      <c r="F660" s="13">
        <v>5</v>
      </c>
      <c r="G660" s="13" t="s">
        <v>13180</v>
      </c>
    </row>
    <row r="661" spans="1:7" ht="129.6" x14ac:dyDescent="0.3">
      <c r="A661" s="13" t="s">
        <v>9829</v>
      </c>
      <c r="B661" s="13" t="s">
        <v>10375</v>
      </c>
      <c r="C661" s="13" t="s">
        <v>10376</v>
      </c>
      <c r="D661" s="13">
        <v>803</v>
      </c>
      <c r="E661" s="13" t="s">
        <v>9836</v>
      </c>
      <c r="F661" s="13">
        <v>60</v>
      </c>
      <c r="G661" s="13" t="s">
        <v>13181</v>
      </c>
    </row>
    <row r="662" spans="1:7" ht="230.4" x14ac:dyDescent="0.3">
      <c r="A662" s="13" t="s">
        <v>9829</v>
      </c>
      <c r="B662" s="13" t="s">
        <v>10377</v>
      </c>
      <c r="C662" s="13" t="s">
        <v>10378</v>
      </c>
      <c r="D662" s="13">
        <v>801</v>
      </c>
      <c r="E662" s="13" t="s">
        <v>9832</v>
      </c>
      <c r="F662" s="13">
        <v>5</v>
      </c>
      <c r="G662" s="13" t="s">
        <v>13182</v>
      </c>
    </row>
    <row r="663" spans="1:7" ht="216" x14ac:dyDescent="0.3">
      <c r="A663" s="13" t="s">
        <v>9829</v>
      </c>
      <c r="B663" s="13" t="s">
        <v>10379</v>
      </c>
      <c r="C663" s="13" t="s">
        <v>10380</v>
      </c>
      <c r="D663" s="13">
        <v>802</v>
      </c>
      <c r="E663" s="13" t="s">
        <v>9832</v>
      </c>
      <c r="F663" s="13">
        <v>5</v>
      </c>
      <c r="G663" s="13" t="s">
        <v>13183</v>
      </c>
    </row>
    <row r="664" spans="1:7" ht="259.2" x14ac:dyDescent="0.3">
      <c r="A664" s="13" t="s">
        <v>9829</v>
      </c>
      <c r="B664" s="13" t="s">
        <v>10381</v>
      </c>
      <c r="C664" s="13" t="s">
        <v>10382</v>
      </c>
      <c r="D664" s="13">
        <v>805</v>
      </c>
      <c r="E664" s="13" t="s">
        <v>9832</v>
      </c>
      <c r="F664" s="13">
        <v>5</v>
      </c>
      <c r="G664" s="13" t="s">
        <v>13184</v>
      </c>
    </row>
    <row r="665" spans="1:7" ht="409.6" x14ac:dyDescent="0.3">
      <c r="A665" s="13" t="s">
        <v>9829</v>
      </c>
      <c r="B665" s="13" t="s">
        <v>10383</v>
      </c>
      <c r="C665" s="13" t="s">
        <v>10384</v>
      </c>
      <c r="D665" s="13">
        <v>804</v>
      </c>
      <c r="E665" s="13" t="s">
        <v>9832</v>
      </c>
      <c r="F665" s="13">
        <v>5</v>
      </c>
      <c r="G665" s="13" t="s">
        <v>13185</v>
      </c>
    </row>
    <row r="666" spans="1:7" ht="28.8" x14ac:dyDescent="0.3">
      <c r="A666" s="13" t="s">
        <v>9829</v>
      </c>
      <c r="B666" s="13" t="s">
        <v>10385</v>
      </c>
      <c r="C666" s="13" t="s">
        <v>10386</v>
      </c>
      <c r="D666" s="13">
        <v>1279</v>
      </c>
      <c r="E666" s="13" t="s">
        <v>9901</v>
      </c>
      <c r="F666" s="13">
        <v>6</v>
      </c>
      <c r="G666" s="13" t="s">
        <v>9837</v>
      </c>
    </row>
    <row r="667" spans="1:7" ht="409.6" x14ac:dyDescent="0.3">
      <c r="A667" s="13" t="s">
        <v>9829</v>
      </c>
      <c r="B667" s="13" t="s">
        <v>10387</v>
      </c>
      <c r="C667" s="13" t="s">
        <v>10388</v>
      </c>
      <c r="D667" s="13">
        <v>1272</v>
      </c>
      <c r="E667" s="13" t="s">
        <v>9832</v>
      </c>
      <c r="F667" s="13">
        <v>5</v>
      </c>
      <c r="G667" s="13" t="s">
        <v>13172</v>
      </c>
    </row>
    <row r="668" spans="1:7" ht="409.6" x14ac:dyDescent="0.3">
      <c r="A668" s="13" t="s">
        <v>9829</v>
      </c>
      <c r="B668" s="13" t="s">
        <v>10389</v>
      </c>
      <c r="C668" s="13" t="s">
        <v>10390</v>
      </c>
      <c r="D668" s="13">
        <v>1271</v>
      </c>
      <c r="E668" s="13" t="s">
        <v>9832</v>
      </c>
      <c r="F668" s="13">
        <v>5</v>
      </c>
      <c r="G668" s="13" t="s">
        <v>13172</v>
      </c>
    </row>
    <row r="669" spans="1:7" ht="43.2" x14ac:dyDescent="0.3">
      <c r="A669" s="13" t="s">
        <v>9829</v>
      </c>
      <c r="B669" s="13" t="s">
        <v>10391</v>
      </c>
      <c r="C669" s="13" t="s">
        <v>10392</v>
      </c>
      <c r="D669" s="13">
        <v>1231</v>
      </c>
      <c r="E669" s="13" t="s">
        <v>9836</v>
      </c>
      <c r="F669" s="13">
        <v>80</v>
      </c>
      <c r="G669" s="13" t="s">
        <v>9837</v>
      </c>
    </row>
    <row r="670" spans="1:7" ht="72" x14ac:dyDescent="0.3">
      <c r="A670" s="13" t="s">
        <v>9829</v>
      </c>
      <c r="B670" s="13" t="s">
        <v>10393</v>
      </c>
      <c r="C670" s="13" t="s">
        <v>10394</v>
      </c>
      <c r="D670" s="13">
        <v>1225</v>
      </c>
      <c r="E670" s="13" t="s">
        <v>9836</v>
      </c>
      <c r="F670" s="13">
        <v>60</v>
      </c>
      <c r="G670" s="13" t="s">
        <v>9837</v>
      </c>
    </row>
    <row r="671" spans="1:7" ht="72" x14ac:dyDescent="0.3">
      <c r="A671" s="13" t="s">
        <v>9829</v>
      </c>
      <c r="B671" s="13" t="s">
        <v>10393</v>
      </c>
      <c r="C671" s="13" t="s">
        <v>10394</v>
      </c>
      <c r="D671" s="13">
        <v>1225</v>
      </c>
      <c r="E671" s="13" t="s">
        <v>9836</v>
      </c>
      <c r="F671" s="13">
        <v>60</v>
      </c>
      <c r="G671" s="13" t="s">
        <v>9837</v>
      </c>
    </row>
    <row r="672" spans="1:7" ht="409.6" x14ac:dyDescent="0.3">
      <c r="A672" s="13" t="s">
        <v>9829</v>
      </c>
      <c r="B672" s="13" t="s">
        <v>10395</v>
      </c>
      <c r="C672" s="13" t="s">
        <v>10396</v>
      </c>
      <c r="D672" s="13">
        <v>1265</v>
      </c>
      <c r="E672" s="13" t="s">
        <v>9832</v>
      </c>
      <c r="F672" s="13">
        <v>5</v>
      </c>
      <c r="G672" s="13" t="s">
        <v>13172</v>
      </c>
    </row>
    <row r="673" spans="1:7" ht="409.6" x14ac:dyDescent="0.3">
      <c r="A673" s="13" t="s">
        <v>9829</v>
      </c>
      <c r="B673" s="13" t="s">
        <v>10397</v>
      </c>
      <c r="C673" s="13" t="s">
        <v>10398</v>
      </c>
      <c r="D673" s="13">
        <v>1269</v>
      </c>
      <c r="E673" s="13" t="s">
        <v>9832</v>
      </c>
      <c r="F673" s="13">
        <v>5</v>
      </c>
      <c r="G673" s="13" t="s">
        <v>13186</v>
      </c>
    </row>
    <row r="674" spans="1:7" ht="409.6" x14ac:dyDescent="0.3">
      <c r="A674" s="13" t="s">
        <v>9829</v>
      </c>
      <c r="B674" s="13" t="s">
        <v>10399</v>
      </c>
      <c r="C674" s="13" t="s">
        <v>10400</v>
      </c>
      <c r="D674" s="13">
        <v>1233</v>
      </c>
      <c r="E674" s="13" t="s">
        <v>9832</v>
      </c>
      <c r="F674" s="13">
        <v>5</v>
      </c>
      <c r="G674" s="13" t="s">
        <v>13172</v>
      </c>
    </row>
    <row r="675" spans="1:7" ht="409.6" x14ac:dyDescent="0.3">
      <c r="A675" s="13" t="s">
        <v>9829</v>
      </c>
      <c r="B675" s="13" t="s">
        <v>10399</v>
      </c>
      <c r="C675" s="13" t="s">
        <v>10400</v>
      </c>
      <c r="D675" s="13">
        <v>1233</v>
      </c>
      <c r="E675" s="13" t="s">
        <v>9832</v>
      </c>
      <c r="F675" s="13">
        <v>5</v>
      </c>
      <c r="G675" s="13" t="s">
        <v>13172</v>
      </c>
    </row>
    <row r="676" spans="1:7" ht="409.6" x14ac:dyDescent="0.3">
      <c r="A676" s="13" t="s">
        <v>9829</v>
      </c>
      <c r="B676" s="13" t="s">
        <v>10401</v>
      </c>
      <c r="C676" s="13" t="s">
        <v>10402</v>
      </c>
      <c r="D676" s="13">
        <v>1236</v>
      </c>
      <c r="E676" s="13" t="s">
        <v>9832</v>
      </c>
      <c r="F676" s="13">
        <v>5</v>
      </c>
      <c r="G676" s="13" t="s">
        <v>13187</v>
      </c>
    </row>
    <row r="677" spans="1:7" ht="43.2" x14ac:dyDescent="0.3">
      <c r="A677" s="13" t="s">
        <v>9829</v>
      </c>
      <c r="B677" s="13" t="s">
        <v>10403</v>
      </c>
      <c r="C677" s="13" t="s">
        <v>10404</v>
      </c>
      <c r="D677" s="13">
        <v>537</v>
      </c>
      <c r="E677" s="13" t="s">
        <v>9880</v>
      </c>
      <c r="F677" s="13">
        <v>6.2</v>
      </c>
      <c r="G677" s="13" t="s">
        <v>9837</v>
      </c>
    </row>
    <row r="678" spans="1:7" ht="43.2" x14ac:dyDescent="0.3">
      <c r="A678" s="13" t="s">
        <v>9829</v>
      </c>
      <c r="B678" s="13" t="s">
        <v>10405</v>
      </c>
      <c r="C678" s="13" t="s">
        <v>10406</v>
      </c>
      <c r="D678" s="13">
        <v>496</v>
      </c>
      <c r="E678" s="13" t="s">
        <v>9836</v>
      </c>
      <c r="F678" s="13">
        <v>60</v>
      </c>
      <c r="G678" s="13" t="s">
        <v>9837</v>
      </c>
    </row>
    <row r="679" spans="1:7" ht="409.6" x14ac:dyDescent="0.3">
      <c r="A679" s="13" t="s">
        <v>9829</v>
      </c>
      <c r="B679" s="13" t="s">
        <v>10407</v>
      </c>
      <c r="C679" s="13" t="s">
        <v>10408</v>
      </c>
      <c r="D679" s="13">
        <v>710</v>
      </c>
      <c r="E679" s="13" t="s">
        <v>9832</v>
      </c>
      <c r="F679" s="13">
        <v>5</v>
      </c>
      <c r="G679" s="13" t="s">
        <v>13188</v>
      </c>
    </row>
    <row r="680" spans="1:7" ht="409.6" x14ac:dyDescent="0.3">
      <c r="A680" s="13" t="s">
        <v>9829</v>
      </c>
      <c r="B680" s="13" t="s">
        <v>10409</v>
      </c>
      <c r="C680" s="13" t="s">
        <v>10410</v>
      </c>
      <c r="D680" s="13">
        <v>370</v>
      </c>
      <c r="E680" s="13" t="s">
        <v>9832</v>
      </c>
      <c r="F680" s="13">
        <v>5</v>
      </c>
      <c r="G680" s="13" t="s">
        <v>13189</v>
      </c>
    </row>
    <row r="681" spans="1:7" ht="187.2" x14ac:dyDescent="0.3">
      <c r="A681" s="13" t="s">
        <v>9829</v>
      </c>
      <c r="B681" s="13" t="s">
        <v>10411</v>
      </c>
      <c r="C681" s="13" t="s">
        <v>10412</v>
      </c>
      <c r="D681" s="13">
        <v>117</v>
      </c>
      <c r="E681" s="13" t="s">
        <v>9832</v>
      </c>
      <c r="F681" s="13">
        <v>5</v>
      </c>
      <c r="G681" s="13" t="s">
        <v>13190</v>
      </c>
    </row>
    <row r="682" spans="1:7" ht="187.2" x14ac:dyDescent="0.3">
      <c r="A682" s="13" t="s">
        <v>9829</v>
      </c>
      <c r="B682" s="13" t="s">
        <v>10411</v>
      </c>
      <c r="C682" s="13" t="s">
        <v>10412</v>
      </c>
      <c r="D682" s="13">
        <v>117</v>
      </c>
      <c r="E682" s="13" t="s">
        <v>9832</v>
      </c>
      <c r="F682" s="13">
        <v>5</v>
      </c>
      <c r="G682" s="13" t="s">
        <v>13190</v>
      </c>
    </row>
    <row r="683" spans="1:7" ht="187.2" x14ac:dyDescent="0.3">
      <c r="A683" s="13" t="s">
        <v>9829</v>
      </c>
      <c r="B683" s="13" t="s">
        <v>10411</v>
      </c>
      <c r="C683" s="13" t="s">
        <v>10412</v>
      </c>
      <c r="D683" s="13">
        <v>117</v>
      </c>
      <c r="E683" s="13" t="s">
        <v>9832</v>
      </c>
      <c r="F683" s="13">
        <v>5</v>
      </c>
      <c r="G683" s="13" t="s">
        <v>13190</v>
      </c>
    </row>
    <row r="684" spans="1:7" ht="331.2" x14ac:dyDescent="0.3">
      <c r="A684" s="13" t="s">
        <v>9829</v>
      </c>
      <c r="B684" s="13" t="s">
        <v>10413</v>
      </c>
      <c r="C684" s="13" t="s">
        <v>10414</v>
      </c>
      <c r="D684" s="13">
        <v>118</v>
      </c>
      <c r="E684" s="13" t="s">
        <v>9832</v>
      </c>
      <c r="F684" s="13">
        <v>5</v>
      </c>
      <c r="G684" s="13" t="s">
        <v>13191</v>
      </c>
    </row>
    <row r="685" spans="1:7" ht="331.2" x14ac:dyDescent="0.3">
      <c r="A685" s="13" t="s">
        <v>9829</v>
      </c>
      <c r="B685" s="13" t="s">
        <v>10413</v>
      </c>
      <c r="C685" s="13" t="s">
        <v>10414</v>
      </c>
      <c r="D685" s="13">
        <v>118</v>
      </c>
      <c r="E685" s="13" t="s">
        <v>9832</v>
      </c>
      <c r="F685" s="13">
        <v>5</v>
      </c>
      <c r="G685" s="13" t="s">
        <v>13191</v>
      </c>
    </row>
    <row r="686" spans="1:7" ht="331.2" x14ac:dyDescent="0.3">
      <c r="A686" s="13" t="s">
        <v>9829</v>
      </c>
      <c r="B686" s="13" t="s">
        <v>10413</v>
      </c>
      <c r="C686" s="13" t="s">
        <v>10414</v>
      </c>
      <c r="D686" s="13">
        <v>118</v>
      </c>
      <c r="E686" s="13" t="s">
        <v>9832</v>
      </c>
      <c r="F686" s="13">
        <v>5</v>
      </c>
      <c r="G686" s="13" t="s">
        <v>13191</v>
      </c>
    </row>
    <row r="687" spans="1:7" ht="43.2" x14ac:dyDescent="0.3">
      <c r="A687" s="13" t="s">
        <v>9829</v>
      </c>
      <c r="B687" s="13" t="s">
        <v>10415</v>
      </c>
      <c r="C687" s="13" t="s">
        <v>10416</v>
      </c>
      <c r="D687" s="13">
        <v>382</v>
      </c>
      <c r="E687" s="13" t="s">
        <v>9880</v>
      </c>
      <c r="F687" s="13">
        <v>4.0999999999999996</v>
      </c>
      <c r="G687" s="13" t="s">
        <v>9837</v>
      </c>
    </row>
    <row r="688" spans="1:7" ht="43.2" x14ac:dyDescent="0.3">
      <c r="A688" s="13" t="s">
        <v>9829</v>
      </c>
      <c r="B688" s="13" t="s">
        <v>10417</v>
      </c>
      <c r="C688" s="13" t="s">
        <v>10418</v>
      </c>
      <c r="D688" s="13">
        <v>1267</v>
      </c>
      <c r="E688" s="13" t="s">
        <v>9836</v>
      </c>
      <c r="F688" s="13">
        <v>60</v>
      </c>
      <c r="G688" s="13" t="s">
        <v>9837</v>
      </c>
    </row>
    <row r="689" spans="1:7" ht="43.2" x14ac:dyDescent="0.3">
      <c r="A689" s="13" t="s">
        <v>9829</v>
      </c>
      <c r="B689" s="13" t="s">
        <v>10419</v>
      </c>
      <c r="C689" s="13" t="s">
        <v>10420</v>
      </c>
      <c r="D689" s="13">
        <v>383</v>
      </c>
      <c r="E689" s="13" t="s">
        <v>9880</v>
      </c>
      <c r="F689" s="13">
        <v>4.0999999999999996</v>
      </c>
      <c r="G689" s="13" t="s">
        <v>9837</v>
      </c>
    </row>
    <row r="690" spans="1:7" ht="409.6" x14ac:dyDescent="0.3">
      <c r="A690" s="13" t="s">
        <v>9829</v>
      </c>
      <c r="B690" s="13" t="s">
        <v>10421</v>
      </c>
      <c r="C690" s="13" t="s">
        <v>10422</v>
      </c>
      <c r="D690" s="13">
        <v>378</v>
      </c>
      <c r="E690" s="13" t="s">
        <v>9832</v>
      </c>
      <c r="F690" s="13">
        <v>5</v>
      </c>
      <c r="G690" s="13" t="s">
        <v>13192</v>
      </c>
    </row>
    <row r="691" spans="1:7" ht="43.2" x14ac:dyDescent="0.3">
      <c r="A691" s="13" t="s">
        <v>9829</v>
      </c>
      <c r="B691" s="13" t="s">
        <v>10423</v>
      </c>
      <c r="C691" s="13" t="s">
        <v>10424</v>
      </c>
      <c r="D691" s="13">
        <v>381</v>
      </c>
      <c r="E691" s="13" t="s">
        <v>9901</v>
      </c>
      <c r="F691" s="13">
        <v>3</v>
      </c>
      <c r="G691" s="13" t="s">
        <v>9837</v>
      </c>
    </row>
    <row r="692" spans="1:7" ht="43.2" x14ac:dyDescent="0.3">
      <c r="A692" s="13" t="s">
        <v>9829</v>
      </c>
      <c r="B692" s="13" t="s">
        <v>10425</v>
      </c>
      <c r="C692" s="13" t="s">
        <v>10426</v>
      </c>
      <c r="D692" s="13">
        <v>380</v>
      </c>
      <c r="E692" s="13" t="s">
        <v>9901</v>
      </c>
      <c r="F692" s="13">
        <v>4</v>
      </c>
      <c r="G692" s="13" t="s">
        <v>9837</v>
      </c>
    </row>
    <row r="693" spans="1:7" ht="72" x14ac:dyDescent="0.3">
      <c r="A693" s="13" t="s">
        <v>9829</v>
      </c>
      <c r="B693" s="13" t="s">
        <v>10427</v>
      </c>
      <c r="C693" s="13" t="s">
        <v>10428</v>
      </c>
      <c r="D693" s="13">
        <v>379</v>
      </c>
      <c r="E693" s="13" t="s">
        <v>9836</v>
      </c>
      <c r="F693" s="13">
        <v>45</v>
      </c>
      <c r="G693" s="13" t="s">
        <v>9837</v>
      </c>
    </row>
    <row r="694" spans="1:7" ht="72" x14ac:dyDescent="0.3">
      <c r="A694" s="13" t="s">
        <v>9829</v>
      </c>
      <c r="B694" s="13" t="s">
        <v>10429</v>
      </c>
      <c r="C694" s="13" t="s">
        <v>10430</v>
      </c>
      <c r="D694" s="13">
        <v>384</v>
      </c>
      <c r="E694" s="13" t="s">
        <v>9836</v>
      </c>
      <c r="F694" s="13">
        <v>45</v>
      </c>
      <c r="G694" s="13" t="s">
        <v>9837</v>
      </c>
    </row>
    <row r="695" spans="1:7" ht="43.2" x14ac:dyDescent="0.3">
      <c r="A695" s="13" t="s">
        <v>9829</v>
      </c>
      <c r="B695" s="13" t="s">
        <v>10431</v>
      </c>
      <c r="C695" s="13" t="s">
        <v>10432</v>
      </c>
      <c r="D695" s="13">
        <v>1266</v>
      </c>
      <c r="E695" s="13" t="s">
        <v>9836</v>
      </c>
      <c r="F695" s="13">
        <v>30</v>
      </c>
      <c r="G695" s="13" t="s">
        <v>9837</v>
      </c>
    </row>
    <row r="696" spans="1:7" ht="86.4" x14ac:dyDescent="0.3">
      <c r="A696" s="13" t="s">
        <v>9829</v>
      </c>
      <c r="B696" s="13" t="s">
        <v>10433</v>
      </c>
      <c r="C696" s="13" t="s">
        <v>10434</v>
      </c>
      <c r="D696" s="13">
        <v>390</v>
      </c>
      <c r="E696" s="13" t="s">
        <v>9836</v>
      </c>
      <c r="F696" s="13">
        <v>60</v>
      </c>
      <c r="G696" s="13" t="s">
        <v>9837</v>
      </c>
    </row>
    <row r="697" spans="1:7" ht="216" x14ac:dyDescent="0.3">
      <c r="A697" s="13" t="s">
        <v>9829</v>
      </c>
      <c r="B697" s="13" t="s">
        <v>10435</v>
      </c>
      <c r="C697" s="13" t="s">
        <v>10436</v>
      </c>
      <c r="D697" s="13">
        <v>377</v>
      </c>
      <c r="E697" s="13" t="s">
        <v>9832</v>
      </c>
      <c r="F697" s="13">
        <v>5</v>
      </c>
      <c r="G697" s="13" t="s">
        <v>13193</v>
      </c>
    </row>
    <row r="698" spans="1:7" ht="216" x14ac:dyDescent="0.3">
      <c r="A698" s="13" t="s">
        <v>9829</v>
      </c>
      <c r="B698" s="13" t="s">
        <v>10437</v>
      </c>
      <c r="C698" s="13" t="s">
        <v>10438</v>
      </c>
      <c r="D698" s="13">
        <v>369</v>
      </c>
      <c r="E698" s="13" t="s">
        <v>9832</v>
      </c>
      <c r="F698" s="13">
        <v>5</v>
      </c>
      <c r="G698" s="13" t="s">
        <v>13194</v>
      </c>
    </row>
    <row r="699" spans="1:7" ht="302.39999999999998" x14ac:dyDescent="0.3">
      <c r="A699" s="13" t="s">
        <v>9829</v>
      </c>
      <c r="B699" s="13" t="s">
        <v>10439</v>
      </c>
      <c r="C699" s="13" t="s">
        <v>10440</v>
      </c>
      <c r="D699" s="13">
        <v>371</v>
      </c>
      <c r="E699" s="13" t="s">
        <v>9832</v>
      </c>
      <c r="F699" s="13">
        <v>5</v>
      </c>
      <c r="G699" s="13" t="s">
        <v>13195</v>
      </c>
    </row>
    <row r="700" spans="1:7" ht="216" x14ac:dyDescent="0.3">
      <c r="A700" s="13" t="s">
        <v>9829</v>
      </c>
      <c r="B700" s="13" t="s">
        <v>10441</v>
      </c>
      <c r="C700" s="13" t="s">
        <v>10442</v>
      </c>
      <c r="D700" s="13">
        <v>1268</v>
      </c>
      <c r="E700" s="13" t="s">
        <v>9832</v>
      </c>
      <c r="F700" s="13">
        <v>5</v>
      </c>
      <c r="G700" s="13" t="s">
        <v>13193</v>
      </c>
    </row>
    <row r="701" spans="1:7" ht="409.6" x14ac:dyDescent="0.3">
      <c r="A701" s="13" t="s">
        <v>9829</v>
      </c>
      <c r="B701" s="13" t="s">
        <v>10441</v>
      </c>
      <c r="C701" s="13" t="s">
        <v>10442</v>
      </c>
      <c r="D701" s="13">
        <v>1268</v>
      </c>
      <c r="E701" s="13" t="s">
        <v>9832</v>
      </c>
      <c r="F701" s="13">
        <v>5</v>
      </c>
      <c r="G701" s="13" t="s">
        <v>13196</v>
      </c>
    </row>
    <row r="702" spans="1:7" ht="28.8" x14ac:dyDescent="0.3">
      <c r="A702" s="13" t="s">
        <v>9829</v>
      </c>
      <c r="B702" s="13" t="s">
        <v>10443</v>
      </c>
      <c r="C702" s="13" t="s">
        <v>10444</v>
      </c>
      <c r="D702" s="13">
        <v>119</v>
      </c>
      <c r="E702" s="13" t="s">
        <v>9836</v>
      </c>
      <c r="F702" s="13">
        <v>45</v>
      </c>
      <c r="G702" s="13" t="s">
        <v>9837</v>
      </c>
    </row>
    <row r="703" spans="1:7" ht="28.8" x14ac:dyDescent="0.3">
      <c r="A703" s="13" t="s">
        <v>9829</v>
      </c>
      <c r="B703" s="13" t="s">
        <v>10443</v>
      </c>
      <c r="C703" s="13" t="s">
        <v>10444</v>
      </c>
      <c r="D703" s="13">
        <v>119</v>
      </c>
      <c r="E703" s="13" t="s">
        <v>9836</v>
      </c>
      <c r="F703" s="13">
        <v>45</v>
      </c>
      <c r="G703" s="13" t="s">
        <v>9837</v>
      </c>
    </row>
    <row r="704" spans="1:7" ht="28.8" x14ac:dyDescent="0.3">
      <c r="A704" s="13" t="s">
        <v>9829</v>
      </c>
      <c r="B704" s="13" t="s">
        <v>10443</v>
      </c>
      <c r="C704" s="13" t="s">
        <v>10444</v>
      </c>
      <c r="D704" s="13">
        <v>119</v>
      </c>
      <c r="E704" s="13" t="s">
        <v>9836</v>
      </c>
      <c r="F704" s="13">
        <v>45</v>
      </c>
      <c r="G704" s="13" t="s">
        <v>9837</v>
      </c>
    </row>
    <row r="705" spans="1:7" ht="43.2" x14ac:dyDescent="0.3">
      <c r="A705" s="13" t="s">
        <v>9829</v>
      </c>
      <c r="B705" s="13" t="s">
        <v>10445</v>
      </c>
      <c r="C705" s="13" t="s">
        <v>10446</v>
      </c>
      <c r="D705" s="13">
        <v>533</v>
      </c>
      <c r="E705" s="13" t="s">
        <v>9836</v>
      </c>
      <c r="F705" s="13">
        <v>20</v>
      </c>
      <c r="G705" s="13" t="s">
        <v>9837</v>
      </c>
    </row>
    <row r="706" spans="1:7" ht="43.2" x14ac:dyDescent="0.3">
      <c r="A706" s="13" t="s">
        <v>9829</v>
      </c>
      <c r="B706" s="13" t="s">
        <v>10447</v>
      </c>
      <c r="C706" s="13" t="s">
        <v>10448</v>
      </c>
      <c r="D706" s="13">
        <v>532</v>
      </c>
      <c r="E706" s="13" t="s">
        <v>9836</v>
      </c>
      <c r="F706" s="13">
        <v>20</v>
      </c>
      <c r="G706" s="13" t="s">
        <v>9837</v>
      </c>
    </row>
    <row r="707" spans="1:7" ht="144" x14ac:dyDescent="0.3">
      <c r="A707" s="13" t="s">
        <v>9829</v>
      </c>
      <c r="B707" s="13" t="s">
        <v>10449</v>
      </c>
      <c r="C707" s="13" t="s">
        <v>10450</v>
      </c>
      <c r="D707" s="13">
        <v>506</v>
      </c>
      <c r="E707" s="13" t="s">
        <v>9832</v>
      </c>
      <c r="F707" s="13">
        <v>5</v>
      </c>
      <c r="G707" s="13" t="s">
        <v>13197</v>
      </c>
    </row>
    <row r="708" spans="1:7" ht="409.6" x14ac:dyDescent="0.3">
      <c r="A708" s="13" t="s">
        <v>9829</v>
      </c>
      <c r="B708" s="13" t="s">
        <v>10451</v>
      </c>
      <c r="C708" s="13" t="s">
        <v>10452</v>
      </c>
      <c r="D708" s="13">
        <v>343</v>
      </c>
      <c r="E708" s="13" t="s">
        <v>9832</v>
      </c>
      <c r="F708" s="13">
        <v>5</v>
      </c>
      <c r="G708" s="13" t="s">
        <v>13198</v>
      </c>
    </row>
    <row r="709" spans="1:7" ht="409.6" x14ac:dyDescent="0.3">
      <c r="A709" s="13" t="s">
        <v>9829</v>
      </c>
      <c r="B709" s="13" t="s">
        <v>10451</v>
      </c>
      <c r="C709" s="13" t="s">
        <v>10452</v>
      </c>
      <c r="D709" s="13">
        <v>343</v>
      </c>
      <c r="E709" s="13" t="s">
        <v>9832</v>
      </c>
      <c r="F709" s="13">
        <v>5</v>
      </c>
      <c r="G709" s="13" t="s">
        <v>13198</v>
      </c>
    </row>
    <row r="710" spans="1:7" ht="57.6" x14ac:dyDescent="0.3">
      <c r="A710" s="13" t="s">
        <v>9829</v>
      </c>
      <c r="B710" s="13" t="s">
        <v>10453</v>
      </c>
      <c r="C710" s="13" t="s">
        <v>10454</v>
      </c>
      <c r="D710" s="13">
        <v>995</v>
      </c>
      <c r="E710" s="13" t="s">
        <v>9836</v>
      </c>
      <c r="F710" s="13">
        <v>80</v>
      </c>
      <c r="G710" s="13" t="s">
        <v>9837</v>
      </c>
    </row>
    <row r="711" spans="1:7" ht="43.2" x14ac:dyDescent="0.3">
      <c r="A711" s="13" t="s">
        <v>9829</v>
      </c>
      <c r="B711" s="13" t="s">
        <v>10455</v>
      </c>
      <c r="C711" s="13" t="s">
        <v>10456</v>
      </c>
      <c r="D711" s="13">
        <v>1031</v>
      </c>
      <c r="E711" s="13" t="s">
        <v>9880</v>
      </c>
      <c r="F711" s="13">
        <v>6.2</v>
      </c>
      <c r="G711" s="13" t="s">
        <v>9837</v>
      </c>
    </row>
    <row r="712" spans="1:7" ht="302.39999999999998" x14ac:dyDescent="0.3">
      <c r="A712" s="13" t="s">
        <v>9829</v>
      </c>
      <c r="B712" s="13" t="s">
        <v>10457</v>
      </c>
      <c r="C712" s="13" t="s">
        <v>10458</v>
      </c>
      <c r="D712" s="13">
        <v>614</v>
      </c>
      <c r="E712" s="13" t="s">
        <v>9832</v>
      </c>
      <c r="F712" s="13">
        <v>5</v>
      </c>
      <c r="G712" s="13" t="s">
        <v>13199</v>
      </c>
    </row>
    <row r="713" spans="1:7" ht="409.6" x14ac:dyDescent="0.3">
      <c r="A713" s="13" t="s">
        <v>9829</v>
      </c>
      <c r="B713" s="13" t="s">
        <v>10459</v>
      </c>
      <c r="C713" s="13" t="s">
        <v>10460</v>
      </c>
      <c r="D713" s="13">
        <v>326</v>
      </c>
      <c r="E713" s="13" t="s">
        <v>9832</v>
      </c>
      <c r="F713" s="13">
        <v>5</v>
      </c>
      <c r="G713" s="13" t="s">
        <v>13200</v>
      </c>
    </row>
    <row r="714" spans="1:7" ht="409.6" x14ac:dyDescent="0.3">
      <c r="A714" s="13" t="s">
        <v>9829</v>
      </c>
      <c r="B714" s="13" t="s">
        <v>10461</v>
      </c>
      <c r="C714" s="13" t="s">
        <v>10462</v>
      </c>
      <c r="D714" s="13">
        <v>2149</v>
      </c>
      <c r="E714" s="13" t="s">
        <v>9832</v>
      </c>
      <c r="F714" s="13">
        <v>5</v>
      </c>
      <c r="G714" s="13" t="s">
        <v>13201</v>
      </c>
    </row>
    <row r="715" spans="1:7" ht="28.8" x14ac:dyDescent="0.3">
      <c r="A715" s="13" t="s">
        <v>9829</v>
      </c>
      <c r="B715" s="13" t="s">
        <v>10463</v>
      </c>
      <c r="C715" s="13" t="s">
        <v>10464</v>
      </c>
      <c r="D715" s="13">
        <v>702</v>
      </c>
      <c r="E715" s="13" t="s">
        <v>9836</v>
      </c>
      <c r="F715" s="13">
        <v>60</v>
      </c>
      <c r="G715" s="13" t="s">
        <v>9837</v>
      </c>
    </row>
    <row r="716" spans="1:7" ht="28.8" x14ac:dyDescent="0.3">
      <c r="A716" s="13" t="s">
        <v>9829</v>
      </c>
      <c r="B716" s="13" t="s">
        <v>10465</v>
      </c>
      <c r="C716" s="13" t="s">
        <v>10466</v>
      </c>
      <c r="D716" s="13">
        <v>703</v>
      </c>
      <c r="E716" s="13" t="s">
        <v>9836</v>
      </c>
      <c r="F716" s="13">
        <v>60</v>
      </c>
      <c r="G716" s="13" t="s">
        <v>9837</v>
      </c>
    </row>
    <row r="717" spans="1:7" ht="28.8" x14ac:dyDescent="0.3">
      <c r="A717" s="13" t="s">
        <v>9829</v>
      </c>
      <c r="B717" s="13" t="s">
        <v>10467</v>
      </c>
      <c r="C717" s="13" t="s">
        <v>10468</v>
      </c>
      <c r="D717" s="13">
        <v>705</v>
      </c>
      <c r="E717" s="13" t="s">
        <v>9863</v>
      </c>
      <c r="F717" s="13">
        <v>8</v>
      </c>
      <c r="G717" s="13" t="s">
        <v>9837</v>
      </c>
    </row>
    <row r="718" spans="1:7" ht="28.8" x14ac:dyDescent="0.3">
      <c r="A718" s="13" t="s">
        <v>9829</v>
      </c>
      <c r="B718" s="13" t="s">
        <v>10469</v>
      </c>
      <c r="C718" s="13" t="s">
        <v>10470</v>
      </c>
      <c r="D718" s="13">
        <v>701</v>
      </c>
      <c r="E718" s="13" t="s">
        <v>9836</v>
      </c>
      <c r="F718" s="13">
        <v>20</v>
      </c>
      <c r="G718" s="13" t="s">
        <v>9837</v>
      </c>
    </row>
    <row r="719" spans="1:7" ht="28.8" x14ac:dyDescent="0.3">
      <c r="A719" s="13" t="s">
        <v>9829</v>
      </c>
      <c r="B719" s="13" t="s">
        <v>10471</v>
      </c>
      <c r="C719" s="13" t="s">
        <v>10472</v>
      </c>
      <c r="D719" s="13">
        <v>704</v>
      </c>
      <c r="E719" s="13" t="s">
        <v>9863</v>
      </c>
      <c r="F719" s="13">
        <v>8</v>
      </c>
      <c r="G719" s="13" t="s">
        <v>9837</v>
      </c>
    </row>
    <row r="720" spans="1:7" ht="360" x14ac:dyDescent="0.3">
      <c r="A720" s="13" t="s">
        <v>9829</v>
      </c>
      <c r="B720" s="13" t="s">
        <v>10473</v>
      </c>
      <c r="C720" s="13" t="s">
        <v>10474</v>
      </c>
      <c r="D720" s="13">
        <v>708</v>
      </c>
      <c r="E720" s="13" t="s">
        <v>9832</v>
      </c>
      <c r="F720" s="13">
        <v>5</v>
      </c>
      <c r="G720" s="13" t="s">
        <v>13202</v>
      </c>
    </row>
    <row r="721" spans="1:7" ht="43.2" x14ac:dyDescent="0.3">
      <c r="A721" s="13" t="s">
        <v>9829</v>
      </c>
      <c r="B721" s="13" t="s">
        <v>10475</v>
      </c>
      <c r="C721" s="13" t="s">
        <v>10476</v>
      </c>
      <c r="D721" s="13">
        <v>579</v>
      </c>
      <c r="E721" s="13" t="s">
        <v>9863</v>
      </c>
      <c r="F721" s="13">
        <v>8</v>
      </c>
      <c r="G721" s="13" t="s">
        <v>9837</v>
      </c>
    </row>
    <row r="722" spans="1:7" ht="43.2" x14ac:dyDescent="0.3">
      <c r="A722" s="13" t="s">
        <v>9829</v>
      </c>
      <c r="B722" s="13" t="s">
        <v>10477</v>
      </c>
      <c r="C722" s="13" t="s">
        <v>10478</v>
      </c>
      <c r="D722" s="13">
        <v>474</v>
      </c>
      <c r="E722" s="13" t="s">
        <v>9836</v>
      </c>
      <c r="F722" s="13">
        <v>16</v>
      </c>
      <c r="G722" s="13" t="s">
        <v>9837</v>
      </c>
    </row>
    <row r="723" spans="1:7" ht="28.8" x14ac:dyDescent="0.3">
      <c r="A723" s="13" t="s">
        <v>9829</v>
      </c>
      <c r="B723" s="13" t="s">
        <v>10479</v>
      </c>
      <c r="C723" s="13" t="s">
        <v>10480</v>
      </c>
      <c r="D723" s="13">
        <v>1468</v>
      </c>
      <c r="E723" s="13" t="s">
        <v>9863</v>
      </c>
      <c r="F723" s="13">
        <v>8</v>
      </c>
      <c r="G723" s="13" t="s">
        <v>9837</v>
      </c>
    </row>
    <row r="724" spans="1:7" ht="28.8" x14ac:dyDescent="0.3">
      <c r="A724" s="13" t="s">
        <v>9829</v>
      </c>
      <c r="B724" s="13" t="s">
        <v>10481</v>
      </c>
      <c r="C724" s="13" t="s">
        <v>10482</v>
      </c>
      <c r="D724" s="13">
        <v>1469</v>
      </c>
      <c r="E724" s="13" t="s">
        <v>9901</v>
      </c>
      <c r="F724" s="13">
        <v>5</v>
      </c>
      <c r="G724" s="13" t="s">
        <v>9837</v>
      </c>
    </row>
    <row r="725" spans="1:7" ht="28.8" x14ac:dyDescent="0.3">
      <c r="A725" s="13" t="s">
        <v>9829</v>
      </c>
      <c r="B725" s="13" t="s">
        <v>10483</v>
      </c>
      <c r="C725" s="13" t="s">
        <v>10484</v>
      </c>
      <c r="D725" s="13">
        <v>123</v>
      </c>
      <c r="E725" s="13" t="s">
        <v>9863</v>
      </c>
      <c r="F725" s="13">
        <v>8</v>
      </c>
      <c r="G725" s="13" t="s">
        <v>9837</v>
      </c>
    </row>
    <row r="726" spans="1:7" ht="28.8" x14ac:dyDescent="0.3">
      <c r="A726" s="13" t="s">
        <v>9829</v>
      </c>
      <c r="B726" s="13" t="s">
        <v>10483</v>
      </c>
      <c r="C726" s="13" t="s">
        <v>10484</v>
      </c>
      <c r="D726" s="13">
        <v>123</v>
      </c>
      <c r="E726" s="13" t="s">
        <v>9863</v>
      </c>
      <c r="F726" s="13">
        <v>8</v>
      </c>
      <c r="G726" s="13" t="s">
        <v>9837</v>
      </c>
    </row>
    <row r="727" spans="1:7" ht="28.8" x14ac:dyDescent="0.3">
      <c r="A727" s="13" t="s">
        <v>9829</v>
      </c>
      <c r="B727" s="13" t="s">
        <v>10483</v>
      </c>
      <c r="C727" s="13" t="s">
        <v>10484</v>
      </c>
      <c r="D727" s="13">
        <v>123</v>
      </c>
      <c r="E727" s="13" t="s">
        <v>9863</v>
      </c>
      <c r="F727" s="13">
        <v>8</v>
      </c>
      <c r="G727" s="13" t="s">
        <v>9837</v>
      </c>
    </row>
    <row r="728" spans="1:7" ht="144" x14ac:dyDescent="0.3">
      <c r="A728" s="13" t="s">
        <v>9829</v>
      </c>
      <c r="B728" s="13" t="s">
        <v>10485</v>
      </c>
      <c r="C728" s="13" t="s">
        <v>10486</v>
      </c>
      <c r="D728" s="13">
        <v>1170</v>
      </c>
      <c r="E728" s="13" t="s">
        <v>9832</v>
      </c>
      <c r="F728" s="13">
        <v>5</v>
      </c>
      <c r="G728" s="13" t="s">
        <v>13203</v>
      </c>
    </row>
    <row r="729" spans="1:7" ht="288" x14ac:dyDescent="0.3">
      <c r="A729" s="13" t="s">
        <v>9829</v>
      </c>
      <c r="B729" s="13" t="s">
        <v>10487</v>
      </c>
      <c r="C729" s="13" t="s">
        <v>10488</v>
      </c>
      <c r="D729" s="13">
        <v>585</v>
      </c>
      <c r="E729" s="13" t="s">
        <v>9832</v>
      </c>
      <c r="F729" s="13">
        <v>5</v>
      </c>
      <c r="G729" s="13" t="s">
        <v>13204</v>
      </c>
    </row>
    <row r="730" spans="1:7" ht="100.8" x14ac:dyDescent="0.3">
      <c r="A730" s="13" t="s">
        <v>9829</v>
      </c>
      <c r="B730" s="13" t="s">
        <v>10489</v>
      </c>
      <c r="C730" s="13" t="s">
        <v>10490</v>
      </c>
      <c r="D730" s="13">
        <v>126</v>
      </c>
      <c r="E730" s="13" t="s">
        <v>9901</v>
      </c>
      <c r="F730" s="13">
        <v>7</v>
      </c>
      <c r="G730" s="13" t="s">
        <v>9837</v>
      </c>
    </row>
    <row r="731" spans="1:7" ht="100.8" x14ac:dyDescent="0.3">
      <c r="A731" s="13" t="s">
        <v>9829</v>
      </c>
      <c r="B731" s="13" t="s">
        <v>10489</v>
      </c>
      <c r="C731" s="13" t="s">
        <v>10490</v>
      </c>
      <c r="D731" s="13">
        <v>126</v>
      </c>
      <c r="E731" s="13" t="s">
        <v>9901</v>
      </c>
      <c r="F731" s="13">
        <v>7</v>
      </c>
      <c r="G731" s="13" t="s">
        <v>9837</v>
      </c>
    </row>
    <row r="732" spans="1:7" ht="100.8" x14ac:dyDescent="0.3">
      <c r="A732" s="13" t="s">
        <v>9829</v>
      </c>
      <c r="B732" s="13" t="s">
        <v>10489</v>
      </c>
      <c r="C732" s="13" t="s">
        <v>10490</v>
      </c>
      <c r="D732" s="13">
        <v>126</v>
      </c>
      <c r="E732" s="13" t="s">
        <v>9901</v>
      </c>
      <c r="F732" s="13">
        <v>7</v>
      </c>
      <c r="G732" s="13" t="s">
        <v>9837</v>
      </c>
    </row>
    <row r="733" spans="1:7" ht="43.2" x14ac:dyDescent="0.3">
      <c r="A733" s="13" t="s">
        <v>9829</v>
      </c>
      <c r="B733" s="13" t="s">
        <v>10491</v>
      </c>
      <c r="C733" s="13" t="s">
        <v>10492</v>
      </c>
      <c r="D733" s="13">
        <v>1563</v>
      </c>
      <c r="E733" s="13" t="s">
        <v>9901</v>
      </c>
      <c r="F733" s="13">
        <v>7</v>
      </c>
      <c r="G733" s="13" t="s">
        <v>9837</v>
      </c>
    </row>
    <row r="734" spans="1:7" ht="43.2" x14ac:dyDescent="0.3">
      <c r="A734" s="13" t="s">
        <v>9829</v>
      </c>
      <c r="B734" s="13" t="s">
        <v>10491</v>
      </c>
      <c r="C734" s="13" t="s">
        <v>10492</v>
      </c>
      <c r="D734" s="13">
        <v>1563</v>
      </c>
      <c r="E734" s="13" t="s">
        <v>9901</v>
      </c>
      <c r="F734" s="13">
        <v>7</v>
      </c>
      <c r="G734" s="13" t="s">
        <v>9837</v>
      </c>
    </row>
    <row r="735" spans="1:7" ht="43.2" x14ac:dyDescent="0.3">
      <c r="A735" s="13" t="s">
        <v>9829</v>
      </c>
      <c r="B735" s="13" t="s">
        <v>10491</v>
      </c>
      <c r="C735" s="13" t="s">
        <v>10492</v>
      </c>
      <c r="D735" s="13">
        <v>1563</v>
      </c>
      <c r="E735" s="13" t="s">
        <v>9901</v>
      </c>
      <c r="F735" s="13">
        <v>7</v>
      </c>
      <c r="G735" s="13" t="s">
        <v>9837</v>
      </c>
    </row>
    <row r="736" spans="1:7" ht="28.8" x14ac:dyDescent="0.3">
      <c r="A736" s="13" t="s">
        <v>9829</v>
      </c>
      <c r="B736" s="13" t="s">
        <v>10493</v>
      </c>
      <c r="C736" s="13" t="s">
        <v>10494</v>
      </c>
      <c r="D736" s="13">
        <v>128</v>
      </c>
      <c r="E736" s="13" t="s">
        <v>9901</v>
      </c>
      <c r="F736" s="13">
        <v>4</v>
      </c>
      <c r="G736" s="13" t="s">
        <v>9837</v>
      </c>
    </row>
    <row r="737" spans="1:7" ht="28.8" x14ac:dyDescent="0.3">
      <c r="A737" s="13" t="s">
        <v>9829</v>
      </c>
      <c r="B737" s="13" t="s">
        <v>10493</v>
      </c>
      <c r="C737" s="13" t="s">
        <v>10494</v>
      </c>
      <c r="D737" s="13">
        <v>128</v>
      </c>
      <c r="E737" s="13" t="s">
        <v>9901</v>
      </c>
      <c r="F737" s="13">
        <v>4</v>
      </c>
      <c r="G737" s="13" t="s">
        <v>9837</v>
      </c>
    </row>
    <row r="738" spans="1:7" ht="28.8" x14ac:dyDescent="0.3">
      <c r="A738" s="13" t="s">
        <v>9829</v>
      </c>
      <c r="B738" s="13" t="s">
        <v>10493</v>
      </c>
      <c r="C738" s="13" t="s">
        <v>10494</v>
      </c>
      <c r="D738" s="13">
        <v>128</v>
      </c>
      <c r="E738" s="13" t="s">
        <v>9901</v>
      </c>
      <c r="F738" s="13">
        <v>4</v>
      </c>
      <c r="G738" s="13" t="s">
        <v>9837</v>
      </c>
    </row>
    <row r="739" spans="1:7" ht="43.2" x14ac:dyDescent="0.3">
      <c r="A739" s="13" t="s">
        <v>9829</v>
      </c>
      <c r="B739" s="13" t="s">
        <v>10495</v>
      </c>
      <c r="C739" s="13" t="s">
        <v>10496</v>
      </c>
      <c r="D739" s="13">
        <v>1565</v>
      </c>
      <c r="E739" s="13" t="s">
        <v>9901</v>
      </c>
      <c r="F739" s="13">
        <v>4</v>
      </c>
      <c r="G739" s="13" t="s">
        <v>9837</v>
      </c>
    </row>
    <row r="740" spans="1:7" ht="43.2" x14ac:dyDescent="0.3">
      <c r="A740" s="13" t="s">
        <v>9829</v>
      </c>
      <c r="B740" s="13" t="s">
        <v>10495</v>
      </c>
      <c r="C740" s="13" t="s">
        <v>10496</v>
      </c>
      <c r="D740" s="13">
        <v>1565</v>
      </c>
      <c r="E740" s="13" t="s">
        <v>9901</v>
      </c>
      <c r="F740" s="13">
        <v>4</v>
      </c>
      <c r="G740" s="13" t="s">
        <v>9837</v>
      </c>
    </row>
    <row r="741" spans="1:7" ht="43.2" x14ac:dyDescent="0.3">
      <c r="A741" s="13" t="s">
        <v>9829</v>
      </c>
      <c r="B741" s="13" t="s">
        <v>10495</v>
      </c>
      <c r="C741" s="13" t="s">
        <v>10496</v>
      </c>
      <c r="D741" s="13">
        <v>1565</v>
      </c>
      <c r="E741" s="13" t="s">
        <v>9901</v>
      </c>
      <c r="F741" s="13">
        <v>4</v>
      </c>
      <c r="G741" s="13" t="s">
        <v>9837</v>
      </c>
    </row>
    <row r="742" spans="1:7" ht="28.8" x14ac:dyDescent="0.3">
      <c r="A742" s="13" t="s">
        <v>9829</v>
      </c>
      <c r="B742" s="13" t="s">
        <v>10497</v>
      </c>
      <c r="C742" s="13" t="s">
        <v>10498</v>
      </c>
      <c r="D742" s="13">
        <v>1564</v>
      </c>
      <c r="E742" s="13" t="s">
        <v>10499</v>
      </c>
      <c r="F742" s="13">
        <v>4</v>
      </c>
      <c r="G742" s="13" t="s">
        <v>9837</v>
      </c>
    </row>
    <row r="743" spans="1:7" ht="28.8" x14ac:dyDescent="0.3">
      <c r="A743" s="13" t="s">
        <v>9829</v>
      </c>
      <c r="B743" s="13" t="s">
        <v>10497</v>
      </c>
      <c r="C743" s="13" t="s">
        <v>10498</v>
      </c>
      <c r="D743" s="13">
        <v>1564</v>
      </c>
      <c r="E743" s="13" t="s">
        <v>10499</v>
      </c>
      <c r="F743" s="13">
        <v>4</v>
      </c>
      <c r="G743" s="13" t="s">
        <v>9837</v>
      </c>
    </row>
    <row r="744" spans="1:7" ht="28.8" x14ac:dyDescent="0.3">
      <c r="A744" s="13" t="s">
        <v>9829</v>
      </c>
      <c r="B744" s="13" t="s">
        <v>10497</v>
      </c>
      <c r="C744" s="13" t="s">
        <v>10498</v>
      </c>
      <c r="D744" s="13">
        <v>1564</v>
      </c>
      <c r="E744" s="13" t="s">
        <v>10499</v>
      </c>
      <c r="F744" s="13">
        <v>4</v>
      </c>
      <c r="G744" s="13" t="s">
        <v>9837</v>
      </c>
    </row>
    <row r="745" spans="1:7" ht="28.8" x14ac:dyDescent="0.3">
      <c r="A745" s="13" t="s">
        <v>9829</v>
      </c>
      <c r="B745" s="13" t="s">
        <v>10500</v>
      </c>
      <c r="C745" s="13" t="s">
        <v>10501</v>
      </c>
      <c r="D745" s="13">
        <v>1342</v>
      </c>
      <c r="E745" s="13" t="s">
        <v>9836</v>
      </c>
      <c r="F745" s="13">
        <v>60</v>
      </c>
      <c r="G745" s="13" t="s">
        <v>9837</v>
      </c>
    </row>
    <row r="746" spans="1:7" ht="28.8" x14ac:dyDescent="0.3">
      <c r="A746" s="13" t="s">
        <v>9829</v>
      </c>
      <c r="B746" s="13" t="s">
        <v>10500</v>
      </c>
      <c r="C746" s="13" t="s">
        <v>10501</v>
      </c>
      <c r="D746" s="13">
        <v>1342</v>
      </c>
      <c r="E746" s="13" t="s">
        <v>9836</v>
      </c>
      <c r="F746" s="13">
        <v>60</v>
      </c>
      <c r="G746" s="13" t="s">
        <v>9837</v>
      </c>
    </row>
    <row r="747" spans="1:7" ht="28.8" x14ac:dyDescent="0.3">
      <c r="A747" s="13" t="s">
        <v>9829</v>
      </c>
      <c r="B747" s="13" t="s">
        <v>10500</v>
      </c>
      <c r="C747" s="13" t="s">
        <v>10501</v>
      </c>
      <c r="D747" s="13">
        <v>1342</v>
      </c>
      <c r="E747" s="13" t="s">
        <v>9836</v>
      </c>
      <c r="F747" s="13">
        <v>60</v>
      </c>
      <c r="G747" s="13" t="s">
        <v>9837</v>
      </c>
    </row>
    <row r="748" spans="1:7" ht="115.2" x14ac:dyDescent="0.3">
      <c r="A748" s="13" t="s">
        <v>9829</v>
      </c>
      <c r="B748" s="13" t="s">
        <v>10502</v>
      </c>
      <c r="C748" s="13" t="s">
        <v>10503</v>
      </c>
      <c r="D748" s="13">
        <v>1112</v>
      </c>
      <c r="E748" s="13" t="s">
        <v>9832</v>
      </c>
      <c r="F748" s="13">
        <v>5</v>
      </c>
      <c r="G748" s="13" t="s">
        <v>13205</v>
      </c>
    </row>
    <row r="749" spans="1:7" ht="115.2" x14ac:dyDescent="0.3">
      <c r="A749" s="13" t="s">
        <v>9829</v>
      </c>
      <c r="B749" s="13" t="s">
        <v>10502</v>
      </c>
      <c r="C749" s="13" t="s">
        <v>10503</v>
      </c>
      <c r="D749" s="13">
        <v>1112</v>
      </c>
      <c r="E749" s="13" t="s">
        <v>9832</v>
      </c>
      <c r="F749" s="13">
        <v>5</v>
      </c>
      <c r="G749" s="13" t="s">
        <v>13205</v>
      </c>
    </row>
    <row r="750" spans="1:7" ht="115.2" x14ac:dyDescent="0.3">
      <c r="A750" s="13" t="s">
        <v>9829</v>
      </c>
      <c r="B750" s="13" t="s">
        <v>10502</v>
      </c>
      <c r="C750" s="13" t="s">
        <v>10503</v>
      </c>
      <c r="D750" s="13">
        <v>1112</v>
      </c>
      <c r="E750" s="13" t="s">
        <v>9832</v>
      </c>
      <c r="F750" s="13">
        <v>5</v>
      </c>
      <c r="G750" s="13" t="s">
        <v>13205</v>
      </c>
    </row>
    <row r="751" spans="1:7" ht="28.8" x14ac:dyDescent="0.3">
      <c r="A751" s="13" t="s">
        <v>9829</v>
      </c>
      <c r="B751" s="13" t="s">
        <v>10504</v>
      </c>
      <c r="C751" s="13" t="s">
        <v>10505</v>
      </c>
      <c r="D751" s="13">
        <v>1341</v>
      </c>
      <c r="E751" s="13" t="s">
        <v>9836</v>
      </c>
      <c r="F751" s="13">
        <v>45</v>
      </c>
      <c r="G751" s="13" t="s">
        <v>9837</v>
      </c>
    </row>
    <row r="752" spans="1:7" ht="28.8" x14ac:dyDescent="0.3">
      <c r="A752" s="13" t="s">
        <v>9829</v>
      </c>
      <c r="B752" s="13" t="s">
        <v>10504</v>
      </c>
      <c r="C752" s="13" t="s">
        <v>10505</v>
      </c>
      <c r="D752" s="13">
        <v>1341</v>
      </c>
      <c r="E752" s="13" t="s">
        <v>9836</v>
      </c>
      <c r="F752" s="13">
        <v>45</v>
      </c>
      <c r="G752" s="13" t="s">
        <v>9837</v>
      </c>
    </row>
    <row r="753" spans="1:7" ht="28.8" x14ac:dyDescent="0.3">
      <c r="A753" s="13" t="s">
        <v>9829</v>
      </c>
      <c r="B753" s="13" t="s">
        <v>10504</v>
      </c>
      <c r="C753" s="13" t="s">
        <v>10505</v>
      </c>
      <c r="D753" s="13">
        <v>1341</v>
      </c>
      <c r="E753" s="13" t="s">
        <v>9836</v>
      </c>
      <c r="F753" s="13">
        <v>45</v>
      </c>
      <c r="G753" s="13" t="s">
        <v>9837</v>
      </c>
    </row>
    <row r="754" spans="1:7" ht="345.6" x14ac:dyDescent="0.3">
      <c r="A754" s="13" t="s">
        <v>9829</v>
      </c>
      <c r="B754" s="13" t="s">
        <v>10506</v>
      </c>
      <c r="C754" s="13" t="s">
        <v>10507</v>
      </c>
      <c r="D754" s="13">
        <v>1113</v>
      </c>
      <c r="E754" s="13" t="s">
        <v>9832</v>
      </c>
      <c r="F754" s="13">
        <v>5</v>
      </c>
      <c r="G754" s="13" t="s">
        <v>13206</v>
      </c>
    </row>
    <row r="755" spans="1:7" ht="345.6" x14ac:dyDescent="0.3">
      <c r="A755" s="13" t="s">
        <v>9829</v>
      </c>
      <c r="B755" s="13" t="s">
        <v>10506</v>
      </c>
      <c r="C755" s="13" t="s">
        <v>10507</v>
      </c>
      <c r="D755" s="13">
        <v>1113</v>
      </c>
      <c r="E755" s="13" t="s">
        <v>9832</v>
      </c>
      <c r="F755" s="13">
        <v>5</v>
      </c>
      <c r="G755" s="13" t="s">
        <v>13206</v>
      </c>
    </row>
    <row r="756" spans="1:7" ht="345.6" x14ac:dyDescent="0.3">
      <c r="A756" s="13" t="s">
        <v>9829</v>
      </c>
      <c r="B756" s="13" t="s">
        <v>10506</v>
      </c>
      <c r="C756" s="13" t="s">
        <v>10507</v>
      </c>
      <c r="D756" s="13">
        <v>1113</v>
      </c>
      <c r="E756" s="13" t="s">
        <v>9832</v>
      </c>
      <c r="F756" s="13">
        <v>5</v>
      </c>
      <c r="G756" s="13" t="s">
        <v>13206</v>
      </c>
    </row>
    <row r="757" spans="1:7" ht="100.8" x14ac:dyDescent="0.3">
      <c r="A757" s="13" t="s">
        <v>9829</v>
      </c>
      <c r="B757" s="13" t="s">
        <v>10508</v>
      </c>
      <c r="C757" s="13" t="s">
        <v>10509</v>
      </c>
      <c r="D757" s="13">
        <v>561</v>
      </c>
      <c r="E757" s="13" t="s">
        <v>9832</v>
      </c>
      <c r="F757" s="13">
        <v>5</v>
      </c>
      <c r="G757" s="13" t="s">
        <v>13207</v>
      </c>
    </row>
    <row r="758" spans="1:7" ht="100.8" x14ac:dyDescent="0.3">
      <c r="A758" s="13" t="s">
        <v>9829</v>
      </c>
      <c r="B758" s="13" t="s">
        <v>10510</v>
      </c>
      <c r="C758" s="13" t="s">
        <v>10511</v>
      </c>
      <c r="D758" s="13">
        <v>1222</v>
      </c>
      <c r="E758" s="13" t="s">
        <v>9832</v>
      </c>
      <c r="F758" s="13">
        <v>5</v>
      </c>
      <c r="G758" s="13" t="s">
        <v>13208</v>
      </c>
    </row>
    <row r="759" spans="1:7" ht="100.8" x14ac:dyDescent="0.3">
      <c r="A759" s="13" t="s">
        <v>9829</v>
      </c>
      <c r="B759" s="13" t="s">
        <v>10510</v>
      </c>
      <c r="C759" s="13" t="s">
        <v>10511</v>
      </c>
      <c r="D759" s="13">
        <v>1222</v>
      </c>
      <c r="E759" s="13" t="s">
        <v>9832</v>
      </c>
      <c r="F759" s="13">
        <v>5</v>
      </c>
      <c r="G759" s="13" t="s">
        <v>13208</v>
      </c>
    </row>
    <row r="760" spans="1:7" ht="28.8" x14ac:dyDescent="0.3">
      <c r="A760" s="13" t="s">
        <v>9829</v>
      </c>
      <c r="B760" s="13" t="s">
        <v>10512</v>
      </c>
      <c r="C760" s="13" t="s">
        <v>10513</v>
      </c>
      <c r="D760" s="13">
        <v>835</v>
      </c>
      <c r="E760" s="13" t="s">
        <v>9863</v>
      </c>
      <c r="F760" s="13">
        <v>8</v>
      </c>
      <c r="G760" s="13" t="s">
        <v>9837</v>
      </c>
    </row>
    <row r="761" spans="1:7" ht="28.8" x14ac:dyDescent="0.3">
      <c r="A761" s="13" t="s">
        <v>9829</v>
      </c>
      <c r="B761" s="13" t="s">
        <v>10512</v>
      </c>
      <c r="C761" s="13" t="s">
        <v>10513</v>
      </c>
      <c r="D761" s="13">
        <v>835</v>
      </c>
      <c r="E761" s="13" t="s">
        <v>9863</v>
      </c>
      <c r="F761" s="13">
        <v>8</v>
      </c>
      <c r="G761" s="13" t="s">
        <v>9837</v>
      </c>
    </row>
    <row r="762" spans="1:7" ht="57.6" x14ac:dyDescent="0.3">
      <c r="A762" s="13" t="s">
        <v>9829</v>
      </c>
      <c r="B762" s="13" t="s">
        <v>10514</v>
      </c>
      <c r="C762" s="13" t="s">
        <v>10515</v>
      </c>
      <c r="D762" s="13">
        <v>1212</v>
      </c>
      <c r="E762" s="13" t="s">
        <v>9863</v>
      </c>
      <c r="F762" s="13">
        <v>8</v>
      </c>
      <c r="G762" s="13" t="s">
        <v>9837</v>
      </c>
    </row>
    <row r="763" spans="1:7" ht="409.6" x14ac:dyDescent="0.3">
      <c r="A763" s="13" t="s">
        <v>9829</v>
      </c>
      <c r="B763" s="13" t="s">
        <v>10516</v>
      </c>
      <c r="C763" s="13" t="s">
        <v>10517</v>
      </c>
      <c r="D763" s="13">
        <v>1232</v>
      </c>
      <c r="E763" s="13" t="s">
        <v>9832</v>
      </c>
      <c r="F763" s="13">
        <v>5</v>
      </c>
      <c r="G763" s="13" t="s">
        <v>13187</v>
      </c>
    </row>
    <row r="764" spans="1:7" ht="28.8" x14ac:dyDescent="0.3">
      <c r="A764" s="13" t="s">
        <v>9829</v>
      </c>
      <c r="B764" s="13" t="s">
        <v>10518</v>
      </c>
      <c r="C764" s="13" t="s">
        <v>10519</v>
      </c>
      <c r="D764" s="13">
        <v>1210</v>
      </c>
      <c r="E764" s="13" t="s">
        <v>9863</v>
      </c>
      <c r="F764" s="13">
        <v>8</v>
      </c>
      <c r="G764" s="13" t="s">
        <v>9837</v>
      </c>
    </row>
    <row r="765" spans="1:7" ht="244.8" x14ac:dyDescent="0.3">
      <c r="A765" s="13" t="s">
        <v>9829</v>
      </c>
      <c r="B765" s="13" t="s">
        <v>10520</v>
      </c>
      <c r="C765" s="13" t="s">
        <v>10521</v>
      </c>
      <c r="D765" s="13">
        <v>834</v>
      </c>
      <c r="E765" s="13" t="s">
        <v>9832</v>
      </c>
      <c r="F765" s="13">
        <v>5</v>
      </c>
      <c r="G765" s="13" t="s">
        <v>13209</v>
      </c>
    </row>
    <row r="766" spans="1:7" ht="273.60000000000002" x14ac:dyDescent="0.3">
      <c r="A766" s="13" t="s">
        <v>9829</v>
      </c>
      <c r="B766" s="13" t="s">
        <v>10522</v>
      </c>
      <c r="C766" s="13" t="s">
        <v>10523</v>
      </c>
      <c r="D766" s="13">
        <v>833</v>
      </c>
      <c r="E766" s="13" t="s">
        <v>9832</v>
      </c>
      <c r="F766" s="13">
        <v>5</v>
      </c>
      <c r="G766" s="13" t="s">
        <v>13210</v>
      </c>
    </row>
    <row r="767" spans="1:7" ht="409.6" x14ac:dyDescent="0.3">
      <c r="A767" s="13" t="s">
        <v>9829</v>
      </c>
      <c r="B767" s="13" t="s">
        <v>10524</v>
      </c>
      <c r="C767" s="13" t="s">
        <v>10525</v>
      </c>
      <c r="D767" s="13">
        <v>836</v>
      </c>
      <c r="E767" s="13" t="s">
        <v>9832</v>
      </c>
      <c r="F767" s="13">
        <v>5</v>
      </c>
      <c r="G767" s="13" t="s">
        <v>13211</v>
      </c>
    </row>
    <row r="768" spans="1:7" ht="172.8" x14ac:dyDescent="0.3">
      <c r="A768" s="13" t="s">
        <v>9829</v>
      </c>
      <c r="B768" s="13" t="s">
        <v>10526</v>
      </c>
      <c r="C768" s="13" t="s">
        <v>10527</v>
      </c>
      <c r="D768" s="13">
        <v>754</v>
      </c>
      <c r="E768" s="13" t="s">
        <v>9832</v>
      </c>
      <c r="F768" s="13">
        <v>5</v>
      </c>
      <c r="G768" s="13" t="s">
        <v>13212</v>
      </c>
    </row>
    <row r="769" spans="1:7" ht="172.8" x14ac:dyDescent="0.3">
      <c r="A769" s="13" t="s">
        <v>9829</v>
      </c>
      <c r="B769" s="13" t="s">
        <v>10526</v>
      </c>
      <c r="C769" s="13" t="s">
        <v>10527</v>
      </c>
      <c r="D769" s="13">
        <v>754</v>
      </c>
      <c r="E769" s="13" t="s">
        <v>9832</v>
      </c>
      <c r="F769" s="13">
        <v>5</v>
      </c>
      <c r="G769" s="13" t="s">
        <v>13212</v>
      </c>
    </row>
    <row r="770" spans="1:7" ht="388.8" x14ac:dyDescent="0.3">
      <c r="A770" s="13" t="s">
        <v>9829</v>
      </c>
      <c r="B770" s="13" t="s">
        <v>10528</v>
      </c>
      <c r="C770" s="13" t="s">
        <v>10529</v>
      </c>
      <c r="D770" s="13">
        <v>696</v>
      </c>
      <c r="E770" s="13" t="s">
        <v>9832</v>
      </c>
      <c r="F770" s="13">
        <v>5</v>
      </c>
      <c r="G770" s="13" t="s">
        <v>13213</v>
      </c>
    </row>
    <row r="771" spans="1:7" ht="28.8" x14ac:dyDescent="0.3">
      <c r="A771" s="13" t="s">
        <v>9829</v>
      </c>
      <c r="B771" s="13" t="s">
        <v>10530</v>
      </c>
      <c r="C771" s="13" t="s">
        <v>10531</v>
      </c>
      <c r="D771" s="13">
        <v>648</v>
      </c>
      <c r="E771" s="13" t="s">
        <v>9836</v>
      </c>
      <c r="F771" s="13">
        <v>60</v>
      </c>
      <c r="G771" s="13" t="s">
        <v>9837</v>
      </c>
    </row>
    <row r="772" spans="1:7" ht="43.2" x14ac:dyDescent="0.3">
      <c r="A772" s="13" t="s">
        <v>9829</v>
      </c>
      <c r="B772" s="13" t="s">
        <v>10532</v>
      </c>
      <c r="C772" s="13" t="s">
        <v>10533</v>
      </c>
      <c r="D772" s="13">
        <v>649</v>
      </c>
      <c r="E772" s="13" t="s">
        <v>9863</v>
      </c>
      <c r="F772" s="13">
        <v>8</v>
      </c>
      <c r="G772" s="13" t="s">
        <v>9837</v>
      </c>
    </row>
    <row r="773" spans="1:7" ht="28.8" x14ac:dyDescent="0.3">
      <c r="A773" s="13" t="s">
        <v>9829</v>
      </c>
      <c r="B773" s="13" t="s">
        <v>10534</v>
      </c>
      <c r="C773" s="13" t="s">
        <v>10535</v>
      </c>
      <c r="D773" s="13">
        <v>1213</v>
      </c>
      <c r="E773" s="13" t="s">
        <v>9836</v>
      </c>
      <c r="F773" s="13">
        <v>60</v>
      </c>
      <c r="G773" s="13" t="s">
        <v>9837</v>
      </c>
    </row>
    <row r="774" spans="1:7" ht="345.6" x14ac:dyDescent="0.3">
      <c r="A774" s="13" t="s">
        <v>9829</v>
      </c>
      <c r="B774" s="13" t="s">
        <v>10536</v>
      </c>
      <c r="C774" s="13" t="s">
        <v>10537</v>
      </c>
      <c r="D774" s="13">
        <v>901</v>
      </c>
      <c r="E774" s="13" t="s">
        <v>9832</v>
      </c>
      <c r="F774" s="13">
        <v>5</v>
      </c>
      <c r="G774" s="13" t="s">
        <v>13214</v>
      </c>
    </row>
    <row r="775" spans="1:7" ht="273.60000000000002" x14ac:dyDescent="0.3">
      <c r="A775" s="13" t="s">
        <v>9829</v>
      </c>
      <c r="B775" s="13" t="s">
        <v>10538</v>
      </c>
      <c r="C775" s="13" t="s">
        <v>10539</v>
      </c>
      <c r="D775" s="13">
        <v>899</v>
      </c>
      <c r="E775" s="13" t="s">
        <v>9832</v>
      </c>
      <c r="F775" s="13">
        <v>5</v>
      </c>
      <c r="G775" s="13" t="s">
        <v>13215</v>
      </c>
    </row>
    <row r="776" spans="1:7" ht="302.39999999999998" x14ac:dyDescent="0.3">
      <c r="A776" s="13" t="s">
        <v>9829</v>
      </c>
      <c r="B776" s="13" t="s">
        <v>10540</v>
      </c>
      <c r="C776" s="13" t="s">
        <v>10541</v>
      </c>
      <c r="D776" s="13">
        <v>898</v>
      </c>
      <c r="E776" s="13" t="s">
        <v>9832</v>
      </c>
      <c r="F776" s="13">
        <v>5</v>
      </c>
      <c r="G776" s="13" t="s">
        <v>13216</v>
      </c>
    </row>
    <row r="777" spans="1:7" ht="409.6" x14ac:dyDescent="0.3">
      <c r="A777" s="13" t="s">
        <v>9829</v>
      </c>
      <c r="B777" s="13" t="s">
        <v>10542</v>
      </c>
      <c r="C777" s="13" t="s">
        <v>10543</v>
      </c>
      <c r="D777" s="13">
        <v>1006</v>
      </c>
      <c r="E777" s="13" t="s">
        <v>9832</v>
      </c>
      <c r="F777" s="13">
        <v>5</v>
      </c>
      <c r="G777" s="13" t="s">
        <v>13217</v>
      </c>
    </row>
    <row r="778" spans="1:7" ht="43.2" x14ac:dyDescent="0.3">
      <c r="A778" s="13" t="s">
        <v>9829</v>
      </c>
      <c r="B778" s="13" t="s">
        <v>10544</v>
      </c>
      <c r="C778" s="13" t="s">
        <v>10545</v>
      </c>
      <c r="D778" s="13">
        <v>1007</v>
      </c>
      <c r="E778" s="13" t="s">
        <v>9880</v>
      </c>
      <c r="F778" s="13">
        <v>8.1999999999999993</v>
      </c>
      <c r="G778" s="13" t="s">
        <v>9837</v>
      </c>
    </row>
    <row r="779" spans="1:7" ht="28.8" x14ac:dyDescent="0.3">
      <c r="A779" s="13" t="s">
        <v>9829</v>
      </c>
      <c r="B779" s="13" t="s">
        <v>10546</v>
      </c>
      <c r="C779" s="13" t="s">
        <v>10547</v>
      </c>
      <c r="D779" s="13">
        <v>1005</v>
      </c>
      <c r="E779" s="13" t="s">
        <v>9880</v>
      </c>
      <c r="F779" s="13">
        <v>8.1999999999999993</v>
      </c>
      <c r="G779" s="13" t="s">
        <v>9837</v>
      </c>
    </row>
    <row r="780" spans="1:7" ht="409.6" x14ac:dyDescent="0.3">
      <c r="A780" s="13" t="s">
        <v>9829</v>
      </c>
      <c r="B780" s="13" t="s">
        <v>10548</v>
      </c>
      <c r="C780" s="13" t="s">
        <v>10549</v>
      </c>
      <c r="D780" s="13">
        <v>1004</v>
      </c>
      <c r="E780" s="13" t="s">
        <v>9832</v>
      </c>
      <c r="F780" s="13">
        <v>5</v>
      </c>
      <c r="G780" s="13" t="s">
        <v>13218</v>
      </c>
    </row>
    <row r="781" spans="1:7" ht="28.8" x14ac:dyDescent="0.3">
      <c r="A781" s="13" t="s">
        <v>9829</v>
      </c>
      <c r="B781" s="13" t="s">
        <v>10550</v>
      </c>
      <c r="C781" s="13" t="s">
        <v>10551</v>
      </c>
      <c r="D781" s="13">
        <v>968</v>
      </c>
      <c r="E781" s="13" t="s">
        <v>9880</v>
      </c>
      <c r="F781" s="13">
        <v>8.1999999999999993</v>
      </c>
      <c r="G781" s="13" t="s">
        <v>9837</v>
      </c>
    </row>
    <row r="782" spans="1:7" ht="28.8" x14ac:dyDescent="0.3">
      <c r="A782" s="13" t="s">
        <v>9829</v>
      </c>
      <c r="B782" s="13" t="s">
        <v>10552</v>
      </c>
      <c r="C782" s="13" t="s">
        <v>10553</v>
      </c>
      <c r="D782" s="13">
        <v>2200</v>
      </c>
      <c r="E782" s="13" t="s">
        <v>9880</v>
      </c>
      <c r="F782" s="13">
        <v>6.2</v>
      </c>
      <c r="G782" s="13" t="s">
        <v>32</v>
      </c>
    </row>
    <row r="783" spans="1:7" ht="409.6" x14ac:dyDescent="0.3">
      <c r="A783" s="13" t="s">
        <v>9829</v>
      </c>
      <c r="B783" s="13" t="s">
        <v>10554</v>
      </c>
      <c r="C783" s="13" t="s">
        <v>10555</v>
      </c>
      <c r="D783" s="13">
        <v>129</v>
      </c>
      <c r="E783" s="13" t="s">
        <v>9832</v>
      </c>
      <c r="F783" s="13">
        <v>5</v>
      </c>
      <c r="G783" s="13" t="s">
        <v>13219</v>
      </c>
    </row>
    <row r="784" spans="1:7" ht="409.6" x14ac:dyDescent="0.3">
      <c r="A784" s="13" t="s">
        <v>9829</v>
      </c>
      <c r="B784" s="13" t="s">
        <v>10554</v>
      </c>
      <c r="C784" s="13" t="s">
        <v>10555</v>
      </c>
      <c r="D784" s="13">
        <v>129</v>
      </c>
      <c r="E784" s="13" t="s">
        <v>9832</v>
      </c>
      <c r="F784" s="13">
        <v>5</v>
      </c>
      <c r="G784" s="13" t="s">
        <v>13219</v>
      </c>
    </row>
    <row r="785" spans="1:7" ht="409.6" x14ac:dyDescent="0.3">
      <c r="A785" s="13" t="s">
        <v>9829</v>
      </c>
      <c r="B785" s="13" t="s">
        <v>10554</v>
      </c>
      <c r="C785" s="13" t="s">
        <v>10555</v>
      </c>
      <c r="D785" s="13">
        <v>129</v>
      </c>
      <c r="E785" s="13" t="s">
        <v>9832</v>
      </c>
      <c r="F785" s="13">
        <v>5</v>
      </c>
      <c r="G785" s="13" t="s">
        <v>13219</v>
      </c>
    </row>
    <row r="786" spans="1:7" ht="409.6" x14ac:dyDescent="0.3">
      <c r="A786" s="13" t="s">
        <v>9829</v>
      </c>
      <c r="B786" s="13" t="s">
        <v>10554</v>
      </c>
      <c r="C786" s="13" t="s">
        <v>10555</v>
      </c>
      <c r="D786" s="13">
        <v>129</v>
      </c>
      <c r="E786" s="13" t="s">
        <v>9832</v>
      </c>
      <c r="F786" s="13">
        <v>5</v>
      </c>
      <c r="G786" s="13" t="s">
        <v>13219</v>
      </c>
    </row>
    <row r="787" spans="1:7" ht="409.6" x14ac:dyDescent="0.3">
      <c r="A787" s="13" t="s">
        <v>9829</v>
      </c>
      <c r="B787" s="13" t="s">
        <v>10554</v>
      </c>
      <c r="C787" s="13" t="s">
        <v>10555</v>
      </c>
      <c r="D787" s="13">
        <v>129</v>
      </c>
      <c r="E787" s="13" t="s">
        <v>9832</v>
      </c>
      <c r="F787" s="13">
        <v>5</v>
      </c>
      <c r="G787" s="13" t="s">
        <v>13219</v>
      </c>
    </row>
    <row r="788" spans="1:7" ht="409.6" x14ac:dyDescent="0.3">
      <c r="A788" s="13" t="s">
        <v>9829</v>
      </c>
      <c r="B788" s="13" t="s">
        <v>10554</v>
      </c>
      <c r="C788" s="13" t="s">
        <v>10555</v>
      </c>
      <c r="D788" s="13">
        <v>129</v>
      </c>
      <c r="E788" s="13" t="s">
        <v>9832</v>
      </c>
      <c r="F788" s="13">
        <v>5</v>
      </c>
      <c r="G788" s="13" t="s">
        <v>13219</v>
      </c>
    </row>
    <row r="789" spans="1:7" ht="409.6" x14ac:dyDescent="0.3">
      <c r="A789" s="13" t="s">
        <v>9829</v>
      </c>
      <c r="B789" s="13" t="s">
        <v>10554</v>
      </c>
      <c r="C789" s="13" t="s">
        <v>10555</v>
      </c>
      <c r="D789" s="13">
        <v>129</v>
      </c>
      <c r="E789" s="13" t="s">
        <v>9832</v>
      </c>
      <c r="F789" s="13">
        <v>5</v>
      </c>
      <c r="G789" s="13" t="s">
        <v>13219</v>
      </c>
    </row>
    <row r="790" spans="1:7" ht="28.8" x14ac:dyDescent="0.3">
      <c r="A790" s="13" t="s">
        <v>9829</v>
      </c>
      <c r="B790" s="13" t="s">
        <v>10556</v>
      </c>
      <c r="C790" s="13" t="s">
        <v>10557</v>
      </c>
      <c r="D790" s="13">
        <v>2202</v>
      </c>
      <c r="E790" s="13" t="s">
        <v>9901</v>
      </c>
      <c r="F790" s="13">
        <v>3</v>
      </c>
      <c r="G790" s="13" t="s">
        <v>32</v>
      </c>
    </row>
    <row r="791" spans="1:7" ht="100.8" x14ac:dyDescent="0.3">
      <c r="A791" s="13" t="s">
        <v>9829</v>
      </c>
      <c r="B791" s="13" t="s">
        <v>10558</v>
      </c>
      <c r="C791" s="13" t="s">
        <v>10559</v>
      </c>
      <c r="D791" s="13">
        <v>485</v>
      </c>
      <c r="E791" s="13" t="s">
        <v>9832</v>
      </c>
      <c r="F791" s="13">
        <v>5</v>
      </c>
      <c r="G791" s="13" t="s">
        <v>13220</v>
      </c>
    </row>
    <row r="792" spans="1:7" ht="409.6" x14ac:dyDescent="0.3">
      <c r="A792" s="13" t="s">
        <v>9829</v>
      </c>
      <c r="B792" s="13" t="s">
        <v>10560</v>
      </c>
      <c r="C792" s="13" t="s">
        <v>10561</v>
      </c>
      <c r="D792" s="13">
        <v>604</v>
      </c>
      <c r="E792" s="13" t="s">
        <v>9832</v>
      </c>
      <c r="F792" s="13">
        <v>5</v>
      </c>
      <c r="G792" s="13" t="s">
        <v>13221</v>
      </c>
    </row>
    <row r="793" spans="1:7" ht="244.8" x14ac:dyDescent="0.3">
      <c r="A793" s="13" t="s">
        <v>9829</v>
      </c>
      <c r="B793" s="13" t="s">
        <v>10562</v>
      </c>
      <c r="C793" s="13" t="s">
        <v>10563</v>
      </c>
      <c r="D793" s="13">
        <v>1284</v>
      </c>
      <c r="E793" s="13" t="s">
        <v>9832</v>
      </c>
      <c r="F793" s="13">
        <v>5</v>
      </c>
      <c r="G793" s="13" t="s">
        <v>13222</v>
      </c>
    </row>
    <row r="794" spans="1:7" ht="244.8" x14ac:dyDescent="0.3">
      <c r="A794" s="13" t="s">
        <v>9829</v>
      </c>
      <c r="B794" s="13" t="s">
        <v>10562</v>
      </c>
      <c r="C794" s="13" t="s">
        <v>10563</v>
      </c>
      <c r="D794" s="13">
        <v>1284</v>
      </c>
      <c r="E794" s="13" t="s">
        <v>9832</v>
      </c>
      <c r="F794" s="13">
        <v>5</v>
      </c>
      <c r="G794" s="13" t="s">
        <v>13222</v>
      </c>
    </row>
    <row r="795" spans="1:7" ht="409.6" x14ac:dyDescent="0.3">
      <c r="A795" s="13" t="s">
        <v>9829</v>
      </c>
      <c r="B795" s="13" t="s">
        <v>10564</v>
      </c>
      <c r="C795" s="13" t="s">
        <v>10565</v>
      </c>
      <c r="D795" s="13">
        <v>1264</v>
      </c>
      <c r="E795" s="13" t="s">
        <v>9832</v>
      </c>
      <c r="F795" s="13">
        <v>5</v>
      </c>
      <c r="G795" s="13" t="s">
        <v>13223</v>
      </c>
    </row>
    <row r="796" spans="1:7" ht="28.8" x14ac:dyDescent="0.3">
      <c r="A796" s="13" t="s">
        <v>9829</v>
      </c>
      <c r="B796" s="13" t="s">
        <v>10566</v>
      </c>
      <c r="C796" s="13" t="s">
        <v>10567</v>
      </c>
      <c r="D796" s="13">
        <v>1247</v>
      </c>
      <c r="E796" s="13" t="s">
        <v>9836</v>
      </c>
      <c r="F796" s="13">
        <v>60</v>
      </c>
      <c r="G796" s="13" t="s">
        <v>9837</v>
      </c>
    </row>
    <row r="797" spans="1:7" ht="244.8" x14ac:dyDescent="0.3">
      <c r="A797" s="13" t="s">
        <v>9829</v>
      </c>
      <c r="B797" s="13" t="s">
        <v>10568</v>
      </c>
      <c r="C797" s="13" t="s">
        <v>10569</v>
      </c>
      <c r="D797" s="13">
        <v>608</v>
      </c>
      <c r="E797" s="13" t="s">
        <v>9832</v>
      </c>
      <c r="F797" s="13">
        <v>5</v>
      </c>
      <c r="G797" s="13" t="s">
        <v>13224</v>
      </c>
    </row>
    <row r="798" spans="1:7" ht="172.8" x14ac:dyDescent="0.3">
      <c r="A798" s="13" t="s">
        <v>9829</v>
      </c>
      <c r="B798" s="13" t="s">
        <v>10570</v>
      </c>
      <c r="C798" s="13" t="s">
        <v>10571</v>
      </c>
      <c r="D798" s="13">
        <v>1258</v>
      </c>
      <c r="E798" s="13" t="s">
        <v>9832</v>
      </c>
      <c r="F798" s="13">
        <v>5</v>
      </c>
      <c r="G798" s="13" t="s">
        <v>13225</v>
      </c>
    </row>
    <row r="799" spans="1:7" ht="172.8" x14ac:dyDescent="0.3">
      <c r="A799" s="13" t="s">
        <v>9829</v>
      </c>
      <c r="B799" s="13" t="s">
        <v>10572</v>
      </c>
      <c r="C799" s="13" t="s">
        <v>10573</v>
      </c>
      <c r="D799" s="13">
        <v>1263</v>
      </c>
      <c r="E799" s="13" t="s">
        <v>9832</v>
      </c>
      <c r="F799" s="13">
        <v>5</v>
      </c>
      <c r="G799" s="13" t="s">
        <v>13225</v>
      </c>
    </row>
    <row r="800" spans="1:7" ht="43.2" x14ac:dyDescent="0.3">
      <c r="A800" s="13" t="s">
        <v>9829</v>
      </c>
      <c r="B800" s="13" t="s">
        <v>10574</v>
      </c>
      <c r="C800" s="13" t="s">
        <v>10575</v>
      </c>
      <c r="D800" s="13">
        <v>853</v>
      </c>
      <c r="E800" s="13" t="s">
        <v>9880</v>
      </c>
      <c r="F800" s="13">
        <v>5.2</v>
      </c>
      <c r="G800" s="13" t="s">
        <v>9837</v>
      </c>
    </row>
    <row r="801" spans="1:7" ht="28.8" x14ac:dyDescent="0.3">
      <c r="A801" s="13" t="s">
        <v>9829</v>
      </c>
      <c r="B801" s="13" t="s">
        <v>10576</v>
      </c>
      <c r="C801" s="13" t="s">
        <v>10577</v>
      </c>
      <c r="D801" s="13">
        <v>424</v>
      </c>
      <c r="E801" s="13" t="s">
        <v>9863</v>
      </c>
      <c r="F801" s="13">
        <v>8</v>
      </c>
      <c r="G801" s="13" t="s">
        <v>9837</v>
      </c>
    </row>
    <row r="802" spans="1:7" ht="115.2" x14ac:dyDescent="0.3">
      <c r="A802" s="13" t="s">
        <v>9829</v>
      </c>
      <c r="B802" s="13" t="s">
        <v>10578</v>
      </c>
      <c r="C802" s="13" t="s">
        <v>10579</v>
      </c>
      <c r="D802" s="13">
        <v>423</v>
      </c>
      <c r="E802" s="13" t="s">
        <v>9832</v>
      </c>
      <c r="F802" s="13">
        <v>5</v>
      </c>
      <c r="G802" s="13" t="s">
        <v>13226</v>
      </c>
    </row>
    <row r="803" spans="1:7" ht="409.6" x14ac:dyDescent="0.3">
      <c r="A803" s="13" t="s">
        <v>9829</v>
      </c>
      <c r="B803" s="13" t="s">
        <v>10580</v>
      </c>
      <c r="C803" s="13" t="s">
        <v>10581</v>
      </c>
      <c r="D803" s="13">
        <v>626</v>
      </c>
      <c r="E803" s="13" t="s">
        <v>9832</v>
      </c>
      <c r="F803" s="13">
        <v>5</v>
      </c>
      <c r="G803" s="13" t="s">
        <v>13227</v>
      </c>
    </row>
    <row r="804" spans="1:7" ht="28.8" x14ac:dyDescent="0.3">
      <c r="A804" s="13" t="s">
        <v>9829</v>
      </c>
      <c r="B804" s="13" t="s">
        <v>10582</v>
      </c>
      <c r="C804" s="13" t="s">
        <v>10583</v>
      </c>
      <c r="D804" s="13">
        <v>1280</v>
      </c>
      <c r="E804" s="13" t="s">
        <v>9901</v>
      </c>
      <c r="F804" s="13">
        <v>5.2</v>
      </c>
      <c r="G804" s="13" t="s">
        <v>9837</v>
      </c>
    </row>
    <row r="805" spans="1:7" ht="28.8" x14ac:dyDescent="0.3">
      <c r="A805" s="13" t="s">
        <v>9829</v>
      </c>
      <c r="B805" s="13" t="s">
        <v>10582</v>
      </c>
      <c r="C805" s="13" t="s">
        <v>10583</v>
      </c>
      <c r="D805" s="13">
        <v>1280</v>
      </c>
      <c r="E805" s="13" t="s">
        <v>9901</v>
      </c>
      <c r="F805" s="13">
        <v>5.2</v>
      </c>
      <c r="G805" s="13" t="s">
        <v>9837</v>
      </c>
    </row>
    <row r="806" spans="1:7" ht="43.2" x14ac:dyDescent="0.3">
      <c r="A806" s="13" t="s">
        <v>9829</v>
      </c>
      <c r="B806" s="13" t="s">
        <v>10584</v>
      </c>
      <c r="C806" s="13" t="s">
        <v>10585</v>
      </c>
      <c r="D806" s="13">
        <v>2203</v>
      </c>
      <c r="E806" s="13" t="s">
        <v>9836</v>
      </c>
      <c r="G806" s="13" t="s">
        <v>32</v>
      </c>
    </row>
    <row r="807" spans="1:7" ht="187.2" x14ac:dyDescent="0.3">
      <c r="A807" s="13" t="s">
        <v>9829</v>
      </c>
      <c r="B807" s="13" t="s">
        <v>10586</v>
      </c>
      <c r="C807" s="13" t="s">
        <v>10587</v>
      </c>
      <c r="D807" s="13">
        <v>1018</v>
      </c>
      <c r="E807" s="13" t="s">
        <v>9832</v>
      </c>
      <c r="F807" s="13">
        <v>5</v>
      </c>
      <c r="G807" s="13" t="s">
        <v>13228</v>
      </c>
    </row>
    <row r="808" spans="1:7" ht="43.2" x14ac:dyDescent="0.3">
      <c r="A808" s="13" t="s">
        <v>9829</v>
      </c>
      <c r="B808" s="13" t="s">
        <v>10588</v>
      </c>
      <c r="C808" s="13" t="s">
        <v>10589</v>
      </c>
      <c r="D808" s="13">
        <v>634</v>
      </c>
      <c r="E808" s="13" t="s">
        <v>9880</v>
      </c>
      <c r="F808" s="13">
        <v>5.2</v>
      </c>
      <c r="G808" s="13" t="s">
        <v>9837</v>
      </c>
    </row>
    <row r="809" spans="1:7" ht="28.8" x14ac:dyDescent="0.3">
      <c r="A809" s="13" t="s">
        <v>9829</v>
      </c>
      <c r="B809" s="13" t="s">
        <v>10590</v>
      </c>
      <c r="C809" s="13" t="s">
        <v>10591</v>
      </c>
      <c r="D809" s="13">
        <v>632</v>
      </c>
      <c r="E809" s="13" t="s">
        <v>9836</v>
      </c>
      <c r="F809" s="13">
        <v>60</v>
      </c>
      <c r="G809" s="13" t="s">
        <v>9837</v>
      </c>
    </row>
    <row r="810" spans="1:7" ht="129.6" x14ac:dyDescent="0.3">
      <c r="A810" s="13" t="s">
        <v>9829</v>
      </c>
      <c r="B810" s="13" t="s">
        <v>10592</v>
      </c>
      <c r="C810" s="13" t="s">
        <v>10593</v>
      </c>
      <c r="D810" s="13">
        <v>630</v>
      </c>
      <c r="E810" s="13" t="s">
        <v>9832</v>
      </c>
      <c r="F810" s="13">
        <v>5</v>
      </c>
      <c r="G810" s="13" t="s">
        <v>13229</v>
      </c>
    </row>
    <row r="811" spans="1:7" ht="409.6" x14ac:dyDescent="0.3">
      <c r="A811" s="13" t="s">
        <v>9829</v>
      </c>
      <c r="B811" s="13" t="s">
        <v>10594</v>
      </c>
      <c r="C811" s="13" t="s">
        <v>10595</v>
      </c>
      <c r="D811" s="13">
        <v>633</v>
      </c>
      <c r="E811" s="13" t="s">
        <v>9832</v>
      </c>
      <c r="F811" s="13">
        <v>5</v>
      </c>
      <c r="G811" s="13" t="s">
        <v>13230</v>
      </c>
    </row>
    <row r="812" spans="1:7" ht="230.4" x14ac:dyDescent="0.3">
      <c r="A812" s="13" t="s">
        <v>9829</v>
      </c>
      <c r="B812" s="13" t="s">
        <v>10596</v>
      </c>
      <c r="C812" s="13" t="s">
        <v>10597</v>
      </c>
      <c r="D812" s="13">
        <v>631</v>
      </c>
      <c r="E812" s="13" t="s">
        <v>9832</v>
      </c>
      <c r="F812" s="13">
        <v>5</v>
      </c>
      <c r="G812" s="13" t="s">
        <v>13231</v>
      </c>
    </row>
    <row r="813" spans="1:7" ht="28.8" x14ac:dyDescent="0.3">
      <c r="A813" s="13" t="s">
        <v>9829</v>
      </c>
      <c r="B813" s="13" t="s">
        <v>10598</v>
      </c>
      <c r="C813" s="13" t="s">
        <v>10599</v>
      </c>
      <c r="D813" s="13">
        <v>1135</v>
      </c>
      <c r="E813" s="13" t="s">
        <v>9863</v>
      </c>
      <c r="F813" s="13">
        <v>8</v>
      </c>
      <c r="G813" s="13" t="s">
        <v>9837</v>
      </c>
    </row>
    <row r="814" spans="1:7" ht="43.2" x14ac:dyDescent="0.3">
      <c r="A814" s="13" t="s">
        <v>9829</v>
      </c>
      <c r="B814" s="13" t="s">
        <v>10600</v>
      </c>
      <c r="C814" s="13" t="s">
        <v>10601</v>
      </c>
      <c r="D814" s="13">
        <v>325</v>
      </c>
      <c r="E814" s="13" t="s">
        <v>9863</v>
      </c>
      <c r="F814" s="13">
        <v>8</v>
      </c>
      <c r="G814" s="13" t="s">
        <v>9837</v>
      </c>
    </row>
    <row r="815" spans="1:7" ht="43.2" x14ac:dyDescent="0.3">
      <c r="A815" s="13" t="s">
        <v>9829</v>
      </c>
      <c r="B815" s="13" t="s">
        <v>10600</v>
      </c>
      <c r="C815" s="13" t="s">
        <v>10601</v>
      </c>
      <c r="D815" s="13">
        <v>325</v>
      </c>
      <c r="E815" s="13" t="s">
        <v>9863</v>
      </c>
      <c r="F815" s="13">
        <v>8</v>
      </c>
      <c r="G815" s="13" t="s">
        <v>9837</v>
      </c>
    </row>
    <row r="816" spans="1:7" ht="28.8" x14ac:dyDescent="0.3">
      <c r="A816" s="13" t="s">
        <v>9829</v>
      </c>
      <c r="B816" s="13" t="s">
        <v>10602</v>
      </c>
      <c r="C816" s="13" t="s">
        <v>10603</v>
      </c>
      <c r="D816" s="13">
        <v>1534</v>
      </c>
      <c r="E816" s="13" t="s">
        <v>9836</v>
      </c>
      <c r="F816" s="13">
        <v>50</v>
      </c>
      <c r="G816" s="13" t="s">
        <v>9837</v>
      </c>
    </row>
    <row r="817" spans="1:7" ht="28.8" x14ac:dyDescent="0.3">
      <c r="A817" s="13" t="s">
        <v>9829</v>
      </c>
      <c r="B817" s="13" t="s">
        <v>10604</v>
      </c>
      <c r="C817" s="13" t="s">
        <v>10605</v>
      </c>
      <c r="D817" s="13">
        <v>1530</v>
      </c>
      <c r="E817" s="13" t="s">
        <v>9836</v>
      </c>
      <c r="F817" s="13">
        <v>50</v>
      </c>
      <c r="G817" s="13" t="s">
        <v>9837</v>
      </c>
    </row>
    <row r="818" spans="1:7" ht="28.8" x14ac:dyDescent="0.3">
      <c r="A818" s="13" t="s">
        <v>9829</v>
      </c>
      <c r="B818" s="13" t="s">
        <v>10606</v>
      </c>
      <c r="C818" s="13" t="s">
        <v>10607</v>
      </c>
      <c r="D818" s="13">
        <v>1528</v>
      </c>
      <c r="E818" s="13" t="s">
        <v>9836</v>
      </c>
      <c r="F818" s="13">
        <v>50</v>
      </c>
      <c r="G818" s="13" t="s">
        <v>9837</v>
      </c>
    </row>
    <row r="819" spans="1:7" ht="28.8" x14ac:dyDescent="0.3">
      <c r="A819" s="13" t="s">
        <v>9829</v>
      </c>
      <c r="B819" s="13" t="s">
        <v>10608</v>
      </c>
      <c r="C819" s="13" t="s">
        <v>10609</v>
      </c>
      <c r="D819" s="13">
        <v>1388</v>
      </c>
      <c r="E819" s="13" t="s">
        <v>9836</v>
      </c>
      <c r="F819" s="13">
        <v>50</v>
      </c>
      <c r="G819" s="13" t="s">
        <v>9837</v>
      </c>
    </row>
    <row r="820" spans="1:7" ht="28.8" x14ac:dyDescent="0.3">
      <c r="A820" s="13" t="s">
        <v>9829</v>
      </c>
      <c r="B820" s="13" t="s">
        <v>10608</v>
      </c>
      <c r="C820" s="13" t="s">
        <v>10609</v>
      </c>
      <c r="D820" s="13">
        <v>1388</v>
      </c>
      <c r="E820" s="13" t="s">
        <v>9836</v>
      </c>
      <c r="F820" s="13">
        <v>50</v>
      </c>
      <c r="G820" s="13" t="s">
        <v>9837</v>
      </c>
    </row>
    <row r="821" spans="1:7" ht="115.2" x14ac:dyDescent="0.3">
      <c r="A821" s="13" t="s">
        <v>9829</v>
      </c>
      <c r="B821" s="13" t="s">
        <v>10610</v>
      </c>
      <c r="C821" s="13" t="s">
        <v>10611</v>
      </c>
      <c r="D821" s="13">
        <v>1064</v>
      </c>
      <c r="E821" s="13" t="s">
        <v>9832</v>
      </c>
      <c r="F821" s="13">
        <v>5</v>
      </c>
      <c r="G821" s="13" t="s">
        <v>13139</v>
      </c>
    </row>
    <row r="822" spans="1:7" ht="28.8" x14ac:dyDescent="0.3">
      <c r="A822" s="13" t="s">
        <v>9829</v>
      </c>
      <c r="B822" s="13" t="s">
        <v>10612</v>
      </c>
      <c r="C822" s="13" t="s">
        <v>10613</v>
      </c>
      <c r="D822" s="13">
        <v>1063</v>
      </c>
      <c r="E822" s="13" t="s">
        <v>9836</v>
      </c>
      <c r="F822" s="13">
        <v>60</v>
      </c>
      <c r="G822" s="13" t="s">
        <v>9837</v>
      </c>
    </row>
    <row r="823" spans="1:7" ht="28.8" x14ac:dyDescent="0.3">
      <c r="A823" s="13" t="s">
        <v>9829</v>
      </c>
      <c r="B823" s="13" t="s">
        <v>10614</v>
      </c>
      <c r="C823" s="13" t="s">
        <v>10615</v>
      </c>
      <c r="D823" s="13">
        <v>539</v>
      </c>
      <c r="E823" s="13" t="s">
        <v>9863</v>
      </c>
      <c r="F823" s="13">
        <v>8</v>
      </c>
      <c r="G823" s="13" t="s">
        <v>9837</v>
      </c>
    </row>
    <row r="824" spans="1:7" ht="129.6" x14ac:dyDescent="0.3">
      <c r="A824" s="13" t="s">
        <v>9829</v>
      </c>
      <c r="B824" s="13" t="s">
        <v>10616</v>
      </c>
      <c r="C824" s="13" t="s">
        <v>10617</v>
      </c>
      <c r="D824" s="13">
        <v>538</v>
      </c>
      <c r="E824" s="13" t="s">
        <v>9832</v>
      </c>
      <c r="F824" s="13">
        <v>5</v>
      </c>
      <c r="G824" s="13" t="s">
        <v>13232</v>
      </c>
    </row>
    <row r="825" spans="1:7" ht="28.8" x14ac:dyDescent="0.3">
      <c r="A825" s="13" t="s">
        <v>9829</v>
      </c>
      <c r="B825" s="13" t="s">
        <v>10618</v>
      </c>
      <c r="C825" s="13" t="s">
        <v>10619</v>
      </c>
      <c r="D825" s="13">
        <v>132</v>
      </c>
      <c r="E825" s="13" t="s">
        <v>9836</v>
      </c>
      <c r="F825" s="13">
        <v>35</v>
      </c>
      <c r="G825" s="13" t="s">
        <v>9837</v>
      </c>
    </row>
    <row r="826" spans="1:7" ht="28.8" x14ac:dyDescent="0.3">
      <c r="A826" s="13" t="s">
        <v>9829</v>
      </c>
      <c r="B826" s="13" t="s">
        <v>10618</v>
      </c>
      <c r="C826" s="13" t="s">
        <v>10619</v>
      </c>
      <c r="D826" s="13">
        <v>132</v>
      </c>
      <c r="E826" s="13" t="s">
        <v>9836</v>
      </c>
      <c r="F826" s="13">
        <v>35</v>
      </c>
      <c r="G826" s="13" t="s">
        <v>9837</v>
      </c>
    </row>
    <row r="827" spans="1:7" ht="28.8" x14ac:dyDescent="0.3">
      <c r="A827" s="13" t="s">
        <v>9829</v>
      </c>
      <c r="B827" s="13" t="s">
        <v>10620</v>
      </c>
      <c r="C827" s="13" t="s">
        <v>10621</v>
      </c>
      <c r="D827" s="13">
        <v>313</v>
      </c>
      <c r="E827" s="13" t="s">
        <v>9836</v>
      </c>
      <c r="F827" s="13">
        <v>60</v>
      </c>
      <c r="G827" s="13" t="s">
        <v>9837</v>
      </c>
    </row>
    <row r="828" spans="1:7" ht="28.8" x14ac:dyDescent="0.3">
      <c r="A828" s="13" t="s">
        <v>9829</v>
      </c>
      <c r="B828" s="13" t="s">
        <v>10620</v>
      </c>
      <c r="C828" s="13" t="s">
        <v>10621</v>
      </c>
      <c r="D828" s="13">
        <v>313</v>
      </c>
      <c r="E828" s="13" t="s">
        <v>9836</v>
      </c>
      <c r="F828" s="13">
        <v>60</v>
      </c>
      <c r="G828" s="13" t="s">
        <v>9837</v>
      </c>
    </row>
    <row r="829" spans="1:7" ht="28.8" x14ac:dyDescent="0.3">
      <c r="A829" s="13" t="s">
        <v>9829</v>
      </c>
      <c r="B829" s="13" t="s">
        <v>10620</v>
      </c>
      <c r="C829" s="13" t="s">
        <v>10621</v>
      </c>
      <c r="D829" s="13">
        <v>313</v>
      </c>
      <c r="E829" s="13" t="s">
        <v>9836</v>
      </c>
      <c r="F829" s="13">
        <v>60</v>
      </c>
      <c r="G829" s="13" t="s">
        <v>9837</v>
      </c>
    </row>
    <row r="830" spans="1:7" ht="28.8" x14ac:dyDescent="0.3">
      <c r="A830" s="13" t="s">
        <v>9829</v>
      </c>
      <c r="B830" s="13" t="s">
        <v>10620</v>
      </c>
      <c r="C830" s="13" t="s">
        <v>10621</v>
      </c>
      <c r="D830" s="13">
        <v>313</v>
      </c>
      <c r="E830" s="13" t="s">
        <v>9836</v>
      </c>
      <c r="F830" s="13">
        <v>60</v>
      </c>
      <c r="G830" s="13" t="s">
        <v>9837</v>
      </c>
    </row>
    <row r="831" spans="1:7" ht="28.8" x14ac:dyDescent="0.3">
      <c r="A831" s="13" t="s">
        <v>9829</v>
      </c>
      <c r="B831" s="13" t="s">
        <v>10620</v>
      </c>
      <c r="C831" s="13" t="s">
        <v>10621</v>
      </c>
      <c r="D831" s="13">
        <v>313</v>
      </c>
      <c r="E831" s="13" t="s">
        <v>9836</v>
      </c>
      <c r="F831" s="13">
        <v>60</v>
      </c>
      <c r="G831" s="13" t="s">
        <v>9837</v>
      </c>
    </row>
    <row r="832" spans="1:7" ht="28.8" x14ac:dyDescent="0.3">
      <c r="A832" s="13" t="s">
        <v>9829</v>
      </c>
      <c r="B832" s="13" t="s">
        <v>10620</v>
      </c>
      <c r="C832" s="13" t="s">
        <v>10621</v>
      </c>
      <c r="D832" s="13">
        <v>313</v>
      </c>
      <c r="E832" s="13" t="s">
        <v>9836</v>
      </c>
      <c r="F832" s="13">
        <v>60</v>
      </c>
      <c r="G832" s="13" t="s">
        <v>9837</v>
      </c>
    </row>
    <row r="833" spans="1:7" ht="144" x14ac:dyDescent="0.3">
      <c r="A833" s="13" t="s">
        <v>9829</v>
      </c>
      <c r="B833" s="13" t="s">
        <v>10622</v>
      </c>
      <c r="C833" s="13" t="s">
        <v>10623</v>
      </c>
      <c r="D833" s="13">
        <v>1529</v>
      </c>
      <c r="E833" s="13" t="s">
        <v>9832</v>
      </c>
      <c r="F833" s="13">
        <v>5</v>
      </c>
      <c r="G833" s="13" t="s">
        <v>13233</v>
      </c>
    </row>
    <row r="834" spans="1:7" ht="201.6" x14ac:dyDescent="0.3">
      <c r="A834" s="13" t="s">
        <v>9829</v>
      </c>
      <c r="B834" s="13" t="s">
        <v>10624</v>
      </c>
      <c r="C834" s="13" t="s">
        <v>10625</v>
      </c>
      <c r="D834" s="13">
        <v>133</v>
      </c>
      <c r="E834" s="13" t="s">
        <v>9832</v>
      </c>
      <c r="F834" s="13">
        <v>5</v>
      </c>
      <c r="G834" s="13" t="s">
        <v>13234</v>
      </c>
    </row>
    <row r="835" spans="1:7" ht="201.6" x14ac:dyDescent="0.3">
      <c r="A835" s="13" t="s">
        <v>9829</v>
      </c>
      <c r="B835" s="13" t="s">
        <v>10624</v>
      </c>
      <c r="C835" s="13" t="s">
        <v>10625</v>
      </c>
      <c r="D835" s="13">
        <v>133</v>
      </c>
      <c r="E835" s="13" t="s">
        <v>9832</v>
      </c>
      <c r="F835" s="13">
        <v>5</v>
      </c>
      <c r="G835" s="13" t="s">
        <v>13234</v>
      </c>
    </row>
    <row r="836" spans="1:7" ht="201.6" x14ac:dyDescent="0.3">
      <c r="A836" s="13" t="s">
        <v>9829</v>
      </c>
      <c r="B836" s="13" t="s">
        <v>10624</v>
      </c>
      <c r="C836" s="13" t="s">
        <v>10625</v>
      </c>
      <c r="D836" s="13">
        <v>133</v>
      </c>
      <c r="E836" s="13" t="s">
        <v>9832</v>
      </c>
      <c r="F836" s="13">
        <v>5</v>
      </c>
      <c r="G836" s="13" t="s">
        <v>13234</v>
      </c>
    </row>
    <row r="837" spans="1:7" ht="409.6" x14ac:dyDescent="0.3">
      <c r="A837" s="13" t="s">
        <v>9829</v>
      </c>
      <c r="B837" s="13" t="s">
        <v>10626</v>
      </c>
      <c r="C837" s="13" t="s">
        <v>10627</v>
      </c>
      <c r="D837" s="13">
        <v>505</v>
      </c>
      <c r="E837" s="13" t="s">
        <v>9832</v>
      </c>
      <c r="F837" s="13">
        <v>5</v>
      </c>
      <c r="G837" s="13" t="s">
        <v>13235</v>
      </c>
    </row>
    <row r="838" spans="1:7" ht="28.8" x14ac:dyDescent="0.3">
      <c r="A838" s="13" t="s">
        <v>9829</v>
      </c>
      <c r="B838" s="13" t="s">
        <v>10628</v>
      </c>
      <c r="C838" s="13" t="s">
        <v>10629</v>
      </c>
      <c r="D838" s="13">
        <v>1392</v>
      </c>
      <c r="E838" s="13" t="s">
        <v>9836</v>
      </c>
      <c r="F838" s="13">
        <v>50</v>
      </c>
      <c r="G838" s="13" t="s">
        <v>9837</v>
      </c>
    </row>
    <row r="839" spans="1:7" ht="28.8" x14ac:dyDescent="0.3">
      <c r="A839" s="13" t="s">
        <v>9829</v>
      </c>
      <c r="B839" s="13" t="s">
        <v>10628</v>
      </c>
      <c r="C839" s="13" t="s">
        <v>10629</v>
      </c>
      <c r="D839" s="13">
        <v>1392</v>
      </c>
      <c r="E839" s="13" t="s">
        <v>9836</v>
      </c>
      <c r="F839" s="13">
        <v>50</v>
      </c>
      <c r="G839" s="13" t="s">
        <v>9837</v>
      </c>
    </row>
    <row r="840" spans="1:7" ht="28.8" x14ac:dyDescent="0.3">
      <c r="A840" s="13" t="s">
        <v>9829</v>
      </c>
      <c r="B840" s="13" t="s">
        <v>10628</v>
      </c>
      <c r="C840" s="13" t="s">
        <v>10629</v>
      </c>
      <c r="D840" s="13">
        <v>1392</v>
      </c>
      <c r="E840" s="13" t="s">
        <v>9836</v>
      </c>
      <c r="F840" s="13">
        <v>50</v>
      </c>
      <c r="G840" s="13" t="s">
        <v>9837</v>
      </c>
    </row>
    <row r="841" spans="1:7" ht="28.8" x14ac:dyDescent="0.3">
      <c r="A841" s="13" t="s">
        <v>9829</v>
      </c>
      <c r="B841" s="13" t="s">
        <v>10628</v>
      </c>
      <c r="C841" s="13" t="s">
        <v>10629</v>
      </c>
      <c r="D841" s="13">
        <v>1392</v>
      </c>
      <c r="E841" s="13" t="s">
        <v>9836</v>
      </c>
      <c r="F841" s="13">
        <v>50</v>
      </c>
      <c r="G841" s="13" t="s">
        <v>9837</v>
      </c>
    </row>
    <row r="842" spans="1:7" ht="28.8" x14ac:dyDescent="0.3">
      <c r="A842" s="13" t="s">
        <v>9829</v>
      </c>
      <c r="B842" s="13" t="s">
        <v>10630</v>
      </c>
      <c r="C842" s="13" t="s">
        <v>10631</v>
      </c>
      <c r="D842" s="13">
        <v>622</v>
      </c>
      <c r="E842" s="13" t="s">
        <v>9880</v>
      </c>
      <c r="F842" s="13">
        <v>1.2</v>
      </c>
      <c r="G842" s="13" t="s">
        <v>9837</v>
      </c>
    </row>
    <row r="843" spans="1:7" ht="28.8" x14ac:dyDescent="0.3">
      <c r="A843" s="13" t="s">
        <v>9829</v>
      </c>
      <c r="B843" s="13" t="s">
        <v>10630</v>
      </c>
      <c r="C843" s="13" t="s">
        <v>10631</v>
      </c>
      <c r="D843" s="13">
        <v>622</v>
      </c>
      <c r="E843" s="13" t="s">
        <v>9880</v>
      </c>
      <c r="F843" s="13">
        <v>1.2</v>
      </c>
      <c r="G843" s="13" t="s">
        <v>9837</v>
      </c>
    </row>
    <row r="844" spans="1:7" ht="144" x14ac:dyDescent="0.3">
      <c r="A844" s="13" t="s">
        <v>9829</v>
      </c>
      <c r="B844" s="13" t="s">
        <v>10632</v>
      </c>
      <c r="C844" s="13" t="s">
        <v>10633</v>
      </c>
      <c r="D844" s="13">
        <v>134</v>
      </c>
      <c r="E844" s="13" t="s">
        <v>9832</v>
      </c>
      <c r="F844" s="13">
        <v>5</v>
      </c>
      <c r="G844" s="13" t="s">
        <v>13236</v>
      </c>
    </row>
    <row r="845" spans="1:7" ht="144" x14ac:dyDescent="0.3">
      <c r="A845" s="13" t="s">
        <v>9829</v>
      </c>
      <c r="B845" s="13" t="s">
        <v>10632</v>
      </c>
      <c r="C845" s="13" t="s">
        <v>10633</v>
      </c>
      <c r="D845" s="13">
        <v>134</v>
      </c>
      <c r="E845" s="13" t="s">
        <v>9832</v>
      </c>
      <c r="F845" s="13">
        <v>5</v>
      </c>
      <c r="G845" s="13" t="s">
        <v>13236</v>
      </c>
    </row>
    <row r="846" spans="1:7" ht="144" x14ac:dyDescent="0.3">
      <c r="A846" s="13" t="s">
        <v>9829</v>
      </c>
      <c r="B846" s="13" t="s">
        <v>10632</v>
      </c>
      <c r="C846" s="13" t="s">
        <v>10633</v>
      </c>
      <c r="D846" s="13">
        <v>134</v>
      </c>
      <c r="E846" s="13" t="s">
        <v>9832</v>
      </c>
      <c r="F846" s="13">
        <v>5</v>
      </c>
      <c r="G846" s="13" t="s">
        <v>13236</v>
      </c>
    </row>
    <row r="847" spans="1:7" ht="100.8" x14ac:dyDescent="0.3">
      <c r="A847" s="13" t="s">
        <v>9829</v>
      </c>
      <c r="B847" s="13" t="s">
        <v>10634</v>
      </c>
      <c r="C847" s="13" t="s">
        <v>10635</v>
      </c>
      <c r="D847" s="13">
        <v>568</v>
      </c>
      <c r="E847" s="13" t="s">
        <v>9832</v>
      </c>
      <c r="F847" s="13">
        <v>5</v>
      </c>
      <c r="G847" s="13" t="s">
        <v>9837</v>
      </c>
    </row>
    <row r="848" spans="1:7" ht="100.8" x14ac:dyDescent="0.3">
      <c r="A848" s="13" t="s">
        <v>9829</v>
      </c>
      <c r="B848" s="13" t="s">
        <v>10634</v>
      </c>
      <c r="C848" s="13" t="s">
        <v>10635</v>
      </c>
      <c r="D848" s="13">
        <v>568</v>
      </c>
      <c r="E848" s="13" t="s">
        <v>9832</v>
      </c>
      <c r="F848" s="13">
        <v>5</v>
      </c>
      <c r="G848" s="13" t="s">
        <v>9837</v>
      </c>
    </row>
    <row r="849" spans="1:7" ht="57.6" x14ac:dyDescent="0.3">
      <c r="A849" s="13" t="s">
        <v>9829</v>
      </c>
      <c r="B849" s="13" t="s">
        <v>10636</v>
      </c>
      <c r="C849" s="13" t="s">
        <v>10637</v>
      </c>
      <c r="D849" s="13">
        <v>1519</v>
      </c>
      <c r="E849" s="13" t="s">
        <v>9880</v>
      </c>
      <c r="F849" s="13">
        <v>3.1</v>
      </c>
      <c r="G849" s="13" t="s">
        <v>9837</v>
      </c>
    </row>
    <row r="850" spans="1:7" ht="28.8" x14ac:dyDescent="0.3">
      <c r="A850" s="13" t="s">
        <v>9829</v>
      </c>
      <c r="B850" s="13" t="s">
        <v>10638</v>
      </c>
      <c r="C850" s="13" t="s">
        <v>10639</v>
      </c>
      <c r="D850" s="13">
        <v>1350</v>
      </c>
      <c r="E850" s="13" t="s">
        <v>9863</v>
      </c>
      <c r="F850" s="13">
        <v>8</v>
      </c>
      <c r="G850" s="13" t="s">
        <v>9837</v>
      </c>
    </row>
    <row r="851" spans="1:7" ht="57.6" x14ac:dyDescent="0.3">
      <c r="A851" s="13" t="s">
        <v>9829</v>
      </c>
      <c r="B851" s="13" t="s">
        <v>10640</v>
      </c>
      <c r="C851" s="13" t="s">
        <v>10641</v>
      </c>
      <c r="D851" s="13">
        <v>136</v>
      </c>
      <c r="E851" s="13" t="s">
        <v>9836</v>
      </c>
      <c r="F851" s="13">
        <v>80</v>
      </c>
      <c r="G851" s="13" t="s">
        <v>9837</v>
      </c>
    </row>
    <row r="852" spans="1:7" ht="57.6" x14ac:dyDescent="0.3">
      <c r="A852" s="13" t="s">
        <v>9829</v>
      </c>
      <c r="B852" s="13" t="s">
        <v>10640</v>
      </c>
      <c r="C852" s="13" t="s">
        <v>10641</v>
      </c>
      <c r="D852" s="13">
        <v>136</v>
      </c>
      <c r="E852" s="13" t="s">
        <v>9836</v>
      </c>
      <c r="F852" s="13">
        <v>80</v>
      </c>
      <c r="G852" s="13" t="s">
        <v>9837</v>
      </c>
    </row>
    <row r="853" spans="1:7" ht="57.6" x14ac:dyDescent="0.3">
      <c r="A853" s="13" t="s">
        <v>9829</v>
      </c>
      <c r="B853" s="13" t="s">
        <v>10640</v>
      </c>
      <c r="C853" s="13" t="s">
        <v>10641</v>
      </c>
      <c r="D853" s="13">
        <v>136</v>
      </c>
      <c r="E853" s="13" t="s">
        <v>9836</v>
      </c>
      <c r="F853" s="13">
        <v>80</v>
      </c>
      <c r="G853" s="13" t="s">
        <v>9837</v>
      </c>
    </row>
    <row r="854" spans="1:7" ht="28.8" x14ac:dyDescent="0.3">
      <c r="A854" s="13" t="s">
        <v>9829</v>
      </c>
      <c r="B854" s="13" t="s">
        <v>10642</v>
      </c>
      <c r="C854" s="13" t="s">
        <v>10643</v>
      </c>
      <c r="D854" s="13">
        <v>311</v>
      </c>
      <c r="E854" s="13" t="s">
        <v>9836</v>
      </c>
      <c r="F854" s="13">
        <v>60</v>
      </c>
      <c r="G854" s="13" t="s">
        <v>9837</v>
      </c>
    </row>
    <row r="855" spans="1:7" ht="28.8" x14ac:dyDescent="0.3">
      <c r="A855" s="13" t="s">
        <v>9829</v>
      </c>
      <c r="B855" s="13" t="s">
        <v>10642</v>
      </c>
      <c r="C855" s="13" t="s">
        <v>10643</v>
      </c>
      <c r="D855" s="13">
        <v>311</v>
      </c>
      <c r="E855" s="13" t="s">
        <v>9836</v>
      </c>
      <c r="F855" s="13">
        <v>60</v>
      </c>
      <c r="G855" s="13" t="s">
        <v>9837</v>
      </c>
    </row>
    <row r="856" spans="1:7" ht="28.8" x14ac:dyDescent="0.3">
      <c r="A856" s="13" t="s">
        <v>9829</v>
      </c>
      <c r="B856" s="13" t="s">
        <v>10642</v>
      </c>
      <c r="C856" s="13" t="s">
        <v>10643</v>
      </c>
      <c r="D856" s="13">
        <v>311</v>
      </c>
      <c r="E856" s="13" t="s">
        <v>9836</v>
      </c>
      <c r="F856" s="13">
        <v>60</v>
      </c>
      <c r="G856" s="13" t="s">
        <v>9837</v>
      </c>
    </row>
    <row r="857" spans="1:7" ht="259.2" x14ac:dyDescent="0.3">
      <c r="A857" s="13" t="s">
        <v>9829</v>
      </c>
      <c r="B857" s="13" t="s">
        <v>10644</v>
      </c>
      <c r="C857" s="13" t="s">
        <v>10645</v>
      </c>
      <c r="D857" s="13">
        <v>312</v>
      </c>
      <c r="E857" s="13" t="s">
        <v>9832</v>
      </c>
      <c r="F857" s="13">
        <v>5</v>
      </c>
      <c r="G857" s="13" t="s">
        <v>13237</v>
      </c>
    </row>
    <row r="858" spans="1:7" ht="259.2" x14ac:dyDescent="0.3">
      <c r="A858" s="13" t="s">
        <v>9829</v>
      </c>
      <c r="B858" s="13" t="s">
        <v>10644</v>
      </c>
      <c r="C858" s="13" t="s">
        <v>10645</v>
      </c>
      <c r="D858" s="13">
        <v>312</v>
      </c>
      <c r="E858" s="13" t="s">
        <v>9832</v>
      </c>
      <c r="F858" s="13">
        <v>5</v>
      </c>
      <c r="G858" s="13" t="s">
        <v>13237</v>
      </c>
    </row>
    <row r="859" spans="1:7" ht="259.2" x14ac:dyDescent="0.3">
      <c r="A859" s="13" t="s">
        <v>9829</v>
      </c>
      <c r="B859" s="13" t="s">
        <v>10644</v>
      </c>
      <c r="C859" s="13" t="s">
        <v>10645</v>
      </c>
      <c r="D859" s="13">
        <v>312</v>
      </c>
      <c r="E859" s="13" t="s">
        <v>9832</v>
      </c>
      <c r="F859" s="13">
        <v>5</v>
      </c>
      <c r="G859" s="13" t="s">
        <v>13237</v>
      </c>
    </row>
    <row r="860" spans="1:7" ht="28.8" x14ac:dyDescent="0.3">
      <c r="A860" s="13" t="s">
        <v>9829</v>
      </c>
      <c r="B860" s="13" t="s">
        <v>10646</v>
      </c>
      <c r="C860" s="13" t="s">
        <v>10647</v>
      </c>
      <c r="D860" s="13">
        <v>1414</v>
      </c>
      <c r="E860" s="13" t="s">
        <v>9836</v>
      </c>
      <c r="F860" s="13">
        <v>20</v>
      </c>
      <c r="G860" s="13" t="s">
        <v>9837</v>
      </c>
    </row>
    <row r="861" spans="1:7" ht="28.8" x14ac:dyDescent="0.3">
      <c r="A861" s="13" t="s">
        <v>9829</v>
      </c>
      <c r="B861" s="13" t="s">
        <v>10646</v>
      </c>
      <c r="C861" s="13" t="s">
        <v>10647</v>
      </c>
      <c r="D861" s="13">
        <v>1414</v>
      </c>
      <c r="E861" s="13" t="s">
        <v>9836</v>
      </c>
      <c r="F861" s="13">
        <v>20</v>
      </c>
      <c r="G861" s="13" t="s">
        <v>9837</v>
      </c>
    </row>
    <row r="862" spans="1:7" ht="28.8" x14ac:dyDescent="0.3">
      <c r="A862" s="13" t="s">
        <v>9829</v>
      </c>
      <c r="B862" s="13" t="s">
        <v>10646</v>
      </c>
      <c r="C862" s="13" t="s">
        <v>10647</v>
      </c>
      <c r="D862" s="13">
        <v>1414</v>
      </c>
      <c r="E862" s="13" t="s">
        <v>9836</v>
      </c>
      <c r="F862" s="13">
        <v>20</v>
      </c>
      <c r="G862" s="13" t="s">
        <v>9837</v>
      </c>
    </row>
    <row r="863" spans="1:7" ht="409.6" x14ac:dyDescent="0.3">
      <c r="A863" s="13" t="s">
        <v>9829</v>
      </c>
      <c r="B863" s="13" t="s">
        <v>10648</v>
      </c>
      <c r="C863" s="13" t="s">
        <v>10649</v>
      </c>
      <c r="D863" s="13">
        <v>140</v>
      </c>
      <c r="E863" s="13" t="s">
        <v>9832</v>
      </c>
      <c r="F863" s="13">
        <v>5</v>
      </c>
      <c r="G863" s="13" t="s">
        <v>13118</v>
      </c>
    </row>
    <row r="864" spans="1:7" ht="72" x14ac:dyDescent="0.3">
      <c r="A864" s="13" t="s">
        <v>9829</v>
      </c>
      <c r="B864" s="13" t="s">
        <v>10650</v>
      </c>
      <c r="C864" s="13" t="s">
        <v>10651</v>
      </c>
      <c r="D864" s="13">
        <v>671</v>
      </c>
      <c r="E864" s="13" t="s">
        <v>9880</v>
      </c>
      <c r="F864" s="13">
        <v>1.4</v>
      </c>
      <c r="G864" s="13" t="s">
        <v>9837</v>
      </c>
    </row>
    <row r="865" spans="1:7" ht="72" x14ac:dyDescent="0.3">
      <c r="A865" s="13" t="s">
        <v>9829</v>
      </c>
      <c r="B865" s="13" t="s">
        <v>10652</v>
      </c>
      <c r="C865" s="13" t="s">
        <v>10653</v>
      </c>
      <c r="D865" s="13">
        <v>669</v>
      </c>
      <c r="E865" s="13" t="s">
        <v>9880</v>
      </c>
      <c r="F865" s="13">
        <v>1.4</v>
      </c>
      <c r="G865" s="13" t="s">
        <v>9837</v>
      </c>
    </row>
    <row r="866" spans="1:7" ht="43.2" x14ac:dyDescent="0.3">
      <c r="A866" s="13" t="s">
        <v>9829</v>
      </c>
      <c r="B866" s="13" t="s">
        <v>10654</v>
      </c>
      <c r="C866" s="13" t="s">
        <v>10655</v>
      </c>
      <c r="D866" s="13">
        <v>665</v>
      </c>
      <c r="E866" s="13" t="s">
        <v>9880</v>
      </c>
      <c r="F866" s="13">
        <v>2.2000000000000002</v>
      </c>
      <c r="G866" s="13" t="s">
        <v>9837</v>
      </c>
    </row>
    <row r="867" spans="1:7" ht="43.2" x14ac:dyDescent="0.3">
      <c r="A867" s="13" t="s">
        <v>9829</v>
      </c>
      <c r="B867" s="13" t="s">
        <v>10656</v>
      </c>
      <c r="C867" s="13" t="s">
        <v>10657</v>
      </c>
      <c r="D867" s="13">
        <v>667</v>
      </c>
      <c r="E867" s="13" t="s">
        <v>9880</v>
      </c>
      <c r="F867" s="13">
        <v>2.2000000000000002</v>
      </c>
      <c r="G867" s="13" t="s">
        <v>9837</v>
      </c>
    </row>
    <row r="868" spans="1:7" ht="43.2" x14ac:dyDescent="0.3">
      <c r="A868" s="13" t="s">
        <v>9829</v>
      </c>
      <c r="B868" s="13" t="s">
        <v>10658</v>
      </c>
      <c r="C868" s="13" t="s">
        <v>10659</v>
      </c>
      <c r="D868" s="13">
        <v>666</v>
      </c>
      <c r="E868" s="13" t="s">
        <v>9880</v>
      </c>
      <c r="F868" s="13">
        <v>2.2000000000000002</v>
      </c>
      <c r="G868" s="13" t="s">
        <v>9837</v>
      </c>
    </row>
    <row r="869" spans="1:7" ht="28.8" x14ac:dyDescent="0.3">
      <c r="A869" s="13" t="s">
        <v>9829</v>
      </c>
      <c r="B869" s="13" t="s">
        <v>10660</v>
      </c>
      <c r="C869" s="13" t="s">
        <v>10661</v>
      </c>
      <c r="D869" s="13">
        <v>143</v>
      </c>
      <c r="E869" s="13" t="s">
        <v>9863</v>
      </c>
      <c r="F869" s="13">
        <v>8</v>
      </c>
      <c r="G869" s="13" t="s">
        <v>9837</v>
      </c>
    </row>
    <row r="870" spans="1:7" ht="28.8" x14ac:dyDescent="0.3">
      <c r="A870" s="13" t="s">
        <v>9829</v>
      </c>
      <c r="B870" s="13" t="s">
        <v>10662</v>
      </c>
      <c r="C870" s="13" t="s">
        <v>10663</v>
      </c>
      <c r="D870" s="13">
        <v>144</v>
      </c>
      <c r="E870" s="13" t="s">
        <v>9863</v>
      </c>
      <c r="F870" s="13">
        <v>8</v>
      </c>
      <c r="G870" s="13" t="s">
        <v>9837</v>
      </c>
    </row>
    <row r="871" spans="1:7" ht="187.2" x14ac:dyDescent="0.3">
      <c r="A871" s="13" t="s">
        <v>9829</v>
      </c>
      <c r="B871" s="13" t="s">
        <v>10664</v>
      </c>
      <c r="C871" s="13" t="s">
        <v>10665</v>
      </c>
      <c r="D871" s="13">
        <v>1434</v>
      </c>
      <c r="E871" s="13" t="s">
        <v>9832</v>
      </c>
      <c r="F871" s="13">
        <v>5</v>
      </c>
      <c r="G871" s="13" t="s">
        <v>13238</v>
      </c>
    </row>
    <row r="872" spans="1:7" ht="28.8" x14ac:dyDescent="0.3">
      <c r="A872" s="13" t="s">
        <v>9829</v>
      </c>
      <c r="B872" s="13" t="s">
        <v>10666</v>
      </c>
      <c r="C872" s="13" t="s">
        <v>10667</v>
      </c>
      <c r="D872" s="13">
        <v>554</v>
      </c>
      <c r="E872" s="13" t="s">
        <v>9836</v>
      </c>
      <c r="F872" s="13">
        <v>80</v>
      </c>
      <c r="G872" s="13" t="s">
        <v>9837</v>
      </c>
    </row>
    <row r="873" spans="1:7" ht="28.8" x14ac:dyDescent="0.3">
      <c r="A873" s="13" t="s">
        <v>9829</v>
      </c>
      <c r="B873" s="13" t="s">
        <v>10668</v>
      </c>
      <c r="C873" s="13" t="s">
        <v>10669</v>
      </c>
      <c r="D873" s="13">
        <v>553</v>
      </c>
      <c r="E873" s="13" t="s">
        <v>9863</v>
      </c>
      <c r="F873" s="13">
        <v>8</v>
      </c>
      <c r="G873" s="13" t="s">
        <v>9837</v>
      </c>
    </row>
    <row r="874" spans="1:7" ht="43.2" x14ac:dyDescent="0.3">
      <c r="A874" s="13" t="s">
        <v>9829</v>
      </c>
      <c r="B874" s="13" t="s">
        <v>10670</v>
      </c>
      <c r="C874" s="13" t="s">
        <v>10671</v>
      </c>
      <c r="D874" s="13">
        <v>552</v>
      </c>
      <c r="E874" s="13" t="s">
        <v>9836</v>
      </c>
      <c r="F874" s="13">
        <v>80</v>
      </c>
      <c r="G874" s="13" t="s">
        <v>9837</v>
      </c>
    </row>
    <row r="875" spans="1:7" ht="43.2" x14ac:dyDescent="0.3">
      <c r="A875" s="13" t="s">
        <v>9829</v>
      </c>
      <c r="B875" s="13" t="s">
        <v>10672</v>
      </c>
      <c r="C875" s="13" t="s">
        <v>10673</v>
      </c>
      <c r="D875" s="13">
        <v>556</v>
      </c>
      <c r="E875" s="13" t="s">
        <v>9836</v>
      </c>
      <c r="F875" s="13">
        <v>80</v>
      </c>
      <c r="G875" s="13" t="s">
        <v>9837</v>
      </c>
    </row>
    <row r="876" spans="1:7" ht="28.8" x14ac:dyDescent="0.3">
      <c r="A876" s="13" t="s">
        <v>9829</v>
      </c>
      <c r="B876" s="13" t="s">
        <v>10674</v>
      </c>
      <c r="C876" s="13" t="s">
        <v>10675</v>
      </c>
      <c r="D876" s="13">
        <v>555</v>
      </c>
      <c r="E876" s="13" t="s">
        <v>9863</v>
      </c>
      <c r="F876" s="13">
        <v>8</v>
      </c>
      <c r="G876" s="13" t="s">
        <v>9837</v>
      </c>
    </row>
    <row r="877" spans="1:7" ht="28.8" x14ac:dyDescent="0.3">
      <c r="A877" s="13" t="s">
        <v>9829</v>
      </c>
      <c r="B877" s="13" t="s">
        <v>10676</v>
      </c>
      <c r="C877" s="13" t="s">
        <v>10677</v>
      </c>
      <c r="D877" s="13">
        <v>523</v>
      </c>
      <c r="E877" s="13" t="s">
        <v>9880</v>
      </c>
      <c r="F877" s="13">
        <v>6.2</v>
      </c>
      <c r="G877" s="13" t="s">
        <v>9837</v>
      </c>
    </row>
    <row r="878" spans="1:7" ht="129.6" x14ac:dyDescent="0.3">
      <c r="A878" s="13" t="s">
        <v>9829</v>
      </c>
      <c r="B878" s="13" t="s">
        <v>10678</v>
      </c>
      <c r="C878" s="13" t="s">
        <v>10679</v>
      </c>
      <c r="D878" s="13">
        <v>1299</v>
      </c>
      <c r="E878" s="13" t="s">
        <v>9832</v>
      </c>
      <c r="F878" s="13">
        <v>5</v>
      </c>
      <c r="G878" s="13" t="s">
        <v>13239</v>
      </c>
    </row>
    <row r="879" spans="1:7" ht="28.8" x14ac:dyDescent="0.3">
      <c r="A879" s="13" t="s">
        <v>9829</v>
      </c>
      <c r="B879" s="13" t="s">
        <v>10680</v>
      </c>
      <c r="C879" s="13" t="s">
        <v>10681</v>
      </c>
      <c r="D879" s="13">
        <v>1878</v>
      </c>
      <c r="E879" s="13" t="s">
        <v>9836</v>
      </c>
      <c r="F879" s="13">
        <v>50</v>
      </c>
      <c r="G879" s="13" t="s">
        <v>9837</v>
      </c>
    </row>
    <row r="880" spans="1:7" ht="388.8" x14ac:dyDescent="0.3">
      <c r="A880" s="13" t="s">
        <v>9829</v>
      </c>
      <c r="B880" s="13" t="s">
        <v>10682</v>
      </c>
      <c r="C880" s="13" t="s">
        <v>10683</v>
      </c>
      <c r="D880" s="13">
        <v>602</v>
      </c>
      <c r="E880" s="13" t="s">
        <v>9832</v>
      </c>
      <c r="F880" s="13">
        <v>5</v>
      </c>
      <c r="G880" s="13" t="s">
        <v>13240</v>
      </c>
    </row>
    <row r="881" spans="1:7" ht="28.8" x14ac:dyDescent="0.3">
      <c r="A881" s="13" t="s">
        <v>9829</v>
      </c>
      <c r="B881" s="13" t="s">
        <v>10684</v>
      </c>
      <c r="C881" s="13" t="s">
        <v>10685</v>
      </c>
      <c r="D881" s="13">
        <v>364</v>
      </c>
      <c r="E881" s="13" t="s">
        <v>9836</v>
      </c>
      <c r="F881" s="13">
        <v>60</v>
      </c>
      <c r="G881" s="13" t="s">
        <v>9837</v>
      </c>
    </row>
    <row r="882" spans="1:7" ht="43.2" x14ac:dyDescent="0.3">
      <c r="A882" s="13" t="s">
        <v>9829</v>
      </c>
      <c r="B882" s="13" t="s">
        <v>10686</v>
      </c>
      <c r="C882" s="13" t="s">
        <v>10687</v>
      </c>
      <c r="D882" s="13">
        <v>753</v>
      </c>
      <c r="E882" s="13" t="s">
        <v>9863</v>
      </c>
      <c r="F882" s="13">
        <v>8</v>
      </c>
      <c r="G882" s="13" t="s">
        <v>9837</v>
      </c>
    </row>
    <row r="883" spans="1:7" ht="28.8" x14ac:dyDescent="0.3">
      <c r="A883" s="13" t="s">
        <v>9829</v>
      </c>
      <c r="B883" s="13" t="s">
        <v>10688</v>
      </c>
      <c r="C883" s="13" t="s">
        <v>10689</v>
      </c>
      <c r="D883" s="13">
        <v>348</v>
      </c>
      <c r="E883" s="13" t="s">
        <v>9836</v>
      </c>
      <c r="F883" s="13">
        <v>35</v>
      </c>
      <c r="G883" s="13" t="s">
        <v>9837</v>
      </c>
    </row>
    <row r="884" spans="1:7" ht="28.8" x14ac:dyDescent="0.3">
      <c r="A884" s="13" t="s">
        <v>9829</v>
      </c>
      <c r="B884" s="13" t="s">
        <v>10688</v>
      </c>
      <c r="C884" s="13" t="s">
        <v>10689</v>
      </c>
      <c r="D884" s="13">
        <v>348</v>
      </c>
      <c r="E884" s="13" t="s">
        <v>9836</v>
      </c>
      <c r="F884" s="13">
        <v>35</v>
      </c>
      <c r="G884" s="13" t="s">
        <v>9837</v>
      </c>
    </row>
    <row r="885" spans="1:7" ht="28.8" x14ac:dyDescent="0.3">
      <c r="A885" s="13" t="s">
        <v>9829</v>
      </c>
      <c r="B885" s="13" t="s">
        <v>10690</v>
      </c>
      <c r="C885" s="13" t="s">
        <v>10691</v>
      </c>
      <c r="D885" s="13">
        <v>752</v>
      </c>
      <c r="E885" s="13" t="s">
        <v>9836</v>
      </c>
      <c r="F885" s="13">
        <v>80</v>
      </c>
      <c r="G885" s="13" t="s">
        <v>9837</v>
      </c>
    </row>
    <row r="886" spans="1:7" ht="115.2" x14ac:dyDescent="0.3">
      <c r="A886" s="13" t="s">
        <v>9829</v>
      </c>
      <c r="B886" s="13" t="s">
        <v>10692</v>
      </c>
      <c r="C886" s="13" t="s">
        <v>10693</v>
      </c>
      <c r="D886" s="13">
        <v>799</v>
      </c>
      <c r="E886" s="13" t="s">
        <v>9832</v>
      </c>
      <c r="F886" s="13">
        <v>5</v>
      </c>
      <c r="G886" s="13" t="s">
        <v>13241</v>
      </c>
    </row>
    <row r="887" spans="1:7" ht="57.6" x14ac:dyDescent="0.3">
      <c r="A887" s="13" t="s">
        <v>9829</v>
      </c>
      <c r="B887" s="13" t="s">
        <v>10694</v>
      </c>
      <c r="C887" s="13" t="s">
        <v>10695</v>
      </c>
      <c r="D887" s="13">
        <v>1140</v>
      </c>
      <c r="E887" s="13" t="s">
        <v>9832</v>
      </c>
      <c r="F887" s="13">
        <v>5</v>
      </c>
      <c r="G887" s="13" t="s">
        <v>9833</v>
      </c>
    </row>
    <row r="888" spans="1:7" ht="43.2" x14ac:dyDescent="0.3">
      <c r="A888" s="13" t="s">
        <v>9829</v>
      </c>
      <c r="B888" s="13" t="s">
        <v>10696</v>
      </c>
      <c r="C888" s="13" t="s">
        <v>10697</v>
      </c>
      <c r="D888" s="13">
        <v>389</v>
      </c>
      <c r="E888" s="13" t="s">
        <v>9836</v>
      </c>
      <c r="F888" s="13">
        <v>45</v>
      </c>
      <c r="G888" s="13" t="s">
        <v>9837</v>
      </c>
    </row>
    <row r="889" spans="1:7" ht="28.8" x14ac:dyDescent="0.3">
      <c r="A889" s="13" t="s">
        <v>9829</v>
      </c>
      <c r="B889" s="13" t="s">
        <v>10698</v>
      </c>
      <c r="C889" s="13" t="s">
        <v>10699</v>
      </c>
      <c r="D889" s="13">
        <v>1423</v>
      </c>
      <c r="E889" s="13" t="s">
        <v>9836</v>
      </c>
      <c r="F889" s="13">
        <v>35</v>
      </c>
      <c r="G889" s="13" t="s">
        <v>9837</v>
      </c>
    </row>
    <row r="890" spans="1:7" ht="57.6" x14ac:dyDescent="0.3">
      <c r="A890" s="13" t="s">
        <v>9829</v>
      </c>
      <c r="B890" s="13" t="s">
        <v>10700</v>
      </c>
      <c r="C890" s="13" t="s">
        <v>10701</v>
      </c>
      <c r="D890" s="13">
        <v>349</v>
      </c>
      <c r="E890" s="13" t="s">
        <v>9836</v>
      </c>
      <c r="F890" s="13">
        <v>35</v>
      </c>
      <c r="G890" s="13" t="s">
        <v>9837</v>
      </c>
    </row>
    <row r="891" spans="1:7" ht="57.6" x14ac:dyDescent="0.3">
      <c r="A891" s="13" t="s">
        <v>9829</v>
      </c>
      <c r="B891" s="13" t="s">
        <v>10700</v>
      </c>
      <c r="C891" s="13" t="s">
        <v>10701</v>
      </c>
      <c r="D891" s="13">
        <v>349</v>
      </c>
      <c r="E891" s="13" t="s">
        <v>9836</v>
      </c>
      <c r="F891" s="13">
        <v>35</v>
      </c>
      <c r="G891" s="13" t="s">
        <v>9837</v>
      </c>
    </row>
    <row r="892" spans="1:7" ht="28.8" x14ac:dyDescent="0.3">
      <c r="A892" s="13" t="s">
        <v>9829</v>
      </c>
      <c r="B892" s="13" t="s">
        <v>10702</v>
      </c>
      <c r="C892" s="13" t="s">
        <v>10703</v>
      </c>
      <c r="D892" s="13">
        <v>548</v>
      </c>
      <c r="E892" s="13" t="s">
        <v>9880</v>
      </c>
      <c r="F892" s="13">
        <v>4.2</v>
      </c>
      <c r="G892" s="13" t="s">
        <v>9837</v>
      </c>
    </row>
    <row r="893" spans="1:7" ht="43.2" x14ac:dyDescent="0.3">
      <c r="A893" s="13" t="s">
        <v>9829</v>
      </c>
      <c r="B893" s="13" t="s">
        <v>10704</v>
      </c>
      <c r="C893" s="13" t="s">
        <v>10705</v>
      </c>
      <c r="D893" s="13">
        <v>477</v>
      </c>
      <c r="E893" s="13" t="s">
        <v>9880</v>
      </c>
      <c r="F893" s="13">
        <v>2.2000000000000002</v>
      </c>
      <c r="G893" s="13" t="s">
        <v>9837</v>
      </c>
    </row>
    <row r="894" spans="1:7" ht="43.2" x14ac:dyDescent="0.3">
      <c r="A894" s="13" t="s">
        <v>9829</v>
      </c>
      <c r="B894" s="13" t="s">
        <v>10706</v>
      </c>
      <c r="C894" s="13" t="s">
        <v>10707</v>
      </c>
      <c r="D894" s="13">
        <v>479</v>
      </c>
      <c r="E894" s="13" t="s">
        <v>9880</v>
      </c>
      <c r="F894" s="13">
        <v>2.2000000000000002</v>
      </c>
      <c r="G894" s="13" t="s">
        <v>9837</v>
      </c>
    </row>
    <row r="895" spans="1:7" ht="28.8" x14ac:dyDescent="0.3">
      <c r="A895" s="13" t="s">
        <v>9829</v>
      </c>
      <c r="B895" s="13" t="s">
        <v>10708</v>
      </c>
      <c r="C895" s="13" t="s">
        <v>10709</v>
      </c>
      <c r="D895" s="13">
        <v>309</v>
      </c>
      <c r="E895" s="13" t="s">
        <v>9863</v>
      </c>
      <c r="F895" s="13">
        <v>8</v>
      </c>
      <c r="G895" s="13" t="s">
        <v>9837</v>
      </c>
    </row>
    <row r="896" spans="1:7" ht="345.6" x14ac:dyDescent="0.3">
      <c r="A896" s="13" t="s">
        <v>9829</v>
      </c>
      <c r="B896" s="13" t="s">
        <v>10710</v>
      </c>
      <c r="C896" s="13" t="s">
        <v>10711</v>
      </c>
      <c r="D896" s="13">
        <v>792</v>
      </c>
      <c r="E896" s="13" t="s">
        <v>9832</v>
      </c>
      <c r="F896" s="13">
        <v>5</v>
      </c>
      <c r="G896" s="13" t="s">
        <v>13242</v>
      </c>
    </row>
    <row r="897" spans="1:7" ht="28.8" x14ac:dyDescent="0.3">
      <c r="A897" s="13" t="s">
        <v>9829</v>
      </c>
      <c r="B897" s="13" t="s">
        <v>10712</v>
      </c>
      <c r="C897" s="13" t="s">
        <v>10713</v>
      </c>
      <c r="D897" s="13">
        <v>793</v>
      </c>
      <c r="E897" s="13" t="s">
        <v>9836</v>
      </c>
      <c r="F897" s="13">
        <v>35</v>
      </c>
      <c r="G897" s="13" t="s">
        <v>9837</v>
      </c>
    </row>
    <row r="898" spans="1:7" ht="129.6" x14ac:dyDescent="0.3">
      <c r="A898" s="13" t="s">
        <v>9829</v>
      </c>
      <c r="B898" s="13" t="s">
        <v>10714</v>
      </c>
      <c r="C898" s="13" t="s">
        <v>10715</v>
      </c>
      <c r="D898" s="13">
        <v>1245</v>
      </c>
      <c r="E898" s="13" t="s">
        <v>9832</v>
      </c>
      <c r="F898" s="13">
        <v>5</v>
      </c>
      <c r="G898" s="13" t="s">
        <v>13243</v>
      </c>
    </row>
    <row r="899" spans="1:7" ht="144" x14ac:dyDescent="0.3">
      <c r="A899" s="13" t="s">
        <v>9829</v>
      </c>
      <c r="B899" s="13" t="s">
        <v>10716</v>
      </c>
      <c r="C899" s="13" t="s">
        <v>10717</v>
      </c>
      <c r="D899" s="13">
        <v>1234</v>
      </c>
      <c r="E899" s="13" t="s">
        <v>9832</v>
      </c>
      <c r="F899" s="13">
        <v>5</v>
      </c>
      <c r="G899" s="13" t="s">
        <v>13174</v>
      </c>
    </row>
    <row r="900" spans="1:7" ht="144" x14ac:dyDescent="0.3">
      <c r="A900" s="13" t="s">
        <v>9829</v>
      </c>
      <c r="B900" s="13" t="s">
        <v>10716</v>
      </c>
      <c r="C900" s="13" t="s">
        <v>10717</v>
      </c>
      <c r="D900" s="13">
        <v>1234</v>
      </c>
      <c r="E900" s="13" t="s">
        <v>9832</v>
      </c>
      <c r="F900" s="13">
        <v>5</v>
      </c>
      <c r="G900" s="13" t="s">
        <v>13174</v>
      </c>
    </row>
    <row r="901" spans="1:7" ht="144" x14ac:dyDescent="0.3">
      <c r="A901" s="13" t="s">
        <v>9829</v>
      </c>
      <c r="B901" s="13" t="s">
        <v>10716</v>
      </c>
      <c r="C901" s="13" t="s">
        <v>10717</v>
      </c>
      <c r="D901" s="13">
        <v>1234</v>
      </c>
      <c r="E901" s="13" t="s">
        <v>9832</v>
      </c>
      <c r="F901" s="13">
        <v>5</v>
      </c>
      <c r="G901" s="13" t="s">
        <v>13174</v>
      </c>
    </row>
    <row r="902" spans="1:7" ht="409.6" x14ac:dyDescent="0.3">
      <c r="A902" s="13" t="s">
        <v>9829</v>
      </c>
      <c r="B902" s="13" t="s">
        <v>10718</v>
      </c>
      <c r="C902" s="13" t="s">
        <v>10719</v>
      </c>
      <c r="D902" s="13">
        <v>647</v>
      </c>
      <c r="E902" s="13" t="s">
        <v>9832</v>
      </c>
      <c r="F902" s="13">
        <v>5</v>
      </c>
      <c r="G902" s="13" t="s">
        <v>13177</v>
      </c>
    </row>
    <row r="903" spans="1:7" ht="409.6" x14ac:dyDescent="0.3">
      <c r="A903" s="13" t="s">
        <v>9829</v>
      </c>
      <c r="B903" s="13" t="s">
        <v>10720</v>
      </c>
      <c r="C903" s="13" t="s">
        <v>10721</v>
      </c>
      <c r="D903" s="13">
        <v>355</v>
      </c>
      <c r="E903" s="13" t="s">
        <v>9832</v>
      </c>
      <c r="F903" s="13">
        <v>5</v>
      </c>
      <c r="G903" s="13" t="s">
        <v>13244</v>
      </c>
    </row>
    <row r="904" spans="1:7" ht="409.6" x14ac:dyDescent="0.3">
      <c r="A904" s="13" t="s">
        <v>9829</v>
      </c>
      <c r="B904" s="13" t="s">
        <v>10720</v>
      </c>
      <c r="C904" s="13" t="s">
        <v>10721</v>
      </c>
      <c r="D904" s="13">
        <v>355</v>
      </c>
      <c r="E904" s="13" t="s">
        <v>9832</v>
      </c>
      <c r="F904" s="13">
        <v>5</v>
      </c>
      <c r="G904" s="13" t="s">
        <v>13244</v>
      </c>
    </row>
    <row r="905" spans="1:7" ht="115.2" x14ac:dyDescent="0.3">
      <c r="A905" s="13" t="s">
        <v>9829</v>
      </c>
      <c r="B905" s="13" t="s">
        <v>10722</v>
      </c>
      <c r="C905" s="13" t="s">
        <v>10723</v>
      </c>
      <c r="D905" s="13">
        <v>353</v>
      </c>
      <c r="E905" s="13" t="s">
        <v>9832</v>
      </c>
      <c r="F905" s="13">
        <v>5</v>
      </c>
      <c r="G905" s="13" t="s">
        <v>13245</v>
      </c>
    </row>
    <row r="906" spans="1:7" ht="115.2" x14ac:dyDescent="0.3">
      <c r="A906" s="13" t="s">
        <v>9829</v>
      </c>
      <c r="B906" s="13" t="s">
        <v>10722</v>
      </c>
      <c r="C906" s="13" t="s">
        <v>10723</v>
      </c>
      <c r="D906" s="13">
        <v>353</v>
      </c>
      <c r="E906" s="13" t="s">
        <v>9832</v>
      </c>
      <c r="F906" s="13">
        <v>5</v>
      </c>
      <c r="G906" s="13" t="s">
        <v>13245</v>
      </c>
    </row>
    <row r="907" spans="1:7" ht="28.8" x14ac:dyDescent="0.3">
      <c r="A907" s="13" t="s">
        <v>9829</v>
      </c>
      <c r="B907" s="13" t="s">
        <v>10724</v>
      </c>
      <c r="C907" s="13" t="s">
        <v>10725</v>
      </c>
      <c r="D907" s="13">
        <v>1248</v>
      </c>
      <c r="E907" s="13" t="s">
        <v>9836</v>
      </c>
      <c r="F907" s="13">
        <v>80</v>
      </c>
      <c r="G907" s="13" t="s">
        <v>9837</v>
      </c>
    </row>
    <row r="908" spans="1:7" ht="28.8" x14ac:dyDescent="0.3">
      <c r="A908" s="13" t="s">
        <v>9829</v>
      </c>
      <c r="B908" s="13" t="s">
        <v>10726</v>
      </c>
      <c r="C908" s="13" t="s">
        <v>10727</v>
      </c>
      <c r="D908" s="13">
        <v>1381</v>
      </c>
      <c r="E908" s="13" t="s">
        <v>9836</v>
      </c>
      <c r="F908" s="13">
        <v>50</v>
      </c>
      <c r="G908" s="13" t="s">
        <v>9837</v>
      </c>
    </row>
    <row r="909" spans="1:7" ht="28.8" x14ac:dyDescent="0.3">
      <c r="A909" s="13" t="s">
        <v>9829</v>
      </c>
      <c r="B909" s="13" t="s">
        <v>10726</v>
      </c>
      <c r="C909" s="13" t="s">
        <v>10727</v>
      </c>
      <c r="D909" s="13">
        <v>1381</v>
      </c>
      <c r="E909" s="13" t="s">
        <v>9836</v>
      </c>
      <c r="F909" s="13">
        <v>50</v>
      </c>
      <c r="G909" s="13" t="s">
        <v>9837</v>
      </c>
    </row>
    <row r="910" spans="1:7" ht="72" x14ac:dyDescent="0.3">
      <c r="A910" s="13" t="s">
        <v>9829</v>
      </c>
      <c r="B910" s="13" t="s">
        <v>10728</v>
      </c>
      <c r="C910" s="13" t="s">
        <v>10729</v>
      </c>
      <c r="D910" s="13">
        <v>1385</v>
      </c>
      <c r="E910" s="13" t="s">
        <v>9836</v>
      </c>
      <c r="F910" s="13">
        <v>50</v>
      </c>
      <c r="G910" s="13" t="s">
        <v>9837</v>
      </c>
    </row>
    <row r="911" spans="1:7" ht="72" x14ac:dyDescent="0.3">
      <c r="A911" s="13" t="s">
        <v>9829</v>
      </c>
      <c r="B911" s="13" t="s">
        <v>10728</v>
      </c>
      <c r="C911" s="13" t="s">
        <v>10729</v>
      </c>
      <c r="D911" s="13">
        <v>1385</v>
      </c>
      <c r="E911" s="13" t="s">
        <v>9836</v>
      </c>
      <c r="F911" s="13">
        <v>50</v>
      </c>
      <c r="G911" s="13" t="s">
        <v>9837</v>
      </c>
    </row>
    <row r="912" spans="1:7" ht="28.8" x14ac:dyDescent="0.3">
      <c r="A912" s="13" t="s">
        <v>9829</v>
      </c>
      <c r="B912" s="13" t="s">
        <v>10730</v>
      </c>
      <c r="C912" s="13" t="s">
        <v>10731</v>
      </c>
      <c r="D912" s="13">
        <v>1382</v>
      </c>
      <c r="E912" s="13" t="s">
        <v>9836</v>
      </c>
      <c r="F912" s="13">
        <v>50</v>
      </c>
      <c r="G912" s="13" t="s">
        <v>9837</v>
      </c>
    </row>
    <row r="913" spans="1:7" ht="28.8" x14ac:dyDescent="0.3">
      <c r="A913" s="13" t="s">
        <v>9829</v>
      </c>
      <c r="B913" s="13" t="s">
        <v>10730</v>
      </c>
      <c r="C913" s="13" t="s">
        <v>10731</v>
      </c>
      <c r="D913" s="13">
        <v>1382</v>
      </c>
      <c r="E913" s="13" t="s">
        <v>9836</v>
      </c>
      <c r="F913" s="13">
        <v>50</v>
      </c>
      <c r="G913" s="13" t="s">
        <v>9837</v>
      </c>
    </row>
    <row r="914" spans="1:7" ht="28.8" x14ac:dyDescent="0.3">
      <c r="A914" s="13" t="s">
        <v>9829</v>
      </c>
      <c r="B914" s="13" t="s">
        <v>10732</v>
      </c>
      <c r="C914" s="13" t="s">
        <v>10733</v>
      </c>
      <c r="D914" s="13">
        <v>1383</v>
      </c>
      <c r="E914" s="13" t="s">
        <v>9836</v>
      </c>
      <c r="F914" s="13">
        <v>50</v>
      </c>
      <c r="G914" s="13" t="s">
        <v>9837</v>
      </c>
    </row>
    <row r="915" spans="1:7" ht="28.8" x14ac:dyDescent="0.3">
      <c r="A915" s="13" t="s">
        <v>9829</v>
      </c>
      <c r="B915" s="13" t="s">
        <v>10732</v>
      </c>
      <c r="C915" s="13" t="s">
        <v>10733</v>
      </c>
      <c r="D915" s="13">
        <v>1383</v>
      </c>
      <c r="E915" s="13" t="s">
        <v>9836</v>
      </c>
      <c r="F915" s="13">
        <v>50</v>
      </c>
      <c r="G915" s="13" t="s">
        <v>9837</v>
      </c>
    </row>
    <row r="916" spans="1:7" ht="43.2" x14ac:dyDescent="0.3">
      <c r="A916" s="13" t="s">
        <v>9829</v>
      </c>
      <c r="B916" s="13" t="s">
        <v>10734</v>
      </c>
      <c r="C916" s="13" t="s">
        <v>10735</v>
      </c>
      <c r="D916" s="13">
        <v>1380</v>
      </c>
      <c r="E916" s="13" t="s">
        <v>9836</v>
      </c>
      <c r="F916" s="13">
        <v>50</v>
      </c>
      <c r="G916" s="13" t="s">
        <v>9837</v>
      </c>
    </row>
    <row r="917" spans="1:7" ht="43.2" x14ac:dyDescent="0.3">
      <c r="A917" s="13" t="s">
        <v>9829</v>
      </c>
      <c r="B917" s="13" t="s">
        <v>10734</v>
      </c>
      <c r="C917" s="13" t="s">
        <v>10735</v>
      </c>
      <c r="D917" s="13">
        <v>1380</v>
      </c>
      <c r="E917" s="13" t="s">
        <v>9836</v>
      </c>
      <c r="F917" s="13">
        <v>50</v>
      </c>
      <c r="G917" s="13" t="s">
        <v>9837</v>
      </c>
    </row>
    <row r="918" spans="1:7" ht="28.8" x14ac:dyDescent="0.3">
      <c r="A918" s="13" t="s">
        <v>9829</v>
      </c>
      <c r="B918" s="13" t="s">
        <v>10736</v>
      </c>
      <c r="C918" s="13" t="s">
        <v>10737</v>
      </c>
      <c r="D918" s="13">
        <v>1384</v>
      </c>
      <c r="E918" s="13" t="s">
        <v>9836</v>
      </c>
      <c r="F918" s="13">
        <v>50</v>
      </c>
      <c r="G918" s="13" t="s">
        <v>9837</v>
      </c>
    </row>
    <row r="919" spans="1:7" ht="28.8" x14ac:dyDescent="0.3">
      <c r="A919" s="13" t="s">
        <v>9829</v>
      </c>
      <c r="B919" s="13" t="s">
        <v>10736</v>
      </c>
      <c r="C919" s="13" t="s">
        <v>10737</v>
      </c>
      <c r="D919" s="13">
        <v>1384</v>
      </c>
      <c r="E919" s="13" t="s">
        <v>9836</v>
      </c>
      <c r="F919" s="13">
        <v>50</v>
      </c>
      <c r="G919" s="13" t="s">
        <v>9837</v>
      </c>
    </row>
    <row r="920" spans="1:7" ht="331.2" x14ac:dyDescent="0.3">
      <c r="A920" s="13" t="s">
        <v>9829</v>
      </c>
      <c r="B920" s="13" t="s">
        <v>10738</v>
      </c>
      <c r="C920" s="13" t="s">
        <v>10739</v>
      </c>
      <c r="D920" s="13">
        <v>1300</v>
      </c>
      <c r="E920" s="13" t="s">
        <v>9832</v>
      </c>
      <c r="F920" s="13">
        <v>5</v>
      </c>
      <c r="G920" s="13" t="s">
        <v>13246</v>
      </c>
    </row>
    <row r="921" spans="1:7" ht="43.2" x14ac:dyDescent="0.3">
      <c r="A921" s="13" t="s">
        <v>9829</v>
      </c>
      <c r="B921" s="13" t="s">
        <v>10740</v>
      </c>
      <c r="C921" s="13" t="s">
        <v>10741</v>
      </c>
      <c r="D921" s="13">
        <v>1126</v>
      </c>
      <c r="E921" s="13" t="s">
        <v>9836</v>
      </c>
      <c r="F921" s="13">
        <v>30</v>
      </c>
      <c r="G921" s="13" t="s">
        <v>9837</v>
      </c>
    </row>
    <row r="922" spans="1:7" ht="43.2" x14ac:dyDescent="0.3">
      <c r="A922" s="13" t="s">
        <v>9829</v>
      </c>
      <c r="B922" s="13" t="s">
        <v>10742</v>
      </c>
      <c r="C922" s="13" t="s">
        <v>10743</v>
      </c>
      <c r="D922" s="13">
        <v>404</v>
      </c>
      <c r="E922" s="13" t="s">
        <v>9836</v>
      </c>
      <c r="F922" s="13">
        <v>35</v>
      </c>
      <c r="G922" s="13" t="s">
        <v>9837</v>
      </c>
    </row>
    <row r="923" spans="1:7" ht="43.2" x14ac:dyDescent="0.3">
      <c r="A923" s="13" t="s">
        <v>9829</v>
      </c>
      <c r="B923" s="13" t="s">
        <v>10744</v>
      </c>
      <c r="C923" s="13" t="s">
        <v>10745</v>
      </c>
      <c r="D923" s="13">
        <v>507</v>
      </c>
      <c r="E923" s="13" t="s">
        <v>9836</v>
      </c>
      <c r="F923" s="13">
        <v>60</v>
      </c>
      <c r="G923" s="13" t="s">
        <v>9837</v>
      </c>
    </row>
    <row r="924" spans="1:7" ht="28.8" x14ac:dyDescent="0.3">
      <c r="A924" s="13" t="s">
        <v>9829</v>
      </c>
      <c r="B924" s="13" t="s">
        <v>10746</v>
      </c>
      <c r="C924" s="13" t="s">
        <v>10747</v>
      </c>
      <c r="D924" s="13">
        <v>653</v>
      </c>
      <c r="E924" s="13" t="s">
        <v>9836</v>
      </c>
      <c r="F924" s="13">
        <v>45</v>
      </c>
      <c r="G924" s="13" t="s">
        <v>9837</v>
      </c>
    </row>
    <row r="925" spans="1:7" ht="409.6" x14ac:dyDescent="0.3">
      <c r="A925" s="13" t="s">
        <v>9829</v>
      </c>
      <c r="B925" s="13" t="s">
        <v>10748</v>
      </c>
      <c r="C925" s="13" t="s">
        <v>10749</v>
      </c>
      <c r="D925" s="13">
        <v>400</v>
      </c>
      <c r="E925" s="13" t="s">
        <v>9832</v>
      </c>
      <c r="F925" s="13">
        <v>5</v>
      </c>
      <c r="G925" s="13" t="s">
        <v>13247</v>
      </c>
    </row>
    <row r="926" spans="1:7" ht="43.2" x14ac:dyDescent="0.3">
      <c r="A926" s="13" t="s">
        <v>9829</v>
      </c>
      <c r="B926" s="13" t="s">
        <v>10750</v>
      </c>
      <c r="C926" s="13" t="s">
        <v>10751</v>
      </c>
      <c r="D926" s="13">
        <v>357</v>
      </c>
      <c r="E926" s="13" t="s">
        <v>9836</v>
      </c>
      <c r="F926" s="13">
        <v>60</v>
      </c>
      <c r="G926" s="13" t="s">
        <v>9837</v>
      </c>
    </row>
    <row r="927" spans="1:7" ht="43.2" x14ac:dyDescent="0.3">
      <c r="A927" s="13" t="s">
        <v>9829</v>
      </c>
      <c r="B927" s="13" t="s">
        <v>10750</v>
      </c>
      <c r="C927" s="13" t="s">
        <v>10751</v>
      </c>
      <c r="D927" s="13">
        <v>357</v>
      </c>
      <c r="E927" s="13" t="s">
        <v>9836</v>
      </c>
      <c r="F927" s="13">
        <v>60</v>
      </c>
      <c r="G927" s="13" t="s">
        <v>9837</v>
      </c>
    </row>
    <row r="928" spans="1:7" ht="28.8" x14ac:dyDescent="0.3">
      <c r="A928" s="13" t="s">
        <v>9829</v>
      </c>
      <c r="B928" s="13" t="s">
        <v>10752</v>
      </c>
      <c r="C928" s="13" t="s">
        <v>10753</v>
      </c>
      <c r="D928" s="13">
        <v>356</v>
      </c>
      <c r="E928" s="13" t="s">
        <v>9836</v>
      </c>
      <c r="F928" s="13">
        <v>80</v>
      </c>
      <c r="G928" s="13" t="s">
        <v>9837</v>
      </c>
    </row>
    <row r="929" spans="1:7" ht="28.8" x14ac:dyDescent="0.3">
      <c r="A929" s="13" t="s">
        <v>9829</v>
      </c>
      <c r="B929" s="13" t="s">
        <v>10752</v>
      </c>
      <c r="C929" s="13" t="s">
        <v>10753</v>
      </c>
      <c r="D929" s="13">
        <v>356</v>
      </c>
      <c r="E929" s="13" t="s">
        <v>9836</v>
      </c>
      <c r="F929" s="13">
        <v>80</v>
      </c>
      <c r="G929" s="13" t="s">
        <v>9837</v>
      </c>
    </row>
    <row r="930" spans="1:7" ht="28.8" x14ac:dyDescent="0.3">
      <c r="A930" s="13" t="s">
        <v>9829</v>
      </c>
      <c r="B930" s="13" t="s">
        <v>10754</v>
      </c>
      <c r="C930" s="13" t="s">
        <v>10755</v>
      </c>
      <c r="D930" s="13">
        <v>358</v>
      </c>
      <c r="E930" s="13" t="s">
        <v>9863</v>
      </c>
      <c r="F930" s="13">
        <v>8</v>
      </c>
      <c r="G930" s="13" t="s">
        <v>9837</v>
      </c>
    </row>
    <row r="931" spans="1:7" ht="158.4" x14ac:dyDescent="0.3">
      <c r="A931" s="13" t="s">
        <v>9829</v>
      </c>
      <c r="B931" s="13" t="s">
        <v>10756</v>
      </c>
      <c r="C931" s="13" t="s">
        <v>10757</v>
      </c>
      <c r="D931" s="13">
        <v>359</v>
      </c>
      <c r="E931" s="13" t="s">
        <v>9832</v>
      </c>
      <c r="F931" s="13">
        <v>5</v>
      </c>
      <c r="G931" s="13" t="s">
        <v>13248</v>
      </c>
    </row>
    <row r="932" spans="1:7" ht="28.8" x14ac:dyDescent="0.3">
      <c r="A932" s="13" t="s">
        <v>9829</v>
      </c>
      <c r="B932" s="13" t="s">
        <v>10758</v>
      </c>
      <c r="C932" s="13" t="s">
        <v>10759</v>
      </c>
      <c r="D932" s="13">
        <v>1463</v>
      </c>
      <c r="E932" s="13" t="s">
        <v>9901</v>
      </c>
      <c r="F932" s="13">
        <v>5</v>
      </c>
      <c r="G932" s="13" t="s">
        <v>9837</v>
      </c>
    </row>
    <row r="933" spans="1:7" ht="28.8" x14ac:dyDescent="0.3">
      <c r="A933" s="13" t="s">
        <v>9829</v>
      </c>
      <c r="B933" s="13" t="s">
        <v>10760</v>
      </c>
      <c r="C933" s="13" t="s">
        <v>10761</v>
      </c>
      <c r="D933" s="13">
        <v>1259</v>
      </c>
      <c r="E933" s="13" t="s">
        <v>9836</v>
      </c>
      <c r="F933" s="13">
        <v>30</v>
      </c>
      <c r="G933" s="13" t="s">
        <v>9837</v>
      </c>
    </row>
    <row r="934" spans="1:7" ht="28.8" x14ac:dyDescent="0.3">
      <c r="A934" s="13" t="s">
        <v>9829</v>
      </c>
      <c r="B934" s="13" t="s">
        <v>10762</v>
      </c>
      <c r="C934" s="13" t="s">
        <v>10763</v>
      </c>
      <c r="D934" s="13">
        <v>1441</v>
      </c>
      <c r="E934" s="13" t="s">
        <v>9863</v>
      </c>
      <c r="F934" s="13">
        <v>8</v>
      </c>
      <c r="G934" s="13" t="s">
        <v>9837</v>
      </c>
    </row>
    <row r="935" spans="1:7" ht="409.6" x14ac:dyDescent="0.3">
      <c r="A935" s="13" t="s">
        <v>9829</v>
      </c>
      <c r="B935" s="13" t="s">
        <v>10764</v>
      </c>
      <c r="C935" s="13" t="s">
        <v>10765</v>
      </c>
      <c r="D935" s="13">
        <v>1533</v>
      </c>
      <c r="E935" s="13" t="s">
        <v>9832</v>
      </c>
      <c r="F935" s="13">
        <v>5</v>
      </c>
      <c r="G935" s="13" t="s">
        <v>13249</v>
      </c>
    </row>
    <row r="936" spans="1:7" ht="28.8" x14ac:dyDescent="0.3">
      <c r="A936" s="13" t="s">
        <v>9829</v>
      </c>
      <c r="B936" s="13" t="s">
        <v>10766</v>
      </c>
      <c r="C936" s="13" t="s">
        <v>10767</v>
      </c>
      <c r="D936" s="13">
        <v>1535</v>
      </c>
      <c r="E936" s="13" t="s">
        <v>9836</v>
      </c>
      <c r="F936" s="13">
        <v>50</v>
      </c>
      <c r="G936" s="13" t="s">
        <v>9837</v>
      </c>
    </row>
    <row r="937" spans="1:7" ht="409.6" x14ac:dyDescent="0.3">
      <c r="A937" s="13" t="s">
        <v>9829</v>
      </c>
      <c r="B937" s="13" t="s">
        <v>10768</v>
      </c>
      <c r="C937" s="13" t="s">
        <v>10769</v>
      </c>
      <c r="D937" s="13">
        <v>902</v>
      </c>
      <c r="E937" s="13" t="s">
        <v>9832</v>
      </c>
      <c r="F937" s="13">
        <v>5</v>
      </c>
      <c r="G937" s="13" t="s">
        <v>13249</v>
      </c>
    </row>
    <row r="938" spans="1:7" ht="331.2" x14ac:dyDescent="0.3">
      <c r="A938" s="13" t="s">
        <v>9829</v>
      </c>
      <c r="B938" s="13" t="s">
        <v>10770</v>
      </c>
      <c r="C938" s="13" t="s">
        <v>10771</v>
      </c>
      <c r="D938" s="13">
        <v>1537</v>
      </c>
      <c r="E938" s="13" t="s">
        <v>9832</v>
      </c>
      <c r="F938" s="13">
        <v>5</v>
      </c>
      <c r="G938" s="13" t="s">
        <v>13250</v>
      </c>
    </row>
    <row r="939" spans="1:7" ht="388.8" x14ac:dyDescent="0.3">
      <c r="A939" s="13" t="s">
        <v>9829</v>
      </c>
      <c r="B939" s="13" t="s">
        <v>10772</v>
      </c>
      <c r="C939" s="13" t="s">
        <v>10773</v>
      </c>
      <c r="D939" s="13">
        <v>1538</v>
      </c>
      <c r="E939" s="13" t="s">
        <v>9832</v>
      </c>
      <c r="F939" s="13">
        <v>5</v>
      </c>
      <c r="G939" s="13" t="s">
        <v>13251</v>
      </c>
    </row>
    <row r="940" spans="1:7" ht="28.8" x14ac:dyDescent="0.3">
      <c r="A940" s="13" t="s">
        <v>9829</v>
      </c>
      <c r="B940" s="13" t="s">
        <v>10774</v>
      </c>
      <c r="C940" s="13" t="s">
        <v>10775</v>
      </c>
      <c r="D940" s="13">
        <v>151</v>
      </c>
      <c r="E940" s="13" t="s">
        <v>9901</v>
      </c>
      <c r="F940" s="13">
        <v>3</v>
      </c>
      <c r="G940" s="13" t="s">
        <v>9837</v>
      </c>
    </row>
    <row r="941" spans="1:7" ht="28.8" x14ac:dyDescent="0.3">
      <c r="A941" s="13" t="s">
        <v>9829</v>
      </c>
      <c r="B941" s="13" t="s">
        <v>10774</v>
      </c>
      <c r="C941" s="13" t="s">
        <v>10775</v>
      </c>
      <c r="D941" s="13">
        <v>151</v>
      </c>
      <c r="E941" s="13" t="s">
        <v>9901</v>
      </c>
      <c r="F941" s="13">
        <v>3</v>
      </c>
      <c r="G941" s="13" t="s">
        <v>9837</v>
      </c>
    </row>
    <row r="942" spans="1:7" ht="28.8" x14ac:dyDescent="0.3">
      <c r="A942" s="13" t="s">
        <v>9829</v>
      </c>
      <c r="B942" s="13" t="s">
        <v>10774</v>
      </c>
      <c r="C942" s="13" t="s">
        <v>10775</v>
      </c>
      <c r="D942" s="13">
        <v>151</v>
      </c>
      <c r="E942" s="13" t="s">
        <v>9901</v>
      </c>
      <c r="F942" s="13">
        <v>3</v>
      </c>
      <c r="G942" s="13" t="s">
        <v>9837</v>
      </c>
    </row>
    <row r="943" spans="1:7" ht="28.8" x14ac:dyDescent="0.3">
      <c r="A943" s="13" t="s">
        <v>9829</v>
      </c>
      <c r="B943" s="13" t="s">
        <v>10774</v>
      </c>
      <c r="C943" s="13" t="s">
        <v>10775</v>
      </c>
      <c r="D943" s="13">
        <v>151</v>
      </c>
      <c r="E943" s="13" t="s">
        <v>9901</v>
      </c>
      <c r="F943" s="13">
        <v>3</v>
      </c>
      <c r="G943" s="13" t="s">
        <v>9837</v>
      </c>
    </row>
    <row r="944" spans="1:7" ht="28.8" x14ac:dyDescent="0.3">
      <c r="A944" s="13" t="s">
        <v>9829</v>
      </c>
      <c r="B944" s="13" t="s">
        <v>10774</v>
      </c>
      <c r="C944" s="13" t="s">
        <v>10775</v>
      </c>
      <c r="D944" s="13">
        <v>151</v>
      </c>
      <c r="E944" s="13" t="s">
        <v>9901</v>
      </c>
      <c r="F944" s="13">
        <v>3</v>
      </c>
      <c r="G944" s="13" t="s">
        <v>9837</v>
      </c>
    </row>
    <row r="945" spans="1:7" ht="28.8" x14ac:dyDescent="0.3">
      <c r="A945" s="13" t="s">
        <v>9829</v>
      </c>
      <c r="B945" s="13" t="s">
        <v>10774</v>
      </c>
      <c r="C945" s="13" t="s">
        <v>10775</v>
      </c>
      <c r="D945" s="13">
        <v>151</v>
      </c>
      <c r="E945" s="13" t="s">
        <v>9901</v>
      </c>
      <c r="F945" s="13">
        <v>3</v>
      </c>
      <c r="G945" s="13" t="s">
        <v>9837</v>
      </c>
    </row>
    <row r="946" spans="1:7" ht="28.8" x14ac:dyDescent="0.3">
      <c r="A946" s="13" t="s">
        <v>9829</v>
      </c>
      <c r="B946" s="13" t="s">
        <v>10774</v>
      </c>
      <c r="C946" s="13" t="s">
        <v>10775</v>
      </c>
      <c r="D946" s="13">
        <v>151</v>
      </c>
      <c r="E946" s="13" t="s">
        <v>9901</v>
      </c>
      <c r="F946" s="13">
        <v>3</v>
      </c>
      <c r="G946" s="13" t="s">
        <v>9837</v>
      </c>
    </row>
    <row r="947" spans="1:7" ht="28.8" x14ac:dyDescent="0.3">
      <c r="A947" s="13" t="s">
        <v>9829</v>
      </c>
      <c r="B947" s="13" t="s">
        <v>10774</v>
      </c>
      <c r="C947" s="13" t="s">
        <v>10775</v>
      </c>
      <c r="D947" s="13">
        <v>151</v>
      </c>
      <c r="E947" s="13" t="s">
        <v>9901</v>
      </c>
      <c r="F947" s="13">
        <v>3</v>
      </c>
      <c r="G947" s="13" t="s">
        <v>9837</v>
      </c>
    </row>
    <row r="948" spans="1:7" ht="28.8" x14ac:dyDescent="0.3">
      <c r="A948" s="13" t="s">
        <v>9829</v>
      </c>
      <c r="B948" s="13" t="s">
        <v>10774</v>
      </c>
      <c r="C948" s="13" t="s">
        <v>10775</v>
      </c>
      <c r="D948" s="13">
        <v>151</v>
      </c>
      <c r="E948" s="13" t="s">
        <v>9901</v>
      </c>
      <c r="F948" s="13">
        <v>3</v>
      </c>
      <c r="G948" s="13" t="s">
        <v>9837</v>
      </c>
    </row>
    <row r="949" spans="1:7" ht="28.8" x14ac:dyDescent="0.3">
      <c r="A949" s="13" t="s">
        <v>9829</v>
      </c>
      <c r="B949" s="13" t="s">
        <v>10774</v>
      </c>
      <c r="C949" s="13" t="s">
        <v>10775</v>
      </c>
      <c r="D949" s="13">
        <v>151</v>
      </c>
      <c r="E949" s="13" t="s">
        <v>9901</v>
      </c>
      <c r="F949" s="13">
        <v>3</v>
      </c>
      <c r="G949" s="13" t="s">
        <v>9837</v>
      </c>
    </row>
    <row r="950" spans="1:7" ht="345.6" x14ac:dyDescent="0.3">
      <c r="A950" s="13" t="s">
        <v>9829</v>
      </c>
      <c r="B950" s="13" t="s">
        <v>10776</v>
      </c>
      <c r="C950" s="13" t="s">
        <v>10777</v>
      </c>
      <c r="D950" s="13">
        <v>1132</v>
      </c>
      <c r="E950" s="13" t="s">
        <v>9832</v>
      </c>
      <c r="F950" s="13">
        <v>5</v>
      </c>
      <c r="G950" s="13" t="s">
        <v>13252</v>
      </c>
    </row>
    <row r="951" spans="1:7" ht="345.6" x14ac:dyDescent="0.3">
      <c r="A951" s="13" t="s">
        <v>9829</v>
      </c>
      <c r="B951" s="13" t="s">
        <v>10776</v>
      </c>
      <c r="C951" s="13" t="s">
        <v>10777</v>
      </c>
      <c r="D951" s="13">
        <v>1132</v>
      </c>
      <c r="E951" s="13" t="s">
        <v>9832</v>
      </c>
      <c r="F951" s="13">
        <v>5</v>
      </c>
      <c r="G951" s="13" t="s">
        <v>13252</v>
      </c>
    </row>
    <row r="952" spans="1:7" ht="28.8" x14ac:dyDescent="0.3">
      <c r="A952" s="13" t="s">
        <v>9829</v>
      </c>
      <c r="B952" s="13" t="s">
        <v>10778</v>
      </c>
      <c r="C952" s="13" t="s">
        <v>10779</v>
      </c>
      <c r="D952" s="13">
        <v>443</v>
      </c>
      <c r="E952" s="13" t="s">
        <v>9863</v>
      </c>
      <c r="F952" s="13">
        <v>8</v>
      </c>
      <c r="G952" s="13" t="s">
        <v>9837</v>
      </c>
    </row>
    <row r="953" spans="1:7" ht="43.2" x14ac:dyDescent="0.3">
      <c r="A953" s="13" t="s">
        <v>9829</v>
      </c>
      <c r="B953" s="13" t="s">
        <v>10780</v>
      </c>
      <c r="C953" s="13" t="s">
        <v>10781</v>
      </c>
      <c r="D953" s="13">
        <v>442</v>
      </c>
      <c r="E953" s="13" t="s">
        <v>9836</v>
      </c>
      <c r="F953" s="13">
        <v>60</v>
      </c>
      <c r="G953" s="13" t="s">
        <v>9837</v>
      </c>
    </row>
    <row r="954" spans="1:7" ht="28.8" x14ac:dyDescent="0.3">
      <c r="A954" s="13" t="s">
        <v>9829</v>
      </c>
      <c r="B954" s="13" t="s">
        <v>10782</v>
      </c>
      <c r="C954" s="13" t="s">
        <v>10783</v>
      </c>
      <c r="D954" s="13">
        <v>444</v>
      </c>
      <c r="E954" s="13" t="s">
        <v>9863</v>
      </c>
      <c r="F954" s="13">
        <v>8</v>
      </c>
      <c r="G954" s="13" t="s">
        <v>9837</v>
      </c>
    </row>
    <row r="955" spans="1:7" ht="43.2" x14ac:dyDescent="0.3">
      <c r="A955" s="13" t="s">
        <v>9829</v>
      </c>
      <c r="B955" s="13" t="s">
        <v>10784</v>
      </c>
      <c r="C955" s="13" t="s">
        <v>10785</v>
      </c>
      <c r="D955" s="13">
        <v>445</v>
      </c>
      <c r="E955" s="13" t="s">
        <v>9836</v>
      </c>
      <c r="F955" s="13">
        <v>60</v>
      </c>
      <c r="G955" s="13" t="s">
        <v>9837</v>
      </c>
    </row>
    <row r="956" spans="1:7" ht="57.6" x14ac:dyDescent="0.3">
      <c r="A956" s="13" t="s">
        <v>9829</v>
      </c>
      <c r="B956" s="13" t="s">
        <v>10786</v>
      </c>
      <c r="C956" s="13" t="s">
        <v>10787</v>
      </c>
      <c r="D956" s="13">
        <v>1390</v>
      </c>
      <c r="E956" s="13" t="s">
        <v>9836</v>
      </c>
      <c r="F956" s="13">
        <v>50</v>
      </c>
      <c r="G956" s="13" t="s">
        <v>9837</v>
      </c>
    </row>
    <row r="957" spans="1:7" ht="57.6" x14ac:dyDescent="0.3">
      <c r="A957" s="13" t="s">
        <v>9829</v>
      </c>
      <c r="B957" s="13" t="s">
        <v>10786</v>
      </c>
      <c r="C957" s="13" t="s">
        <v>10787</v>
      </c>
      <c r="D957" s="13">
        <v>1390</v>
      </c>
      <c r="E957" s="13" t="s">
        <v>9836</v>
      </c>
      <c r="F957" s="13">
        <v>50</v>
      </c>
      <c r="G957" s="13" t="s">
        <v>9837</v>
      </c>
    </row>
    <row r="958" spans="1:7" ht="57.6" x14ac:dyDescent="0.3">
      <c r="A958" s="13" t="s">
        <v>9829</v>
      </c>
      <c r="B958" s="13" t="s">
        <v>10786</v>
      </c>
      <c r="C958" s="13" t="s">
        <v>10787</v>
      </c>
      <c r="D958" s="13">
        <v>1390</v>
      </c>
      <c r="E958" s="13" t="s">
        <v>9836</v>
      </c>
      <c r="F958" s="13">
        <v>50</v>
      </c>
      <c r="G958" s="13" t="s">
        <v>9837</v>
      </c>
    </row>
    <row r="959" spans="1:7" ht="57.6" x14ac:dyDescent="0.3">
      <c r="A959" s="13" t="s">
        <v>9829</v>
      </c>
      <c r="B959" s="13" t="s">
        <v>10786</v>
      </c>
      <c r="C959" s="13" t="s">
        <v>10787</v>
      </c>
      <c r="D959" s="13">
        <v>1390</v>
      </c>
      <c r="E959" s="13" t="s">
        <v>9836</v>
      </c>
      <c r="F959" s="13">
        <v>50</v>
      </c>
      <c r="G959" s="13" t="s">
        <v>9837</v>
      </c>
    </row>
    <row r="960" spans="1:7" ht="57.6" x14ac:dyDescent="0.3">
      <c r="A960" s="13" t="s">
        <v>9829</v>
      </c>
      <c r="B960" s="13" t="s">
        <v>10786</v>
      </c>
      <c r="C960" s="13" t="s">
        <v>10787</v>
      </c>
      <c r="D960" s="13">
        <v>1390</v>
      </c>
      <c r="E960" s="13" t="s">
        <v>9836</v>
      </c>
      <c r="F960" s="13">
        <v>50</v>
      </c>
      <c r="G960" s="13" t="s">
        <v>9837</v>
      </c>
    </row>
    <row r="961" spans="1:7" ht="57.6" x14ac:dyDescent="0.3">
      <c r="A961" s="13" t="s">
        <v>9829</v>
      </c>
      <c r="B961" s="13" t="s">
        <v>10786</v>
      </c>
      <c r="C961" s="13" t="s">
        <v>10787</v>
      </c>
      <c r="D961" s="13">
        <v>1390</v>
      </c>
      <c r="E961" s="13" t="s">
        <v>9836</v>
      </c>
      <c r="F961" s="13">
        <v>50</v>
      </c>
      <c r="G961" s="13" t="s">
        <v>9837</v>
      </c>
    </row>
    <row r="962" spans="1:7" ht="316.8" x14ac:dyDescent="0.3">
      <c r="A962" s="13" t="s">
        <v>9829</v>
      </c>
      <c r="B962" s="13" t="s">
        <v>10788</v>
      </c>
      <c r="C962" s="13" t="s">
        <v>10789</v>
      </c>
      <c r="D962" s="13">
        <v>1354</v>
      </c>
      <c r="E962" s="13" t="s">
        <v>9832</v>
      </c>
      <c r="F962" s="13">
        <v>5</v>
      </c>
      <c r="G962" s="13" t="s">
        <v>13253</v>
      </c>
    </row>
    <row r="963" spans="1:7" ht="28.8" x14ac:dyDescent="0.3">
      <c r="A963" s="13" t="s">
        <v>9829</v>
      </c>
      <c r="B963" s="13" t="s">
        <v>10790</v>
      </c>
      <c r="C963" s="13" t="s">
        <v>10791</v>
      </c>
      <c r="D963" s="13">
        <v>1479</v>
      </c>
      <c r="E963" s="13" t="s">
        <v>9836</v>
      </c>
      <c r="F963" s="13">
        <v>80</v>
      </c>
      <c r="G963" s="13" t="s">
        <v>9837</v>
      </c>
    </row>
    <row r="964" spans="1:7" ht="28.8" x14ac:dyDescent="0.3">
      <c r="A964" s="13" t="s">
        <v>9829</v>
      </c>
      <c r="B964" s="13" t="s">
        <v>10792</v>
      </c>
      <c r="C964" s="13" t="s">
        <v>10793</v>
      </c>
      <c r="D964" s="13">
        <v>1480</v>
      </c>
      <c r="E964" s="13" t="s">
        <v>9901</v>
      </c>
      <c r="F964" s="13">
        <v>5</v>
      </c>
      <c r="G964" s="13" t="s">
        <v>9837</v>
      </c>
    </row>
    <row r="965" spans="1:7" ht="28.8" x14ac:dyDescent="0.3">
      <c r="A965" s="13" t="s">
        <v>9829</v>
      </c>
      <c r="B965" s="13" t="s">
        <v>10794</v>
      </c>
      <c r="C965" s="13" t="s">
        <v>10795</v>
      </c>
      <c r="D965" s="13">
        <v>1476</v>
      </c>
      <c r="E965" s="13" t="s">
        <v>9836</v>
      </c>
      <c r="F965" s="13">
        <v>80</v>
      </c>
      <c r="G965" s="13" t="s">
        <v>9837</v>
      </c>
    </row>
    <row r="966" spans="1:7" ht="409.6" x14ac:dyDescent="0.3">
      <c r="A966" s="13" t="s">
        <v>9829</v>
      </c>
      <c r="B966" s="13" t="s">
        <v>10796</v>
      </c>
      <c r="C966" s="13" t="s">
        <v>10797</v>
      </c>
      <c r="D966" s="13">
        <v>557</v>
      </c>
      <c r="E966" s="13" t="s">
        <v>9832</v>
      </c>
      <c r="F966" s="13">
        <v>5</v>
      </c>
      <c r="G966" s="13" t="s">
        <v>13254</v>
      </c>
    </row>
    <row r="967" spans="1:7" ht="409.6" x14ac:dyDescent="0.3">
      <c r="A967" s="13" t="s">
        <v>9829</v>
      </c>
      <c r="B967" s="13" t="s">
        <v>10796</v>
      </c>
      <c r="C967" s="13" t="s">
        <v>10797</v>
      </c>
      <c r="D967" s="13">
        <v>557</v>
      </c>
      <c r="E967" s="13" t="s">
        <v>9832</v>
      </c>
      <c r="F967" s="13">
        <v>5</v>
      </c>
      <c r="G967" s="13" t="s">
        <v>13254</v>
      </c>
    </row>
    <row r="968" spans="1:7" ht="409.6" x14ac:dyDescent="0.3">
      <c r="A968" s="13" t="s">
        <v>9829</v>
      </c>
      <c r="B968" s="13" t="s">
        <v>10798</v>
      </c>
      <c r="C968" s="13" t="s">
        <v>10799</v>
      </c>
      <c r="D968" s="13">
        <v>988</v>
      </c>
      <c r="E968" s="13" t="s">
        <v>9832</v>
      </c>
      <c r="F968" s="13">
        <v>5</v>
      </c>
      <c r="G968" s="13" t="s">
        <v>13255</v>
      </c>
    </row>
    <row r="969" spans="1:7" ht="172.8" x14ac:dyDescent="0.3">
      <c r="A969" s="13" t="s">
        <v>9829</v>
      </c>
      <c r="B969" s="13" t="s">
        <v>10800</v>
      </c>
      <c r="C969" s="13" t="s">
        <v>10801</v>
      </c>
      <c r="D969" s="13">
        <v>1294</v>
      </c>
      <c r="E969" s="13" t="s">
        <v>9832</v>
      </c>
      <c r="F969" s="13">
        <v>5</v>
      </c>
      <c r="G969" s="13" t="s">
        <v>13256</v>
      </c>
    </row>
    <row r="970" spans="1:7" ht="360" x14ac:dyDescent="0.3">
      <c r="A970" s="13" t="s">
        <v>9829</v>
      </c>
      <c r="B970" s="13" t="s">
        <v>10802</v>
      </c>
      <c r="C970" s="13" t="s">
        <v>10803</v>
      </c>
      <c r="D970" s="13">
        <v>1166</v>
      </c>
      <c r="E970" s="13" t="s">
        <v>9832</v>
      </c>
      <c r="F970" s="13">
        <v>5</v>
      </c>
      <c r="G970" s="13" t="s">
        <v>13257</v>
      </c>
    </row>
    <row r="971" spans="1:7" ht="360" x14ac:dyDescent="0.3">
      <c r="A971" s="13" t="s">
        <v>9829</v>
      </c>
      <c r="B971" s="13" t="s">
        <v>10802</v>
      </c>
      <c r="C971" s="13" t="s">
        <v>10803</v>
      </c>
      <c r="D971" s="13">
        <v>1166</v>
      </c>
      <c r="E971" s="13" t="s">
        <v>9832</v>
      </c>
      <c r="F971" s="13">
        <v>5</v>
      </c>
      <c r="G971" s="13" t="s">
        <v>13257</v>
      </c>
    </row>
    <row r="972" spans="1:7" ht="187.2" x14ac:dyDescent="0.3">
      <c r="A972" s="13" t="s">
        <v>9829</v>
      </c>
      <c r="B972" s="13" t="s">
        <v>10804</v>
      </c>
      <c r="C972" s="13" t="s">
        <v>10805</v>
      </c>
      <c r="D972" s="13">
        <v>1089</v>
      </c>
      <c r="E972" s="13" t="s">
        <v>9832</v>
      </c>
      <c r="F972" s="13">
        <v>5</v>
      </c>
      <c r="G972" s="13" t="s">
        <v>13258</v>
      </c>
    </row>
    <row r="973" spans="1:7" ht="187.2" x14ac:dyDescent="0.3">
      <c r="A973" s="13" t="s">
        <v>9829</v>
      </c>
      <c r="B973" s="13" t="s">
        <v>10804</v>
      </c>
      <c r="C973" s="13" t="s">
        <v>10805</v>
      </c>
      <c r="D973" s="13">
        <v>1089</v>
      </c>
      <c r="E973" s="13" t="s">
        <v>9832</v>
      </c>
      <c r="F973" s="13">
        <v>5</v>
      </c>
      <c r="G973" s="13" t="s">
        <v>13258</v>
      </c>
    </row>
    <row r="974" spans="1:7" ht="28.8" x14ac:dyDescent="0.3">
      <c r="A974" s="13" t="s">
        <v>9829</v>
      </c>
      <c r="B974" s="13" t="s">
        <v>10806</v>
      </c>
      <c r="C974" s="13" t="s">
        <v>10807</v>
      </c>
      <c r="D974" s="13">
        <v>586</v>
      </c>
      <c r="E974" s="13" t="s">
        <v>9832</v>
      </c>
      <c r="F974" s="13">
        <v>5</v>
      </c>
      <c r="G974" s="13" t="s">
        <v>9833</v>
      </c>
    </row>
    <row r="975" spans="1:7" ht="28.8" x14ac:dyDescent="0.3">
      <c r="A975" s="13" t="s">
        <v>9829</v>
      </c>
      <c r="B975" s="13" t="s">
        <v>10808</v>
      </c>
      <c r="C975" s="13" t="s">
        <v>10809</v>
      </c>
      <c r="D975" s="13">
        <v>157</v>
      </c>
      <c r="E975" s="13" t="s">
        <v>9836</v>
      </c>
      <c r="F975" s="13">
        <v>20</v>
      </c>
      <c r="G975" s="13" t="s">
        <v>9837</v>
      </c>
    </row>
    <row r="976" spans="1:7" ht="28.8" x14ac:dyDescent="0.3">
      <c r="A976" s="13" t="s">
        <v>9829</v>
      </c>
      <c r="B976" s="13" t="s">
        <v>10808</v>
      </c>
      <c r="C976" s="13" t="s">
        <v>10809</v>
      </c>
      <c r="D976" s="13">
        <v>157</v>
      </c>
      <c r="E976" s="13" t="s">
        <v>9836</v>
      </c>
      <c r="F976" s="13">
        <v>20</v>
      </c>
      <c r="G976" s="13" t="s">
        <v>9837</v>
      </c>
    </row>
    <row r="977" spans="1:7" ht="28.8" x14ac:dyDescent="0.3">
      <c r="A977" s="13" t="s">
        <v>9829</v>
      </c>
      <c r="B977" s="13" t="s">
        <v>10810</v>
      </c>
      <c r="C977" s="13" t="s">
        <v>10811</v>
      </c>
      <c r="D977" s="13">
        <v>1505</v>
      </c>
      <c r="E977" s="13" t="s">
        <v>9836</v>
      </c>
      <c r="F977" s="13">
        <v>80</v>
      </c>
      <c r="G977" s="13" t="s">
        <v>9837</v>
      </c>
    </row>
    <row r="978" spans="1:7" ht="28.8" x14ac:dyDescent="0.3">
      <c r="A978" s="13" t="s">
        <v>9829</v>
      </c>
      <c r="B978" s="13" t="s">
        <v>10810</v>
      </c>
      <c r="C978" s="13" t="s">
        <v>10811</v>
      </c>
      <c r="D978" s="13">
        <v>1505</v>
      </c>
      <c r="E978" s="13" t="s">
        <v>9836</v>
      </c>
      <c r="F978" s="13">
        <v>80</v>
      </c>
      <c r="G978" s="13" t="s">
        <v>9837</v>
      </c>
    </row>
    <row r="979" spans="1:7" ht="28.8" x14ac:dyDescent="0.3">
      <c r="A979" s="13" t="s">
        <v>9829</v>
      </c>
      <c r="B979" s="13" t="s">
        <v>10810</v>
      </c>
      <c r="C979" s="13" t="s">
        <v>10811</v>
      </c>
      <c r="D979" s="13">
        <v>1505</v>
      </c>
      <c r="E979" s="13" t="s">
        <v>9836</v>
      </c>
      <c r="F979" s="13">
        <v>80</v>
      </c>
      <c r="G979" s="13" t="s">
        <v>9837</v>
      </c>
    </row>
    <row r="980" spans="1:7" ht="28.8" x14ac:dyDescent="0.3">
      <c r="A980" s="13" t="s">
        <v>9829</v>
      </c>
      <c r="B980" s="13" t="s">
        <v>10810</v>
      </c>
      <c r="C980" s="13" t="s">
        <v>10811</v>
      </c>
      <c r="D980" s="13">
        <v>1505</v>
      </c>
      <c r="E980" s="13" t="s">
        <v>9836</v>
      </c>
      <c r="F980" s="13">
        <v>80</v>
      </c>
      <c r="G980" s="13" t="s">
        <v>9837</v>
      </c>
    </row>
    <row r="981" spans="1:7" ht="28.8" x14ac:dyDescent="0.3">
      <c r="A981" s="13" t="s">
        <v>9829</v>
      </c>
      <c r="B981" s="13" t="s">
        <v>10812</v>
      </c>
      <c r="C981" s="13" t="s">
        <v>10813</v>
      </c>
      <c r="D981" s="13">
        <v>1496</v>
      </c>
      <c r="E981" s="13" t="s">
        <v>9836</v>
      </c>
      <c r="F981" s="13">
        <v>60</v>
      </c>
      <c r="G981" s="13" t="s">
        <v>9837</v>
      </c>
    </row>
    <row r="982" spans="1:7" ht="28.8" x14ac:dyDescent="0.3">
      <c r="A982" s="13" t="s">
        <v>9829</v>
      </c>
      <c r="B982" s="13" t="s">
        <v>10812</v>
      </c>
      <c r="C982" s="13" t="s">
        <v>10813</v>
      </c>
      <c r="D982" s="13">
        <v>1496</v>
      </c>
      <c r="E982" s="13" t="s">
        <v>9836</v>
      </c>
      <c r="F982" s="13">
        <v>60</v>
      </c>
      <c r="G982" s="13" t="s">
        <v>9837</v>
      </c>
    </row>
    <row r="983" spans="1:7" ht="28.8" x14ac:dyDescent="0.3">
      <c r="A983" s="13" t="s">
        <v>9829</v>
      </c>
      <c r="B983" s="13" t="s">
        <v>10812</v>
      </c>
      <c r="C983" s="13" t="s">
        <v>10813</v>
      </c>
      <c r="D983" s="13">
        <v>1496</v>
      </c>
      <c r="E983" s="13" t="s">
        <v>9836</v>
      </c>
      <c r="F983" s="13">
        <v>60</v>
      </c>
      <c r="G983" s="13" t="s">
        <v>9837</v>
      </c>
    </row>
    <row r="984" spans="1:7" ht="28.8" x14ac:dyDescent="0.3">
      <c r="A984" s="13" t="s">
        <v>9829</v>
      </c>
      <c r="B984" s="13" t="s">
        <v>10812</v>
      </c>
      <c r="C984" s="13" t="s">
        <v>10813</v>
      </c>
      <c r="D984" s="13">
        <v>1496</v>
      </c>
      <c r="E984" s="13" t="s">
        <v>9836</v>
      </c>
      <c r="F984" s="13">
        <v>60</v>
      </c>
      <c r="G984" s="13" t="s">
        <v>9837</v>
      </c>
    </row>
    <row r="985" spans="1:7" ht="302.39999999999998" x14ac:dyDescent="0.3">
      <c r="A985" s="13" t="s">
        <v>9829</v>
      </c>
      <c r="B985" s="13" t="s">
        <v>10814</v>
      </c>
      <c r="C985" s="13" t="s">
        <v>10815</v>
      </c>
      <c r="D985" s="13">
        <v>1495</v>
      </c>
      <c r="E985" s="13" t="s">
        <v>9832</v>
      </c>
      <c r="F985" s="13">
        <v>5</v>
      </c>
      <c r="G985" s="13" t="s">
        <v>13259</v>
      </c>
    </row>
    <row r="986" spans="1:7" ht="302.39999999999998" x14ac:dyDescent="0.3">
      <c r="A986" s="13" t="s">
        <v>9829</v>
      </c>
      <c r="B986" s="13" t="s">
        <v>10814</v>
      </c>
      <c r="C986" s="13" t="s">
        <v>10815</v>
      </c>
      <c r="D986" s="13">
        <v>1495</v>
      </c>
      <c r="E986" s="13" t="s">
        <v>9832</v>
      </c>
      <c r="F986" s="13">
        <v>5</v>
      </c>
      <c r="G986" s="13" t="s">
        <v>13259</v>
      </c>
    </row>
    <row r="987" spans="1:7" ht="28.8" x14ac:dyDescent="0.3">
      <c r="A987" s="13" t="s">
        <v>9829</v>
      </c>
      <c r="B987" s="13" t="s">
        <v>10816</v>
      </c>
      <c r="C987" s="13" t="s">
        <v>10817</v>
      </c>
      <c r="D987" s="13">
        <v>1735</v>
      </c>
      <c r="E987" s="13" t="s">
        <v>9836</v>
      </c>
      <c r="F987" s="13">
        <v>100</v>
      </c>
      <c r="G987" s="13" t="s">
        <v>9837</v>
      </c>
    </row>
    <row r="988" spans="1:7" ht="28.8" x14ac:dyDescent="0.3">
      <c r="A988" s="13" t="s">
        <v>9829</v>
      </c>
      <c r="B988" s="13" t="s">
        <v>10818</v>
      </c>
      <c r="C988" s="13" t="s">
        <v>10819</v>
      </c>
      <c r="D988" s="13">
        <v>1504</v>
      </c>
      <c r="E988" s="13" t="s">
        <v>9836</v>
      </c>
      <c r="F988" s="13">
        <v>30</v>
      </c>
      <c r="G988" s="13" t="s">
        <v>9837</v>
      </c>
    </row>
    <row r="989" spans="1:7" ht="28.8" x14ac:dyDescent="0.3">
      <c r="A989" s="13" t="s">
        <v>9829</v>
      </c>
      <c r="B989" s="13" t="s">
        <v>10818</v>
      </c>
      <c r="C989" s="13" t="s">
        <v>10819</v>
      </c>
      <c r="D989" s="13">
        <v>1504</v>
      </c>
      <c r="E989" s="13" t="s">
        <v>9836</v>
      </c>
      <c r="F989" s="13">
        <v>30</v>
      </c>
      <c r="G989" s="13" t="s">
        <v>9837</v>
      </c>
    </row>
    <row r="990" spans="1:7" ht="28.8" x14ac:dyDescent="0.3">
      <c r="A990" s="13" t="s">
        <v>9829</v>
      </c>
      <c r="B990" s="13" t="s">
        <v>10818</v>
      </c>
      <c r="C990" s="13" t="s">
        <v>10819</v>
      </c>
      <c r="D990" s="13">
        <v>1504</v>
      </c>
      <c r="E990" s="13" t="s">
        <v>9836</v>
      </c>
      <c r="F990" s="13">
        <v>30</v>
      </c>
      <c r="G990" s="13" t="s">
        <v>9837</v>
      </c>
    </row>
    <row r="991" spans="1:7" ht="28.8" x14ac:dyDescent="0.3">
      <c r="A991" s="13" t="s">
        <v>9829</v>
      </c>
      <c r="B991" s="13" t="s">
        <v>10818</v>
      </c>
      <c r="C991" s="13" t="s">
        <v>10819</v>
      </c>
      <c r="D991" s="13">
        <v>1504</v>
      </c>
      <c r="E991" s="13" t="s">
        <v>9836</v>
      </c>
      <c r="F991" s="13">
        <v>30</v>
      </c>
      <c r="G991" s="13" t="s">
        <v>9837</v>
      </c>
    </row>
    <row r="992" spans="1:7" ht="28.8" x14ac:dyDescent="0.3">
      <c r="A992" s="13" t="s">
        <v>9829</v>
      </c>
      <c r="B992" s="13" t="s">
        <v>10820</v>
      </c>
      <c r="C992" s="13" t="s">
        <v>10821</v>
      </c>
      <c r="D992" s="13">
        <v>1499</v>
      </c>
      <c r="E992" s="13" t="s">
        <v>9863</v>
      </c>
      <c r="F992" s="13">
        <v>8</v>
      </c>
      <c r="G992" s="13" t="s">
        <v>9837</v>
      </c>
    </row>
    <row r="993" spans="1:7" ht="28.8" x14ac:dyDescent="0.3">
      <c r="A993" s="13" t="s">
        <v>9829</v>
      </c>
      <c r="B993" s="13" t="s">
        <v>10820</v>
      </c>
      <c r="C993" s="13" t="s">
        <v>10821</v>
      </c>
      <c r="D993" s="13">
        <v>1499</v>
      </c>
      <c r="E993" s="13" t="s">
        <v>9863</v>
      </c>
      <c r="F993" s="13">
        <v>8</v>
      </c>
      <c r="G993" s="13" t="s">
        <v>9837</v>
      </c>
    </row>
    <row r="994" spans="1:7" ht="28.8" x14ac:dyDescent="0.3">
      <c r="A994" s="13" t="s">
        <v>9829</v>
      </c>
      <c r="B994" s="13" t="s">
        <v>10820</v>
      </c>
      <c r="C994" s="13" t="s">
        <v>10821</v>
      </c>
      <c r="D994" s="13">
        <v>1499</v>
      </c>
      <c r="E994" s="13" t="s">
        <v>9863</v>
      </c>
      <c r="F994" s="13">
        <v>8</v>
      </c>
      <c r="G994" s="13" t="s">
        <v>9837</v>
      </c>
    </row>
    <row r="995" spans="1:7" ht="28.8" x14ac:dyDescent="0.3">
      <c r="A995" s="13" t="s">
        <v>9829</v>
      </c>
      <c r="B995" s="13" t="s">
        <v>10820</v>
      </c>
      <c r="C995" s="13" t="s">
        <v>10821</v>
      </c>
      <c r="D995" s="13">
        <v>1499</v>
      </c>
      <c r="E995" s="13" t="s">
        <v>9863</v>
      </c>
      <c r="F995" s="13">
        <v>8</v>
      </c>
      <c r="G995" s="13" t="s">
        <v>9837</v>
      </c>
    </row>
    <row r="996" spans="1:7" ht="115.2" x14ac:dyDescent="0.3">
      <c r="A996" s="13" t="s">
        <v>9829</v>
      </c>
      <c r="B996" s="13" t="s">
        <v>10822</v>
      </c>
      <c r="C996" s="13" t="s">
        <v>10823</v>
      </c>
      <c r="D996" s="13">
        <v>1036</v>
      </c>
      <c r="E996" s="13" t="s">
        <v>9832</v>
      </c>
      <c r="F996" s="13">
        <v>5</v>
      </c>
      <c r="G996" s="13" t="s">
        <v>13260</v>
      </c>
    </row>
    <row r="997" spans="1:7" ht="28.8" x14ac:dyDescent="0.3">
      <c r="A997" s="13" t="s">
        <v>9829</v>
      </c>
      <c r="B997" s="13" t="s">
        <v>10824</v>
      </c>
      <c r="C997" s="13" t="s">
        <v>10825</v>
      </c>
      <c r="D997" s="13">
        <v>547</v>
      </c>
      <c r="E997" s="13" t="s">
        <v>9880</v>
      </c>
      <c r="F997" s="13">
        <v>4.2</v>
      </c>
      <c r="G997" s="13" t="s">
        <v>9837</v>
      </c>
    </row>
    <row r="998" spans="1:7" ht="28.8" x14ac:dyDescent="0.3">
      <c r="A998" s="13" t="s">
        <v>9829</v>
      </c>
      <c r="B998" s="13" t="s">
        <v>10826</v>
      </c>
      <c r="C998" s="13" t="s">
        <v>10827</v>
      </c>
      <c r="D998" s="13">
        <v>551</v>
      </c>
      <c r="E998" s="13" t="s">
        <v>9880</v>
      </c>
      <c r="F998" s="13">
        <v>4.2</v>
      </c>
      <c r="G998" s="13" t="s">
        <v>9837</v>
      </c>
    </row>
    <row r="999" spans="1:7" ht="28.8" x14ac:dyDescent="0.3">
      <c r="A999" s="13" t="s">
        <v>9829</v>
      </c>
      <c r="B999" s="13" t="s">
        <v>10828</v>
      </c>
      <c r="C999" s="13" t="s">
        <v>10829</v>
      </c>
      <c r="D999" s="13">
        <v>549</v>
      </c>
      <c r="E999" s="13" t="s">
        <v>9863</v>
      </c>
      <c r="F999" s="13">
        <v>8</v>
      </c>
      <c r="G999" s="13" t="s">
        <v>9837</v>
      </c>
    </row>
    <row r="1000" spans="1:7" ht="28.8" x14ac:dyDescent="0.3">
      <c r="A1000" s="13" t="s">
        <v>9829</v>
      </c>
      <c r="B1000" s="13" t="s">
        <v>10830</v>
      </c>
      <c r="C1000" s="13" t="s">
        <v>10831</v>
      </c>
      <c r="D1000" s="13">
        <v>550</v>
      </c>
      <c r="E1000" s="13" t="s">
        <v>9863</v>
      </c>
      <c r="F1000" s="13">
        <v>8</v>
      </c>
      <c r="G1000" s="13" t="s">
        <v>9837</v>
      </c>
    </row>
    <row r="1001" spans="1:7" ht="86.4" x14ac:dyDescent="0.3">
      <c r="A1001" s="13" t="s">
        <v>9829</v>
      </c>
      <c r="B1001" s="13" t="s">
        <v>10832</v>
      </c>
      <c r="C1001" s="13" t="s">
        <v>10833</v>
      </c>
      <c r="D1001" s="13">
        <v>545</v>
      </c>
      <c r="E1001" s="13" t="s">
        <v>9832</v>
      </c>
      <c r="F1001" s="13">
        <v>5</v>
      </c>
      <c r="G1001" s="13" t="s">
        <v>13261</v>
      </c>
    </row>
    <row r="1002" spans="1:7" ht="187.2" x14ac:dyDescent="0.3">
      <c r="A1002" s="13" t="s">
        <v>9829</v>
      </c>
      <c r="B1002" s="13" t="s">
        <v>10834</v>
      </c>
      <c r="C1002" s="13" t="s">
        <v>10835</v>
      </c>
      <c r="D1002" s="13">
        <v>544</v>
      </c>
      <c r="E1002" s="13" t="s">
        <v>9832</v>
      </c>
      <c r="F1002" s="13">
        <v>5</v>
      </c>
      <c r="G1002" s="13" t="s">
        <v>13262</v>
      </c>
    </row>
    <row r="1003" spans="1:7" ht="43.2" x14ac:dyDescent="0.3">
      <c r="A1003" s="13" t="s">
        <v>9829</v>
      </c>
      <c r="B1003" s="13" t="s">
        <v>10836</v>
      </c>
      <c r="C1003" s="13" t="s">
        <v>10837</v>
      </c>
      <c r="D1003" s="13">
        <v>725</v>
      </c>
      <c r="E1003" s="13" t="s">
        <v>9836</v>
      </c>
      <c r="F1003" s="13">
        <v>8</v>
      </c>
      <c r="G1003" s="13" t="s">
        <v>9837</v>
      </c>
    </row>
    <row r="1004" spans="1:7" ht="28.8" x14ac:dyDescent="0.3">
      <c r="A1004" s="13" t="s">
        <v>9829</v>
      </c>
      <c r="B1004" s="13" t="s">
        <v>10838</v>
      </c>
      <c r="C1004" s="13" t="s">
        <v>10839</v>
      </c>
      <c r="D1004" s="13">
        <v>160</v>
      </c>
      <c r="E1004" s="13" t="s">
        <v>9863</v>
      </c>
      <c r="F1004" s="13">
        <v>8</v>
      </c>
      <c r="G1004" s="13" t="s">
        <v>9837</v>
      </c>
    </row>
    <row r="1005" spans="1:7" ht="28.8" x14ac:dyDescent="0.3">
      <c r="A1005" s="13" t="s">
        <v>9829</v>
      </c>
      <c r="B1005" s="13" t="s">
        <v>10838</v>
      </c>
      <c r="C1005" s="13" t="s">
        <v>10839</v>
      </c>
      <c r="D1005" s="13">
        <v>160</v>
      </c>
      <c r="E1005" s="13" t="s">
        <v>9863</v>
      </c>
      <c r="F1005" s="13">
        <v>8</v>
      </c>
      <c r="G1005" s="13" t="s">
        <v>9837</v>
      </c>
    </row>
    <row r="1006" spans="1:7" ht="28.8" x14ac:dyDescent="0.3">
      <c r="A1006" s="13" t="s">
        <v>9829</v>
      </c>
      <c r="B1006" s="13" t="s">
        <v>10840</v>
      </c>
      <c r="C1006" s="13" t="s">
        <v>10841</v>
      </c>
      <c r="D1006" s="13">
        <v>161</v>
      </c>
      <c r="E1006" s="13" t="s">
        <v>9836</v>
      </c>
      <c r="F1006" s="13">
        <v>80</v>
      </c>
      <c r="G1006" s="13" t="s">
        <v>9837</v>
      </c>
    </row>
    <row r="1007" spans="1:7" ht="28.8" x14ac:dyDescent="0.3">
      <c r="A1007" s="13" t="s">
        <v>9829</v>
      </c>
      <c r="B1007" s="13" t="s">
        <v>10840</v>
      </c>
      <c r="C1007" s="13" t="s">
        <v>10841</v>
      </c>
      <c r="D1007" s="13">
        <v>161</v>
      </c>
      <c r="E1007" s="13" t="s">
        <v>9836</v>
      </c>
      <c r="F1007" s="13">
        <v>80</v>
      </c>
      <c r="G1007" s="13" t="s">
        <v>9837</v>
      </c>
    </row>
    <row r="1008" spans="1:7" ht="28.8" x14ac:dyDescent="0.3">
      <c r="A1008" s="13" t="s">
        <v>9829</v>
      </c>
      <c r="B1008" s="13" t="s">
        <v>10842</v>
      </c>
      <c r="C1008" s="13" t="s">
        <v>10843</v>
      </c>
      <c r="D1008" s="13">
        <v>162</v>
      </c>
      <c r="E1008" s="13" t="s">
        <v>9836</v>
      </c>
      <c r="F1008" s="13">
        <v>10</v>
      </c>
      <c r="G1008" s="13" t="s">
        <v>9837</v>
      </c>
    </row>
    <row r="1009" spans="1:7" ht="28.8" x14ac:dyDescent="0.3">
      <c r="A1009" s="13" t="s">
        <v>9829</v>
      </c>
      <c r="B1009" s="13" t="s">
        <v>10842</v>
      </c>
      <c r="C1009" s="13" t="s">
        <v>10843</v>
      </c>
      <c r="D1009" s="13">
        <v>162</v>
      </c>
      <c r="E1009" s="13" t="s">
        <v>9836</v>
      </c>
      <c r="F1009" s="13">
        <v>10</v>
      </c>
      <c r="G1009" s="13" t="s">
        <v>9837</v>
      </c>
    </row>
    <row r="1010" spans="1:7" ht="28.8" x14ac:dyDescent="0.3">
      <c r="A1010" s="13" t="s">
        <v>9829</v>
      </c>
      <c r="B1010" s="13" t="s">
        <v>10844</v>
      </c>
      <c r="C1010" s="13" t="s">
        <v>10845</v>
      </c>
      <c r="D1010" s="13">
        <v>163</v>
      </c>
      <c r="E1010" s="13" t="s">
        <v>9863</v>
      </c>
      <c r="F1010" s="13">
        <v>8</v>
      </c>
      <c r="G1010" s="13" t="s">
        <v>9837</v>
      </c>
    </row>
    <row r="1011" spans="1:7" ht="28.8" x14ac:dyDescent="0.3">
      <c r="A1011" s="13" t="s">
        <v>9829</v>
      </c>
      <c r="B1011" s="13" t="s">
        <v>10844</v>
      </c>
      <c r="C1011" s="13" t="s">
        <v>10845</v>
      </c>
      <c r="D1011" s="13">
        <v>163</v>
      </c>
      <c r="E1011" s="13" t="s">
        <v>9863</v>
      </c>
      <c r="F1011" s="13">
        <v>8</v>
      </c>
      <c r="G1011" s="13" t="s">
        <v>9837</v>
      </c>
    </row>
    <row r="1012" spans="1:7" ht="28.8" x14ac:dyDescent="0.3">
      <c r="A1012" s="13" t="s">
        <v>9829</v>
      </c>
      <c r="B1012" s="13" t="s">
        <v>10846</v>
      </c>
      <c r="C1012" s="13" t="s">
        <v>10847</v>
      </c>
      <c r="D1012" s="13">
        <v>164</v>
      </c>
      <c r="E1012" s="13" t="s">
        <v>9836</v>
      </c>
      <c r="F1012" s="13">
        <v>45</v>
      </c>
      <c r="G1012" s="13" t="s">
        <v>9837</v>
      </c>
    </row>
    <row r="1013" spans="1:7" ht="28.8" x14ac:dyDescent="0.3">
      <c r="A1013" s="13" t="s">
        <v>9829</v>
      </c>
      <c r="B1013" s="13" t="s">
        <v>10846</v>
      </c>
      <c r="C1013" s="13" t="s">
        <v>10847</v>
      </c>
      <c r="D1013" s="13">
        <v>164</v>
      </c>
      <c r="E1013" s="13" t="s">
        <v>9836</v>
      </c>
      <c r="F1013" s="13">
        <v>45</v>
      </c>
      <c r="G1013" s="13" t="s">
        <v>9837</v>
      </c>
    </row>
    <row r="1014" spans="1:7" ht="28.8" x14ac:dyDescent="0.3">
      <c r="A1014" s="13" t="s">
        <v>9829</v>
      </c>
      <c r="B1014" s="13" t="s">
        <v>10848</v>
      </c>
      <c r="C1014" s="13" t="s">
        <v>10849</v>
      </c>
      <c r="D1014" s="13">
        <v>165</v>
      </c>
      <c r="E1014" s="13" t="s">
        <v>9836</v>
      </c>
      <c r="F1014" s="13">
        <v>80</v>
      </c>
      <c r="G1014" s="13" t="s">
        <v>9837</v>
      </c>
    </row>
    <row r="1015" spans="1:7" ht="28.8" x14ac:dyDescent="0.3">
      <c r="A1015" s="13" t="s">
        <v>9829</v>
      </c>
      <c r="B1015" s="13" t="s">
        <v>10848</v>
      </c>
      <c r="C1015" s="13" t="s">
        <v>10849</v>
      </c>
      <c r="D1015" s="13">
        <v>165</v>
      </c>
      <c r="E1015" s="13" t="s">
        <v>9836</v>
      </c>
      <c r="F1015" s="13">
        <v>80</v>
      </c>
      <c r="G1015" s="13" t="s">
        <v>9837</v>
      </c>
    </row>
    <row r="1016" spans="1:7" ht="28.8" x14ac:dyDescent="0.3">
      <c r="A1016" s="13" t="s">
        <v>9829</v>
      </c>
      <c r="B1016" s="13" t="s">
        <v>10850</v>
      </c>
      <c r="C1016" s="13" t="s">
        <v>10843</v>
      </c>
      <c r="D1016" s="13">
        <v>166</v>
      </c>
      <c r="E1016" s="13" t="s">
        <v>9836</v>
      </c>
      <c r="F1016" s="13">
        <v>10</v>
      </c>
      <c r="G1016" s="13" t="s">
        <v>9837</v>
      </c>
    </row>
    <row r="1017" spans="1:7" ht="28.8" x14ac:dyDescent="0.3">
      <c r="A1017" s="13" t="s">
        <v>9829</v>
      </c>
      <c r="B1017" s="13" t="s">
        <v>10850</v>
      </c>
      <c r="C1017" s="13" t="s">
        <v>10843</v>
      </c>
      <c r="D1017" s="13">
        <v>166</v>
      </c>
      <c r="E1017" s="13" t="s">
        <v>9836</v>
      </c>
      <c r="F1017" s="13">
        <v>10</v>
      </c>
      <c r="G1017" s="13" t="s">
        <v>9837</v>
      </c>
    </row>
    <row r="1018" spans="1:7" ht="28.8" x14ac:dyDescent="0.3">
      <c r="A1018" s="13" t="s">
        <v>9829</v>
      </c>
      <c r="B1018" s="13" t="s">
        <v>10851</v>
      </c>
      <c r="C1018" s="13" t="s">
        <v>10852</v>
      </c>
      <c r="D1018" s="13">
        <v>167</v>
      </c>
      <c r="E1018" s="13" t="s">
        <v>9836</v>
      </c>
      <c r="F1018" s="13">
        <v>45</v>
      </c>
      <c r="G1018" s="13" t="s">
        <v>9837</v>
      </c>
    </row>
    <row r="1019" spans="1:7" ht="28.8" x14ac:dyDescent="0.3">
      <c r="A1019" s="13" t="s">
        <v>9829</v>
      </c>
      <c r="B1019" s="13" t="s">
        <v>10851</v>
      </c>
      <c r="C1019" s="13" t="s">
        <v>10852</v>
      </c>
      <c r="D1019" s="13">
        <v>167</v>
      </c>
      <c r="E1019" s="13" t="s">
        <v>9836</v>
      </c>
      <c r="F1019" s="13">
        <v>45</v>
      </c>
      <c r="G1019" s="13" t="s">
        <v>9837</v>
      </c>
    </row>
    <row r="1020" spans="1:7" ht="28.8" x14ac:dyDescent="0.3">
      <c r="A1020" s="13" t="s">
        <v>9829</v>
      </c>
      <c r="B1020" s="13" t="s">
        <v>10853</v>
      </c>
      <c r="C1020" s="13" t="s">
        <v>10854</v>
      </c>
      <c r="D1020" s="13">
        <v>168</v>
      </c>
      <c r="E1020" s="13" t="s">
        <v>9836</v>
      </c>
      <c r="F1020" s="13">
        <v>80</v>
      </c>
      <c r="G1020" s="13" t="s">
        <v>9837</v>
      </c>
    </row>
    <row r="1021" spans="1:7" ht="28.8" x14ac:dyDescent="0.3">
      <c r="A1021" s="13" t="s">
        <v>9829</v>
      </c>
      <c r="B1021" s="13" t="s">
        <v>10853</v>
      </c>
      <c r="C1021" s="13" t="s">
        <v>10854</v>
      </c>
      <c r="D1021" s="13">
        <v>168</v>
      </c>
      <c r="E1021" s="13" t="s">
        <v>9836</v>
      </c>
      <c r="F1021" s="13">
        <v>80</v>
      </c>
      <c r="G1021" s="13" t="s">
        <v>9837</v>
      </c>
    </row>
    <row r="1022" spans="1:7" ht="28.8" x14ac:dyDescent="0.3">
      <c r="A1022" s="13" t="s">
        <v>9829</v>
      </c>
      <c r="B1022" s="13" t="s">
        <v>10855</v>
      </c>
      <c r="C1022" s="13" t="s">
        <v>10856</v>
      </c>
      <c r="D1022" s="13">
        <v>169</v>
      </c>
      <c r="E1022" s="13" t="s">
        <v>9836</v>
      </c>
      <c r="F1022" s="13">
        <v>80</v>
      </c>
      <c r="G1022" s="13" t="s">
        <v>9837</v>
      </c>
    </row>
    <row r="1023" spans="1:7" ht="28.8" x14ac:dyDescent="0.3">
      <c r="A1023" s="13" t="s">
        <v>9829</v>
      </c>
      <c r="B1023" s="13" t="s">
        <v>10855</v>
      </c>
      <c r="C1023" s="13" t="s">
        <v>10856</v>
      </c>
      <c r="D1023" s="13">
        <v>169</v>
      </c>
      <c r="E1023" s="13" t="s">
        <v>9836</v>
      </c>
      <c r="F1023" s="13">
        <v>80</v>
      </c>
      <c r="G1023" s="13" t="s">
        <v>9837</v>
      </c>
    </row>
    <row r="1024" spans="1:7" ht="201.6" x14ac:dyDescent="0.3">
      <c r="A1024" s="13" t="s">
        <v>9829</v>
      </c>
      <c r="B1024" s="13" t="s">
        <v>10857</v>
      </c>
      <c r="C1024" s="13" t="s">
        <v>10858</v>
      </c>
      <c r="D1024" s="13">
        <v>372</v>
      </c>
      <c r="E1024" s="13" t="s">
        <v>9832</v>
      </c>
      <c r="F1024" s="13">
        <v>5</v>
      </c>
      <c r="G1024" s="13" t="s">
        <v>13263</v>
      </c>
    </row>
    <row r="1025" spans="1:7" ht="72" x14ac:dyDescent="0.3">
      <c r="A1025" s="13" t="s">
        <v>9829</v>
      </c>
      <c r="B1025" s="13" t="s">
        <v>10859</v>
      </c>
      <c r="C1025" s="13" t="s">
        <v>10860</v>
      </c>
      <c r="D1025" s="13">
        <v>1318</v>
      </c>
      <c r="E1025" s="13" t="s">
        <v>9836</v>
      </c>
      <c r="F1025" s="13">
        <v>30</v>
      </c>
      <c r="G1025" s="13" t="s">
        <v>9837</v>
      </c>
    </row>
    <row r="1026" spans="1:7" ht="86.4" x14ac:dyDescent="0.3">
      <c r="A1026" s="13" t="s">
        <v>9829</v>
      </c>
      <c r="B1026" s="13" t="s">
        <v>10861</v>
      </c>
      <c r="C1026" s="13" t="s">
        <v>10862</v>
      </c>
      <c r="D1026" s="13">
        <v>610</v>
      </c>
      <c r="E1026" s="13" t="s">
        <v>9832</v>
      </c>
      <c r="F1026" s="13">
        <v>5</v>
      </c>
      <c r="G1026" s="13" t="s">
        <v>13264</v>
      </c>
    </row>
    <row r="1027" spans="1:7" ht="86.4" x14ac:dyDescent="0.3">
      <c r="A1027" s="13" t="s">
        <v>9829</v>
      </c>
      <c r="B1027" s="13" t="s">
        <v>10861</v>
      </c>
      <c r="C1027" s="13" t="s">
        <v>10862</v>
      </c>
      <c r="D1027" s="13">
        <v>610</v>
      </c>
      <c r="E1027" s="13" t="s">
        <v>9832</v>
      </c>
      <c r="F1027" s="13">
        <v>5</v>
      </c>
      <c r="G1027" s="13" t="s">
        <v>13264</v>
      </c>
    </row>
    <row r="1028" spans="1:7" ht="43.2" x14ac:dyDescent="0.3">
      <c r="A1028" s="13" t="s">
        <v>9829</v>
      </c>
      <c r="B1028" s="13" t="s">
        <v>10863</v>
      </c>
      <c r="C1028" s="13" t="s">
        <v>10864</v>
      </c>
      <c r="D1028" s="13">
        <v>785</v>
      </c>
      <c r="E1028" s="13" t="s">
        <v>9863</v>
      </c>
      <c r="F1028" s="13">
        <v>8</v>
      </c>
      <c r="G1028" s="13" t="s">
        <v>9837</v>
      </c>
    </row>
    <row r="1029" spans="1:7" ht="43.2" x14ac:dyDescent="0.3">
      <c r="A1029" s="13" t="s">
        <v>9829</v>
      </c>
      <c r="B1029" s="13" t="s">
        <v>10865</v>
      </c>
      <c r="C1029" s="13" t="s">
        <v>10866</v>
      </c>
      <c r="D1029" s="13">
        <v>784</v>
      </c>
      <c r="E1029" s="13" t="s">
        <v>9836</v>
      </c>
      <c r="F1029" s="13">
        <v>35</v>
      </c>
      <c r="G1029" s="13" t="s">
        <v>9837</v>
      </c>
    </row>
    <row r="1030" spans="1:7" ht="57.6" x14ac:dyDescent="0.3">
      <c r="A1030" s="13" t="s">
        <v>9829</v>
      </c>
      <c r="B1030" s="13" t="s">
        <v>10867</v>
      </c>
      <c r="C1030" s="13" t="s">
        <v>10868</v>
      </c>
      <c r="D1030" s="13">
        <v>783</v>
      </c>
      <c r="E1030" s="13" t="s">
        <v>9836</v>
      </c>
      <c r="F1030" s="13">
        <v>60</v>
      </c>
      <c r="G1030" s="13" t="s">
        <v>9837</v>
      </c>
    </row>
    <row r="1031" spans="1:7" ht="43.2" x14ac:dyDescent="0.3">
      <c r="A1031" s="13" t="s">
        <v>9829</v>
      </c>
      <c r="B1031" s="13" t="s">
        <v>10869</v>
      </c>
      <c r="C1031" s="13" t="s">
        <v>10870</v>
      </c>
      <c r="D1031" s="13">
        <v>786</v>
      </c>
      <c r="E1031" s="13" t="s">
        <v>9863</v>
      </c>
      <c r="F1031" s="13">
        <v>8</v>
      </c>
      <c r="G1031" s="13" t="s">
        <v>9837</v>
      </c>
    </row>
    <row r="1032" spans="1:7" ht="28.8" x14ac:dyDescent="0.3">
      <c r="A1032" s="13" t="s">
        <v>9829</v>
      </c>
      <c r="B1032" s="13" t="s">
        <v>10871</v>
      </c>
      <c r="C1032" s="13" t="s">
        <v>10872</v>
      </c>
      <c r="D1032" s="13">
        <v>1451</v>
      </c>
      <c r="E1032" s="13" t="s">
        <v>9832</v>
      </c>
      <c r="F1032" s="13">
        <v>5</v>
      </c>
      <c r="G1032" s="13" t="s">
        <v>9833</v>
      </c>
    </row>
    <row r="1033" spans="1:7" ht="331.2" x14ac:dyDescent="0.3">
      <c r="A1033" s="13" t="s">
        <v>9829</v>
      </c>
      <c r="B1033" s="13" t="s">
        <v>10873</v>
      </c>
      <c r="C1033" s="13" t="s">
        <v>10874</v>
      </c>
      <c r="D1033" s="13">
        <v>1881</v>
      </c>
      <c r="E1033" s="13" t="s">
        <v>9832</v>
      </c>
      <c r="F1033" s="13">
        <v>5</v>
      </c>
      <c r="G1033" s="13" t="s">
        <v>13265</v>
      </c>
    </row>
    <row r="1034" spans="1:7" ht="388.8" x14ac:dyDescent="0.3">
      <c r="A1034" s="13" t="s">
        <v>9829</v>
      </c>
      <c r="B1034" s="13" t="s">
        <v>10875</v>
      </c>
      <c r="C1034" s="13" t="s">
        <v>10876</v>
      </c>
      <c r="D1034" s="13">
        <v>1283</v>
      </c>
      <c r="E1034" s="13" t="s">
        <v>9832</v>
      </c>
      <c r="F1034" s="13">
        <v>5</v>
      </c>
      <c r="G1034" s="13" t="s">
        <v>13266</v>
      </c>
    </row>
    <row r="1035" spans="1:7" ht="388.8" x14ac:dyDescent="0.3">
      <c r="A1035" s="13" t="s">
        <v>9829</v>
      </c>
      <c r="B1035" s="13" t="s">
        <v>10875</v>
      </c>
      <c r="C1035" s="13" t="s">
        <v>10876</v>
      </c>
      <c r="D1035" s="13">
        <v>1283</v>
      </c>
      <c r="E1035" s="13" t="s">
        <v>9832</v>
      </c>
      <c r="F1035" s="13">
        <v>5</v>
      </c>
      <c r="G1035" s="13" t="s">
        <v>13266</v>
      </c>
    </row>
    <row r="1036" spans="1:7" ht="374.4" x14ac:dyDescent="0.3">
      <c r="A1036" s="13" t="s">
        <v>9829</v>
      </c>
      <c r="B1036" s="13" t="s">
        <v>10877</v>
      </c>
      <c r="C1036" s="13" t="s">
        <v>10878</v>
      </c>
      <c r="D1036" s="13">
        <v>839</v>
      </c>
      <c r="E1036" s="13" t="s">
        <v>9832</v>
      </c>
      <c r="F1036" s="13">
        <v>5</v>
      </c>
      <c r="G1036" s="13" t="s">
        <v>13267</v>
      </c>
    </row>
    <row r="1037" spans="1:7" ht="374.4" x14ac:dyDescent="0.3">
      <c r="A1037" s="13" t="s">
        <v>9829</v>
      </c>
      <c r="B1037" s="13" t="s">
        <v>10877</v>
      </c>
      <c r="C1037" s="13" t="s">
        <v>10878</v>
      </c>
      <c r="D1037" s="13">
        <v>839</v>
      </c>
      <c r="E1037" s="13" t="s">
        <v>9832</v>
      </c>
      <c r="F1037" s="13">
        <v>5</v>
      </c>
      <c r="G1037" s="13" t="s">
        <v>13267</v>
      </c>
    </row>
    <row r="1038" spans="1:7" ht="374.4" x14ac:dyDescent="0.3">
      <c r="A1038" s="13" t="s">
        <v>9829</v>
      </c>
      <c r="B1038" s="13" t="s">
        <v>10877</v>
      </c>
      <c r="C1038" s="13" t="s">
        <v>10878</v>
      </c>
      <c r="D1038" s="13">
        <v>839</v>
      </c>
      <c r="E1038" s="13" t="s">
        <v>9832</v>
      </c>
      <c r="F1038" s="13">
        <v>5</v>
      </c>
      <c r="G1038" s="13" t="s">
        <v>13267</v>
      </c>
    </row>
    <row r="1039" spans="1:7" ht="57.6" x14ac:dyDescent="0.3">
      <c r="A1039" s="13" t="s">
        <v>9829</v>
      </c>
      <c r="B1039" s="13" t="s">
        <v>10879</v>
      </c>
      <c r="C1039" s="13" t="s">
        <v>10880</v>
      </c>
      <c r="D1039" s="13">
        <v>175</v>
      </c>
      <c r="E1039" s="13" t="s">
        <v>9863</v>
      </c>
      <c r="F1039" s="13">
        <v>8</v>
      </c>
      <c r="G1039" s="13" t="s">
        <v>9837</v>
      </c>
    </row>
    <row r="1040" spans="1:7" ht="57.6" x14ac:dyDescent="0.3">
      <c r="A1040" s="13" t="s">
        <v>9829</v>
      </c>
      <c r="B1040" s="13" t="s">
        <v>10879</v>
      </c>
      <c r="C1040" s="13" t="s">
        <v>10880</v>
      </c>
      <c r="D1040" s="13">
        <v>175</v>
      </c>
      <c r="E1040" s="13" t="s">
        <v>9863</v>
      </c>
      <c r="F1040" s="13">
        <v>8</v>
      </c>
      <c r="G1040" s="13" t="s">
        <v>9837</v>
      </c>
    </row>
    <row r="1041" spans="1:7" ht="57.6" x14ac:dyDescent="0.3">
      <c r="A1041" s="13" t="s">
        <v>9829</v>
      </c>
      <c r="B1041" s="13" t="s">
        <v>10879</v>
      </c>
      <c r="C1041" s="13" t="s">
        <v>10880</v>
      </c>
      <c r="D1041" s="13">
        <v>175</v>
      </c>
      <c r="E1041" s="13" t="s">
        <v>9863</v>
      </c>
      <c r="F1041" s="13">
        <v>8</v>
      </c>
      <c r="G1041" s="13" t="s">
        <v>9837</v>
      </c>
    </row>
    <row r="1042" spans="1:7" ht="43.2" x14ac:dyDescent="0.3">
      <c r="A1042" s="13" t="s">
        <v>9829</v>
      </c>
      <c r="B1042" s="13" t="s">
        <v>10881</v>
      </c>
      <c r="C1042" s="13" t="s">
        <v>10882</v>
      </c>
      <c r="D1042" s="13">
        <v>176</v>
      </c>
      <c r="E1042" s="13" t="s">
        <v>9901</v>
      </c>
      <c r="F1042" s="13">
        <v>3</v>
      </c>
      <c r="G1042" s="13" t="s">
        <v>9837</v>
      </c>
    </row>
    <row r="1043" spans="1:7" ht="43.2" x14ac:dyDescent="0.3">
      <c r="A1043" s="13" t="s">
        <v>9829</v>
      </c>
      <c r="B1043" s="13" t="s">
        <v>10881</v>
      </c>
      <c r="C1043" s="13" t="s">
        <v>10882</v>
      </c>
      <c r="D1043" s="13">
        <v>176</v>
      </c>
      <c r="E1043" s="13" t="s">
        <v>9901</v>
      </c>
      <c r="F1043" s="13">
        <v>3</v>
      </c>
      <c r="G1043" s="13" t="s">
        <v>9837</v>
      </c>
    </row>
    <row r="1044" spans="1:7" ht="43.2" x14ac:dyDescent="0.3">
      <c r="A1044" s="13" t="s">
        <v>9829</v>
      </c>
      <c r="B1044" s="13" t="s">
        <v>10881</v>
      </c>
      <c r="C1044" s="13" t="s">
        <v>10882</v>
      </c>
      <c r="D1044" s="13">
        <v>176</v>
      </c>
      <c r="E1044" s="13" t="s">
        <v>9901</v>
      </c>
      <c r="F1044" s="13">
        <v>3</v>
      </c>
      <c r="G1044" s="13" t="s">
        <v>9837</v>
      </c>
    </row>
    <row r="1045" spans="1:7" ht="129.6" x14ac:dyDescent="0.3">
      <c r="A1045" s="13" t="s">
        <v>9829</v>
      </c>
      <c r="B1045" s="13" t="s">
        <v>7466</v>
      </c>
      <c r="C1045" s="13" t="s">
        <v>10883</v>
      </c>
      <c r="D1045" s="13">
        <v>330</v>
      </c>
      <c r="E1045" s="13" t="s">
        <v>9832</v>
      </c>
      <c r="F1045" s="13">
        <v>5</v>
      </c>
      <c r="G1045" s="13" t="s">
        <v>13268</v>
      </c>
    </row>
    <row r="1046" spans="1:7" ht="129.6" x14ac:dyDescent="0.3">
      <c r="A1046" s="13" t="s">
        <v>9829</v>
      </c>
      <c r="B1046" s="13" t="s">
        <v>7466</v>
      </c>
      <c r="C1046" s="13" t="s">
        <v>10883</v>
      </c>
      <c r="D1046" s="13">
        <v>330</v>
      </c>
      <c r="E1046" s="13" t="s">
        <v>9832</v>
      </c>
      <c r="F1046" s="13">
        <v>5</v>
      </c>
      <c r="G1046" s="13" t="s">
        <v>13268</v>
      </c>
    </row>
    <row r="1047" spans="1:7" ht="144" x14ac:dyDescent="0.3">
      <c r="A1047" s="13" t="s">
        <v>9829</v>
      </c>
      <c r="B1047" s="13" t="s">
        <v>10884</v>
      </c>
      <c r="C1047" s="13" t="s">
        <v>10885</v>
      </c>
      <c r="D1047" s="13">
        <v>860</v>
      </c>
      <c r="E1047" s="13" t="s">
        <v>9832</v>
      </c>
      <c r="F1047" s="13">
        <v>5</v>
      </c>
      <c r="G1047" s="13" t="s">
        <v>13269</v>
      </c>
    </row>
    <row r="1048" spans="1:7" ht="28.8" x14ac:dyDescent="0.3">
      <c r="A1048" s="13" t="s">
        <v>9829</v>
      </c>
      <c r="B1048" s="13" t="s">
        <v>10886</v>
      </c>
      <c r="C1048" s="13" t="s">
        <v>10887</v>
      </c>
      <c r="D1048" s="13">
        <v>177</v>
      </c>
      <c r="E1048" s="13" t="s">
        <v>9863</v>
      </c>
      <c r="F1048" s="13">
        <v>8</v>
      </c>
      <c r="G1048" s="13" t="s">
        <v>9837</v>
      </c>
    </row>
    <row r="1049" spans="1:7" ht="28.8" x14ac:dyDescent="0.3">
      <c r="A1049" s="13" t="s">
        <v>9829</v>
      </c>
      <c r="B1049" s="13" t="s">
        <v>10886</v>
      </c>
      <c r="C1049" s="13" t="s">
        <v>10887</v>
      </c>
      <c r="D1049" s="13">
        <v>177</v>
      </c>
      <c r="E1049" s="13" t="s">
        <v>9863</v>
      </c>
      <c r="F1049" s="13">
        <v>8</v>
      </c>
      <c r="G1049" s="13" t="s">
        <v>9837</v>
      </c>
    </row>
    <row r="1050" spans="1:7" ht="28.8" x14ac:dyDescent="0.3">
      <c r="A1050" s="13" t="s">
        <v>9829</v>
      </c>
      <c r="B1050" s="13" t="s">
        <v>10886</v>
      </c>
      <c r="C1050" s="13" t="s">
        <v>10887</v>
      </c>
      <c r="D1050" s="13">
        <v>177</v>
      </c>
      <c r="E1050" s="13" t="s">
        <v>9863</v>
      </c>
      <c r="F1050" s="13">
        <v>8</v>
      </c>
      <c r="G1050" s="13" t="s">
        <v>9837</v>
      </c>
    </row>
    <row r="1051" spans="1:7" ht="28.8" x14ac:dyDescent="0.3">
      <c r="A1051" s="13" t="s">
        <v>9829</v>
      </c>
      <c r="B1051" s="13" t="s">
        <v>10888</v>
      </c>
      <c r="C1051" s="13" t="s">
        <v>10889</v>
      </c>
      <c r="D1051" s="13">
        <v>178</v>
      </c>
      <c r="E1051" s="13" t="s">
        <v>9863</v>
      </c>
      <c r="F1051" s="13">
        <v>8</v>
      </c>
      <c r="G1051" s="13" t="s">
        <v>9837</v>
      </c>
    </row>
    <row r="1052" spans="1:7" ht="28.8" x14ac:dyDescent="0.3">
      <c r="A1052" s="13" t="s">
        <v>9829</v>
      </c>
      <c r="B1052" s="13" t="s">
        <v>10888</v>
      </c>
      <c r="C1052" s="13" t="s">
        <v>10889</v>
      </c>
      <c r="D1052" s="13">
        <v>178</v>
      </c>
      <c r="E1052" s="13" t="s">
        <v>9863</v>
      </c>
      <c r="F1052" s="13">
        <v>8</v>
      </c>
      <c r="G1052" s="13" t="s">
        <v>9837</v>
      </c>
    </row>
    <row r="1053" spans="1:7" ht="28.8" x14ac:dyDescent="0.3">
      <c r="A1053" s="13" t="s">
        <v>9829</v>
      </c>
      <c r="B1053" s="13" t="s">
        <v>10888</v>
      </c>
      <c r="C1053" s="13" t="s">
        <v>10889</v>
      </c>
      <c r="D1053" s="13">
        <v>178</v>
      </c>
      <c r="E1053" s="13" t="s">
        <v>9863</v>
      </c>
      <c r="F1053" s="13">
        <v>8</v>
      </c>
      <c r="G1053" s="13" t="s">
        <v>9837</v>
      </c>
    </row>
    <row r="1054" spans="1:7" ht="28.8" x14ac:dyDescent="0.3">
      <c r="A1054" s="13" t="s">
        <v>9829</v>
      </c>
      <c r="B1054" s="13" t="s">
        <v>10890</v>
      </c>
      <c r="C1054" s="13" t="s">
        <v>10891</v>
      </c>
      <c r="D1054" s="13">
        <v>1314</v>
      </c>
      <c r="E1054" s="13" t="s">
        <v>9836</v>
      </c>
      <c r="F1054" s="13">
        <v>45</v>
      </c>
      <c r="G1054" s="13" t="s">
        <v>9837</v>
      </c>
    </row>
    <row r="1055" spans="1:7" ht="28.8" x14ac:dyDescent="0.3">
      <c r="A1055" s="13" t="s">
        <v>9829</v>
      </c>
      <c r="B1055" s="13" t="s">
        <v>10892</v>
      </c>
      <c r="C1055" s="13" t="s">
        <v>10893</v>
      </c>
      <c r="D1055" s="13">
        <v>546</v>
      </c>
      <c r="E1055" s="13" t="s">
        <v>9880</v>
      </c>
      <c r="F1055" s="13">
        <v>4.2</v>
      </c>
      <c r="G1055" s="13" t="s">
        <v>9837</v>
      </c>
    </row>
    <row r="1056" spans="1:7" ht="28.8" x14ac:dyDescent="0.3">
      <c r="A1056" s="13" t="s">
        <v>9829</v>
      </c>
      <c r="B1056" s="13" t="s">
        <v>10894</v>
      </c>
      <c r="C1056" s="13" t="s">
        <v>10895</v>
      </c>
      <c r="D1056" s="13">
        <v>1190</v>
      </c>
      <c r="E1056" s="13" t="s">
        <v>9901</v>
      </c>
      <c r="F1056" s="13">
        <v>5</v>
      </c>
      <c r="G1056" s="13" t="s">
        <v>9837</v>
      </c>
    </row>
    <row r="1057" spans="1:7" ht="345.6" x14ac:dyDescent="0.3">
      <c r="A1057" s="13" t="s">
        <v>9829</v>
      </c>
      <c r="B1057" s="13" t="s">
        <v>10896</v>
      </c>
      <c r="C1057" s="13" t="s">
        <v>10897</v>
      </c>
      <c r="D1057" s="13">
        <v>1105</v>
      </c>
      <c r="E1057" s="13" t="s">
        <v>9832</v>
      </c>
      <c r="F1057" s="13">
        <v>5</v>
      </c>
      <c r="G1057" s="13" t="s">
        <v>13270</v>
      </c>
    </row>
    <row r="1058" spans="1:7" ht="244.8" x14ac:dyDescent="0.3">
      <c r="A1058" s="13" t="s">
        <v>9829</v>
      </c>
      <c r="B1058" s="13" t="s">
        <v>10898</v>
      </c>
      <c r="C1058" s="13" t="s">
        <v>10899</v>
      </c>
      <c r="D1058" s="13">
        <v>1073</v>
      </c>
      <c r="E1058" s="13" t="s">
        <v>9832</v>
      </c>
      <c r="F1058" s="13">
        <v>5</v>
      </c>
      <c r="G1058" s="13" t="s">
        <v>13271</v>
      </c>
    </row>
    <row r="1059" spans="1:7" ht="43.2" x14ac:dyDescent="0.3">
      <c r="A1059" s="13" t="s">
        <v>9829</v>
      </c>
      <c r="B1059" s="13" t="s">
        <v>10900</v>
      </c>
      <c r="C1059" s="13" t="s">
        <v>10901</v>
      </c>
      <c r="D1059" s="13">
        <v>1074</v>
      </c>
      <c r="E1059" s="13" t="s">
        <v>9880</v>
      </c>
      <c r="F1059" s="13">
        <v>2.2000000000000002</v>
      </c>
      <c r="G1059" s="13" t="s">
        <v>9837</v>
      </c>
    </row>
    <row r="1060" spans="1:7" ht="172.8" x14ac:dyDescent="0.3">
      <c r="A1060" s="13" t="s">
        <v>9829</v>
      </c>
      <c r="B1060" s="13" t="s">
        <v>10902</v>
      </c>
      <c r="C1060" s="13" t="s">
        <v>10903</v>
      </c>
      <c r="D1060" s="13">
        <v>1069</v>
      </c>
      <c r="E1060" s="13" t="s">
        <v>9832</v>
      </c>
      <c r="F1060" s="13">
        <v>5</v>
      </c>
      <c r="G1060" s="13" t="s">
        <v>13272</v>
      </c>
    </row>
    <row r="1061" spans="1:7" ht="172.8" x14ac:dyDescent="0.3">
      <c r="A1061" s="13" t="s">
        <v>9829</v>
      </c>
      <c r="B1061" s="13" t="s">
        <v>10902</v>
      </c>
      <c r="C1061" s="13" t="s">
        <v>10903</v>
      </c>
      <c r="D1061" s="13">
        <v>1069</v>
      </c>
      <c r="E1061" s="13" t="s">
        <v>9832</v>
      </c>
      <c r="F1061" s="13">
        <v>5</v>
      </c>
      <c r="G1061" s="13" t="s">
        <v>13272</v>
      </c>
    </row>
    <row r="1062" spans="1:7" ht="187.2" x14ac:dyDescent="0.3">
      <c r="A1062" s="13" t="s">
        <v>9829</v>
      </c>
      <c r="B1062" s="13" t="s">
        <v>10904</v>
      </c>
      <c r="C1062" s="13" t="s">
        <v>10905</v>
      </c>
      <c r="D1062" s="13">
        <v>1106</v>
      </c>
      <c r="E1062" s="13" t="s">
        <v>9832</v>
      </c>
      <c r="F1062" s="13">
        <v>5</v>
      </c>
      <c r="G1062" s="13" t="s">
        <v>13273</v>
      </c>
    </row>
    <row r="1063" spans="1:7" ht="43.2" x14ac:dyDescent="0.3">
      <c r="A1063" s="13" t="s">
        <v>9829</v>
      </c>
      <c r="B1063" s="13" t="s">
        <v>10906</v>
      </c>
      <c r="C1063" s="13" t="s">
        <v>10907</v>
      </c>
      <c r="D1063" s="13">
        <v>1104</v>
      </c>
      <c r="E1063" s="13" t="s">
        <v>9836</v>
      </c>
      <c r="F1063" s="13">
        <v>10</v>
      </c>
      <c r="G1063" s="13" t="s">
        <v>9837</v>
      </c>
    </row>
    <row r="1064" spans="1:7" ht="43.2" x14ac:dyDescent="0.3">
      <c r="A1064" s="13" t="s">
        <v>9829</v>
      </c>
      <c r="B1064" s="13" t="s">
        <v>10908</v>
      </c>
      <c r="C1064" s="13" t="s">
        <v>10909</v>
      </c>
      <c r="D1064" s="13">
        <v>1103</v>
      </c>
      <c r="E1064" s="13" t="s">
        <v>9836</v>
      </c>
      <c r="F1064" s="13">
        <v>10</v>
      </c>
      <c r="G1064" s="13" t="s">
        <v>9837</v>
      </c>
    </row>
    <row r="1065" spans="1:7" ht="100.8" x14ac:dyDescent="0.3">
      <c r="A1065" s="13" t="s">
        <v>9829</v>
      </c>
      <c r="B1065" s="13" t="s">
        <v>10910</v>
      </c>
      <c r="C1065" s="13" t="s">
        <v>10911</v>
      </c>
      <c r="D1065" s="13">
        <v>1070</v>
      </c>
      <c r="E1065" s="13" t="s">
        <v>9863</v>
      </c>
      <c r="F1065" s="13">
        <v>8</v>
      </c>
      <c r="G1065" s="13" t="s">
        <v>13203</v>
      </c>
    </row>
    <row r="1066" spans="1:7" ht="100.8" x14ac:dyDescent="0.3">
      <c r="A1066" s="13" t="s">
        <v>9829</v>
      </c>
      <c r="B1066" s="13" t="s">
        <v>10910</v>
      </c>
      <c r="C1066" s="13" t="s">
        <v>10911</v>
      </c>
      <c r="D1066" s="13">
        <v>1070</v>
      </c>
      <c r="E1066" s="13" t="s">
        <v>9863</v>
      </c>
      <c r="F1066" s="13">
        <v>8</v>
      </c>
      <c r="G1066" s="13" t="s">
        <v>13203</v>
      </c>
    </row>
    <row r="1067" spans="1:7" ht="409.6" x14ac:dyDescent="0.3">
      <c r="A1067" s="13" t="s">
        <v>9829</v>
      </c>
      <c r="B1067" s="13" t="s">
        <v>10912</v>
      </c>
      <c r="C1067" s="13" t="s">
        <v>10913</v>
      </c>
      <c r="D1067" s="13">
        <v>1072</v>
      </c>
      <c r="E1067" s="13" t="s">
        <v>9832</v>
      </c>
      <c r="F1067" s="13">
        <v>5</v>
      </c>
      <c r="G1067" s="13" t="s">
        <v>13274</v>
      </c>
    </row>
    <row r="1068" spans="1:7" ht="158.4" x14ac:dyDescent="0.3">
      <c r="A1068" s="13" t="s">
        <v>9829</v>
      </c>
      <c r="B1068" s="13" t="s">
        <v>10914</v>
      </c>
      <c r="C1068" s="13" t="s">
        <v>10915</v>
      </c>
      <c r="D1068" s="13">
        <v>1071</v>
      </c>
      <c r="E1068" s="13" t="s">
        <v>9832</v>
      </c>
      <c r="F1068" s="13">
        <v>5</v>
      </c>
      <c r="G1068" s="13" t="s">
        <v>13275</v>
      </c>
    </row>
    <row r="1069" spans="1:7" ht="409.6" x14ac:dyDescent="0.3">
      <c r="A1069" s="13" t="s">
        <v>9829</v>
      </c>
      <c r="B1069" s="13" t="s">
        <v>10916</v>
      </c>
      <c r="C1069" s="13" t="s">
        <v>10917</v>
      </c>
      <c r="D1069" s="13">
        <v>457</v>
      </c>
      <c r="E1069" s="13" t="s">
        <v>9832</v>
      </c>
      <c r="F1069" s="13">
        <v>5</v>
      </c>
      <c r="G1069" s="13" t="s">
        <v>13276</v>
      </c>
    </row>
    <row r="1070" spans="1:7" ht="28.8" x14ac:dyDescent="0.3">
      <c r="A1070" s="13" t="s">
        <v>9829</v>
      </c>
      <c r="B1070" s="13" t="s">
        <v>10918</v>
      </c>
      <c r="C1070" s="13" t="s">
        <v>10919</v>
      </c>
      <c r="D1070" s="13">
        <v>341</v>
      </c>
      <c r="E1070" s="13" t="s">
        <v>9863</v>
      </c>
      <c r="F1070" s="13">
        <v>8</v>
      </c>
      <c r="G1070" s="13" t="s">
        <v>9837</v>
      </c>
    </row>
    <row r="1071" spans="1:7" ht="28.8" x14ac:dyDescent="0.3">
      <c r="A1071" s="13" t="s">
        <v>9829</v>
      </c>
      <c r="B1071" s="13" t="s">
        <v>10918</v>
      </c>
      <c r="C1071" s="13" t="s">
        <v>10919</v>
      </c>
      <c r="D1071" s="13">
        <v>341</v>
      </c>
      <c r="E1071" s="13" t="s">
        <v>9863</v>
      </c>
      <c r="F1071" s="13">
        <v>8</v>
      </c>
      <c r="G1071" s="13" t="s">
        <v>9837</v>
      </c>
    </row>
    <row r="1072" spans="1:7" ht="100.8" x14ac:dyDescent="0.3">
      <c r="A1072" s="13" t="s">
        <v>9829</v>
      </c>
      <c r="B1072" s="13" t="s">
        <v>10920</v>
      </c>
      <c r="C1072" s="13" t="s">
        <v>10921</v>
      </c>
      <c r="D1072" s="13">
        <v>755</v>
      </c>
      <c r="E1072" s="13" t="s">
        <v>9836</v>
      </c>
      <c r="F1072" s="13">
        <v>35</v>
      </c>
      <c r="G1072" s="13" t="s">
        <v>9837</v>
      </c>
    </row>
    <row r="1073" spans="1:7" ht="43.2" x14ac:dyDescent="0.3">
      <c r="A1073" s="13" t="s">
        <v>9829</v>
      </c>
      <c r="B1073" s="13" t="s">
        <v>10922</v>
      </c>
      <c r="C1073" s="13" t="s">
        <v>10923</v>
      </c>
      <c r="D1073" s="13">
        <v>342</v>
      </c>
      <c r="E1073" s="13" t="s">
        <v>9836</v>
      </c>
      <c r="F1073" s="13">
        <v>80</v>
      </c>
      <c r="G1073" s="13" t="s">
        <v>9837</v>
      </c>
    </row>
    <row r="1074" spans="1:7" ht="409.6" x14ac:dyDescent="0.3">
      <c r="A1074" s="13" t="s">
        <v>9829</v>
      </c>
      <c r="B1074" s="13" t="s">
        <v>10924</v>
      </c>
      <c r="C1074" s="13" t="s">
        <v>10925</v>
      </c>
      <c r="D1074" s="13">
        <v>340</v>
      </c>
      <c r="E1074" s="13" t="s">
        <v>9832</v>
      </c>
      <c r="F1074" s="13">
        <v>5</v>
      </c>
      <c r="G1074" s="13" t="s">
        <v>13277</v>
      </c>
    </row>
    <row r="1075" spans="1:7" ht="409.6" x14ac:dyDescent="0.3">
      <c r="A1075" s="13" t="s">
        <v>9829</v>
      </c>
      <c r="B1075" s="13" t="s">
        <v>10924</v>
      </c>
      <c r="C1075" s="13" t="s">
        <v>10925</v>
      </c>
      <c r="D1075" s="13">
        <v>340</v>
      </c>
      <c r="E1075" s="13" t="s">
        <v>9832</v>
      </c>
      <c r="F1075" s="13">
        <v>5</v>
      </c>
      <c r="G1075" s="13" t="s">
        <v>13277</v>
      </c>
    </row>
    <row r="1076" spans="1:7" ht="72" x14ac:dyDescent="0.3">
      <c r="A1076" s="13" t="s">
        <v>9829</v>
      </c>
      <c r="B1076" s="13" t="s">
        <v>10926</v>
      </c>
      <c r="C1076" s="13" t="s">
        <v>10927</v>
      </c>
      <c r="D1076" s="13">
        <v>758</v>
      </c>
      <c r="E1076" s="13" t="s">
        <v>9836</v>
      </c>
      <c r="F1076" s="13">
        <v>12</v>
      </c>
      <c r="G1076" s="13" t="s">
        <v>9837</v>
      </c>
    </row>
    <row r="1077" spans="1:7" ht="57.6" x14ac:dyDescent="0.3">
      <c r="A1077" s="13" t="s">
        <v>9829</v>
      </c>
      <c r="B1077" s="13" t="s">
        <v>10928</v>
      </c>
      <c r="C1077" s="13" t="s">
        <v>10929</v>
      </c>
      <c r="D1077" s="13">
        <v>777</v>
      </c>
      <c r="E1077" s="13" t="s">
        <v>9836</v>
      </c>
      <c r="F1077" s="13">
        <v>60</v>
      </c>
      <c r="G1077" s="13" t="s">
        <v>9837</v>
      </c>
    </row>
    <row r="1078" spans="1:7" ht="43.2" x14ac:dyDescent="0.3">
      <c r="A1078" s="13" t="s">
        <v>9829</v>
      </c>
      <c r="B1078" s="13" t="s">
        <v>10930</v>
      </c>
      <c r="C1078" s="13" t="s">
        <v>10931</v>
      </c>
      <c r="D1078" s="13">
        <v>748</v>
      </c>
      <c r="E1078" s="13" t="s">
        <v>9836</v>
      </c>
      <c r="F1078" s="13">
        <v>80</v>
      </c>
      <c r="G1078" s="13" t="s">
        <v>9837</v>
      </c>
    </row>
    <row r="1079" spans="1:7" ht="57.6" x14ac:dyDescent="0.3">
      <c r="A1079" s="13" t="s">
        <v>9829</v>
      </c>
      <c r="B1079" s="13" t="s">
        <v>10932</v>
      </c>
      <c r="C1079" s="13" t="s">
        <v>10933</v>
      </c>
      <c r="D1079" s="13">
        <v>350</v>
      </c>
      <c r="E1079" s="13" t="s">
        <v>9836</v>
      </c>
      <c r="F1079" s="13">
        <v>35</v>
      </c>
      <c r="G1079" s="13" t="s">
        <v>9837</v>
      </c>
    </row>
    <row r="1080" spans="1:7" ht="57.6" x14ac:dyDescent="0.3">
      <c r="A1080" s="13" t="s">
        <v>9829</v>
      </c>
      <c r="B1080" s="13" t="s">
        <v>10932</v>
      </c>
      <c r="C1080" s="13" t="s">
        <v>10933</v>
      </c>
      <c r="D1080" s="13">
        <v>350</v>
      </c>
      <c r="E1080" s="13" t="s">
        <v>9836</v>
      </c>
      <c r="F1080" s="13">
        <v>35</v>
      </c>
      <c r="G1080" s="13" t="s">
        <v>9837</v>
      </c>
    </row>
    <row r="1081" spans="1:7" ht="28.8" x14ac:dyDescent="0.3">
      <c r="A1081" s="13" t="s">
        <v>9829</v>
      </c>
      <c r="B1081" s="13" t="s">
        <v>10934</v>
      </c>
      <c r="C1081" s="13" t="s">
        <v>10935</v>
      </c>
      <c r="D1081" s="13">
        <v>1370</v>
      </c>
      <c r="E1081" s="13" t="s">
        <v>9836</v>
      </c>
      <c r="F1081" s="13">
        <v>100</v>
      </c>
      <c r="G1081" s="13" t="s">
        <v>9837</v>
      </c>
    </row>
    <row r="1082" spans="1:7" ht="28.8" x14ac:dyDescent="0.3">
      <c r="A1082" s="13" t="s">
        <v>9829</v>
      </c>
      <c r="B1082" s="13" t="s">
        <v>10934</v>
      </c>
      <c r="C1082" s="13" t="s">
        <v>10935</v>
      </c>
      <c r="D1082" s="13">
        <v>1370</v>
      </c>
      <c r="E1082" s="13" t="s">
        <v>9836</v>
      </c>
      <c r="F1082" s="13">
        <v>100</v>
      </c>
      <c r="G1082" s="13" t="s">
        <v>9837</v>
      </c>
    </row>
    <row r="1083" spans="1:7" ht="28.8" x14ac:dyDescent="0.3">
      <c r="A1083" s="13" t="s">
        <v>9829</v>
      </c>
      <c r="B1083" s="13" t="s">
        <v>10934</v>
      </c>
      <c r="C1083" s="13" t="s">
        <v>10935</v>
      </c>
      <c r="D1083" s="13">
        <v>1370</v>
      </c>
      <c r="E1083" s="13" t="s">
        <v>9836</v>
      </c>
      <c r="F1083" s="13">
        <v>100</v>
      </c>
      <c r="G1083" s="13" t="s">
        <v>9837</v>
      </c>
    </row>
    <row r="1084" spans="1:7" ht="28.8" x14ac:dyDescent="0.3">
      <c r="A1084" s="13" t="s">
        <v>9829</v>
      </c>
      <c r="B1084" s="13" t="s">
        <v>10936</v>
      </c>
      <c r="C1084" s="13" t="s">
        <v>10937</v>
      </c>
      <c r="D1084" s="13">
        <v>1368</v>
      </c>
      <c r="E1084" s="13" t="s">
        <v>9863</v>
      </c>
      <c r="F1084" s="13">
        <v>8</v>
      </c>
      <c r="G1084" s="13" t="s">
        <v>9837</v>
      </c>
    </row>
    <row r="1085" spans="1:7" ht="28.8" x14ac:dyDescent="0.3">
      <c r="A1085" s="13" t="s">
        <v>9829</v>
      </c>
      <c r="B1085" s="13" t="s">
        <v>10936</v>
      </c>
      <c r="C1085" s="13" t="s">
        <v>10937</v>
      </c>
      <c r="D1085" s="13">
        <v>1368</v>
      </c>
      <c r="E1085" s="13" t="s">
        <v>9863</v>
      </c>
      <c r="F1085" s="13">
        <v>8</v>
      </c>
      <c r="G1085" s="13" t="s">
        <v>9837</v>
      </c>
    </row>
    <row r="1086" spans="1:7" ht="28.8" x14ac:dyDescent="0.3">
      <c r="A1086" s="13" t="s">
        <v>9829</v>
      </c>
      <c r="B1086" s="13" t="s">
        <v>10936</v>
      </c>
      <c r="C1086" s="13" t="s">
        <v>10937</v>
      </c>
      <c r="D1086" s="13">
        <v>1368</v>
      </c>
      <c r="E1086" s="13" t="s">
        <v>9863</v>
      </c>
      <c r="F1086" s="13">
        <v>8</v>
      </c>
      <c r="G1086" s="13" t="s">
        <v>9837</v>
      </c>
    </row>
    <row r="1087" spans="1:7" ht="28.8" x14ac:dyDescent="0.3">
      <c r="A1087" s="13" t="s">
        <v>9829</v>
      </c>
      <c r="B1087" s="13" t="s">
        <v>10936</v>
      </c>
      <c r="C1087" s="13" t="s">
        <v>10937</v>
      </c>
      <c r="D1087" s="13">
        <v>1368</v>
      </c>
      <c r="E1087" s="13" t="s">
        <v>9863</v>
      </c>
      <c r="F1087" s="13">
        <v>8</v>
      </c>
      <c r="G1087" s="13" t="s">
        <v>9837</v>
      </c>
    </row>
    <row r="1088" spans="1:7" ht="28.8" x14ac:dyDescent="0.3">
      <c r="A1088" s="13" t="s">
        <v>9829</v>
      </c>
      <c r="B1088" s="13" t="s">
        <v>10938</v>
      </c>
      <c r="C1088" s="13" t="s">
        <v>10939</v>
      </c>
      <c r="D1088" s="13">
        <v>1373</v>
      </c>
      <c r="E1088" s="13" t="s">
        <v>9836</v>
      </c>
      <c r="F1088" s="13">
        <v>50</v>
      </c>
      <c r="G1088" s="13" t="s">
        <v>9837</v>
      </c>
    </row>
    <row r="1089" spans="1:7" ht="28.8" x14ac:dyDescent="0.3">
      <c r="A1089" s="13" t="s">
        <v>9829</v>
      </c>
      <c r="B1089" s="13" t="s">
        <v>10938</v>
      </c>
      <c r="C1089" s="13" t="s">
        <v>10939</v>
      </c>
      <c r="D1089" s="13">
        <v>1373</v>
      </c>
      <c r="E1089" s="13" t="s">
        <v>9836</v>
      </c>
      <c r="F1089" s="13">
        <v>50</v>
      </c>
      <c r="G1089" s="13" t="s">
        <v>9837</v>
      </c>
    </row>
    <row r="1090" spans="1:7" ht="28.8" x14ac:dyDescent="0.3">
      <c r="A1090" s="13" t="s">
        <v>9829</v>
      </c>
      <c r="B1090" s="13" t="s">
        <v>10938</v>
      </c>
      <c r="C1090" s="13" t="s">
        <v>10939</v>
      </c>
      <c r="D1090" s="13">
        <v>1373</v>
      </c>
      <c r="E1090" s="13" t="s">
        <v>9836</v>
      </c>
      <c r="F1090" s="13">
        <v>50</v>
      </c>
      <c r="G1090" s="13" t="s">
        <v>9837</v>
      </c>
    </row>
    <row r="1091" spans="1:7" ht="28.8" x14ac:dyDescent="0.3">
      <c r="A1091" s="13" t="s">
        <v>9829</v>
      </c>
      <c r="B1091" s="13" t="s">
        <v>10940</v>
      </c>
      <c r="C1091" s="13" t="s">
        <v>10941</v>
      </c>
      <c r="D1091" s="13">
        <v>1372</v>
      </c>
      <c r="E1091" s="13" t="s">
        <v>9836</v>
      </c>
      <c r="F1091" s="13">
        <v>45</v>
      </c>
      <c r="G1091" s="13" t="s">
        <v>9837</v>
      </c>
    </row>
    <row r="1092" spans="1:7" ht="28.8" x14ac:dyDescent="0.3">
      <c r="A1092" s="13" t="s">
        <v>9829</v>
      </c>
      <c r="B1092" s="13" t="s">
        <v>10940</v>
      </c>
      <c r="C1092" s="13" t="s">
        <v>10941</v>
      </c>
      <c r="D1092" s="13">
        <v>1372</v>
      </c>
      <c r="E1092" s="13" t="s">
        <v>9836</v>
      </c>
      <c r="F1092" s="13">
        <v>45</v>
      </c>
      <c r="G1092" s="13" t="s">
        <v>9837</v>
      </c>
    </row>
    <row r="1093" spans="1:7" ht="28.8" x14ac:dyDescent="0.3">
      <c r="A1093" s="13" t="s">
        <v>9829</v>
      </c>
      <c r="B1093" s="13" t="s">
        <v>10940</v>
      </c>
      <c r="C1093" s="13" t="s">
        <v>10941</v>
      </c>
      <c r="D1093" s="13">
        <v>1372</v>
      </c>
      <c r="E1093" s="13" t="s">
        <v>9836</v>
      </c>
      <c r="F1093" s="13">
        <v>45</v>
      </c>
      <c r="G1093" s="13" t="s">
        <v>9837</v>
      </c>
    </row>
    <row r="1094" spans="1:7" ht="28.8" x14ac:dyDescent="0.3">
      <c r="A1094" s="13" t="s">
        <v>9829</v>
      </c>
      <c r="B1094" s="13" t="s">
        <v>10942</v>
      </c>
      <c r="C1094" s="13" t="s">
        <v>10943</v>
      </c>
      <c r="D1094" s="13">
        <v>1474</v>
      </c>
      <c r="E1094" s="13" t="s">
        <v>9836</v>
      </c>
      <c r="F1094" s="13">
        <v>80</v>
      </c>
      <c r="G1094" s="13" t="s">
        <v>9837</v>
      </c>
    </row>
    <row r="1095" spans="1:7" ht="28.8" x14ac:dyDescent="0.3">
      <c r="A1095" s="13" t="s">
        <v>9829</v>
      </c>
      <c r="B1095" s="13" t="s">
        <v>10942</v>
      </c>
      <c r="C1095" s="13" t="s">
        <v>10943</v>
      </c>
      <c r="D1095" s="13">
        <v>1474</v>
      </c>
      <c r="E1095" s="13" t="s">
        <v>9836</v>
      </c>
      <c r="F1095" s="13">
        <v>80</v>
      </c>
      <c r="G1095" s="13" t="s">
        <v>9837</v>
      </c>
    </row>
    <row r="1096" spans="1:7" ht="28.8" x14ac:dyDescent="0.3">
      <c r="A1096" s="13" t="s">
        <v>9829</v>
      </c>
      <c r="B1096" s="13" t="s">
        <v>10942</v>
      </c>
      <c r="C1096" s="13" t="s">
        <v>10943</v>
      </c>
      <c r="D1096" s="13">
        <v>1474</v>
      </c>
      <c r="E1096" s="13" t="s">
        <v>9836</v>
      </c>
      <c r="F1096" s="13">
        <v>80</v>
      </c>
      <c r="G1096" s="13" t="s">
        <v>9837</v>
      </c>
    </row>
    <row r="1097" spans="1:7" ht="28.8" x14ac:dyDescent="0.3">
      <c r="A1097" s="13" t="s">
        <v>9829</v>
      </c>
      <c r="B1097" s="13" t="s">
        <v>10942</v>
      </c>
      <c r="C1097" s="13" t="s">
        <v>10943</v>
      </c>
      <c r="D1097" s="13">
        <v>1474</v>
      </c>
      <c r="E1097" s="13" t="s">
        <v>9836</v>
      </c>
      <c r="F1097" s="13">
        <v>80</v>
      </c>
      <c r="G1097" s="13" t="s">
        <v>9837</v>
      </c>
    </row>
    <row r="1098" spans="1:7" ht="28.8" x14ac:dyDescent="0.3">
      <c r="A1098" s="13" t="s">
        <v>9829</v>
      </c>
      <c r="B1098" s="13" t="s">
        <v>10944</v>
      </c>
      <c r="C1098" s="13" t="s">
        <v>10945</v>
      </c>
      <c r="D1098" s="13">
        <v>1369</v>
      </c>
      <c r="E1098" s="13" t="s">
        <v>9836</v>
      </c>
      <c r="F1098" s="13">
        <v>30</v>
      </c>
      <c r="G1098" s="13" t="s">
        <v>9837</v>
      </c>
    </row>
    <row r="1099" spans="1:7" ht="28.8" x14ac:dyDescent="0.3">
      <c r="A1099" s="13" t="s">
        <v>9829</v>
      </c>
      <c r="B1099" s="13" t="s">
        <v>10944</v>
      </c>
      <c r="C1099" s="13" t="s">
        <v>10945</v>
      </c>
      <c r="D1099" s="13">
        <v>1369</v>
      </c>
      <c r="E1099" s="13" t="s">
        <v>9836</v>
      </c>
      <c r="F1099" s="13">
        <v>30</v>
      </c>
      <c r="G1099" s="13" t="s">
        <v>9837</v>
      </c>
    </row>
    <row r="1100" spans="1:7" ht="28.8" x14ac:dyDescent="0.3">
      <c r="A1100" s="13" t="s">
        <v>9829</v>
      </c>
      <c r="B1100" s="13" t="s">
        <v>10944</v>
      </c>
      <c r="C1100" s="13" t="s">
        <v>10945</v>
      </c>
      <c r="D1100" s="13">
        <v>1369</v>
      </c>
      <c r="E1100" s="13" t="s">
        <v>9836</v>
      </c>
      <c r="F1100" s="13">
        <v>30</v>
      </c>
      <c r="G1100" s="13" t="s">
        <v>9837</v>
      </c>
    </row>
    <row r="1101" spans="1:7" ht="360" x14ac:dyDescent="0.3">
      <c r="A1101" s="13" t="s">
        <v>9829</v>
      </c>
      <c r="B1101" s="13" t="s">
        <v>10946</v>
      </c>
      <c r="C1101" s="13" t="s">
        <v>10947</v>
      </c>
      <c r="D1101" s="13">
        <v>1374</v>
      </c>
      <c r="E1101" s="13" t="s">
        <v>9832</v>
      </c>
      <c r="F1101" s="13">
        <v>5</v>
      </c>
      <c r="G1101" s="13" t="s">
        <v>13278</v>
      </c>
    </row>
    <row r="1102" spans="1:7" ht="360" x14ac:dyDescent="0.3">
      <c r="A1102" s="13" t="s">
        <v>9829</v>
      </c>
      <c r="B1102" s="13" t="s">
        <v>10946</v>
      </c>
      <c r="C1102" s="13" t="s">
        <v>10947</v>
      </c>
      <c r="D1102" s="13">
        <v>1374</v>
      </c>
      <c r="E1102" s="13" t="s">
        <v>9832</v>
      </c>
      <c r="F1102" s="13">
        <v>5</v>
      </c>
      <c r="G1102" s="13" t="s">
        <v>13278</v>
      </c>
    </row>
    <row r="1103" spans="1:7" ht="360" x14ac:dyDescent="0.3">
      <c r="A1103" s="13" t="s">
        <v>9829</v>
      </c>
      <c r="B1103" s="13" t="s">
        <v>10946</v>
      </c>
      <c r="C1103" s="13" t="s">
        <v>10947</v>
      </c>
      <c r="D1103" s="13">
        <v>1374</v>
      </c>
      <c r="E1103" s="13" t="s">
        <v>9832</v>
      </c>
      <c r="F1103" s="13">
        <v>5</v>
      </c>
      <c r="G1103" s="13" t="s">
        <v>13278</v>
      </c>
    </row>
    <row r="1104" spans="1:7" ht="230.4" x14ac:dyDescent="0.3">
      <c r="A1104" s="13" t="s">
        <v>9829</v>
      </c>
      <c r="B1104" s="13" t="s">
        <v>10948</v>
      </c>
      <c r="C1104" s="13" t="s">
        <v>10949</v>
      </c>
      <c r="D1104" s="13">
        <v>182</v>
      </c>
      <c r="E1104" s="13" t="s">
        <v>9832</v>
      </c>
      <c r="F1104" s="13">
        <v>5</v>
      </c>
      <c r="G1104" s="13" t="s">
        <v>13279</v>
      </c>
    </row>
    <row r="1105" spans="1:7" ht="230.4" x14ac:dyDescent="0.3">
      <c r="A1105" s="13" t="s">
        <v>9829</v>
      </c>
      <c r="B1105" s="13" t="s">
        <v>10948</v>
      </c>
      <c r="C1105" s="13" t="s">
        <v>10949</v>
      </c>
      <c r="D1105" s="13">
        <v>182</v>
      </c>
      <c r="E1105" s="13" t="s">
        <v>9832</v>
      </c>
      <c r="F1105" s="13">
        <v>5</v>
      </c>
      <c r="G1105" s="13" t="s">
        <v>13279</v>
      </c>
    </row>
    <row r="1106" spans="1:7" ht="187.2" x14ac:dyDescent="0.3">
      <c r="A1106" s="13" t="s">
        <v>9829</v>
      </c>
      <c r="B1106" s="13" t="s">
        <v>10950</v>
      </c>
      <c r="C1106" s="13" t="s">
        <v>10951</v>
      </c>
      <c r="D1106" s="13">
        <v>183</v>
      </c>
      <c r="E1106" s="13" t="s">
        <v>9832</v>
      </c>
      <c r="F1106" s="13">
        <v>5</v>
      </c>
      <c r="G1106" s="13" t="s">
        <v>10223</v>
      </c>
    </row>
    <row r="1107" spans="1:7" ht="187.2" x14ac:dyDescent="0.3">
      <c r="A1107" s="13" t="s">
        <v>9829</v>
      </c>
      <c r="B1107" s="13" t="s">
        <v>10950</v>
      </c>
      <c r="C1107" s="13" t="s">
        <v>10951</v>
      </c>
      <c r="D1107" s="13">
        <v>183</v>
      </c>
      <c r="E1107" s="13" t="s">
        <v>9832</v>
      </c>
      <c r="F1107" s="13">
        <v>5</v>
      </c>
      <c r="G1107" s="13" t="s">
        <v>10223</v>
      </c>
    </row>
    <row r="1108" spans="1:7" ht="187.2" x14ac:dyDescent="0.3">
      <c r="A1108" s="13" t="s">
        <v>9829</v>
      </c>
      <c r="B1108" s="13" t="s">
        <v>10950</v>
      </c>
      <c r="C1108" s="13" t="s">
        <v>10951</v>
      </c>
      <c r="D1108" s="13">
        <v>183</v>
      </c>
      <c r="E1108" s="13" t="s">
        <v>9832</v>
      </c>
      <c r="F1108" s="13">
        <v>5</v>
      </c>
      <c r="G1108" s="13" t="s">
        <v>10223</v>
      </c>
    </row>
    <row r="1109" spans="1:7" ht="187.2" x14ac:dyDescent="0.3">
      <c r="A1109" s="13" t="s">
        <v>9829</v>
      </c>
      <c r="B1109" s="13" t="s">
        <v>10950</v>
      </c>
      <c r="C1109" s="13" t="s">
        <v>10951</v>
      </c>
      <c r="D1109" s="13">
        <v>183</v>
      </c>
      <c r="E1109" s="13" t="s">
        <v>9832</v>
      </c>
      <c r="F1109" s="13">
        <v>5</v>
      </c>
      <c r="G1109" s="13" t="s">
        <v>10223</v>
      </c>
    </row>
    <row r="1110" spans="1:7" ht="43.2" x14ac:dyDescent="0.3">
      <c r="A1110" s="13" t="s">
        <v>9829</v>
      </c>
      <c r="B1110" s="13" t="s">
        <v>10952</v>
      </c>
      <c r="C1110" s="13" t="s">
        <v>10953</v>
      </c>
      <c r="D1110" s="13">
        <v>844</v>
      </c>
      <c r="E1110" s="13" t="s">
        <v>9836</v>
      </c>
      <c r="F1110" s="13">
        <v>1</v>
      </c>
      <c r="G1110" s="13" t="s">
        <v>9837</v>
      </c>
    </row>
    <row r="1111" spans="1:7" ht="43.2" x14ac:dyDescent="0.3">
      <c r="A1111" s="13" t="s">
        <v>9829</v>
      </c>
      <c r="B1111" s="13" t="s">
        <v>10952</v>
      </c>
      <c r="C1111" s="13" t="s">
        <v>10953</v>
      </c>
      <c r="D1111" s="13">
        <v>844</v>
      </c>
      <c r="E1111" s="13" t="s">
        <v>9836</v>
      </c>
      <c r="F1111" s="13">
        <v>1</v>
      </c>
      <c r="G1111" s="13" t="s">
        <v>9837</v>
      </c>
    </row>
    <row r="1112" spans="1:7" ht="129.6" x14ac:dyDescent="0.3">
      <c r="A1112" s="13" t="s">
        <v>9829</v>
      </c>
      <c r="B1112" s="13" t="s">
        <v>10954</v>
      </c>
      <c r="C1112" s="13" t="s">
        <v>10955</v>
      </c>
      <c r="D1112" s="13">
        <v>592</v>
      </c>
      <c r="E1112" s="13" t="s">
        <v>9832</v>
      </c>
      <c r="F1112" s="13">
        <v>5</v>
      </c>
      <c r="G1112" s="13" t="s">
        <v>13280</v>
      </c>
    </row>
    <row r="1113" spans="1:7" ht="244.8" x14ac:dyDescent="0.3">
      <c r="A1113" s="13" t="s">
        <v>9829</v>
      </c>
      <c r="B1113" s="13" t="s">
        <v>10956</v>
      </c>
      <c r="C1113" s="13" t="s">
        <v>10957</v>
      </c>
      <c r="D1113" s="13">
        <v>591</v>
      </c>
      <c r="E1113" s="13" t="s">
        <v>9832</v>
      </c>
      <c r="F1113" s="13">
        <v>5</v>
      </c>
      <c r="G1113" s="13" t="s">
        <v>13281</v>
      </c>
    </row>
    <row r="1114" spans="1:7" ht="57.6" x14ac:dyDescent="0.3">
      <c r="A1114" s="13" t="s">
        <v>9829</v>
      </c>
      <c r="B1114" s="13" t="s">
        <v>10958</v>
      </c>
      <c r="C1114" s="13" t="s">
        <v>10959</v>
      </c>
      <c r="D1114" s="13">
        <v>1084</v>
      </c>
      <c r="E1114" s="13" t="s">
        <v>9832</v>
      </c>
      <c r="F1114" s="13">
        <v>5</v>
      </c>
      <c r="G1114" s="13" t="s">
        <v>9833</v>
      </c>
    </row>
    <row r="1115" spans="1:7" ht="28.8" x14ac:dyDescent="0.3">
      <c r="A1115" s="13" t="s">
        <v>9829</v>
      </c>
      <c r="B1115" s="13" t="s">
        <v>10960</v>
      </c>
      <c r="C1115" s="13" t="s">
        <v>10961</v>
      </c>
      <c r="D1115" s="13">
        <v>1081</v>
      </c>
      <c r="E1115" s="13" t="s">
        <v>9836</v>
      </c>
      <c r="F1115" s="13">
        <v>30</v>
      </c>
      <c r="G1115" s="13" t="s">
        <v>9837</v>
      </c>
    </row>
    <row r="1116" spans="1:7" ht="28.8" x14ac:dyDescent="0.3">
      <c r="A1116" s="13" t="s">
        <v>9829</v>
      </c>
      <c r="B1116" s="13" t="s">
        <v>10962</v>
      </c>
      <c r="C1116" s="13" t="s">
        <v>10963</v>
      </c>
      <c r="D1116" s="13">
        <v>1083</v>
      </c>
      <c r="E1116" s="13" t="s">
        <v>9836</v>
      </c>
      <c r="F1116" s="13">
        <v>30</v>
      </c>
      <c r="G1116" s="13" t="s">
        <v>9837</v>
      </c>
    </row>
    <row r="1117" spans="1:7" ht="100.8" x14ac:dyDescent="0.3">
      <c r="A1117" s="13" t="s">
        <v>9829</v>
      </c>
      <c r="B1117" s="13" t="s">
        <v>10964</v>
      </c>
      <c r="C1117" s="13" t="s">
        <v>10965</v>
      </c>
      <c r="D1117" s="13">
        <v>1076</v>
      </c>
      <c r="E1117" s="13" t="s">
        <v>9832</v>
      </c>
      <c r="F1117" s="13">
        <v>5</v>
      </c>
      <c r="G1117" s="13" t="s">
        <v>13282</v>
      </c>
    </row>
    <row r="1118" spans="1:7" ht="144" x14ac:dyDescent="0.3">
      <c r="A1118" s="13" t="s">
        <v>9829</v>
      </c>
      <c r="B1118" s="13" t="s">
        <v>10966</v>
      </c>
      <c r="C1118" s="13" t="s">
        <v>10967</v>
      </c>
      <c r="D1118" s="13">
        <v>593</v>
      </c>
      <c r="E1118" s="13" t="s">
        <v>9863</v>
      </c>
      <c r="F1118" s="13">
        <v>8</v>
      </c>
      <c r="G1118" s="13" t="s">
        <v>9837</v>
      </c>
    </row>
    <row r="1119" spans="1:7" ht="144" x14ac:dyDescent="0.3">
      <c r="A1119" s="13" t="s">
        <v>9829</v>
      </c>
      <c r="B1119" s="13" t="s">
        <v>10968</v>
      </c>
      <c r="C1119" s="13" t="s">
        <v>10969</v>
      </c>
      <c r="D1119" s="13">
        <v>596</v>
      </c>
      <c r="E1119" s="13" t="s">
        <v>9863</v>
      </c>
      <c r="F1119" s="13">
        <v>8</v>
      </c>
      <c r="G1119" s="13" t="s">
        <v>9837</v>
      </c>
    </row>
    <row r="1120" spans="1:7" ht="28.8" x14ac:dyDescent="0.3">
      <c r="A1120" s="13" t="s">
        <v>9829</v>
      </c>
      <c r="B1120" s="13" t="s">
        <v>9139</v>
      </c>
      <c r="C1120" s="13" t="s">
        <v>10970</v>
      </c>
      <c r="D1120" s="13">
        <v>336</v>
      </c>
      <c r="E1120" s="13" t="s">
        <v>9863</v>
      </c>
      <c r="F1120" s="13">
        <v>8</v>
      </c>
      <c r="G1120" s="13" t="s">
        <v>9837</v>
      </c>
    </row>
    <row r="1121" spans="1:7" ht="158.4" x14ac:dyDescent="0.3">
      <c r="A1121" s="13" t="s">
        <v>9829</v>
      </c>
      <c r="B1121" s="13" t="s">
        <v>10971</v>
      </c>
      <c r="C1121" s="13" t="s">
        <v>10972</v>
      </c>
      <c r="D1121" s="13">
        <v>337</v>
      </c>
      <c r="E1121" s="13" t="s">
        <v>9832</v>
      </c>
      <c r="F1121" s="13">
        <v>5</v>
      </c>
      <c r="G1121" s="13" t="s">
        <v>13283</v>
      </c>
    </row>
    <row r="1122" spans="1:7" ht="302.39999999999998" x14ac:dyDescent="0.3">
      <c r="A1122" s="13" t="s">
        <v>9829</v>
      </c>
      <c r="B1122" s="13" t="s">
        <v>10973</v>
      </c>
      <c r="C1122" s="13" t="s">
        <v>10974</v>
      </c>
      <c r="D1122" s="13">
        <v>334</v>
      </c>
      <c r="E1122" s="13" t="s">
        <v>9832</v>
      </c>
      <c r="F1122" s="13">
        <v>5</v>
      </c>
      <c r="G1122" s="13" t="s">
        <v>13284</v>
      </c>
    </row>
    <row r="1123" spans="1:7" ht="28.8" x14ac:dyDescent="0.3">
      <c r="A1123" s="13" t="s">
        <v>9829</v>
      </c>
      <c r="B1123" s="13" t="s">
        <v>10975</v>
      </c>
      <c r="C1123" s="13" t="s">
        <v>10976</v>
      </c>
      <c r="D1123" s="13">
        <v>335</v>
      </c>
      <c r="E1123" s="13" t="s">
        <v>9863</v>
      </c>
      <c r="F1123" s="13">
        <v>8</v>
      </c>
      <c r="G1123" s="13" t="s">
        <v>9837</v>
      </c>
    </row>
    <row r="1124" spans="1:7" ht="28.8" x14ac:dyDescent="0.3">
      <c r="A1124" s="13" t="s">
        <v>9829</v>
      </c>
      <c r="B1124" s="13" t="s">
        <v>10977</v>
      </c>
      <c r="C1124" s="13" t="s">
        <v>10978</v>
      </c>
      <c r="D1124" s="13">
        <v>338</v>
      </c>
      <c r="E1124" s="13" t="s">
        <v>9863</v>
      </c>
      <c r="F1124" s="13">
        <v>8</v>
      </c>
      <c r="G1124" s="13" t="s">
        <v>9837</v>
      </c>
    </row>
    <row r="1125" spans="1:7" ht="28.8" x14ac:dyDescent="0.3">
      <c r="A1125" s="13" t="s">
        <v>9829</v>
      </c>
      <c r="B1125" s="13" t="s">
        <v>10979</v>
      </c>
      <c r="C1125" s="13" t="s">
        <v>10980</v>
      </c>
      <c r="D1125" s="13">
        <v>713</v>
      </c>
      <c r="E1125" s="13" t="s">
        <v>9836</v>
      </c>
      <c r="F1125" s="13">
        <v>60</v>
      </c>
      <c r="G1125" s="13" t="s">
        <v>9837</v>
      </c>
    </row>
    <row r="1126" spans="1:7" ht="273.60000000000002" x14ac:dyDescent="0.3">
      <c r="A1126" s="13" t="s">
        <v>9829</v>
      </c>
      <c r="B1126" s="13" t="s">
        <v>10981</v>
      </c>
      <c r="C1126" s="13" t="s">
        <v>10982</v>
      </c>
      <c r="D1126" s="13">
        <v>333</v>
      </c>
      <c r="E1126" s="13" t="s">
        <v>9832</v>
      </c>
      <c r="F1126" s="13">
        <v>5</v>
      </c>
      <c r="G1126" s="13" t="s">
        <v>13285</v>
      </c>
    </row>
    <row r="1127" spans="1:7" ht="129.6" x14ac:dyDescent="0.3">
      <c r="A1127" s="13" t="s">
        <v>9829</v>
      </c>
      <c r="B1127" s="13" t="s">
        <v>10983</v>
      </c>
      <c r="C1127" s="13" t="s">
        <v>10984</v>
      </c>
      <c r="D1127" s="13">
        <v>588</v>
      </c>
      <c r="E1127" s="13" t="s">
        <v>9832</v>
      </c>
      <c r="F1127" s="13">
        <v>5</v>
      </c>
      <c r="G1127" s="13" t="s">
        <v>13286</v>
      </c>
    </row>
    <row r="1128" spans="1:7" ht="409.6" x14ac:dyDescent="0.3">
      <c r="A1128" s="13" t="s">
        <v>9829</v>
      </c>
      <c r="B1128" s="13" t="s">
        <v>10985</v>
      </c>
      <c r="C1128" s="13" t="s">
        <v>10986</v>
      </c>
      <c r="D1128" s="13">
        <v>812</v>
      </c>
      <c r="E1128" s="13" t="s">
        <v>9832</v>
      </c>
      <c r="F1128" s="13">
        <v>5</v>
      </c>
      <c r="G1128" s="13" t="s">
        <v>13223</v>
      </c>
    </row>
    <row r="1129" spans="1:7" ht="43.2" x14ac:dyDescent="0.3">
      <c r="A1129" s="13" t="s">
        <v>9829</v>
      </c>
      <c r="B1129" s="13" t="s">
        <v>10987</v>
      </c>
      <c r="C1129" s="13" t="s">
        <v>10988</v>
      </c>
      <c r="D1129" s="13">
        <v>1256</v>
      </c>
      <c r="E1129" s="13" t="s">
        <v>9901</v>
      </c>
      <c r="F1129" s="13">
        <v>7</v>
      </c>
      <c r="G1129" s="13" t="s">
        <v>9837</v>
      </c>
    </row>
    <row r="1130" spans="1:7" ht="43.2" x14ac:dyDescent="0.3">
      <c r="A1130" s="13" t="s">
        <v>9829</v>
      </c>
      <c r="B1130" s="13" t="s">
        <v>10989</v>
      </c>
      <c r="C1130" s="13" t="s">
        <v>10990</v>
      </c>
      <c r="D1130" s="13">
        <v>1531</v>
      </c>
      <c r="E1130" s="13" t="s">
        <v>9836</v>
      </c>
      <c r="F1130" s="13">
        <v>50</v>
      </c>
      <c r="G1130" s="13" t="s">
        <v>9837</v>
      </c>
    </row>
    <row r="1131" spans="1:7" ht="28.8" x14ac:dyDescent="0.3">
      <c r="A1131" s="13" t="s">
        <v>9829</v>
      </c>
      <c r="B1131" s="13" t="s">
        <v>10991</v>
      </c>
      <c r="C1131" s="13" t="s">
        <v>10992</v>
      </c>
      <c r="D1131" s="13">
        <v>321</v>
      </c>
      <c r="E1131" s="13" t="s">
        <v>9836</v>
      </c>
      <c r="F1131" s="13">
        <v>30</v>
      </c>
      <c r="G1131" s="13" t="s">
        <v>9837</v>
      </c>
    </row>
    <row r="1132" spans="1:7" ht="28.8" x14ac:dyDescent="0.3">
      <c r="A1132" s="13" t="s">
        <v>9829</v>
      </c>
      <c r="B1132" s="13" t="s">
        <v>10991</v>
      </c>
      <c r="C1132" s="13" t="s">
        <v>10992</v>
      </c>
      <c r="D1132" s="13">
        <v>321</v>
      </c>
      <c r="E1132" s="13" t="s">
        <v>9836</v>
      </c>
      <c r="F1132" s="13">
        <v>30</v>
      </c>
      <c r="G1132" s="13" t="s">
        <v>9837</v>
      </c>
    </row>
    <row r="1133" spans="1:7" ht="28.8" x14ac:dyDescent="0.3">
      <c r="A1133" s="13" t="s">
        <v>9829</v>
      </c>
      <c r="B1133" s="13" t="s">
        <v>10993</v>
      </c>
      <c r="C1133" s="13" t="s">
        <v>10994</v>
      </c>
      <c r="D1133" s="13">
        <v>324</v>
      </c>
      <c r="E1133" s="13" t="s">
        <v>9836</v>
      </c>
      <c r="F1133" s="13">
        <v>30</v>
      </c>
      <c r="G1133" s="13" t="s">
        <v>9837</v>
      </c>
    </row>
    <row r="1134" spans="1:7" ht="28.8" x14ac:dyDescent="0.3">
      <c r="A1134" s="13" t="s">
        <v>9829</v>
      </c>
      <c r="B1134" s="13" t="s">
        <v>10993</v>
      </c>
      <c r="C1134" s="13" t="s">
        <v>10994</v>
      </c>
      <c r="D1134" s="13">
        <v>324</v>
      </c>
      <c r="E1134" s="13" t="s">
        <v>9836</v>
      </c>
      <c r="F1134" s="13">
        <v>30</v>
      </c>
      <c r="G1134" s="13" t="s">
        <v>9837</v>
      </c>
    </row>
    <row r="1135" spans="1:7" ht="28.8" x14ac:dyDescent="0.3">
      <c r="A1135" s="13" t="s">
        <v>9829</v>
      </c>
      <c r="B1135" s="13" t="s">
        <v>10995</v>
      </c>
      <c r="C1135" s="13" t="s">
        <v>10996</v>
      </c>
      <c r="D1135" s="13">
        <v>329</v>
      </c>
      <c r="E1135" s="13" t="s">
        <v>9836</v>
      </c>
      <c r="F1135" s="13">
        <v>10</v>
      </c>
      <c r="G1135" s="13" t="s">
        <v>9837</v>
      </c>
    </row>
    <row r="1136" spans="1:7" ht="28.8" x14ac:dyDescent="0.3">
      <c r="A1136" s="13" t="s">
        <v>9829</v>
      </c>
      <c r="B1136" s="13" t="s">
        <v>10995</v>
      </c>
      <c r="C1136" s="13" t="s">
        <v>10996</v>
      </c>
      <c r="D1136" s="13">
        <v>329</v>
      </c>
      <c r="E1136" s="13" t="s">
        <v>9836</v>
      </c>
      <c r="F1136" s="13">
        <v>10</v>
      </c>
      <c r="G1136" s="13" t="s">
        <v>9837</v>
      </c>
    </row>
    <row r="1137" spans="1:7" ht="43.2" x14ac:dyDescent="0.3">
      <c r="A1137" s="13" t="s">
        <v>9829</v>
      </c>
      <c r="B1137" s="13" t="s">
        <v>10997</v>
      </c>
      <c r="C1137" s="13" t="s">
        <v>10998</v>
      </c>
      <c r="D1137" s="13">
        <v>319</v>
      </c>
      <c r="E1137" s="13" t="s">
        <v>9836</v>
      </c>
      <c r="F1137" s="13">
        <v>30</v>
      </c>
      <c r="G1137" s="13" t="s">
        <v>9837</v>
      </c>
    </row>
    <row r="1138" spans="1:7" ht="43.2" x14ac:dyDescent="0.3">
      <c r="A1138" s="13" t="s">
        <v>9829</v>
      </c>
      <c r="B1138" s="13" t="s">
        <v>10997</v>
      </c>
      <c r="C1138" s="13" t="s">
        <v>10998</v>
      </c>
      <c r="D1138" s="13">
        <v>319</v>
      </c>
      <c r="E1138" s="13" t="s">
        <v>9836</v>
      </c>
      <c r="F1138" s="13">
        <v>30</v>
      </c>
      <c r="G1138" s="13" t="s">
        <v>9837</v>
      </c>
    </row>
    <row r="1139" spans="1:7" ht="144" x14ac:dyDescent="0.3">
      <c r="A1139" s="13" t="s">
        <v>9829</v>
      </c>
      <c r="B1139" s="13" t="s">
        <v>10999</v>
      </c>
      <c r="C1139" s="13" t="s">
        <v>11000</v>
      </c>
      <c r="D1139" s="13">
        <v>850</v>
      </c>
      <c r="E1139" s="13" t="s">
        <v>9836</v>
      </c>
      <c r="F1139" s="13">
        <v>60</v>
      </c>
      <c r="G1139" s="13" t="s">
        <v>9837</v>
      </c>
    </row>
    <row r="1140" spans="1:7" ht="144" x14ac:dyDescent="0.3">
      <c r="A1140" s="13" t="s">
        <v>9829</v>
      </c>
      <c r="B1140" s="13" t="s">
        <v>10999</v>
      </c>
      <c r="C1140" s="13" t="s">
        <v>11000</v>
      </c>
      <c r="D1140" s="13">
        <v>850</v>
      </c>
      <c r="E1140" s="13" t="s">
        <v>9836</v>
      </c>
      <c r="F1140" s="13">
        <v>60</v>
      </c>
      <c r="G1140" s="13" t="s">
        <v>9837</v>
      </c>
    </row>
    <row r="1141" spans="1:7" ht="43.2" x14ac:dyDescent="0.3">
      <c r="A1141" s="13" t="s">
        <v>9829</v>
      </c>
      <c r="B1141" s="13" t="s">
        <v>11001</v>
      </c>
      <c r="C1141" s="13" t="s">
        <v>11002</v>
      </c>
      <c r="D1141" s="13">
        <v>577</v>
      </c>
      <c r="E1141" s="13" t="s">
        <v>9836</v>
      </c>
      <c r="F1141" s="13">
        <v>60</v>
      </c>
      <c r="G1141" s="13" t="s">
        <v>9837</v>
      </c>
    </row>
    <row r="1142" spans="1:7" ht="43.2" x14ac:dyDescent="0.3">
      <c r="A1142" s="13" t="s">
        <v>9829</v>
      </c>
      <c r="B1142" s="13" t="s">
        <v>11003</v>
      </c>
      <c r="C1142" s="13" t="s">
        <v>11004</v>
      </c>
      <c r="D1142" s="13">
        <v>435</v>
      </c>
      <c r="E1142" s="13" t="s">
        <v>9836</v>
      </c>
      <c r="F1142" s="13">
        <v>60</v>
      </c>
      <c r="G1142" s="13" t="s">
        <v>9837</v>
      </c>
    </row>
    <row r="1143" spans="1:7" ht="43.2" x14ac:dyDescent="0.3">
      <c r="A1143" s="13" t="s">
        <v>9829</v>
      </c>
      <c r="B1143" s="13" t="s">
        <v>11005</v>
      </c>
      <c r="C1143" s="13" t="s">
        <v>11006</v>
      </c>
      <c r="D1143" s="13">
        <v>1506</v>
      </c>
      <c r="E1143" s="13" t="s">
        <v>9901</v>
      </c>
      <c r="F1143" s="13">
        <v>5</v>
      </c>
      <c r="G1143" s="13" t="s">
        <v>9837</v>
      </c>
    </row>
    <row r="1144" spans="1:7" ht="273.60000000000002" x14ac:dyDescent="0.3">
      <c r="A1144" s="13" t="s">
        <v>9829</v>
      </c>
      <c r="B1144" s="13" t="s">
        <v>11007</v>
      </c>
      <c r="C1144" s="13" t="s">
        <v>11008</v>
      </c>
      <c r="D1144" s="13">
        <v>1088</v>
      </c>
      <c r="E1144" s="13" t="s">
        <v>9832</v>
      </c>
      <c r="F1144" s="13">
        <v>5</v>
      </c>
      <c r="G1144" s="13" t="s">
        <v>13287</v>
      </c>
    </row>
    <row r="1145" spans="1:7" ht="273.60000000000002" x14ac:dyDescent="0.3">
      <c r="A1145" s="13" t="s">
        <v>9829</v>
      </c>
      <c r="B1145" s="13" t="s">
        <v>11007</v>
      </c>
      <c r="C1145" s="13" t="s">
        <v>11008</v>
      </c>
      <c r="D1145" s="13">
        <v>1088</v>
      </c>
      <c r="E1145" s="13" t="s">
        <v>9832</v>
      </c>
      <c r="F1145" s="13">
        <v>5</v>
      </c>
      <c r="G1145" s="13" t="s">
        <v>13287</v>
      </c>
    </row>
    <row r="1146" spans="1:7" ht="273.60000000000002" x14ac:dyDescent="0.3">
      <c r="A1146" s="13" t="s">
        <v>9829</v>
      </c>
      <c r="B1146" s="13" t="s">
        <v>11007</v>
      </c>
      <c r="C1146" s="13" t="s">
        <v>11008</v>
      </c>
      <c r="D1146" s="13">
        <v>1088</v>
      </c>
      <c r="E1146" s="13" t="s">
        <v>9832</v>
      </c>
      <c r="F1146" s="13">
        <v>5</v>
      </c>
      <c r="G1146" s="13" t="s">
        <v>13287</v>
      </c>
    </row>
    <row r="1147" spans="1:7" ht="43.2" x14ac:dyDescent="0.3">
      <c r="A1147" s="13" t="s">
        <v>9829</v>
      </c>
      <c r="B1147" s="13" t="s">
        <v>11009</v>
      </c>
      <c r="C1147" s="13" t="s">
        <v>11010</v>
      </c>
      <c r="D1147" s="13">
        <v>189</v>
      </c>
      <c r="E1147" s="13" t="s">
        <v>9836</v>
      </c>
      <c r="F1147" s="13">
        <v>20</v>
      </c>
      <c r="G1147" s="13" t="s">
        <v>9837</v>
      </c>
    </row>
    <row r="1148" spans="1:7" ht="43.2" x14ac:dyDescent="0.3">
      <c r="A1148" s="13" t="s">
        <v>9829</v>
      </c>
      <c r="B1148" s="13" t="s">
        <v>11009</v>
      </c>
      <c r="C1148" s="13" t="s">
        <v>11010</v>
      </c>
      <c r="D1148" s="13">
        <v>189</v>
      </c>
      <c r="E1148" s="13" t="s">
        <v>9836</v>
      </c>
      <c r="F1148" s="13">
        <v>20</v>
      </c>
      <c r="G1148" s="13" t="s">
        <v>9837</v>
      </c>
    </row>
    <row r="1149" spans="1:7" ht="43.2" x14ac:dyDescent="0.3">
      <c r="A1149" s="13" t="s">
        <v>9829</v>
      </c>
      <c r="B1149" s="13" t="s">
        <v>11011</v>
      </c>
      <c r="C1149" s="13" t="s">
        <v>11012</v>
      </c>
      <c r="D1149" s="13">
        <v>1764</v>
      </c>
      <c r="E1149" s="13" t="s">
        <v>9832</v>
      </c>
      <c r="F1149" s="13">
        <v>5</v>
      </c>
      <c r="G1149" s="13" t="s">
        <v>9833</v>
      </c>
    </row>
    <row r="1150" spans="1:7" ht="28.8" x14ac:dyDescent="0.3">
      <c r="A1150" s="13" t="s">
        <v>9829</v>
      </c>
      <c r="B1150" s="13" t="s">
        <v>11013</v>
      </c>
      <c r="C1150" s="13" t="s">
        <v>11014</v>
      </c>
      <c r="D1150" s="13">
        <v>687</v>
      </c>
      <c r="E1150" s="13" t="s">
        <v>9863</v>
      </c>
      <c r="F1150" s="13">
        <v>8</v>
      </c>
      <c r="G1150" s="13" t="s">
        <v>9837</v>
      </c>
    </row>
    <row r="1151" spans="1:7" ht="43.2" x14ac:dyDescent="0.3">
      <c r="A1151" s="13" t="s">
        <v>9829</v>
      </c>
      <c r="B1151" s="13" t="s">
        <v>11015</v>
      </c>
      <c r="C1151" s="13" t="s">
        <v>11016</v>
      </c>
      <c r="D1151" s="13">
        <v>688</v>
      </c>
      <c r="E1151" s="13" t="s">
        <v>9836</v>
      </c>
      <c r="F1151" s="13">
        <v>60</v>
      </c>
      <c r="G1151" s="13" t="s">
        <v>9837</v>
      </c>
    </row>
    <row r="1152" spans="1:7" ht="288" x14ac:dyDescent="0.3">
      <c r="A1152" s="13" t="s">
        <v>9829</v>
      </c>
      <c r="B1152" s="13" t="s">
        <v>11017</v>
      </c>
      <c r="C1152" s="13" t="s">
        <v>11018</v>
      </c>
      <c r="D1152" s="13">
        <v>686</v>
      </c>
      <c r="E1152" s="13" t="s">
        <v>9832</v>
      </c>
      <c r="F1152" s="13">
        <v>5</v>
      </c>
      <c r="G1152" s="13" t="s">
        <v>13288</v>
      </c>
    </row>
    <row r="1153" spans="1:7" ht="158.4" x14ac:dyDescent="0.3">
      <c r="A1153" s="13" t="s">
        <v>9829</v>
      </c>
      <c r="B1153" s="13" t="s">
        <v>11019</v>
      </c>
      <c r="C1153" s="13" t="s">
        <v>11020</v>
      </c>
      <c r="D1153" s="13">
        <v>392</v>
      </c>
      <c r="E1153" s="13" t="s">
        <v>9832</v>
      </c>
      <c r="F1153" s="13">
        <v>5</v>
      </c>
      <c r="G1153" s="13" t="s">
        <v>10223</v>
      </c>
    </row>
    <row r="1154" spans="1:7" ht="216" x14ac:dyDescent="0.3">
      <c r="A1154" s="13" t="s">
        <v>9829</v>
      </c>
      <c r="B1154" s="13" t="s">
        <v>11021</v>
      </c>
      <c r="C1154" s="13" t="s">
        <v>11022</v>
      </c>
      <c r="D1154" s="13">
        <v>797</v>
      </c>
      <c r="E1154" s="13" t="s">
        <v>9832</v>
      </c>
      <c r="F1154" s="13">
        <v>5</v>
      </c>
      <c r="G1154" s="13" t="s">
        <v>13289</v>
      </c>
    </row>
    <row r="1155" spans="1:7" ht="409.6" x14ac:dyDescent="0.3">
      <c r="A1155" s="13" t="s">
        <v>9829</v>
      </c>
      <c r="B1155" s="13" t="s">
        <v>11023</v>
      </c>
      <c r="C1155" s="13" t="s">
        <v>11024</v>
      </c>
      <c r="D1155" s="13">
        <v>599</v>
      </c>
      <c r="E1155" s="13" t="s">
        <v>9832</v>
      </c>
      <c r="F1155" s="13">
        <v>5</v>
      </c>
      <c r="G1155" s="13" t="s">
        <v>13290</v>
      </c>
    </row>
    <row r="1156" spans="1:7" ht="28.8" x14ac:dyDescent="0.3">
      <c r="A1156" s="13" t="s">
        <v>9829</v>
      </c>
      <c r="B1156" s="13" t="s">
        <v>11025</v>
      </c>
      <c r="C1156" s="13" t="s">
        <v>11026</v>
      </c>
      <c r="D1156" s="13">
        <v>693</v>
      </c>
      <c r="E1156" s="13" t="s">
        <v>9863</v>
      </c>
      <c r="F1156" s="13">
        <v>8</v>
      </c>
      <c r="G1156" s="13" t="s">
        <v>9837</v>
      </c>
    </row>
    <row r="1157" spans="1:7" ht="28.8" x14ac:dyDescent="0.3">
      <c r="A1157" s="13" t="s">
        <v>9829</v>
      </c>
      <c r="B1157" s="13" t="s">
        <v>11027</v>
      </c>
      <c r="C1157" s="13" t="s">
        <v>11028</v>
      </c>
      <c r="D1157" s="13">
        <v>690</v>
      </c>
      <c r="E1157" s="13" t="s">
        <v>9836</v>
      </c>
      <c r="F1157" s="13">
        <v>35</v>
      </c>
      <c r="G1157" s="13" t="s">
        <v>9837</v>
      </c>
    </row>
    <row r="1158" spans="1:7" ht="28.8" x14ac:dyDescent="0.3">
      <c r="A1158" s="13" t="s">
        <v>9829</v>
      </c>
      <c r="B1158" s="13" t="s">
        <v>11029</v>
      </c>
      <c r="C1158" s="13" t="s">
        <v>11030</v>
      </c>
      <c r="D1158" s="13">
        <v>694</v>
      </c>
      <c r="E1158" s="13" t="s">
        <v>9863</v>
      </c>
      <c r="F1158" s="13">
        <v>8</v>
      </c>
      <c r="G1158" s="13" t="s">
        <v>9837</v>
      </c>
    </row>
    <row r="1159" spans="1:7" ht="28.8" x14ac:dyDescent="0.3">
      <c r="A1159" s="13" t="s">
        <v>9829</v>
      </c>
      <c r="B1159" s="13" t="s">
        <v>11031</v>
      </c>
      <c r="C1159" s="13" t="s">
        <v>11032</v>
      </c>
      <c r="D1159" s="13">
        <v>691</v>
      </c>
      <c r="E1159" s="13" t="s">
        <v>9836</v>
      </c>
      <c r="F1159" s="13">
        <v>60</v>
      </c>
      <c r="G1159" s="13" t="s">
        <v>9837</v>
      </c>
    </row>
    <row r="1160" spans="1:7" ht="409.6" x14ac:dyDescent="0.3">
      <c r="A1160" s="13" t="s">
        <v>9829</v>
      </c>
      <c r="B1160" s="13" t="s">
        <v>11033</v>
      </c>
      <c r="C1160" s="13" t="s">
        <v>11034</v>
      </c>
      <c r="D1160" s="13">
        <v>689</v>
      </c>
      <c r="E1160" s="13" t="s">
        <v>9832</v>
      </c>
      <c r="F1160" s="13">
        <v>5</v>
      </c>
      <c r="G1160" s="13" t="s">
        <v>13291</v>
      </c>
    </row>
    <row r="1161" spans="1:7" ht="158.4" x14ac:dyDescent="0.3">
      <c r="A1161" s="13" t="s">
        <v>9829</v>
      </c>
      <c r="B1161" s="13" t="s">
        <v>11035</v>
      </c>
      <c r="C1161" s="13" t="s">
        <v>11036</v>
      </c>
      <c r="D1161" s="13">
        <v>393</v>
      </c>
      <c r="E1161" s="13" t="s">
        <v>9836</v>
      </c>
      <c r="F1161" s="13">
        <v>60</v>
      </c>
      <c r="G1161" s="13" t="s">
        <v>10223</v>
      </c>
    </row>
    <row r="1162" spans="1:7" ht="409.6" x14ac:dyDescent="0.3">
      <c r="A1162" s="13" t="s">
        <v>9829</v>
      </c>
      <c r="B1162" s="13" t="s">
        <v>11037</v>
      </c>
      <c r="C1162" s="13" t="s">
        <v>11038</v>
      </c>
      <c r="D1162" s="13">
        <v>1025</v>
      </c>
      <c r="E1162" s="13" t="s">
        <v>9832</v>
      </c>
      <c r="F1162" s="13">
        <v>5</v>
      </c>
      <c r="G1162" s="13" t="s">
        <v>13292</v>
      </c>
    </row>
    <row r="1163" spans="1:7" ht="57.6" x14ac:dyDescent="0.3">
      <c r="A1163" s="13" t="s">
        <v>9829</v>
      </c>
      <c r="B1163" s="13" t="s">
        <v>11039</v>
      </c>
      <c r="C1163" s="13" t="s">
        <v>11040</v>
      </c>
      <c r="D1163" s="13">
        <v>192</v>
      </c>
      <c r="E1163" s="13" t="s">
        <v>9836</v>
      </c>
      <c r="F1163" s="13">
        <v>35</v>
      </c>
      <c r="G1163" s="13" t="s">
        <v>9837</v>
      </c>
    </row>
    <row r="1164" spans="1:7" ht="43.2" x14ac:dyDescent="0.3">
      <c r="A1164" s="13" t="s">
        <v>9829</v>
      </c>
      <c r="B1164" s="13" t="s">
        <v>11041</v>
      </c>
      <c r="C1164" s="13" t="s">
        <v>11042</v>
      </c>
      <c r="D1164" s="13">
        <v>1219</v>
      </c>
      <c r="E1164" s="13" t="s">
        <v>9863</v>
      </c>
      <c r="F1164" s="13">
        <v>8</v>
      </c>
      <c r="G1164" s="13" t="s">
        <v>9837</v>
      </c>
    </row>
    <row r="1165" spans="1:7" ht="43.2" x14ac:dyDescent="0.3">
      <c r="A1165" s="13" t="s">
        <v>9829</v>
      </c>
      <c r="B1165" s="13" t="s">
        <v>11043</v>
      </c>
      <c r="C1165" s="13" t="s">
        <v>11044</v>
      </c>
      <c r="D1165" s="13">
        <v>635</v>
      </c>
      <c r="E1165" s="13" t="s">
        <v>9880</v>
      </c>
      <c r="F1165" s="13">
        <v>3.1</v>
      </c>
      <c r="G1165" s="13" t="s">
        <v>9837</v>
      </c>
    </row>
    <row r="1166" spans="1:7" ht="43.2" x14ac:dyDescent="0.3">
      <c r="A1166" s="13" t="s">
        <v>9829</v>
      </c>
      <c r="B1166" s="13" t="s">
        <v>11045</v>
      </c>
      <c r="C1166" s="13" t="s">
        <v>11046</v>
      </c>
      <c r="D1166" s="13">
        <v>1144</v>
      </c>
      <c r="E1166" s="13" t="s">
        <v>9901</v>
      </c>
      <c r="F1166" s="13">
        <v>3</v>
      </c>
      <c r="G1166" s="13" t="s">
        <v>9837</v>
      </c>
    </row>
    <row r="1167" spans="1:7" ht="28.8" x14ac:dyDescent="0.3">
      <c r="A1167" s="13" t="s">
        <v>9829</v>
      </c>
      <c r="B1167" s="13" t="s">
        <v>11047</v>
      </c>
      <c r="C1167" s="13" t="s">
        <v>11048</v>
      </c>
      <c r="D1167" s="13">
        <v>1145</v>
      </c>
      <c r="E1167" s="13" t="s">
        <v>9901</v>
      </c>
      <c r="F1167" s="13">
        <v>2</v>
      </c>
      <c r="G1167" s="13" t="s">
        <v>9837</v>
      </c>
    </row>
    <row r="1168" spans="1:7" ht="28.8" x14ac:dyDescent="0.3">
      <c r="A1168" s="13" t="s">
        <v>9829</v>
      </c>
      <c r="B1168" s="13" t="s">
        <v>11049</v>
      </c>
      <c r="C1168" s="13" t="s">
        <v>11050</v>
      </c>
      <c r="D1168" s="13">
        <v>195</v>
      </c>
      <c r="E1168" s="13" t="s">
        <v>9880</v>
      </c>
      <c r="F1168" s="13">
        <v>2.1</v>
      </c>
      <c r="G1168" s="13" t="s">
        <v>9837</v>
      </c>
    </row>
    <row r="1169" spans="1:7" ht="28.8" x14ac:dyDescent="0.3">
      <c r="A1169" s="13" t="s">
        <v>9829</v>
      </c>
      <c r="B1169" s="13" t="s">
        <v>11049</v>
      </c>
      <c r="C1169" s="13" t="s">
        <v>11050</v>
      </c>
      <c r="D1169" s="13">
        <v>195</v>
      </c>
      <c r="E1169" s="13" t="s">
        <v>9880</v>
      </c>
      <c r="F1169" s="13">
        <v>2.1</v>
      </c>
      <c r="G1169" s="13" t="s">
        <v>9837</v>
      </c>
    </row>
    <row r="1170" spans="1:7" ht="28.8" x14ac:dyDescent="0.3">
      <c r="A1170" s="13" t="s">
        <v>9829</v>
      </c>
      <c r="B1170" s="13" t="s">
        <v>11049</v>
      </c>
      <c r="C1170" s="13" t="s">
        <v>11050</v>
      </c>
      <c r="D1170" s="13">
        <v>195</v>
      </c>
      <c r="E1170" s="13" t="s">
        <v>9880</v>
      </c>
      <c r="F1170" s="13">
        <v>2.1</v>
      </c>
      <c r="G1170" s="13" t="s">
        <v>9837</v>
      </c>
    </row>
    <row r="1171" spans="1:7" ht="28.8" x14ac:dyDescent="0.3">
      <c r="A1171" s="13" t="s">
        <v>9829</v>
      </c>
      <c r="B1171" s="13" t="s">
        <v>11049</v>
      </c>
      <c r="C1171" s="13" t="s">
        <v>11050</v>
      </c>
      <c r="D1171" s="13">
        <v>195</v>
      </c>
      <c r="E1171" s="13" t="s">
        <v>9880</v>
      </c>
      <c r="F1171" s="13">
        <v>2.1</v>
      </c>
      <c r="G1171" s="13" t="s">
        <v>9837</v>
      </c>
    </row>
    <row r="1172" spans="1:7" ht="43.2" x14ac:dyDescent="0.3">
      <c r="A1172" s="13" t="s">
        <v>9829</v>
      </c>
      <c r="B1172" s="13" t="s">
        <v>11051</v>
      </c>
      <c r="C1172" s="13" t="s">
        <v>11052</v>
      </c>
      <c r="D1172" s="13">
        <v>707</v>
      </c>
      <c r="E1172" s="13" t="s">
        <v>9901</v>
      </c>
      <c r="F1172" s="13">
        <v>4</v>
      </c>
      <c r="G1172" s="13" t="s">
        <v>9837</v>
      </c>
    </row>
    <row r="1173" spans="1:7" ht="43.2" x14ac:dyDescent="0.3">
      <c r="A1173" s="13" t="s">
        <v>9829</v>
      </c>
      <c r="B1173" s="13" t="s">
        <v>11053</v>
      </c>
      <c r="C1173" s="13" t="s">
        <v>11054</v>
      </c>
      <c r="D1173" s="13">
        <v>706</v>
      </c>
      <c r="E1173" s="13" t="s">
        <v>9901</v>
      </c>
      <c r="F1173" s="13">
        <v>4</v>
      </c>
      <c r="G1173" s="13" t="s">
        <v>9837</v>
      </c>
    </row>
    <row r="1174" spans="1:7" ht="28.8" x14ac:dyDescent="0.3">
      <c r="A1174" s="13" t="s">
        <v>9829</v>
      </c>
      <c r="B1174" s="13" t="s">
        <v>11055</v>
      </c>
      <c r="C1174" s="13" t="s">
        <v>11056</v>
      </c>
      <c r="D1174" s="13">
        <v>196</v>
      </c>
      <c r="E1174" s="13" t="s">
        <v>9901</v>
      </c>
      <c r="F1174" s="13">
        <v>3</v>
      </c>
      <c r="G1174" s="13" t="s">
        <v>9837</v>
      </c>
    </row>
    <row r="1175" spans="1:7" ht="28.8" x14ac:dyDescent="0.3">
      <c r="A1175" s="13" t="s">
        <v>9829</v>
      </c>
      <c r="B1175" s="13" t="s">
        <v>11057</v>
      </c>
      <c r="C1175" s="13" t="s">
        <v>11058</v>
      </c>
      <c r="D1175" s="13">
        <v>197</v>
      </c>
      <c r="E1175" s="13" t="s">
        <v>9901</v>
      </c>
      <c r="F1175" s="13">
        <v>2</v>
      </c>
      <c r="G1175" s="13" t="s">
        <v>9837</v>
      </c>
    </row>
    <row r="1176" spans="1:7" ht="28.8" x14ac:dyDescent="0.3">
      <c r="A1176" s="13" t="s">
        <v>9829</v>
      </c>
      <c r="B1176" s="13" t="s">
        <v>11057</v>
      </c>
      <c r="C1176" s="13" t="s">
        <v>11058</v>
      </c>
      <c r="D1176" s="13">
        <v>197</v>
      </c>
      <c r="E1176" s="13" t="s">
        <v>9901</v>
      </c>
      <c r="F1176" s="13">
        <v>2</v>
      </c>
      <c r="G1176" s="13" t="s">
        <v>9837</v>
      </c>
    </row>
    <row r="1177" spans="1:7" ht="28.8" x14ac:dyDescent="0.3">
      <c r="A1177" s="13" t="s">
        <v>9829</v>
      </c>
      <c r="B1177" s="13" t="s">
        <v>11057</v>
      </c>
      <c r="C1177" s="13" t="s">
        <v>11058</v>
      </c>
      <c r="D1177" s="13">
        <v>197</v>
      </c>
      <c r="E1177" s="13" t="s">
        <v>9901</v>
      </c>
      <c r="F1177" s="13">
        <v>2</v>
      </c>
      <c r="G1177" s="13" t="s">
        <v>9837</v>
      </c>
    </row>
    <row r="1178" spans="1:7" ht="43.2" x14ac:dyDescent="0.3">
      <c r="A1178" s="13" t="s">
        <v>9829</v>
      </c>
      <c r="B1178" s="13" t="s">
        <v>11059</v>
      </c>
      <c r="C1178" s="13" t="s">
        <v>11060</v>
      </c>
      <c r="D1178" s="13">
        <v>198</v>
      </c>
      <c r="E1178" s="13" t="s">
        <v>9901</v>
      </c>
      <c r="F1178" s="13">
        <v>2</v>
      </c>
      <c r="G1178" s="13" t="s">
        <v>9837</v>
      </c>
    </row>
    <row r="1179" spans="1:7" ht="43.2" x14ac:dyDescent="0.3">
      <c r="A1179" s="13" t="s">
        <v>9829</v>
      </c>
      <c r="B1179" s="13" t="s">
        <v>11059</v>
      </c>
      <c r="C1179" s="13" t="s">
        <v>11060</v>
      </c>
      <c r="D1179" s="13">
        <v>198</v>
      </c>
      <c r="E1179" s="13" t="s">
        <v>9901</v>
      </c>
      <c r="F1179" s="13">
        <v>2</v>
      </c>
      <c r="G1179" s="13" t="s">
        <v>9837</v>
      </c>
    </row>
    <row r="1180" spans="1:7" ht="43.2" x14ac:dyDescent="0.3">
      <c r="A1180" s="13" t="s">
        <v>9829</v>
      </c>
      <c r="B1180" s="13" t="s">
        <v>11059</v>
      </c>
      <c r="C1180" s="13" t="s">
        <v>11060</v>
      </c>
      <c r="D1180" s="13">
        <v>198</v>
      </c>
      <c r="E1180" s="13" t="s">
        <v>9901</v>
      </c>
      <c r="F1180" s="13">
        <v>2</v>
      </c>
      <c r="G1180" s="13" t="s">
        <v>9837</v>
      </c>
    </row>
    <row r="1181" spans="1:7" ht="57.6" x14ac:dyDescent="0.3">
      <c r="A1181" s="13" t="s">
        <v>9829</v>
      </c>
      <c r="B1181" s="13" t="s">
        <v>11061</v>
      </c>
      <c r="C1181" s="13" t="s">
        <v>11062</v>
      </c>
      <c r="D1181" s="13">
        <v>857</v>
      </c>
      <c r="E1181" s="13" t="s">
        <v>9901</v>
      </c>
      <c r="F1181" s="13">
        <v>3</v>
      </c>
      <c r="G1181" s="13" t="s">
        <v>9837</v>
      </c>
    </row>
    <row r="1182" spans="1:7" ht="57.6" x14ac:dyDescent="0.3">
      <c r="A1182" s="13" t="s">
        <v>9829</v>
      </c>
      <c r="B1182" s="13" t="s">
        <v>11061</v>
      </c>
      <c r="C1182" s="13" t="s">
        <v>11062</v>
      </c>
      <c r="D1182" s="13">
        <v>857</v>
      </c>
      <c r="E1182" s="13" t="s">
        <v>9901</v>
      </c>
      <c r="F1182" s="13">
        <v>3</v>
      </c>
      <c r="G1182" s="13" t="s">
        <v>9837</v>
      </c>
    </row>
    <row r="1183" spans="1:7" ht="28.8" x14ac:dyDescent="0.3">
      <c r="A1183" s="13" t="s">
        <v>9829</v>
      </c>
      <c r="B1183" s="13" t="s">
        <v>11063</v>
      </c>
      <c r="C1183" s="13" t="s">
        <v>11064</v>
      </c>
      <c r="D1183" s="13">
        <v>639</v>
      </c>
      <c r="E1183" s="13" t="s">
        <v>9901</v>
      </c>
      <c r="F1183" s="13">
        <v>3</v>
      </c>
      <c r="G1183" s="13" t="s">
        <v>9837</v>
      </c>
    </row>
    <row r="1184" spans="1:7" ht="28.8" x14ac:dyDescent="0.3">
      <c r="A1184" s="13" t="s">
        <v>9829</v>
      </c>
      <c r="B1184" s="13" t="s">
        <v>11063</v>
      </c>
      <c r="C1184" s="13" t="s">
        <v>11064</v>
      </c>
      <c r="D1184" s="13">
        <v>639</v>
      </c>
      <c r="E1184" s="13" t="s">
        <v>9901</v>
      </c>
      <c r="F1184" s="13">
        <v>3</v>
      </c>
      <c r="G1184" s="13" t="s">
        <v>9837</v>
      </c>
    </row>
    <row r="1185" spans="1:7" ht="28.8" x14ac:dyDescent="0.3">
      <c r="A1185" s="13" t="s">
        <v>9829</v>
      </c>
      <c r="B1185" s="13" t="s">
        <v>11063</v>
      </c>
      <c r="C1185" s="13" t="s">
        <v>11064</v>
      </c>
      <c r="D1185" s="13">
        <v>639</v>
      </c>
      <c r="E1185" s="13" t="s">
        <v>9901</v>
      </c>
      <c r="F1185" s="13">
        <v>3</v>
      </c>
      <c r="G1185" s="13" t="s">
        <v>9837</v>
      </c>
    </row>
    <row r="1186" spans="1:7" ht="28.8" x14ac:dyDescent="0.3">
      <c r="A1186" s="13" t="s">
        <v>9829</v>
      </c>
      <c r="B1186" s="13" t="s">
        <v>11063</v>
      </c>
      <c r="C1186" s="13" t="s">
        <v>11064</v>
      </c>
      <c r="D1186" s="13">
        <v>639</v>
      </c>
      <c r="E1186" s="13" t="s">
        <v>9901</v>
      </c>
      <c r="F1186" s="13">
        <v>3</v>
      </c>
      <c r="G1186" s="13" t="s">
        <v>9837</v>
      </c>
    </row>
    <row r="1187" spans="1:7" ht="28.8" x14ac:dyDescent="0.3">
      <c r="A1187" s="13" t="s">
        <v>9829</v>
      </c>
      <c r="B1187" s="13" t="s">
        <v>11065</v>
      </c>
      <c r="C1187" s="13" t="s">
        <v>11066</v>
      </c>
      <c r="D1187" s="13">
        <v>201</v>
      </c>
      <c r="E1187" s="13" t="s">
        <v>9901</v>
      </c>
      <c r="F1187" s="13">
        <v>2</v>
      </c>
      <c r="G1187" s="13" t="s">
        <v>9837</v>
      </c>
    </row>
    <row r="1188" spans="1:7" ht="28.8" x14ac:dyDescent="0.3">
      <c r="A1188" s="13" t="s">
        <v>9829</v>
      </c>
      <c r="B1188" s="13" t="s">
        <v>11065</v>
      </c>
      <c r="C1188" s="13" t="s">
        <v>11066</v>
      </c>
      <c r="D1188" s="13">
        <v>201</v>
      </c>
      <c r="E1188" s="13" t="s">
        <v>9901</v>
      </c>
      <c r="F1188" s="13">
        <v>2</v>
      </c>
      <c r="G1188" s="13" t="s">
        <v>9837</v>
      </c>
    </row>
    <row r="1189" spans="1:7" ht="28.8" x14ac:dyDescent="0.3">
      <c r="A1189" s="13" t="s">
        <v>9829</v>
      </c>
      <c r="B1189" s="13" t="s">
        <v>11065</v>
      </c>
      <c r="C1189" s="13" t="s">
        <v>11066</v>
      </c>
      <c r="D1189" s="13">
        <v>201</v>
      </c>
      <c r="E1189" s="13" t="s">
        <v>9901</v>
      </c>
      <c r="F1189" s="13">
        <v>2</v>
      </c>
      <c r="G1189" s="13" t="s">
        <v>9837</v>
      </c>
    </row>
    <row r="1190" spans="1:7" ht="28.8" x14ac:dyDescent="0.3">
      <c r="A1190" s="13" t="s">
        <v>9829</v>
      </c>
      <c r="B1190" s="13" t="s">
        <v>11067</v>
      </c>
      <c r="C1190" s="13" t="s">
        <v>11068</v>
      </c>
      <c r="D1190" s="13">
        <v>406</v>
      </c>
      <c r="E1190" s="13" t="s">
        <v>9901</v>
      </c>
      <c r="F1190" s="13">
        <v>3</v>
      </c>
      <c r="G1190" s="13" t="s">
        <v>9837</v>
      </c>
    </row>
    <row r="1191" spans="1:7" ht="302.39999999999998" x14ac:dyDescent="0.3">
      <c r="A1191" s="13" t="s">
        <v>9829</v>
      </c>
      <c r="B1191" s="13" t="s">
        <v>11069</v>
      </c>
      <c r="C1191" s="13" t="s">
        <v>11070</v>
      </c>
      <c r="D1191" s="13">
        <v>1301</v>
      </c>
      <c r="E1191" s="13" t="s">
        <v>9832</v>
      </c>
      <c r="F1191" s="13">
        <v>5</v>
      </c>
      <c r="G1191" s="13" t="s">
        <v>13293</v>
      </c>
    </row>
    <row r="1192" spans="1:7" ht="43.2" x14ac:dyDescent="0.3">
      <c r="A1192" s="13" t="s">
        <v>9829</v>
      </c>
      <c r="B1192" s="13" t="s">
        <v>11071</v>
      </c>
      <c r="C1192" s="13" t="s">
        <v>11072</v>
      </c>
      <c r="D1192" s="13">
        <v>454</v>
      </c>
      <c r="E1192" s="13" t="s">
        <v>9836</v>
      </c>
      <c r="F1192" s="13">
        <v>45</v>
      </c>
      <c r="G1192" s="13" t="s">
        <v>9837</v>
      </c>
    </row>
    <row r="1193" spans="1:7" ht="43.2" x14ac:dyDescent="0.3">
      <c r="A1193" s="13" t="s">
        <v>9829</v>
      </c>
      <c r="B1193" s="13" t="s">
        <v>11073</v>
      </c>
      <c r="C1193" s="13" t="s">
        <v>11074</v>
      </c>
      <c r="D1193" s="13">
        <v>455</v>
      </c>
      <c r="E1193" s="13" t="s">
        <v>9863</v>
      </c>
      <c r="F1193" s="13">
        <v>8</v>
      </c>
      <c r="G1193" s="13" t="s">
        <v>9837</v>
      </c>
    </row>
    <row r="1194" spans="1:7" ht="43.2" x14ac:dyDescent="0.3">
      <c r="A1194" s="13" t="s">
        <v>9829</v>
      </c>
      <c r="B1194" s="13" t="s">
        <v>11075</v>
      </c>
      <c r="C1194" s="13" t="s">
        <v>11076</v>
      </c>
      <c r="D1194" s="13">
        <v>456</v>
      </c>
      <c r="E1194" s="13" t="s">
        <v>9863</v>
      </c>
      <c r="F1194" s="13">
        <v>8</v>
      </c>
      <c r="G1194" s="13" t="s">
        <v>9837</v>
      </c>
    </row>
    <row r="1195" spans="1:7" ht="409.6" x14ac:dyDescent="0.3">
      <c r="A1195" s="13" t="s">
        <v>9829</v>
      </c>
      <c r="B1195" s="13" t="s">
        <v>11077</v>
      </c>
      <c r="C1195" s="13" t="s">
        <v>11078</v>
      </c>
      <c r="D1195" s="13">
        <v>1163</v>
      </c>
      <c r="E1195" s="13" t="s">
        <v>9832</v>
      </c>
      <c r="F1195" s="13">
        <v>5</v>
      </c>
      <c r="G1195" s="13" t="s">
        <v>13294</v>
      </c>
    </row>
    <row r="1196" spans="1:7" ht="409.6" x14ac:dyDescent="0.3">
      <c r="A1196" s="13" t="s">
        <v>9829</v>
      </c>
      <c r="B1196" s="13" t="s">
        <v>11077</v>
      </c>
      <c r="C1196" s="13" t="s">
        <v>11078</v>
      </c>
      <c r="D1196" s="13">
        <v>1163</v>
      </c>
      <c r="E1196" s="13" t="s">
        <v>9832</v>
      </c>
      <c r="F1196" s="13">
        <v>5</v>
      </c>
      <c r="G1196" s="13" t="s">
        <v>13295</v>
      </c>
    </row>
    <row r="1197" spans="1:7" ht="409.6" x14ac:dyDescent="0.3">
      <c r="A1197" s="13" t="s">
        <v>9829</v>
      </c>
      <c r="B1197" s="13" t="s">
        <v>11077</v>
      </c>
      <c r="C1197" s="13" t="s">
        <v>11078</v>
      </c>
      <c r="D1197" s="13">
        <v>1163</v>
      </c>
      <c r="E1197" s="13" t="s">
        <v>9832</v>
      </c>
      <c r="F1197" s="13">
        <v>5</v>
      </c>
      <c r="G1197" s="13" t="s">
        <v>13294</v>
      </c>
    </row>
    <row r="1198" spans="1:7" ht="409.6" x14ac:dyDescent="0.3">
      <c r="A1198" s="13" t="s">
        <v>9829</v>
      </c>
      <c r="B1198" s="13" t="s">
        <v>11077</v>
      </c>
      <c r="C1198" s="13" t="s">
        <v>11078</v>
      </c>
      <c r="D1198" s="13">
        <v>1163</v>
      </c>
      <c r="E1198" s="13" t="s">
        <v>9832</v>
      </c>
      <c r="F1198" s="13">
        <v>5</v>
      </c>
      <c r="G1198" s="13" t="s">
        <v>13295</v>
      </c>
    </row>
    <row r="1199" spans="1:7" ht="409.6" x14ac:dyDescent="0.3">
      <c r="A1199" s="13" t="s">
        <v>9829</v>
      </c>
      <c r="B1199" s="13" t="s">
        <v>11079</v>
      </c>
      <c r="C1199" s="13" t="s">
        <v>11080</v>
      </c>
      <c r="D1199" s="13">
        <v>1158</v>
      </c>
      <c r="E1199" s="13" t="s">
        <v>9832</v>
      </c>
      <c r="F1199" s="13">
        <v>5</v>
      </c>
      <c r="G1199" s="13" t="s">
        <v>13296</v>
      </c>
    </row>
    <row r="1200" spans="1:7" ht="409.6" x14ac:dyDescent="0.3">
      <c r="A1200" s="13" t="s">
        <v>9829</v>
      </c>
      <c r="B1200" s="13" t="s">
        <v>11079</v>
      </c>
      <c r="C1200" s="13" t="s">
        <v>11080</v>
      </c>
      <c r="D1200" s="13">
        <v>1158</v>
      </c>
      <c r="E1200" s="13" t="s">
        <v>9832</v>
      </c>
      <c r="F1200" s="13">
        <v>5</v>
      </c>
      <c r="G1200" s="13" t="s">
        <v>13296</v>
      </c>
    </row>
    <row r="1201" spans="1:7" ht="144" x14ac:dyDescent="0.3">
      <c r="A1201" s="13" t="s">
        <v>9829</v>
      </c>
      <c r="B1201" s="13" t="s">
        <v>11081</v>
      </c>
      <c r="C1201" s="13" t="s">
        <v>11082</v>
      </c>
      <c r="D1201" s="13">
        <v>1165</v>
      </c>
      <c r="E1201" s="13" t="s">
        <v>9832</v>
      </c>
      <c r="F1201" s="13">
        <v>5</v>
      </c>
      <c r="G1201" s="13" t="s">
        <v>13297</v>
      </c>
    </row>
    <row r="1202" spans="1:7" ht="144" x14ac:dyDescent="0.3">
      <c r="A1202" s="13" t="s">
        <v>9829</v>
      </c>
      <c r="B1202" s="13" t="s">
        <v>11081</v>
      </c>
      <c r="C1202" s="13" t="s">
        <v>11082</v>
      </c>
      <c r="D1202" s="13">
        <v>1165</v>
      </c>
      <c r="E1202" s="13" t="s">
        <v>9832</v>
      </c>
      <c r="F1202" s="13">
        <v>5</v>
      </c>
      <c r="G1202" s="13" t="s">
        <v>13297</v>
      </c>
    </row>
    <row r="1203" spans="1:7" ht="28.8" x14ac:dyDescent="0.3">
      <c r="A1203" s="13" t="s">
        <v>9829</v>
      </c>
      <c r="B1203" s="13" t="s">
        <v>11083</v>
      </c>
      <c r="C1203" s="13" t="s">
        <v>9625</v>
      </c>
      <c r="D1203" s="13">
        <v>1191</v>
      </c>
      <c r="E1203" s="13" t="s">
        <v>9901</v>
      </c>
      <c r="F1203" s="13">
        <v>5</v>
      </c>
      <c r="G1203" s="13" t="s">
        <v>9837</v>
      </c>
    </row>
    <row r="1204" spans="1:7" ht="388.8" x14ac:dyDescent="0.3">
      <c r="A1204" s="13" t="s">
        <v>9829</v>
      </c>
      <c r="B1204" s="13" t="s">
        <v>11084</v>
      </c>
      <c r="C1204" s="13" t="s">
        <v>11085</v>
      </c>
      <c r="D1204" s="13">
        <v>1125</v>
      </c>
      <c r="E1204" s="13" t="s">
        <v>9832</v>
      </c>
      <c r="F1204" s="13">
        <v>5</v>
      </c>
      <c r="G1204" s="13" t="s">
        <v>13298</v>
      </c>
    </row>
    <row r="1205" spans="1:7" ht="43.2" x14ac:dyDescent="0.3">
      <c r="A1205" s="13" t="s">
        <v>9829</v>
      </c>
      <c r="B1205" s="13" t="s">
        <v>11086</v>
      </c>
      <c r="C1205" s="13" t="s">
        <v>11087</v>
      </c>
      <c r="D1205" s="13">
        <v>1124</v>
      </c>
      <c r="E1205" s="13" t="s">
        <v>9836</v>
      </c>
      <c r="F1205" s="13">
        <v>45</v>
      </c>
      <c r="G1205" s="13" t="s">
        <v>9837</v>
      </c>
    </row>
    <row r="1206" spans="1:7" ht="100.8" x14ac:dyDescent="0.3">
      <c r="A1206" s="13" t="s">
        <v>9829</v>
      </c>
      <c r="B1206" s="13" t="s">
        <v>11088</v>
      </c>
      <c r="C1206" s="13" t="s">
        <v>11089</v>
      </c>
      <c r="D1206" s="13">
        <v>1576</v>
      </c>
      <c r="E1206" s="13" t="s">
        <v>9832</v>
      </c>
      <c r="F1206" s="13">
        <v>5</v>
      </c>
      <c r="G1206" s="13" t="s">
        <v>13299</v>
      </c>
    </row>
    <row r="1207" spans="1:7" ht="28.8" x14ac:dyDescent="0.3">
      <c r="A1207" s="13" t="s">
        <v>9829</v>
      </c>
      <c r="B1207" s="13" t="s">
        <v>11090</v>
      </c>
      <c r="C1207" s="13" t="s">
        <v>11091</v>
      </c>
      <c r="D1207" s="13">
        <v>1527</v>
      </c>
      <c r="E1207" s="13" t="s">
        <v>9836</v>
      </c>
      <c r="F1207" s="13">
        <v>80</v>
      </c>
      <c r="G1207" s="13" t="s">
        <v>9837</v>
      </c>
    </row>
    <row r="1208" spans="1:7" ht="28.8" x14ac:dyDescent="0.3">
      <c r="A1208" s="13" t="s">
        <v>9829</v>
      </c>
      <c r="B1208" s="13" t="s">
        <v>11090</v>
      </c>
      <c r="C1208" s="13" t="s">
        <v>11091</v>
      </c>
      <c r="D1208" s="13">
        <v>1527</v>
      </c>
      <c r="E1208" s="13" t="s">
        <v>9836</v>
      </c>
      <c r="F1208" s="13">
        <v>80</v>
      </c>
      <c r="G1208" s="13" t="s">
        <v>9837</v>
      </c>
    </row>
    <row r="1209" spans="1:7" ht="28.8" x14ac:dyDescent="0.3">
      <c r="A1209" s="13" t="s">
        <v>9829</v>
      </c>
      <c r="B1209" s="13" t="s">
        <v>11092</v>
      </c>
      <c r="C1209" s="13" t="s">
        <v>11093</v>
      </c>
      <c r="D1209" s="13">
        <v>1879</v>
      </c>
      <c r="E1209" s="13" t="s">
        <v>9836</v>
      </c>
      <c r="F1209" s="13">
        <v>50</v>
      </c>
      <c r="G1209" s="13" t="s">
        <v>9837</v>
      </c>
    </row>
    <row r="1210" spans="1:7" ht="316.8" x14ac:dyDescent="0.3">
      <c r="A1210" s="13" t="s">
        <v>9829</v>
      </c>
      <c r="B1210" s="13" t="s">
        <v>11094</v>
      </c>
      <c r="C1210" s="13" t="s">
        <v>11095</v>
      </c>
      <c r="D1210" s="13">
        <v>761</v>
      </c>
      <c r="E1210" s="13" t="s">
        <v>9832</v>
      </c>
      <c r="F1210" s="13">
        <v>5</v>
      </c>
      <c r="G1210" s="13" t="s">
        <v>13300</v>
      </c>
    </row>
    <row r="1211" spans="1:7" ht="273.60000000000002" x14ac:dyDescent="0.3">
      <c r="A1211" s="13" t="s">
        <v>9829</v>
      </c>
      <c r="B1211" s="13" t="s">
        <v>11096</v>
      </c>
      <c r="C1211" s="13" t="s">
        <v>11097</v>
      </c>
      <c r="D1211" s="13">
        <v>762</v>
      </c>
      <c r="E1211" s="13" t="s">
        <v>9832</v>
      </c>
      <c r="F1211" s="13">
        <v>5</v>
      </c>
      <c r="G1211" s="13" t="s">
        <v>13301</v>
      </c>
    </row>
    <row r="1212" spans="1:7" ht="201.6" x14ac:dyDescent="0.3">
      <c r="A1212" s="13" t="s">
        <v>9829</v>
      </c>
      <c r="B1212" s="13" t="s">
        <v>11098</v>
      </c>
      <c r="C1212" s="13" t="s">
        <v>11099</v>
      </c>
      <c r="D1212" s="13">
        <v>760</v>
      </c>
      <c r="E1212" s="13" t="s">
        <v>9832</v>
      </c>
      <c r="F1212" s="13">
        <v>5</v>
      </c>
      <c r="G1212" s="13" t="s">
        <v>13302</v>
      </c>
    </row>
    <row r="1213" spans="1:7" ht="172.8" x14ac:dyDescent="0.3">
      <c r="A1213" s="13" t="s">
        <v>9829</v>
      </c>
      <c r="B1213" s="13" t="s">
        <v>11100</v>
      </c>
      <c r="C1213" s="13" t="s">
        <v>11101</v>
      </c>
      <c r="D1213" s="13">
        <v>1227</v>
      </c>
      <c r="E1213" s="13" t="s">
        <v>9832</v>
      </c>
      <c r="F1213" s="13">
        <v>5</v>
      </c>
      <c r="G1213" s="13" t="s">
        <v>13303</v>
      </c>
    </row>
    <row r="1214" spans="1:7" ht="172.8" x14ac:dyDescent="0.3">
      <c r="A1214" s="13" t="s">
        <v>9829</v>
      </c>
      <c r="B1214" s="13" t="s">
        <v>11100</v>
      </c>
      <c r="C1214" s="13" t="s">
        <v>11101</v>
      </c>
      <c r="D1214" s="13">
        <v>1227</v>
      </c>
      <c r="E1214" s="13" t="s">
        <v>9832</v>
      </c>
      <c r="F1214" s="13">
        <v>5</v>
      </c>
      <c r="G1214" s="13" t="s">
        <v>13303</v>
      </c>
    </row>
    <row r="1215" spans="1:7" ht="28.8" x14ac:dyDescent="0.3">
      <c r="A1215" s="13" t="s">
        <v>9829</v>
      </c>
      <c r="B1215" s="13" t="s">
        <v>11102</v>
      </c>
      <c r="C1215" s="13" t="s">
        <v>11103</v>
      </c>
      <c r="D1215" s="13">
        <v>501</v>
      </c>
      <c r="E1215" s="13" t="s">
        <v>9836</v>
      </c>
      <c r="F1215" s="13">
        <v>30</v>
      </c>
      <c r="G1215" s="13" t="s">
        <v>9837</v>
      </c>
    </row>
    <row r="1216" spans="1:7" ht="28.8" x14ac:dyDescent="0.3">
      <c r="A1216" s="13" t="s">
        <v>9829</v>
      </c>
      <c r="B1216" s="13" t="s">
        <v>11104</v>
      </c>
      <c r="C1216" s="13" t="s">
        <v>11105</v>
      </c>
      <c r="D1216" s="13">
        <v>868</v>
      </c>
      <c r="E1216" s="13" t="s">
        <v>9832</v>
      </c>
      <c r="F1216" s="13">
        <v>5</v>
      </c>
      <c r="G1216" s="13" t="s">
        <v>11106</v>
      </c>
    </row>
    <row r="1217" spans="1:7" ht="409.6" x14ac:dyDescent="0.3">
      <c r="A1217" s="13" t="s">
        <v>9829</v>
      </c>
      <c r="B1217" s="13" t="s">
        <v>11107</v>
      </c>
      <c r="C1217" s="13" t="s">
        <v>11108</v>
      </c>
      <c r="D1217" s="13">
        <v>1161</v>
      </c>
      <c r="E1217" s="13" t="s">
        <v>9832</v>
      </c>
      <c r="F1217" s="13">
        <v>5</v>
      </c>
      <c r="G1217" s="13" t="s">
        <v>13304</v>
      </c>
    </row>
    <row r="1218" spans="1:7" ht="409.6" x14ac:dyDescent="0.3">
      <c r="A1218" s="13" t="s">
        <v>9829</v>
      </c>
      <c r="B1218" s="13" t="s">
        <v>11107</v>
      </c>
      <c r="C1218" s="13" t="s">
        <v>11108</v>
      </c>
      <c r="D1218" s="13">
        <v>1161</v>
      </c>
      <c r="E1218" s="13" t="s">
        <v>9832</v>
      </c>
      <c r="F1218" s="13">
        <v>5</v>
      </c>
      <c r="G1218" s="13" t="s">
        <v>13304</v>
      </c>
    </row>
    <row r="1219" spans="1:7" ht="28.8" x14ac:dyDescent="0.3">
      <c r="A1219" s="13" t="s">
        <v>9829</v>
      </c>
      <c r="B1219" s="13" t="s">
        <v>11109</v>
      </c>
      <c r="C1219" s="13" t="s">
        <v>11110</v>
      </c>
      <c r="D1219" s="13">
        <v>1449</v>
      </c>
      <c r="E1219" s="13" t="s">
        <v>9832</v>
      </c>
      <c r="F1219" s="13">
        <v>5</v>
      </c>
      <c r="G1219" s="13" t="s">
        <v>9833</v>
      </c>
    </row>
    <row r="1220" spans="1:7" ht="57.6" x14ac:dyDescent="0.3">
      <c r="A1220" s="13" t="s">
        <v>9829</v>
      </c>
      <c r="B1220" s="13" t="s">
        <v>11111</v>
      </c>
      <c r="C1220" s="13" t="s">
        <v>11112</v>
      </c>
      <c r="D1220" s="13">
        <v>203</v>
      </c>
      <c r="E1220" s="13" t="s">
        <v>9901</v>
      </c>
      <c r="F1220" s="13">
        <v>3</v>
      </c>
      <c r="G1220" s="13" t="s">
        <v>9837</v>
      </c>
    </row>
    <row r="1221" spans="1:7" ht="57.6" x14ac:dyDescent="0.3">
      <c r="A1221" s="13" t="s">
        <v>9829</v>
      </c>
      <c r="B1221" s="13" t="s">
        <v>11111</v>
      </c>
      <c r="C1221" s="13" t="s">
        <v>11112</v>
      </c>
      <c r="D1221" s="13">
        <v>203</v>
      </c>
      <c r="E1221" s="13" t="s">
        <v>9901</v>
      </c>
      <c r="F1221" s="13">
        <v>3</v>
      </c>
      <c r="G1221" s="13" t="s">
        <v>9837</v>
      </c>
    </row>
    <row r="1222" spans="1:7" ht="57.6" x14ac:dyDescent="0.3">
      <c r="A1222" s="13" t="s">
        <v>9829</v>
      </c>
      <c r="B1222" s="13" t="s">
        <v>11111</v>
      </c>
      <c r="C1222" s="13" t="s">
        <v>11112</v>
      </c>
      <c r="D1222" s="13">
        <v>203</v>
      </c>
      <c r="E1222" s="13" t="s">
        <v>9901</v>
      </c>
      <c r="F1222" s="13">
        <v>3</v>
      </c>
      <c r="G1222" s="13" t="s">
        <v>9837</v>
      </c>
    </row>
    <row r="1223" spans="1:7" ht="43.2" x14ac:dyDescent="0.3">
      <c r="A1223" s="13" t="s">
        <v>9829</v>
      </c>
      <c r="B1223" s="13" t="s">
        <v>11113</v>
      </c>
      <c r="C1223" s="13" t="s">
        <v>11114</v>
      </c>
      <c r="D1223" s="13">
        <v>1312</v>
      </c>
      <c r="E1223" s="13" t="s">
        <v>9836</v>
      </c>
      <c r="F1223" s="13">
        <v>45</v>
      </c>
      <c r="G1223" s="13" t="s">
        <v>9837</v>
      </c>
    </row>
    <row r="1224" spans="1:7" ht="158.4" x14ac:dyDescent="0.3">
      <c r="A1224" s="13" t="s">
        <v>9829</v>
      </c>
      <c r="B1224" s="13" t="s">
        <v>11115</v>
      </c>
      <c r="C1224" s="13" t="s">
        <v>11116</v>
      </c>
      <c r="D1224" s="13">
        <v>365</v>
      </c>
      <c r="E1224" s="13" t="s">
        <v>9832</v>
      </c>
      <c r="F1224" s="13">
        <v>5</v>
      </c>
      <c r="G1224" s="13" t="s">
        <v>13305</v>
      </c>
    </row>
    <row r="1225" spans="1:7" ht="28.8" x14ac:dyDescent="0.3">
      <c r="A1225" s="13" t="s">
        <v>9829</v>
      </c>
      <c r="B1225" s="13" t="s">
        <v>11117</v>
      </c>
      <c r="C1225" s="13" t="s">
        <v>11118</v>
      </c>
      <c r="D1225" s="13">
        <v>1536</v>
      </c>
      <c r="E1225" s="13" t="s">
        <v>9836</v>
      </c>
      <c r="F1225" s="13">
        <v>50</v>
      </c>
      <c r="G1225" s="13" t="s">
        <v>9837</v>
      </c>
    </row>
    <row r="1226" spans="1:7" ht="28.8" x14ac:dyDescent="0.3">
      <c r="A1226" s="13" t="s">
        <v>9829</v>
      </c>
      <c r="B1226" s="13" t="s">
        <v>11119</v>
      </c>
      <c r="C1226" s="13" t="s">
        <v>11120</v>
      </c>
      <c r="D1226" s="13">
        <v>492</v>
      </c>
      <c r="E1226" s="13" t="s">
        <v>9836</v>
      </c>
      <c r="F1226" s="13">
        <v>60</v>
      </c>
      <c r="G1226" s="13" t="s">
        <v>9837</v>
      </c>
    </row>
    <row r="1227" spans="1:7" ht="28.8" x14ac:dyDescent="0.3">
      <c r="A1227" s="13" t="s">
        <v>9829</v>
      </c>
      <c r="B1227" s="13" t="s">
        <v>11121</v>
      </c>
      <c r="C1227" s="13" t="s">
        <v>11122</v>
      </c>
      <c r="D1227" s="13">
        <v>494</v>
      </c>
      <c r="E1227" s="13" t="s">
        <v>9836</v>
      </c>
      <c r="F1227" s="13">
        <v>60</v>
      </c>
      <c r="G1227" s="13" t="s">
        <v>9837</v>
      </c>
    </row>
    <row r="1228" spans="1:7" ht="28.8" x14ac:dyDescent="0.3">
      <c r="A1228" s="13" t="s">
        <v>9829</v>
      </c>
      <c r="B1228" s="13" t="s">
        <v>11123</v>
      </c>
      <c r="C1228" s="13" t="s">
        <v>11124</v>
      </c>
      <c r="D1228" s="13">
        <v>493</v>
      </c>
      <c r="E1228" s="13" t="s">
        <v>9836</v>
      </c>
      <c r="F1228" s="13">
        <v>60</v>
      </c>
      <c r="G1228" s="13" t="s">
        <v>9837</v>
      </c>
    </row>
    <row r="1229" spans="1:7" ht="43.2" x14ac:dyDescent="0.3">
      <c r="A1229" s="13" t="s">
        <v>9829</v>
      </c>
      <c r="B1229" s="13" t="s">
        <v>11125</v>
      </c>
      <c r="C1229" s="13" t="s">
        <v>11126</v>
      </c>
      <c r="D1229" s="13">
        <v>521</v>
      </c>
      <c r="E1229" s="13" t="s">
        <v>9880</v>
      </c>
      <c r="F1229" s="13">
        <v>6.2</v>
      </c>
      <c r="G1229" s="13" t="s">
        <v>9837</v>
      </c>
    </row>
    <row r="1230" spans="1:7" ht="409.6" x14ac:dyDescent="0.3">
      <c r="A1230" s="13" t="s">
        <v>9829</v>
      </c>
      <c r="B1230" s="13" t="s">
        <v>11127</v>
      </c>
      <c r="C1230" s="13" t="s">
        <v>11128</v>
      </c>
      <c r="D1230" s="13">
        <v>629</v>
      </c>
      <c r="E1230" s="13" t="s">
        <v>9832</v>
      </c>
      <c r="F1230" s="13">
        <v>5</v>
      </c>
      <c r="G1230" s="13" t="s">
        <v>13230</v>
      </c>
    </row>
    <row r="1231" spans="1:7" ht="28.8" x14ac:dyDescent="0.3">
      <c r="A1231" s="13" t="s">
        <v>9829</v>
      </c>
      <c r="B1231" s="13" t="s">
        <v>11129</v>
      </c>
      <c r="C1231" s="13" t="s">
        <v>11130</v>
      </c>
      <c r="D1231" s="13">
        <v>526</v>
      </c>
      <c r="E1231" s="13" t="s">
        <v>9836</v>
      </c>
      <c r="F1231" s="13">
        <v>45</v>
      </c>
      <c r="G1231" s="13" t="s">
        <v>9837</v>
      </c>
    </row>
    <row r="1232" spans="1:7" ht="409.6" x14ac:dyDescent="0.3">
      <c r="A1232" s="13" t="s">
        <v>9829</v>
      </c>
      <c r="B1232" s="13" t="s">
        <v>11131</v>
      </c>
      <c r="C1232" s="13" t="s">
        <v>11132</v>
      </c>
      <c r="D1232" s="13">
        <v>527</v>
      </c>
      <c r="E1232" s="13" t="s">
        <v>9832</v>
      </c>
      <c r="F1232" s="13">
        <v>5</v>
      </c>
      <c r="G1232" s="13" t="s">
        <v>13306</v>
      </c>
    </row>
    <row r="1233" spans="1:7" ht="129.6" x14ac:dyDescent="0.3">
      <c r="A1233" s="13" t="s">
        <v>9829</v>
      </c>
      <c r="B1233" s="13" t="s">
        <v>11133</v>
      </c>
      <c r="C1233" s="13" t="s">
        <v>11134</v>
      </c>
      <c r="D1233" s="13">
        <v>528</v>
      </c>
      <c r="E1233" s="13" t="s">
        <v>9832</v>
      </c>
      <c r="F1233" s="13">
        <v>5</v>
      </c>
      <c r="G1233" s="13" t="s">
        <v>13307</v>
      </c>
    </row>
    <row r="1234" spans="1:7" ht="43.2" x14ac:dyDescent="0.3">
      <c r="A1234" s="13" t="s">
        <v>9829</v>
      </c>
      <c r="B1234" s="13" t="s">
        <v>11135</v>
      </c>
      <c r="C1234" s="13" t="s">
        <v>11136</v>
      </c>
      <c r="D1234" s="13">
        <v>832</v>
      </c>
      <c r="E1234" s="13" t="s">
        <v>9880</v>
      </c>
      <c r="F1234" s="13">
        <v>3.2</v>
      </c>
      <c r="G1234" s="13" t="s">
        <v>9837</v>
      </c>
    </row>
    <row r="1235" spans="1:7" ht="28.8" x14ac:dyDescent="0.3">
      <c r="A1235" s="13" t="s">
        <v>9829</v>
      </c>
      <c r="B1235" s="13" t="s">
        <v>11137</v>
      </c>
      <c r="C1235" s="13" t="s">
        <v>11138</v>
      </c>
      <c r="D1235" s="13">
        <v>1023</v>
      </c>
      <c r="E1235" s="13" t="s">
        <v>9901</v>
      </c>
      <c r="F1235" s="13">
        <v>2</v>
      </c>
      <c r="G1235" s="13" t="s">
        <v>9837</v>
      </c>
    </row>
    <row r="1236" spans="1:7" ht="28.8" x14ac:dyDescent="0.3">
      <c r="A1236" s="13" t="s">
        <v>9829</v>
      </c>
      <c r="B1236" s="13" t="s">
        <v>11139</v>
      </c>
      <c r="C1236" s="13" t="s">
        <v>11140</v>
      </c>
      <c r="D1236" s="13">
        <v>1022</v>
      </c>
      <c r="E1236" s="13" t="s">
        <v>9901</v>
      </c>
      <c r="F1236" s="13">
        <v>2</v>
      </c>
      <c r="G1236" s="13" t="s">
        <v>9837</v>
      </c>
    </row>
    <row r="1237" spans="1:7" ht="57.6" x14ac:dyDescent="0.3">
      <c r="A1237" s="13" t="s">
        <v>9829</v>
      </c>
      <c r="B1237" s="13" t="s">
        <v>11141</v>
      </c>
      <c r="C1237" s="13" t="s">
        <v>11142</v>
      </c>
      <c r="D1237" s="13">
        <v>204</v>
      </c>
      <c r="E1237" s="13" t="s">
        <v>9880</v>
      </c>
      <c r="F1237" s="13">
        <v>3.2</v>
      </c>
      <c r="G1237" s="13" t="s">
        <v>9837</v>
      </c>
    </row>
    <row r="1238" spans="1:7" ht="28.8" x14ac:dyDescent="0.3">
      <c r="A1238" s="13" t="s">
        <v>9829</v>
      </c>
      <c r="B1238" s="13" t="s">
        <v>11143</v>
      </c>
      <c r="C1238" s="13" t="s">
        <v>9771</v>
      </c>
      <c r="D1238" s="13">
        <v>678</v>
      </c>
      <c r="E1238" s="13" t="s">
        <v>9880</v>
      </c>
      <c r="F1238" s="13">
        <v>3.2</v>
      </c>
      <c r="G1238" s="13" t="s">
        <v>9837</v>
      </c>
    </row>
    <row r="1239" spans="1:7" ht="28.8" x14ac:dyDescent="0.3">
      <c r="A1239" s="13" t="s">
        <v>9829</v>
      </c>
      <c r="B1239" s="13" t="s">
        <v>11144</v>
      </c>
      <c r="C1239" s="13" t="s">
        <v>11145</v>
      </c>
      <c r="D1239" s="13">
        <v>205</v>
      </c>
      <c r="E1239" s="13" t="s">
        <v>9836</v>
      </c>
      <c r="F1239" s="13">
        <v>80</v>
      </c>
      <c r="G1239" s="13" t="s">
        <v>9837</v>
      </c>
    </row>
    <row r="1240" spans="1:7" ht="28.8" x14ac:dyDescent="0.3">
      <c r="A1240" s="13" t="s">
        <v>9829</v>
      </c>
      <c r="B1240" s="13" t="s">
        <v>11144</v>
      </c>
      <c r="C1240" s="13" t="s">
        <v>11145</v>
      </c>
      <c r="D1240" s="13">
        <v>205</v>
      </c>
      <c r="E1240" s="13" t="s">
        <v>9836</v>
      </c>
      <c r="F1240" s="13">
        <v>80</v>
      </c>
      <c r="G1240" s="13" t="s">
        <v>9837</v>
      </c>
    </row>
    <row r="1241" spans="1:7" ht="28.8" x14ac:dyDescent="0.3">
      <c r="A1241" s="13" t="s">
        <v>9829</v>
      </c>
      <c r="B1241" s="13" t="s">
        <v>11144</v>
      </c>
      <c r="C1241" s="13" t="s">
        <v>11145</v>
      </c>
      <c r="D1241" s="13">
        <v>205</v>
      </c>
      <c r="E1241" s="13" t="s">
        <v>9836</v>
      </c>
      <c r="F1241" s="13">
        <v>80</v>
      </c>
      <c r="G1241" s="13" t="s">
        <v>9837</v>
      </c>
    </row>
    <row r="1242" spans="1:7" ht="28.8" x14ac:dyDescent="0.3">
      <c r="A1242" s="13" t="s">
        <v>9829</v>
      </c>
      <c r="B1242" s="13" t="s">
        <v>11146</v>
      </c>
      <c r="C1242" s="13" t="s">
        <v>11147</v>
      </c>
      <c r="D1242" s="13">
        <v>206</v>
      </c>
      <c r="E1242" s="13" t="s">
        <v>9836</v>
      </c>
      <c r="F1242" s="13">
        <v>60</v>
      </c>
      <c r="G1242" s="13" t="s">
        <v>9837</v>
      </c>
    </row>
    <row r="1243" spans="1:7" ht="28.8" x14ac:dyDescent="0.3">
      <c r="A1243" s="13" t="s">
        <v>9829</v>
      </c>
      <c r="B1243" s="13" t="s">
        <v>11146</v>
      </c>
      <c r="C1243" s="13" t="s">
        <v>11147</v>
      </c>
      <c r="D1243" s="13">
        <v>206</v>
      </c>
      <c r="E1243" s="13" t="s">
        <v>9836</v>
      </c>
      <c r="F1243" s="13">
        <v>60</v>
      </c>
      <c r="G1243" s="13" t="s">
        <v>9837</v>
      </c>
    </row>
    <row r="1244" spans="1:7" ht="28.8" x14ac:dyDescent="0.3">
      <c r="A1244" s="13" t="s">
        <v>9829</v>
      </c>
      <c r="B1244" s="13" t="s">
        <v>11146</v>
      </c>
      <c r="C1244" s="13" t="s">
        <v>11147</v>
      </c>
      <c r="D1244" s="13">
        <v>206</v>
      </c>
      <c r="E1244" s="13" t="s">
        <v>9836</v>
      </c>
      <c r="F1244" s="13">
        <v>60</v>
      </c>
      <c r="G1244" s="13" t="s">
        <v>9837</v>
      </c>
    </row>
    <row r="1245" spans="1:7" ht="28.8" x14ac:dyDescent="0.3">
      <c r="A1245" s="13" t="s">
        <v>9829</v>
      </c>
      <c r="B1245" s="13" t="s">
        <v>11148</v>
      </c>
      <c r="C1245" s="13" t="s">
        <v>11149</v>
      </c>
      <c r="D1245" s="13">
        <v>1464</v>
      </c>
      <c r="E1245" s="13" t="s">
        <v>9832</v>
      </c>
      <c r="F1245" s="13">
        <v>5</v>
      </c>
      <c r="G1245" s="13" t="s">
        <v>9833</v>
      </c>
    </row>
    <row r="1246" spans="1:7" ht="43.2" x14ac:dyDescent="0.3">
      <c r="A1246" s="13" t="s">
        <v>9829</v>
      </c>
      <c r="B1246" s="13" t="s">
        <v>11150</v>
      </c>
      <c r="C1246" s="13" t="s">
        <v>11151</v>
      </c>
      <c r="D1246" s="13">
        <v>1051</v>
      </c>
      <c r="E1246" s="13" t="s">
        <v>9836</v>
      </c>
      <c r="F1246" s="13">
        <v>30</v>
      </c>
      <c r="G1246" s="13" t="s">
        <v>9837</v>
      </c>
    </row>
    <row r="1247" spans="1:7" ht="28.8" x14ac:dyDescent="0.3">
      <c r="A1247" s="13" t="s">
        <v>9829</v>
      </c>
      <c r="B1247" s="13" t="s">
        <v>11152</v>
      </c>
      <c r="C1247" s="13" t="s">
        <v>11153</v>
      </c>
      <c r="D1247" s="13">
        <v>2150</v>
      </c>
      <c r="E1247" s="13" t="s">
        <v>9901</v>
      </c>
      <c r="G1247" s="13" t="s">
        <v>9837</v>
      </c>
    </row>
    <row r="1248" spans="1:7" ht="216" x14ac:dyDescent="0.3">
      <c r="A1248" s="13" t="s">
        <v>9829</v>
      </c>
      <c r="B1248" s="13" t="s">
        <v>11154</v>
      </c>
      <c r="C1248" s="13" t="s">
        <v>11155</v>
      </c>
      <c r="D1248" s="13">
        <v>1777</v>
      </c>
      <c r="E1248" s="13" t="s">
        <v>9832</v>
      </c>
      <c r="F1248" s="13">
        <v>5</v>
      </c>
      <c r="G1248" s="13" t="s">
        <v>13308</v>
      </c>
    </row>
    <row r="1249" spans="1:7" ht="216" x14ac:dyDescent="0.3">
      <c r="A1249" s="13" t="s">
        <v>9829</v>
      </c>
      <c r="B1249" s="13" t="s">
        <v>11154</v>
      </c>
      <c r="C1249" s="13" t="s">
        <v>11155</v>
      </c>
      <c r="D1249" s="13">
        <v>1777</v>
      </c>
      <c r="E1249" s="13" t="s">
        <v>9832</v>
      </c>
      <c r="F1249" s="13">
        <v>5</v>
      </c>
      <c r="G1249" s="13" t="s">
        <v>13308</v>
      </c>
    </row>
    <row r="1250" spans="1:7" ht="72" x14ac:dyDescent="0.3">
      <c r="A1250" s="13" t="s">
        <v>9829</v>
      </c>
      <c r="B1250" s="13" t="s">
        <v>11156</v>
      </c>
      <c r="C1250" s="13" t="s">
        <v>11157</v>
      </c>
      <c r="D1250" s="13">
        <v>361</v>
      </c>
      <c r="E1250" s="13" t="s">
        <v>9836</v>
      </c>
      <c r="F1250" s="13">
        <v>35</v>
      </c>
      <c r="G1250" s="13" t="s">
        <v>9837</v>
      </c>
    </row>
    <row r="1251" spans="1:7" ht="28.8" x14ac:dyDescent="0.3">
      <c r="A1251" s="13" t="s">
        <v>9829</v>
      </c>
      <c r="B1251" s="13" t="s">
        <v>11158</v>
      </c>
      <c r="C1251" s="13" t="s">
        <v>11159</v>
      </c>
      <c r="D1251" s="13">
        <v>1450</v>
      </c>
      <c r="E1251" s="13" t="s">
        <v>9832</v>
      </c>
      <c r="F1251" s="13">
        <v>5</v>
      </c>
      <c r="G1251" s="13" t="s">
        <v>9833</v>
      </c>
    </row>
    <row r="1252" spans="1:7" ht="28.8" x14ac:dyDescent="0.3">
      <c r="A1252" s="13" t="s">
        <v>9829</v>
      </c>
      <c r="B1252" s="13" t="s">
        <v>11160</v>
      </c>
      <c r="C1252" s="13" t="s">
        <v>11161</v>
      </c>
      <c r="D1252" s="13">
        <v>1220</v>
      </c>
      <c r="E1252" s="13" t="s">
        <v>9863</v>
      </c>
      <c r="F1252" s="13">
        <v>8</v>
      </c>
      <c r="G1252" s="13" t="s">
        <v>9837</v>
      </c>
    </row>
    <row r="1253" spans="1:7" ht="388.8" x14ac:dyDescent="0.3">
      <c r="A1253" s="13" t="s">
        <v>9829</v>
      </c>
      <c r="B1253" s="13" t="s">
        <v>11162</v>
      </c>
      <c r="C1253" s="13" t="s">
        <v>11163</v>
      </c>
      <c r="D1253" s="13">
        <v>1447</v>
      </c>
      <c r="E1253" s="13" t="s">
        <v>9832</v>
      </c>
      <c r="F1253" s="13">
        <v>5</v>
      </c>
      <c r="G1253" s="13" t="s">
        <v>13309</v>
      </c>
    </row>
    <row r="1254" spans="1:7" ht="28.8" x14ac:dyDescent="0.3">
      <c r="A1254" s="13" t="s">
        <v>9829</v>
      </c>
      <c r="B1254" s="13" t="s">
        <v>11164</v>
      </c>
      <c r="C1254" s="13" t="s">
        <v>11165</v>
      </c>
      <c r="D1254" s="13">
        <v>1208</v>
      </c>
      <c r="E1254" s="13" t="s">
        <v>9832</v>
      </c>
      <c r="F1254" s="13">
        <v>5</v>
      </c>
      <c r="G1254" s="13" t="s">
        <v>9833</v>
      </c>
    </row>
    <row r="1255" spans="1:7" ht="28.8" x14ac:dyDescent="0.3">
      <c r="A1255" s="13" t="s">
        <v>9829</v>
      </c>
      <c r="B1255" s="13" t="s">
        <v>11166</v>
      </c>
      <c r="C1255" s="13" t="s">
        <v>11167</v>
      </c>
      <c r="D1255" s="13">
        <v>1204</v>
      </c>
      <c r="E1255" s="13" t="s">
        <v>9880</v>
      </c>
      <c r="F1255" s="13">
        <v>3.2</v>
      </c>
      <c r="G1255" s="13" t="s">
        <v>9837</v>
      </c>
    </row>
    <row r="1256" spans="1:7" ht="57.6" x14ac:dyDescent="0.3">
      <c r="A1256" s="13" t="s">
        <v>9829</v>
      </c>
      <c r="B1256" s="13" t="s">
        <v>11168</v>
      </c>
      <c r="C1256" s="13" t="s">
        <v>11169</v>
      </c>
      <c r="D1256" s="13">
        <v>1205</v>
      </c>
      <c r="E1256" s="13" t="s">
        <v>9836</v>
      </c>
      <c r="F1256" s="13">
        <v>60</v>
      </c>
      <c r="G1256" s="13" t="s">
        <v>9837</v>
      </c>
    </row>
    <row r="1257" spans="1:7" ht="43.2" x14ac:dyDescent="0.3">
      <c r="A1257" s="13" t="s">
        <v>9829</v>
      </c>
      <c r="B1257" s="13" t="s">
        <v>11170</v>
      </c>
      <c r="C1257" s="13" t="s">
        <v>11171</v>
      </c>
      <c r="D1257" s="13">
        <v>461</v>
      </c>
      <c r="E1257" s="13" t="s">
        <v>9863</v>
      </c>
      <c r="F1257" s="13">
        <v>8</v>
      </c>
      <c r="G1257" s="13" t="s">
        <v>9837</v>
      </c>
    </row>
    <row r="1258" spans="1:7" ht="28.8" x14ac:dyDescent="0.3">
      <c r="A1258" s="13" t="s">
        <v>9829</v>
      </c>
      <c r="B1258" s="13" t="s">
        <v>11172</v>
      </c>
      <c r="C1258" s="13" t="s">
        <v>11173</v>
      </c>
      <c r="D1258" s="13">
        <v>462</v>
      </c>
      <c r="E1258" s="13" t="s">
        <v>9836</v>
      </c>
      <c r="F1258" s="13">
        <v>60</v>
      </c>
      <c r="G1258" s="13" t="s">
        <v>9837</v>
      </c>
    </row>
    <row r="1259" spans="1:7" ht="28.8" x14ac:dyDescent="0.3">
      <c r="A1259" s="13" t="s">
        <v>9829</v>
      </c>
      <c r="B1259" s="13" t="s">
        <v>11174</v>
      </c>
      <c r="C1259" s="13" t="s">
        <v>11175</v>
      </c>
      <c r="D1259" s="13">
        <v>483</v>
      </c>
      <c r="E1259" s="13" t="s">
        <v>9836</v>
      </c>
      <c r="F1259" s="13">
        <v>30</v>
      </c>
      <c r="G1259" s="13" t="s">
        <v>9837</v>
      </c>
    </row>
    <row r="1260" spans="1:7" ht="28.8" x14ac:dyDescent="0.3">
      <c r="A1260" s="13" t="s">
        <v>9829</v>
      </c>
      <c r="B1260" s="13" t="s">
        <v>11174</v>
      </c>
      <c r="C1260" s="13" t="s">
        <v>11175</v>
      </c>
      <c r="D1260" s="13">
        <v>483</v>
      </c>
      <c r="E1260" s="13" t="s">
        <v>9836</v>
      </c>
      <c r="F1260" s="13">
        <v>30</v>
      </c>
      <c r="G1260" s="13" t="s">
        <v>9837</v>
      </c>
    </row>
    <row r="1261" spans="1:7" ht="57.6" x14ac:dyDescent="0.3">
      <c r="A1261" s="13" t="s">
        <v>9829</v>
      </c>
      <c r="B1261" s="13" t="s">
        <v>11176</v>
      </c>
      <c r="C1261" s="13" t="s">
        <v>11177</v>
      </c>
      <c r="D1261" s="13">
        <v>460</v>
      </c>
      <c r="E1261" s="13" t="s">
        <v>9836</v>
      </c>
      <c r="F1261" s="13">
        <v>45</v>
      </c>
      <c r="G1261" s="13" t="s">
        <v>9837</v>
      </c>
    </row>
    <row r="1262" spans="1:7" ht="43.2" x14ac:dyDescent="0.3">
      <c r="A1262" s="13" t="s">
        <v>9829</v>
      </c>
      <c r="B1262" s="13" t="s">
        <v>11178</v>
      </c>
      <c r="C1262" s="13" t="s">
        <v>11179</v>
      </c>
      <c r="D1262" s="13">
        <v>711</v>
      </c>
      <c r="E1262" s="13" t="s">
        <v>9836</v>
      </c>
      <c r="F1262" s="13">
        <v>60</v>
      </c>
      <c r="G1262" s="13" t="s">
        <v>9837</v>
      </c>
    </row>
    <row r="1263" spans="1:7" ht="409.6" x14ac:dyDescent="0.3">
      <c r="A1263" s="13" t="s">
        <v>9829</v>
      </c>
      <c r="B1263" s="13" t="s">
        <v>11180</v>
      </c>
      <c r="C1263" s="13" t="s">
        <v>11181</v>
      </c>
      <c r="D1263" s="13">
        <v>709</v>
      </c>
      <c r="E1263" s="13" t="s">
        <v>9832</v>
      </c>
      <c r="F1263" s="13">
        <v>5</v>
      </c>
      <c r="G1263" s="13" t="s">
        <v>13310</v>
      </c>
    </row>
    <row r="1264" spans="1:7" ht="409.6" x14ac:dyDescent="0.3">
      <c r="A1264" s="13" t="s">
        <v>9829</v>
      </c>
      <c r="B1264" s="13" t="s">
        <v>11182</v>
      </c>
      <c r="C1264" s="13" t="s">
        <v>11183</v>
      </c>
      <c r="D1264" s="13">
        <v>373</v>
      </c>
      <c r="E1264" s="13" t="s">
        <v>9832</v>
      </c>
      <c r="F1264" s="13">
        <v>5</v>
      </c>
      <c r="G1264" s="13" t="s">
        <v>13311</v>
      </c>
    </row>
    <row r="1265" spans="1:7" ht="43.2" x14ac:dyDescent="0.3">
      <c r="A1265" s="13" t="s">
        <v>9829</v>
      </c>
      <c r="B1265" s="13" t="s">
        <v>11184</v>
      </c>
      <c r="C1265" s="13" t="s">
        <v>11185</v>
      </c>
      <c r="D1265" s="13">
        <v>571</v>
      </c>
      <c r="E1265" s="13" t="s">
        <v>9836</v>
      </c>
      <c r="F1265" s="13">
        <v>45</v>
      </c>
      <c r="G1265" s="13" t="s">
        <v>9837</v>
      </c>
    </row>
    <row r="1266" spans="1:7" ht="43.2" x14ac:dyDescent="0.3">
      <c r="A1266" s="13" t="s">
        <v>9829</v>
      </c>
      <c r="B1266" s="13" t="s">
        <v>11186</v>
      </c>
      <c r="C1266" s="13" t="s">
        <v>11187</v>
      </c>
      <c r="D1266" s="13">
        <v>573</v>
      </c>
      <c r="E1266" s="13" t="s">
        <v>9836</v>
      </c>
      <c r="F1266" s="13">
        <v>30</v>
      </c>
      <c r="G1266" s="13" t="s">
        <v>9837</v>
      </c>
    </row>
    <row r="1267" spans="1:7" ht="43.2" x14ac:dyDescent="0.3">
      <c r="A1267" s="13" t="s">
        <v>9829</v>
      </c>
      <c r="B1267" s="13" t="s">
        <v>11188</v>
      </c>
      <c r="C1267" s="13" t="s">
        <v>11189</v>
      </c>
      <c r="D1267" s="13">
        <v>574</v>
      </c>
      <c r="E1267" s="13" t="s">
        <v>9836</v>
      </c>
      <c r="F1267" s="13">
        <v>30</v>
      </c>
      <c r="G1267" s="13" t="s">
        <v>9837</v>
      </c>
    </row>
    <row r="1268" spans="1:7" ht="43.2" x14ac:dyDescent="0.3">
      <c r="A1268" s="13" t="s">
        <v>9829</v>
      </c>
      <c r="B1268" s="13" t="s">
        <v>11190</v>
      </c>
      <c r="C1268" s="13" t="s">
        <v>11191</v>
      </c>
      <c r="D1268" s="13">
        <v>572</v>
      </c>
      <c r="E1268" s="13" t="s">
        <v>9836</v>
      </c>
      <c r="F1268" s="13">
        <v>45</v>
      </c>
      <c r="G1268" s="13" t="s">
        <v>9837</v>
      </c>
    </row>
    <row r="1269" spans="1:7" ht="409.6" x14ac:dyDescent="0.3">
      <c r="A1269" s="13" t="s">
        <v>9829</v>
      </c>
      <c r="B1269" s="13" t="s">
        <v>11192</v>
      </c>
      <c r="C1269" s="13" t="s">
        <v>11193</v>
      </c>
      <c r="D1269" s="13">
        <v>1273</v>
      </c>
      <c r="E1269" s="13" t="s">
        <v>9832</v>
      </c>
      <c r="F1269" s="13">
        <v>5</v>
      </c>
      <c r="G1269" s="13" t="s">
        <v>13152</v>
      </c>
    </row>
    <row r="1270" spans="1:7" ht="409.6" x14ac:dyDescent="0.3">
      <c r="A1270" s="13" t="s">
        <v>9829</v>
      </c>
      <c r="B1270" s="13" t="s">
        <v>11194</v>
      </c>
      <c r="C1270" s="13" t="s">
        <v>11195</v>
      </c>
      <c r="D1270" s="13">
        <v>1275</v>
      </c>
      <c r="E1270" s="13" t="s">
        <v>9832</v>
      </c>
      <c r="F1270" s="13">
        <v>5</v>
      </c>
      <c r="G1270" s="13" t="s">
        <v>13187</v>
      </c>
    </row>
    <row r="1271" spans="1:7" ht="216" x14ac:dyDescent="0.3">
      <c r="A1271" s="13" t="s">
        <v>9829</v>
      </c>
      <c r="B1271" s="13" t="s">
        <v>11196</v>
      </c>
      <c r="C1271" s="13" t="s">
        <v>11197</v>
      </c>
      <c r="D1271" s="13">
        <v>1274</v>
      </c>
      <c r="E1271" s="13" t="s">
        <v>9832</v>
      </c>
      <c r="F1271" s="13">
        <v>5</v>
      </c>
      <c r="G1271" s="13" t="s">
        <v>13193</v>
      </c>
    </row>
    <row r="1272" spans="1:7" ht="409.6" x14ac:dyDescent="0.3">
      <c r="A1272" s="13" t="s">
        <v>9829</v>
      </c>
      <c r="B1272" s="13" t="s">
        <v>11198</v>
      </c>
      <c r="C1272" s="13" t="s">
        <v>11199</v>
      </c>
      <c r="D1272" s="13">
        <v>466</v>
      </c>
      <c r="E1272" s="13" t="s">
        <v>9832</v>
      </c>
      <c r="F1272" s="13">
        <v>5</v>
      </c>
      <c r="G1272" s="13" t="s">
        <v>13312</v>
      </c>
    </row>
    <row r="1273" spans="1:7" ht="28.8" x14ac:dyDescent="0.3">
      <c r="A1273" s="13" t="s">
        <v>9829</v>
      </c>
      <c r="B1273" s="13" t="s">
        <v>11200</v>
      </c>
      <c r="C1273" s="13" t="s">
        <v>11201</v>
      </c>
      <c r="D1273" s="13">
        <v>1412</v>
      </c>
      <c r="E1273" s="13" t="s">
        <v>9836</v>
      </c>
      <c r="F1273" s="13">
        <v>75</v>
      </c>
      <c r="G1273" s="13" t="s">
        <v>9837</v>
      </c>
    </row>
    <row r="1274" spans="1:7" ht="28.8" x14ac:dyDescent="0.3">
      <c r="A1274" s="13" t="s">
        <v>9829</v>
      </c>
      <c r="B1274" s="13" t="s">
        <v>11200</v>
      </c>
      <c r="C1274" s="13" t="s">
        <v>11201</v>
      </c>
      <c r="D1274" s="13">
        <v>1412</v>
      </c>
      <c r="E1274" s="13" t="s">
        <v>9836</v>
      </c>
      <c r="F1274" s="13">
        <v>75</v>
      </c>
      <c r="G1274" s="13" t="s">
        <v>9837</v>
      </c>
    </row>
    <row r="1275" spans="1:7" ht="28.8" x14ac:dyDescent="0.3">
      <c r="A1275" s="13" t="s">
        <v>9829</v>
      </c>
      <c r="B1275" s="13" t="s">
        <v>11200</v>
      </c>
      <c r="C1275" s="13" t="s">
        <v>11201</v>
      </c>
      <c r="D1275" s="13">
        <v>1412</v>
      </c>
      <c r="E1275" s="13" t="s">
        <v>9836</v>
      </c>
      <c r="F1275" s="13">
        <v>75</v>
      </c>
      <c r="G1275" s="13" t="s">
        <v>9837</v>
      </c>
    </row>
    <row r="1276" spans="1:7" ht="28.8" x14ac:dyDescent="0.3">
      <c r="A1276" s="13" t="s">
        <v>9829</v>
      </c>
      <c r="B1276" s="13" t="s">
        <v>11202</v>
      </c>
      <c r="C1276" s="13" t="s">
        <v>11203</v>
      </c>
      <c r="D1276" s="13">
        <v>1405</v>
      </c>
      <c r="E1276" s="13" t="s">
        <v>9836</v>
      </c>
      <c r="F1276" s="13">
        <v>75</v>
      </c>
      <c r="G1276" s="13" t="s">
        <v>9837</v>
      </c>
    </row>
    <row r="1277" spans="1:7" ht="28.8" x14ac:dyDescent="0.3">
      <c r="A1277" s="13" t="s">
        <v>9829</v>
      </c>
      <c r="B1277" s="13" t="s">
        <v>11202</v>
      </c>
      <c r="C1277" s="13" t="s">
        <v>11203</v>
      </c>
      <c r="D1277" s="13">
        <v>1405</v>
      </c>
      <c r="E1277" s="13" t="s">
        <v>9836</v>
      </c>
      <c r="F1277" s="13">
        <v>75</v>
      </c>
      <c r="G1277" s="13" t="s">
        <v>9837</v>
      </c>
    </row>
    <row r="1278" spans="1:7" ht="28.8" x14ac:dyDescent="0.3">
      <c r="A1278" s="13" t="s">
        <v>9829</v>
      </c>
      <c r="B1278" s="13" t="s">
        <v>11202</v>
      </c>
      <c r="C1278" s="13" t="s">
        <v>11203</v>
      </c>
      <c r="D1278" s="13">
        <v>1405</v>
      </c>
      <c r="E1278" s="13" t="s">
        <v>9836</v>
      </c>
      <c r="F1278" s="13">
        <v>75</v>
      </c>
      <c r="G1278" s="13" t="s">
        <v>9837</v>
      </c>
    </row>
    <row r="1279" spans="1:7" ht="57.6" x14ac:dyDescent="0.3">
      <c r="A1279" s="13" t="s">
        <v>9829</v>
      </c>
      <c r="B1279" s="13" t="s">
        <v>11204</v>
      </c>
      <c r="C1279" s="13" t="s">
        <v>11205</v>
      </c>
      <c r="D1279" s="13">
        <v>1407</v>
      </c>
      <c r="E1279" s="13" t="s">
        <v>9836</v>
      </c>
      <c r="F1279" s="13">
        <v>75</v>
      </c>
      <c r="G1279" s="13" t="s">
        <v>9837</v>
      </c>
    </row>
    <row r="1280" spans="1:7" ht="57.6" x14ac:dyDescent="0.3">
      <c r="A1280" s="13" t="s">
        <v>9829</v>
      </c>
      <c r="B1280" s="13" t="s">
        <v>11204</v>
      </c>
      <c r="C1280" s="13" t="s">
        <v>11205</v>
      </c>
      <c r="D1280" s="13">
        <v>1407</v>
      </c>
      <c r="E1280" s="13" t="s">
        <v>9836</v>
      </c>
      <c r="F1280" s="13">
        <v>75</v>
      </c>
      <c r="G1280" s="13" t="s">
        <v>9837</v>
      </c>
    </row>
    <row r="1281" spans="1:7" ht="57.6" x14ac:dyDescent="0.3">
      <c r="A1281" s="13" t="s">
        <v>9829</v>
      </c>
      <c r="B1281" s="13" t="s">
        <v>11204</v>
      </c>
      <c r="C1281" s="13" t="s">
        <v>11205</v>
      </c>
      <c r="D1281" s="13">
        <v>1407</v>
      </c>
      <c r="E1281" s="13" t="s">
        <v>9836</v>
      </c>
      <c r="F1281" s="13">
        <v>75</v>
      </c>
      <c r="G1281" s="13" t="s">
        <v>9837</v>
      </c>
    </row>
    <row r="1282" spans="1:7" ht="43.2" x14ac:dyDescent="0.3">
      <c r="A1282" s="13" t="s">
        <v>9829</v>
      </c>
      <c r="B1282" s="13" t="s">
        <v>11206</v>
      </c>
      <c r="C1282" s="13" t="s">
        <v>11207</v>
      </c>
      <c r="D1282" s="13">
        <v>1410</v>
      </c>
      <c r="E1282" s="13" t="s">
        <v>9836</v>
      </c>
      <c r="F1282" s="13">
        <v>75</v>
      </c>
      <c r="G1282" s="13" t="s">
        <v>9837</v>
      </c>
    </row>
    <row r="1283" spans="1:7" ht="43.2" x14ac:dyDescent="0.3">
      <c r="A1283" s="13" t="s">
        <v>9829</v>
      </c>
      <c r="B1283" s="13" t="s">
        <v>11206</v>
      </c>
      <c r="C1283" s="13" t="s">
        <v>11207</v>
      </c>
      <c r="D1283" s="13">
        <v>1410</v>
      </c>
      <c r="E1283" s="13" t="s">
        <v>9836</v>
      </c>
      <c r="F1283" s="13">
        <v>75</v>
      </c>
      <c r="G1283" s="13" t="s">
        <v>9837</v>
      </c>
    </row>
    <row r="1284" spans="1:7" ht="43.2" x14ac:dyDescent="0.3">
      <c r="A1284" s="13" t="s">
        <v>9829</v>
      </c>
      <c r="B1284" s="13" t="s">
        <v>11206</v>
      </c>
      <c r="C1284" s="13" t="s">
        <v>11207</v>
      </c>
      <c r="D1284" s="13">
        <v>1410</v>
      </c>
      <c r="E1284" s="13" t="s">
        <v>9836</v>
      </c>
      <c r="F1284" s="13">
        <v>75</v>
      </c>
      <c r="G1284" s="13" t="s">
        <v>9837</v>
      </c>
    </row>
    <row r="1285" spans="1:7" ht="43.2" x14ac:dyDescent="0.3">
      <c r="A1285" s="13" t="s">
        <v>9829</v>
      </c>
      <c r="B1285" s="13" t="s">
        <v>11208</v>
      </c>
      <c r="C1285" s="13" t="s">
        <v>11209</v>
      </c>
      <c r="D1285" s="13">
        <v>1404</v>
      </c>
      <c r="E1285" s="13" t="s">
        <v>9836</v>
      </c>
      <c r="F1285" s="13">
        <v>35</v>
      </c>
      <c r="G1285" s="13" t="s">
        <v>9837</v>
      </c>
    </row>
    <row r="1286" spans="1:7" ht="43.2" x14ac:dyDescent="0.3">
      <c r="A1286" s="13" t="s">
        <v>9829</v>
      </c>
      <c r="B1286" s="13" t="s">
        <v>11208</v>
      </c>
      <c r="C1286" s="13" t="s">
        <v>11209</v>
      </c>
      <c r="D1286" s="13">
        <v>1404</v>
      </c>
      <c r="E1286" s="13" t="s">
        <v>9836</v>
      </c>
      <c r="F1286" s="13">
        <v>35</v>
      </c>
      <c r="G1286" s="13" t="s">
        <v>9837</v>
      </c>
    </row>
    <row r="1287" spans="1:7" ht="43.2" x14ac:dyDescent="0.3">
      <c r="A1287" s="13" t="s">
        <v>9829</v>
      </c>
      <c r="B1287" s="13" t="s">
        <v>11208</v>
      </c>
      <c r="C1287" s="13" t="s">
        <v>11209</v>
      </c>
      <c r="D1287" s="13">
        <v>1404</v>
      </c>
      <c r="E1287" s="13" t="s">
        <v>9836</v>
      </c>
      <c r="F1287" s="13">
        <v>35</v>
      </c>
      <c r="G1287" s="13" t="s">
        <v>9837</v>
      </c>
    </row>
    <row r="1288" spans="1:7" ht="72" x14ac:dyDescent="0.3">
      <c r="A1288" s="13" t="s">
        <v>9829</v>
      </c>
      <c r="B1288" s="13" t="s">
        <v>11210</v>
      </c>
      <c r="C1288" s="13" t="s">
        <v>11211</v>
      </c>
      <c r="D1288" s="13">
        <v>1408</v>
      </c>
      <c r="E1288" s="13" t="s">
        <v>9836</v>
      </c>
      <c r="F1288" s="13">
        <v>75</v>
      </c>
      <c r="G1288" s="13" t="s">
        <v>9837</v>
      </c>
    </row>
    <row r="1289" spans="1:7" ht="72" x14ac:dyDescent="0.3">
      <c r="A1289" s="13" t="s">
        <v>9829</v>
      </c>
      <c r="B1289" s="13" t="s">
        <v>11210</v>
      </c>
      <c r="C1289" s="13" t="s">
        <v>11211</v>
      </c>
      <c r="D1289" s="13">
        <v>1408</v>
      </c>
      <c r="E1289" s="13" t="s">
        <v>9836</v>
      </c>
      <c r="F1289" s="13">
        <v>75</v>
      </c>
      <c r="G1289" s="13" t="s">
        <v>9837</v>
      </c>
    </row>
    <row r="1290" spans="1:7" ht="72" x14ac:dyDescent="0.3">
      <c r="A1290" s="13" t="s">
        <v>9829</v>
      </c>
      <c r="B1290" s="13" t="s">
        <v>11210</v>
      </c>
      <c r="C1290" s="13" t="s">
        <v>11211</v>
      </c>
      <c r="D1290" s="13">
        <v>1408</v>
      </c>
      <c r="E1290" s="13" t="s">
        <v>9836</v>
      </c>
      <c r="F1290" s="13">
        <v>75</v>
      </c>
      <c r="G1290" s="13" t="s">
        <v>9837</v>
      </c>
    </row>
    <row r="1291" spans="1:7" ht="43.2" x14ac:dyDescent="0.3">
      <c r="A1291" s="13" t="s">
        <v>9829</v>
      </c>
      <c r="B1291" s="13" t="s">
        <v>11212</v>
      </c>
      <c r="C1291" s="13" t="s">
        <v>11213</v>
      </c>
      <c r="D1291" s="13">
        <v>1409</v>
      </c>
      <c r="E1291" s="13" t="s">
        <v>9836</v>
      </c>
      <c r="F1291" s="13">
        <v>75</v>
      </c>
      <c r="G1291" s="13" t="s">
        <v>9837</v>
      </c>
    </row>
    <row r="1292" spans="1:7" ht="43.2" x14ac:dyDescent="0.3">
      <c r="A1292" s="13" t="s">
        <v>9829</v>
      </c>
      <c r="B1292" s="13" t="s">
        <v>11212</v>
      </c>
      <c r="C1292" s="13" t="s">
        <v>11213</v>
      </c>
      <c r="D1292" s="13">
        <v>1409</v>
      </c>
      <c r="E1292" s="13" t="s">
        <v>9836</v>
      </c>
      <c r="F1292" s="13">
        <v>75</v>
      </c>
      <c r="G1292" s="13" t="s">
        <v>9837</v>
      </c>
    </row>
    <row r="1293" spans="1:7" ht="43.2" x14ac:dyDescent="0.3">
      <c r="A1293" s="13" t="s">
        <v>9829</v>
      </c>
      <c r="B1293" s="13" t="s">
        <v>11212</v>
      </c>
      <c r="C1293" s="13" t="s">
        <v>11213</v>
      </c>
      <c r="D1293" s="13">
        <v>1409</v>
      </c>
      <c r="E1293" s="13" t="s">
        <v>9836</v>
      </c>
      <c r="F1293" s="13">
        <v>75</v>
      </c>
      <c r="G1293" s="13" t="s">
        <v>9837</v>
      </c>
    </row>
    <row r="1294" spans="1:7" ht="28.8" x14ac:dyDescent="0.3">
      <c r="A1294" s="13" t="s">
        <v>9829</v>
      </c>
      <c r="B1294" s="13" t="s">
        <v>11214</v>
      </c>
      <c r="C1294" s="13" t="s">
        <v>11215</v>
      </c>
      <c r="D1294" s="13">
        <v>1406</v>
      </c>
      <c r="E1294" s="13" t="s">
        <v>9836</v>
      </c>
      <c r="F1294" s="13">
        <v>35</v>
      </c>
      <c r="G1294" s="13" t="s">
        <v>9837</v>
      </c>
    </row>
    <row r="1295" spans="1:7" ht="28.8" x14ac:dyDescent="0.3">
      <c r="A1295" s="13" t="s">
        <v>9829</v>
      </c>
      <c r="B1295" s="13" t="s">
        <v>11214</v>
      </c>
      <c r="C1295" s="13" t="s">
        <v>11215</v>
      </c>
      <c r="D1295" s="13">
        <v>1406</v>
      </c>
      <c r="E1295" s="13" t="s">
        <v>9836</v>
      </c>
      <c r="F1295" s="13">
        <v>35</v>
      </c>
      <c r="G1295" s="13" t="s">
        <v>9837</v>
      </c>
    </row>
    <row r="1296" spans="1:7" ht="28.8" x14ac:dyDescent="0.3">
      <c r="A1296" s="13" t="s">
        <v>9829</v>
      </c>
      <c r="B1296" s="13" t="s">
        <v>11214</v>
      </c>
      <c r="C1296" s="13" t="s">
        <v>11215</v>
      </c>
      <c r="D1296" s="13">
        <v>1406</v>
      </c>
      <c r="E1296" s="13" t="s">
        <v>9836</v>
      </c>
      <c r="F1296" s="13">
        <v>35</v>
      </c>
      <c r="G1296" s="13" t="s">
        <v>9837</v>
      </c>
    </row>
    <row r="1297" spans="1:7" ht="28.8" x14ac:dyDescent="0.3">
      <c r="A1297" s="13" t="s">
        <v>9829</v>
      </c>
      <c r="B1297" s="13" t="s">
        <v>11216</v>
      </c>
      <c r="C1297" s="13" t="s">
        <v>11217</v>
      </c>
      <c r="D1297" s="13">
        <v>1411</v>
      </c>
      <c r="E1297" s="13" t="s">
        <v>9836</v>
      </c>
      <c r="F1297" s="13">
        <v>75</v>
      </c>
      <c r="G1297" s="13" t="s">
        <v>9837</v>
      </c>
    </row>
    <row r="1298" spans="1:7" ht="28.8" x14ac:dyDescent="0.3">
      <c r="A1298" s="13" t="s">
        <v>9829</v>
      </c>
      <c r="B1298" s="13" t="s">
        <v>11216</v>
      </c>
      <c r="C1298" s="13" t="s">
        <v>11217</v>
      </c>
      <c r="D1298" s="13">
        <v>1411</v>
      </c>
      <c r="E1298" s="13" t="s">
        <v>9836</v>
      </c>
      <c r="F1298" s="13">
        <v>75</v>
      </c>
      <c r="G1298" s="13" t="s">
        <v>9837</v>
      </c>
    </row>
    <row r="1299" spans="1:7" ht="28.8" x14ac:dyDescent="0.3">
      <c r="A1299" s="13" t="s">
        <v>9829</v>
      </c>
      <c r="B1299" s="13" t="s">
        <v>11216</v>
      </c>
      <c r="C1299" s="13" t="s">
        <v>11217</v>
      </c>
      <c r="D1299" s="13">
        <v>1411</v>
      </c>
      <c r="E1299" s="13" t="s">
        <v>9836</v>
      </c>
      <c r="F1299" s="13">
        <v>75</v>
      </c>
      <c r="G1299" s="13" t="s">
        <v>9837</v>
      </c>
    </row>
    <row r="1300" spans="1:7" ht="28.8" x14ac:dyDescent="0.3">
      <c r="A1300" s="13" t="s">
        <v>9829</v>
      </c>
      <c r="B1300" s="13" t="s">
        <v>11218</v>
      </c>
      <c r="C1300" s="13" t="s">
        <v>11219</v>
      </c>
      <c r="D1300" s="13">
        <v>210</v>
      </c>
      <c r="E1300" s="13" t="s">
        <v>9863</v>
      </c>
      <c r="F1300" s="13">
        <v>8</v>
      </c>
      <c r="G1300" s="13" t="s">
        <v>9837</v>
      </c>
    </row>
    <row r="1301" spans="1:7" ht="28.8" x14ac:dyDescent="0.3">
      <c r="A1301" s="13" t="s">
        <v>9829</v>
      </c>
      <c r="B1301" s="13" t="s">
        <v>11218</v>
      </c>
      <c r="C1301" s="13" t="s">
        <v>11219</v>
      </c>
      <c r="D1301" s="13">
        <v>210</v>
      </c>
      <c r="E1301" s="13" t="s">
        <v>9863</v>
      </c>
      <c r="F1301" s="13">
        <v>8</v>
      </c>
      <c r="G1301" s="13" t="s">
        <v>9837</v>
      </c>
    </row>
    <row r="1302" spans="1:7" ht="28.8" x14ac:dyDescent="0.3">
      <c r="A1302" s="13" t="s">
        <v>9829</v>
      </c>
      <c r="B1302" s="13" t="s">
        <v>11218</v>
      </c>
      <c r="C1302" s="13" t="s">
        <v>11219</v>
      </c>
      <c r="D1302" s="13">
        <v>210</v>
      </c>
      <c r="E1302" s="13" t="s">
        <v>9863</v>
      </c>
      <c r="F1302" s="13">
        <v>8</v>
      </c>
      <c r="G1302" s="13" t="s">
        <v>9837</v>
      </c>
    </row>
    <row r="1303" spans="1:7" ht="273.60000000000002" x14ac:dyDescent="0.3">
      <c r="A1303" s="13" t="s">
        <v>9829</v>
      </c>
      <c r="B1303" s="13" t="s">
        <v>11220</v>
      </c>
      <c r="C1303" s="13" t="s">
        <v>11221</v>
      </c>
      <c r="D1303" s="13">
        <v>211</v>
      </c>
      <c r="E1303" s="13" t="s">
        <v>9832</v>
      </c>
      <c r="F1303" s="13">
        <v>5</v>
      </c>
      <c r="G1303" s="13" t="s">
        <v>13313</v>
      </c>
    </row>
    <row r="1304" spans="1:7" ht="273.60000000000002" x14ac:dyDescent="0.3">
      <c r="A1304" s="13" t="s">
        <v>9829</v>
      </c>
      <c r="B1304" s="13" t="s">
        <v>11220</v>
      </c>
      <c r="C1304" s="13" t="s">
        <v>11221</v>
      </c>
      <c r="D1304" s="13">
        <v>211</v>
      </c>
      <c r="E1304" s="13" t="s">
        <v>9832</v>
      </c>
      <c r="F1304" s="13">
        <v>5</v>
      </c>
      <c r="G1304" s="13" t="s">
        <v>13313</v>
      </c>
    </row>
    <row r="1305" spans="1:7" ht="273.60000000000002" x14ac:dyDescent="0.3">
      <c r="A1305" s="13" t="s">
        <v>9829</v>
      </c>
      <c r="B1305" s="13" t="s">
        <v>11220</v>
      </c>
      <c r="C1305" s="13" t="s">
        <v>11221</v>
      </c>
      <c r="D1305" s="13">
        <v>211</v>
      </c>
      <c r="E1305" s="13" t="s">
        <v>9832</v>
      </c>
      <c r="F1305" s="13">
        <v>5</v>
      </c>
      <c r="G1305" s="13" t="s">
        <v>13313</v>
      </c>
    </row>
    <row r="1306" spans="1:7" ht="28.8" x14ac:dyDescent="0.3">
      <c r="A1306" s="13" t="s">
        <v>9829</v>
      </c>
      <c r="B1306" s="13" t="s">
        <v>11222</v>
      </c>
      <c r="C1306" s="13" t="s">
        <v>11223</v>
      </c>
      <c r="D1306" s="13">
        <v>212</v>
      </c>
      <c r="E1306" s="13" t="s">
        <v>9863</v>
      </c>
      <c r="F1306" s="13">
        <v>8</v>
      </c>
      <c r="G1306" s="13" t="s">
        <v>9837</v>
      </c>
    </row>
    <row r="1307" spans="1:7" ht="28.8" x14ac:dyDescent="0.3">
      <c r="A1307" s="13" t="s">
        <v>9829</v>
      </c>
      <c r="B1307" s="13" t="s">
        <v>11222</v>
      </c>
      <c r="C1307" s="13" t="s">
        <v>11223</v>
      </c>
      <c r="D1307" s="13">
        <v>212</v>
      </c>
      <c r="E1307" s="13" t="s">
        <v>9863</v>
      </c>
      <c r="F1307" s="13">
        <v>8</v>
      </c>
      <c r="G1307" s="13" t="s">
        <v>9837</v>
      </c>
    </row>
    <row r="1308" spans="1:7" ht="28.8" x14ac:dyDescent="0.3">
      <c r="A1308" s="13" t="s">
        <v>9829</v>
      </c>
      <c r="B1308" s="13" t="s">
        <v>11222</v>
      </c>
      <c r="C1308" s="13" t="s">
        <v>11223</v>
      </c>
      <c r="D1308" s="13">
        <v>212</v>
      </c>
      <c r="E1308" s="13" t="s">
        <v>9863</v>
      </c>
      <c r="F1308" s="13">
        <v>8</v>
      </c>
      <c r="G1308" s="13" t="s">
        <v>9837</v>
      </c>
    </row>
    <row r="1309" spans="1:7" ht="409.6" x14ac:dyDescent="0.3">
      <c r="A1309" s="13" t="s">
        <v>9829</v>
      </c>
      <c r="B1309" s="13" t="s">
        <v>11224</v>
      </c>
      <c r="C1309" s="13" t="s">
        <v>11225</v>
      </c>
      <c r="D1309" s="13">
        <v>213</v>
      </c>
      <c r="E1309" s="13" t="s">
        <v>9832</v>
      </c>
      <c r="F1309" s="13">
        <v>5</v>
      </c>
      <c r="G1309" s="13" t="s">
        <v>13314</v>
      </c>
    </row>
    <row r="1310" spans="1:7" ht="409.6" x14ac:dyDescent="0.3">
      <c r="A1310" s="13" t="s">
        <v>9829</v>
      </c>
      <c r="B1310" s="13" t="s">
        <v>11224</v>
      </c>
      <c r="C1310" s="13" t="s">
        <v>11225</v>
      </c>
      <c r="D1310" s="13">
        <v>213</v>
      </c>
      <c r="E1310" s="13" t="s">
        <v>9832</v>
      </c>
      <c r="F1310" s="13">
        <v>5</v>
      </c>
      <c r="G1310" s="13" t="s">
        <v>13314</v>
      </c>
    </row>
    <row r="1311" spans="1:7" ht="409.6" x14ac:dyDescent="0.3">
      <c r="A1311" s="13" t="s">
        <v>9829</v>
      </c>
      <c r="B1311" s="13" t="s">
        <v>11224</v>
      </c>
      <c r="C1311" s="13" t="s">
        <v>11225</v>
      </c>
      <c r="D1311" s="13">
        <v>213</v>
      </c>
      <c r="E1311" s="13" t="s">
        <v>9832</v>
      </c>
      <c r="F1311" s="13">
        <v>5</v>
      </c>
      <c r="G1311" s="13" t="s">
        <v>13314</v>
      </c>
    </row>
    <row r="1312" spans="1:7" ht="144" x14ac:dyDescent="0.3">
      <c r="A1312" s="13" t="s">
        <v>9829</v>
      </c>
      <c r="B1312" s="13" t="s">
        <v>11226</v>
      </c>
      <c r="C1312" s="13" t="s">
        <v>11227</v>
      </c>
      <c r="D1312" s="13">
        <v>80</v>
      </c>
      <c r="E1312" s="13" t="s">
        <v>9832</v>
      </c>
      <c r="F1312" s="13">
        <v>5</v>
      </c>
      <c r="G1312" s="13" t="s">
        <v>13315</v>
      </c>
    </row>
    <row r="1313" spans="1:7" ht="144" x14ac:dyDescent="0.3">
      <c r="A1313" s="13" t="s">
        <v>9829</v>
      </c>
      <c r="B1313" s="13" t="s">
        <v>11226</v>
      </c>
      <c r="C1313" s="13" t="s">
        <v>11227</v>
      </c>
      <c r="D1313" s="13">
        <v>80</v>
      </c>
      <c r="E1313" s="13" t="s">
        <v>9832</v>
      </c>
      <c r="F1313" s="13">
        <v>5</v>
      </c>
      <c r="G1313" s="13" t="s">
        <v>13315</v>
      </c>
    </row>
    <row r="1314" spans="1:7" ht="144" x14ac:dyDescent="0.3">
      <c r="A1314" s="13" t="s">
        <v>9829</v>
      </c>
      <c r="B1314" s="13" t="s">
        <v>11226</v>
      </c>
      <c r="C1314" s="13" t="s">
        <v>11227</v>
      </c>
      <c r="D1314" s="13">
        <v>80</v>
      </c>
      <c r="E1314" s="13" t="s">
        <v>9832</v>
      </c>
      <c r="F1314" s="13">
        <v>5</v>
      </c>
      <c r="G1314" s="13" t="s">
        <v>13315</v>
      </c>
    </row>
    <row r="1315" spans="1:7" ht="144" x14ac:dyDescent="0.3">
      <c r="A1315" s="13" t="s">
        <v>9829</v>
      </c>
      <c r="B1315" s="13" t="s">
        <v>11226</v>
      </c>
      <c r="C1315" s="13" t="s">
        <v>11227</v>
      </c>
      <c r="D1315" s="13">
        <v>80</v>
      </c>
      <c r="E1315" s="13" t="s">
        <v>9832</v>
      </c>
      <c r="F1315" s="13">
        <v>5</v>
      </c>
      <c r="G1315" s="13" t="s">
        <v>13315</v>
      </c>
    </row>
    <row r="1316" spans="1:7" ht="43.2" x14ac:dyDescent="0.3">
      <c r="A1316" s="13" t="s">
        <v>9829</v>
      </c>
      <c r="B1316" s="13" t="s">
        <v>11228</v>
      </c>
      <c r="C1316" s="13" t="s">
        <v>11229</v>
      </c>
      <c r="D1316" s="13">
        <v>859</v>
      </c>
      <c r="E1316" s="13" t="s">
        <v>9836</v>
      </c>
      <c r="F1316" s="13">
        <v>60</v>
      </c>
      <c r="G1316" s="13" t="s">
        <v>9837</v>
      </c>
    </row>
    <row r="1317" spans="1:7" ht="144" x14ac:dyDescent="0.3">
      <c r="A1317" s="13" t="s">
        <v>9829</v>
      </c>
      <c r="B1317" s="13" t="s">
        <v>11230</v>
      </c>
      <c r="C1317" s="13" t="s">
        <v>11231</v>
      </c>
      <c r="D1317" s="13">
        <v>214</v>
      </c>
      <c r="E1317" s="13" t="s">
        <v>9832</v>
      </c>
      <c r="F1317" s="13">
        <v>5</v>
      </c>
      <c r="G1317" s="13" t="s">
        <v>13316</v>
      </c>
    </row>
    <row r="1318" spans="1:7" ht="144" x14ac:dyDescent="0.3">
      <c r="A1318" s="13" t="s">
        <v>9829</v>
      </c>
      <c r="B1318" s="13" t="s">
        <v>11230</v>
      </c>
      <c r="C1318" s="13" t="s">
        <v>11231</v>
      </c>
      <c r="D1318" s="13">
        <v>214</v>
      </c>
      <c r="E1318" s="13" t="s">
        <v>9832</v>
      </c>
      <c r="F1318" s="13">
        <v>5</v>
      </c>
      <c r="G1318" s="13" t="s">
        <v>13316</v>
      </c>
    </row>
    <row r="1319" spans="1:7" ht="144" x14ac:dyDescent="0.3">
      <c r="A1319" s="13" t="s">
        <v>9829</v>
      </c>
      <c r="B1319" s="13" t="s">
        <v>11230</v>
      </c>
      <c r="C1319" s="13" t="s">
        <v>11231</v>
      </c>
      <c r="D1319" s="13">
        <v>214</v>
      </c>
      <c r="E1319" s="13" t="s">
        <v>9832</v>
      </c>
      <c r="F1319" s="13">
        <v>5</v>
      </c>
      <c r="G1319" s="13" t="s">
        <v>13316</v>
      </c>
    </row>
    <row r="1320" spans="1:7" ht="43.2" x14ac:dyDescent="0.3">
      <c r="A1320" s="13" t="s">
        <v>9829</v>
      </c>
      <c r="B1320" s="13" t="s">
        <v>11232</v>
      </c>
      <c r="C1320" s="13" t="s">
        <v>11233</v>
      </c>
      <c r="D1320" s="13">
        <v>215</v>
      </c>
      <c r="E1320" s="13" t="s">
        <v>9836</v>
      </c>
      <c r="F1320" s="13">
        <v>60</v>
      </c>
      <c r="G1320" s="13" t="s">
        <v>9837</v>
      </c>
    </row>
    <row r="1321" spans="1:7" ht="43.2" x14ac:dyDescent="0.3">
      <c r="A1321" s="13" t="s">
        <v>9829</v>
      </c>
      <c r="B1321" s="13" t="s">
        <v>11232</v>
      </c>
      <c r="C1321" s="13" t="s">
        <v>11233</v>
      </c>
      <c r="D1321" s="13">
        <v>215</v>
      </c>
      <c r="E1321" s="13" t="s">
        <v>9836</v>
      </c>
      <c r="F1321" s="13">
        <v>60</v>
      </c>
      <c r="G1321" s="13" t="s">
        <v>9837</v>
      </c>
    </row>
    <row r="1322" spans="1:7" ht="43.2" x14ac:dyDescent="0.3">
      <c r="A1322" s="13" t="s">
        <v>9829</v>
      </c>
      <c r="B1322" s="13" t="s">
        <v>11232</v>
      </c>
      <c r="C1322" s="13" t="s">
        <v>11233</v>
      </c>
      <c r="D1322" s="13">
        <v>215</v>
      </c>
      <c r="E1322" s="13" t="s">
        <v>9836</v>
      </c>
      <c r="F1322" s="13">
        <v>60</v>
      </c>
      <c r="G1322" s="13" t="s">
        <v>9837</v>
      </c>
    </row>
    <row r="1323" spans="1:7" ht="43.2" x14ac:dyDescent="0.3">
      <c r="A1323" s="13" t="s">
        <v>9829</v>
      </c>
      <c r="B1323" s="13" t="s">
        <v>11232</v>
      </c>
      <c r="C1323" s="13" t="s">
        <v>11233</v>
      </c>
      <c r="D1323" s="13">
        <v>215</v>
      </c>
      <c r="E1323" s="13" t="s">
        <v>9836</v>
      </c>
      <c r="F1323" s="13">
        <v>60</v>
      </c>
      <c r="G1323" s="13" t="s">
        <v>9837</v>
      </c>
    </row>
    <row r="1324" spans="1:7" ht="57.6" x14ac:dyDescent="0.3">
      <c r="A1324" s="13" t="s">
        <v>9829</v>
      </c>
      <c r="B1324" s="13" t="s">
        <v>11234</v>
      </c>
      <c r="C1324" s="13" t="s">
        <v>11235</v>
      </c>
      <c r="D1324" s="13">
        <v>216</v>
      </c>
      <c r="E1324" s="13" t="s">
        <v>9880</v>
      </c>
      <c r="F1324" s="13">
        <v>2.2000000000000002</v>
      </c>
      <c r="G1324" s="13" t="s">
        <v>9837</v>
      </c>
    </row>
    <row r="1325" spans="1:7" ht="57.6" x14ac:dyDescent="0.3">
      <c r="A1325" s="13" t="s">
        <v>9829</v>
      </c>
      <c r="B1325" s="13" t="s">
        <v>11234</v>
      </c>
      <c r="C1325" s="13" t="s">
        <v>11235</v>
      </c>
      <c r="D1325" s="13">
        <v>216</v>
      </c>
      <c r="E1325" s="13" t="s">
        <v>9880</v>
      </c>
      <c r="F1325" s="13">
        <v>2.2000000000000002</v>
      </c>
      <c r="G1325" s="13" t="s">
        <v>9837</v>
      </c>
    </row>
    <row r="1326" spans="1:7" ht="57.6" x14ac:dyDescent="0.3">
      <c r="A1326" s="13" t="s">
        <v>9829</v>
      </c>
      <c r="B1326" s="13" t="s">
        <v>11234</v>
      </c>
      <c r="C1326" s="13" t="s">
        <v>11235</v>
      </c>
      <c r="D1326" s="13">
        <v>216</v>
      </c>
      <c r="E1326" s="13" t="s">
        <v>9880</v>
      </c>
      <c r="F1326" s="13">
        <v>2.2000000000000002</v>
      </c>
      <c r="G1326" s="13" t="s">
        <v>9837</v>
      </c>
    </row>
    <row r="1327" spans="1:7" ht="57.6" x14ac:dyDescent="0.3">
      <c r="A1327" s="13" t="s">
        <v>9829</v>
      </c>
      <c r="B1327" s="13" t="s">
        <v>11234</v>
      </c>
      <c r="C1327" s="13" t="s">
        <v>11235</v>
      </c>
      <c r="D1327" s="13">
        <v>216</v>
      </c>
      <c r="E1327" s="13" t="s">
        <v>9880</v>
      </c>
      <c r="F1327" s="13">
        <v>2.2000000000000002</v>
      </c>
      <c r="G1327" s="13" t="s">
        <v>9837</v>
      </c>
    </row>
    <row r="1328" spans="1:7" ht="28.8" x14ac:dyDescent="0.3">
      <c r="A1328" s="13" t="s">
        <v>9829</v>
      </c>
      <c r="B1328" s="13" t="s">
        <v>11236</v>
      </c>
      <c r="C1328" s="13" t="s">
        <v>11237</v>
      </c>
      <c r="D1328" s="13">
        <v>1215</v>
      </c>
      <c r="E1328" s="13" t="s">
        <v>9863</v>
      </c>
      <c r="F1328" s="13">
        <v>8</v>
      </c>
      <c r="G1328" s="13" t="s">
        <v>9837</v>
      </c>
    </row>
    <row r="1329" spans="1:7" ht="28.8" x14ac:dyDescent="0.3">
      <c r="A1329" s="13" t="s">
        <v>9829</v>
      </c>
      <c r="B1329" s="13" t="s">
        <v>11238</v>
      </c>
      <c r="C1329" s="13" t="s">
        <v>11239</v>
      </c>
      <c r="D1329" s="13">
        <v>1315</v>
      </c>
      <c r="E1329" s="13" t="s">
        <v>9836</v>
      </c>
      <c r="F1329" s="13">
        <v>45</v>
      </c>
      <c r="G1329" s="13" t="s">
        <v>9837</v>
      </c>
    </row>
    <row r="1330" spans="1:7" ht="129.6" x14ac:dyDescent="0.3">
      <c r="A1330" s="13" t="s">
        <v>9829</v>
      </c>
      <c r="B1330" s="13" t="s">
        <v>11240</v>
      </c>
      <c r="C1330" s="13" t="s">
        <v>11241</v>
      </c>
      <c r="D1330" s="13">
        <v>794</v>
      </c>
      <c r="E1330" s="13" t="s">
        <v>9832</v>
      </c>
      <c r="F1330" s="13">
        <v>5</v>
      </c>
      <c r="G1330" s="13" t="s">
        <v>13317</v>
      </c>
    </row>
    <row r="1331" spans="1:7" ht="28.8" x14ac:dyDescent="0.3">
      <c r="A1331" s="13" t="s">
        <v>9829</v>
      </c>
      <c r="B1331" s="13" t="s">
        <v>11242</v>
      </c>
      <c r="C1331" s="13" t="s">
        <v>11243</v>
      </c>
      <c r="D1331" s="13">
        <v>217</v>
      </c>
      <c r="E1331" s="13" t="s">
        <v>9863</v>
      </c>
      <c r="F1331" s="13">
        <v>8</v>
      </c>
      <c r="G1331" s="13" t="s">
        <v>9837</v>
      </c>
    </row>
    <row r="1332" spans="1:7" ht="28.8" x14ac:dyDescent="0.3">
      <c r="A1332" s="13" t="s">
        <v>9829</v>
      </c>
      <c r="B1332" s="13" t="s">
        <v>11242</v>
      </c>
      <c r="C1332" s="13" t="s">
        <v>11243</v>
      </c>
      <c r="D1332" s="13">
        <v>217</v>
      </c>
      <c r="E1332" s="13" t="s">
        <v>9863</v>
      </c>
      <c r="F1332" s="13">
        <v>8</v>
      </c>
      <c r="G1332" s="13" t="s">
        <v>9837</v>
      </c>
    </row>
    <row r="1333" spans="1:7" ht="28.8" x14ac:dyDescent="0.3">
      <c r="A1333" s="13" t="s">
        <v>9829</v>
      </c>
      <c r="B1333" s="13" t="s">
        <v>11242</v>
      </c>
      <c r="C1333" s="13" t="s">
        <v>11243</v>
      </c>
      <c r="D1333" s="13">
        <v>217</v>
      </c>
      <c r="E1333" s="13" t="s">
        <v>9863</v>
      </c>
      <c r="F1333" s="13">
        <v>8</v>
      </c>
      <c r="G1333" s="13" t="s">
        <v>9837</v>
      </c>
    </row>
    <row r="1334" spans="1:7" ht="409.6" x14ac:dyDescent="0.3">
      <c r="A1334" s="13" t="s">
        <v>9829</v>
      </c>
      <c r="B1334" s="13" t="s">
        <v>11244</v>
      </c>
      <c r="C1334" s="13" t="s">
        <v>11245</v>
      </c>
      <c r="D1334" s="13">
        <v>219</v>
      </c>
      <c r="E1334" s="13" t="s">
        <v>9880</v>
      </c>
      <c r="F1334" s="13">
        <v>1.2</v>
      </c>
      <c r="G1334" s="13" t="s">
        <v>13318</v>
      </c>
    </row>
    <row r="1335" spans="1:7" ht="409.6" x14ac:dyDescent="0.3">
      <c r="A1335" s="13" t="s">
        <v>9829</v>
      </c>
      <c r="B1335" s="13" t="s">
        <v>11244</v>
      </c>
      <c r="C1335" s="13" t="s">
        <v>11245</v>
      </c>
      <c r="D1335" s="13">
        <v>219</v>
      </c>
      <c r="E1335" s="13" t="s">
        <v>9880</v>
      </c>
      <c r="F1335" s="13">
        <v>1.2</v>
      </c>
      <c r="G1335" s="13" t="s">
        <v>13318</v>
      </c>
    </row>
    <row r="1336" spans="1:7" ht="409.6" x14ac:dyDescent="0.3">
      <c r="A1336" s="13" t="s">
        <v>9829</v>
      </c>
      <c r="B1336" s="13" t="s">
        <v>11244</v>
      </c>
      <c r="C1336" s="13" t="s">
        <v>11245</v>
      </c>
      <c r="D1336" s="13">
        <v>219</v>
      </c>
      <c r="E1336" s="13" t="s">
        <v>9880</v>
      </c>
      <c r="F1336" s="13">
        <v>1.2</v>
      </c>
      <c r="G1336" s="13" t="s">
        <v>13318</v>
      </c>
    </row>
    <row r="1337" spans="1:7" ht="28.8" x14ac:dyDescent="0.3">
      <c r="A1337" s="13" t="s">
        <v>9829</v>
      </c>
      <c r="B1337" s="13" t="s">
        <v>11246</v>
      </c>
      <c r="C1337" s="13" t="s">
        <v>11247</v>
      </c>
      <c r="D1337" s="13">
        <v>220</v>
      </c>
      <c r="E1337" s="13" t="s">
        <v>9863</v>
      </c>
      <c r="F1337" s="13">
        <v>8</v>
      </c>
      <c r="G1337" s="13" t="s">
        <v>9837</v>
      </c>
    </row>
    <row r="1338" spans="1:7" ht="28.8" x14ac:dyDescent="0.3">
      <c r="A1338" s="13" t="s">
        <v>9829</v>
      </c>
      <c r="B1338" s="13" t="s">
        <v>11246</v>
      </c>
      <c r="C1338" s="13" t="s">
        <v>11247</v>
      </c>
      <c r="D1338" s="13">
        <v>220</v>
      </c>
      <c r="E1338" s="13" t="s">
        <v>9863</v>
      </c>
      <c r="F1338" s="13">
        <v>8</v>
      </c>
      <c r="G1338" s="13" t="s">
        <v>9837</v>
      </c>
    </row>
    <row r="1339" spans="1:7" ht="28.8" x14ac:dyDescent="0.3">
      <c r="A1339" s="13" t="s">
        <v>9829</v>
      </c>
      <c r="B1339" s="13" t="s">
        <v>11246</v>
      </c>
      <c r="C1339" s="13" t="s">
        <v>11247</v>
      </c>
      <c r="D1339" s="13">
        <v>220</v>
      </c>
      <c r="E1339" s="13" t="s">
        <v>9863</v>
      </c>
      <c r="F1339" s="13">
        <v>8</v>
      </c>
      <c r="G1339" s="13" t="s">
        <v>9837</v>
      </c>
    </row>
    <row r="1340" spans="1:7" ht="28.8" x14ac:dyDescent="0.3">
      <c r="A1340" s="13" t="s">
        <v>9829</v>
      </c>
      <c r="B1340" s="13" t="s">
        <v>11248</v>
      </c>
      <c r="C1340" s="13" t="s">
        <v>11249</v>
      </c>
      <c r="D1340" s="13">
        <v>221</v>
      </c>
      <c r="E1340" s="13" t="s">
        <v>9863</v>
      </c>
      <c r="F1340" s="13">
        <v>8</v>
      </c>
      <c r="G1340" s="13" t="s">
        <v>9837</v>
      </c>
    </row>
    <row r="1341" spans="1:7" ht="28.8" x14ac:dyDescent="0.3">
      <c r="A1341" s="13" t="s">
        <v>9829</v>
      </c>
      <c r="B1341" s="13" t="s">
        <v>11248</v>
      </c>
      <c r="C1341" s="13" t="s">
        <v>11249</v>
      </c>
      <c r="D1341" s="13">
        <v>221</v>
      </c>
      <c r="E1341" s="13" t="s">
        <v>9863</v>
      </c>
      <c r="F1341" s="13">
        <v>8</v>
      </c>
      <c r="G1341" s="13" t="s">
        <v>9837</v>
      </c>
    </row>
    <row r="1342" spans="1:7" ht="28.8" x14ac:dyDescent="0.3">
      <c r="A1342" s="13" t="s">
        <v>9829</v>
      </c>
      <c r="B1342" s="13" t="s">
        <v>11248</v>
      </c>
      <c r="C1342" s="13" t="s">
        <v>11249</v>
      </c>
      <c r="D1342" s="13">
        <v>221</v>
      </c>
      <c r="E1342" s="13" t="s">
        <v>9863</v>
      </c>
      <c r="F1342" s="13">
        <v>8</v>
      </c>
      <c r="G1342" s="13" t="s">
        <v>9837</v>
      </c>
    </row>
    <row r="1343" spans="1:7" ht="409.6" x14ac:dyDescent="0.3">
      <c r="A1343" s="13" t="s">
        <v>9829</v>
      </c>
      <c r="B1343" s="13" t="s">
        <v>11250</v>
      </c>
      <c r="C1343" s="13" t="s">
        <v>11251</v>
      </c>
      <c r="D1343" s="13">
        <v>222</v>
      </c>
      <c r="E1343" s="13" t="s">
        <v>9832</v>
      </c>
      <c r="F1343" s="13">
        <v>5</v>
      </c>
      <c r="G1343" s="13" t="s">
        <v>13319</v>
      </c>
    </row>
    <row r="1344" spans="1:7" ht="409.6" x14ac:dyDescent="0.3">
      <c r="A1344" s="13" t="s">
        <v>9829</v>
      </c>
      <c r="B1344" s="13" t="s">
        <v>11250</v>
      </c>
      <c r="C1344" s="13" t="s">
        <v>11251</v>
      </c>
      <c r="D1344" s="13">
        <v>222</v>
      </c>
      <c r="E1344" s="13" t="s">
        <v>9832</v>
      </c>
      <c r="F1344" s="13">
        <v>5</v>
      </c>
      <c r="G1344" s="13" t="s">
        <v>13319</v>
      </c>
    </row>
    <row r="1345" spans="1:7" ht="409.6" x14ac:dyDescent="0.3">
      <c r="A1345" s="13" t="s">
        <v>9829</v>
      </c>
      <c r="B1345" s="13" t="s">
        <v>11250</v>
      </c>
      <c r="C1345" s="13" t="s">
        <v>11251</v>
      </c>
      <c r="D1345" s="13">
        <v>222</v>
      </c>
      <c r="E1345" s="13" t="s">
        <v>9832</v>
      </c>
      <c r="F1345" s="13">
        <v>5</v>
      </c>
      <c r="G1345" s="13" t="s">
        <v>13319</v>
      </c>
    </row>
    <row r="1346" spans="1:7" ht="409.6" x14ac:dyDescent="0.3">
      <c r="A1346" s="13" t="s">
        <v>9829</v>
      </c>
      <c r="B1346" s="13" t="s">
        <v>11250</v>
      </c>
      <c r="C1346" s="13" t="s">
        <v>11251</v>
      </c>
      <c r="D1346" s="13">
        <v>222</v>
      </c>
      <c r="E1346" s="13" t="s">
        <v>9832</v>
      </c>
      <c r="F1346" s="13">
        <v>5</v>
      </c>
      <c r="G1346" s="13" t="s">
        <v>13319</v>
      </c>
    </row>
    <row r="1347" spans="1:7" ht="28.8" x14ac:dyDescent="0.3">
      <c r="A1347" s="13" t="s">
        <v>9829</v>
      </c>
      <c r="B1347" s="13" t="s">
        <v>11252</v>
      </c>
      <c r="C1347" s="13" t="s">
        <v>11253</v>
      </c>
      <c r="D1347" s="13">
        <v>223</v>
      </c>
      <c r="E1347" s="13" t="s">
        <v>9836</v>
      </c>
      <c r="F1347" s="13">
        <v>60</v>
      </c>
      <c r="G1347" s="13" t="s">
        <v>9837</v>
      </c>
    </row>
    <row r="1348" spans="1:7" ht="28.8" x14ac:dyDescent="0.3">
      <c r="A1348" s="13" t="s">
        <v>9829</v>
      </c>
      <c r="B1348" s="13" t="s">
        <v>11252</v>
      </c>
      <c r="C1348" s="13" t="s">
        <v>11253</v>
      </c>
      <c r="D1348" s="13">
        <v>223</v>
      </c>
      <c r="E1348" s="13" t="s">
        <v>9836</v>
      </c>
      <c r="F1348" s="13">
        <v>60</v>
      </c>
      <c r="G1348" s="13" t="s">
        <v>9837</v>
      </c>
    </row>
    <row r="1349" spans="1:7" ht="28.8" x14ac:dyDescent="0.3">
      <c r="A1349" s="13" t="s">
        <v>9829</v>
      </c>
      <c r="B1349" s="13" t="s">
        <v>11252</v>
      </c>
      <c r="C1349" s="13" t="s">
        <v>11253</v>
      </c>
      <c r="D1349" s="13">
        <v>223</v>
      </c>
      <c r="E1349" s="13" t="s">
        <v>9836</v>
      </c>
      <c r="F1349" s="13">
        <v>60</v>
      </c>
      <c r="G1349" s="13" t="s">
        <v>9837</v>
      </c>
    </row>
    <row r="1350" spans="1:7" ht="43.2" x14ac:dyDescent="0.3">
      <c r="A1350" s="13" t="s">
        <v>9829</v>
      </c>
      <c r="B1350" s="13" t="s">
        <v>11254</v>
      </c>
      <c r="C1350" s="13" t="s">
        <v>11255</v>
      </c>
      <c r="D1350" s="13">
        <v>224</v>
      </c>
      <c r="E1350" s="13" t="s">
        <v>9880</v>
      </c>
      <c r="F1350" s="13">
        <v>7.2</v>
      </c>
      <c r="G1350" s="13" t="s">
        <v>9837</v>
      </c>
    </row>
    <row r="1351" spans="1:7" ht="43.2" x14ac:dyDescent="0.3">
      <c r="A1351" s="13" t="s">
        <v>9829</v>
      </c>
      <c r="B1351" s="13" t="s">
        <v>11254</v>
      </c>
      <c r="C1351" s="13" t="s">
        <v>11255</v>
      </c>
      <c r="D1351" s="13">
        <v>224</v>
      </c>
      <c r="E1351" s="13" t="s">
        <v>9880</v>
      </c>
      <c r="F1351" s="13">
        <v>7.2</v>
      </c>
      <c r="G1351" s="13" t="s">
        <v>9837</v>
      </c>
    </row>
    <row r="1352" spans="1:7" ht="43.2" x14ac:dyDescent="0.3">
      <c r="A1352" s="13" t="s">
        <v>9829</v>
      </c>
      <c r="B1352" s="13" t="s">
        <v>11254</v>
      </c>
      <c r="C1352" s="13" t="s">
        <v>11255</v>
      </c>
      <c r="D1352" s="13">
        <v>224</v>
      </c>
      <c r="E1352" s="13" t="s">
        <v>9880</v>
      </c>
      <c r="F1352" s="13">
        <v>7.2</v>
      </c>
      <c r="G1352" s="13" t="s">
        <v>9837</v>
      </c>
    </row>
    <row r="1353" spans="1:7" ht="28.8" x14ac:dyDescent="0.3">
      <c r="A1353" s="13" t="s">
        <v>9829</v>
      </c>
      <c r="B1353" s="13" t="s">
        <v>11256</v>
      </c>
      <c r="C1353" s="13" t="s">
        <v>11257</v>
      </c>
      <c r="D1353" s="13">
        <v>225</v>
      </c>
      <c r="E1353" s="13" t="s">
        <v>9836</v>
      </c>
      <c r="F1353" s="13">
        <v>80</v>
      </c>
      <c r="G1353" s="13" t="s">
        <v>9837</v>
      </c>
    </row>
    <row r="1354" spans="1:7" ht="28.8" x14ac:dyDescent="0.3">
      <c r="A1354" s="13" t="s">
        <v>9829</v>
      </c>
      <c r="B1354" s="13" t="s">
        <v>11256</v>
      </c>
      <c r="C1354" s="13" t="s">
        <v>11257</v>
      </c>
      <c r="D1354" s="13">
        <v>225</v>
      </c>
      <c r="E1354" s="13" t="s">
        <v>9836</v>
      </c>
      <c r="F1354" s="13">
        <v>80</v>
      </c>
      <c r="G1354" s="13" t="s">
        <v>9837</v>
      </c>
    </row>
    <row r="1355" spans="1:7" ht="28.8" x14ac:dyDescent="0.3">
      <c r="A1355" s="13" t="s">
        <v>9829</v>
      </c>
      <c r="B1355" s="13" t="s">
        <v>11256</v>
      </c>
      <c r="C1355" s="13" t="s">
        <v>11257</v>
      </c>
      <c r="D1355" s="13">
        <v>225</v>
      </c>
      <c r="E1355" s="13" t="s">
        <v>9836</v>
      </c>
      <c r="F1355" s="13">
        <v>80</v>
      </c>
      <c r="G1355" s="13" t="s">
        <v>9837</v>
      </c>
    </row>
    <row r="1356" spans="1:7" ht="57.6" x14ac:dyDescent="0.3">
      <c r="A1356" s="13" t="s">
        <v>9829</v>
      </c>
      <c r="B1356" s="13" t="s">
        <v>11258</v>
      </c>
      <c r="C1356" s="13" t="s">
        <v>11259</v>
      </c>
      <c r="D1356" s="13">
        <v>226</v>
      </c>
      <c r="E1356" s="13" t="s">
        <v>9880</v>
      </c>
      <c r="F1356" s="13">
        <v>3.2</v>
      </c>
      <c r="G1356" s="13" t="s">
        <v>9837</v>
      </c>
    </row>
    <row r="1357" spans="1:7" ht="57.6" x14ac:dyDescent="0.3">
      <c r="A1357" s="13" t="s">
        <v>9829</v>
      </c>
      <c r="B1357" s="13" t="s">
        <v>11258</v>
      </c>
      <c r="C1357" s="13" t="s">
        <v>11259</v>
      </c>
      <c r="D1357" s="13">
        <v>226</v>
      </c>
      <c r="E1357" s="13" t="s">
        <v>9880</v>
      </c>
      <c r="F1357" s="13">
        <v>3.2</v>
      </c>
      <c r="G1357" s="13" t="s">
        <v>9837</v>
      </c>
    </row>
    <row r="1358" spans="1:7" ht="57.6" x14ac:dyDescent="0.3">
      <c r="A1358" s="13" t="s">
        <v>9829</v>
      </c>
      <c r="B1358" s="13" t="s">
        <v>11258</v>
      </c>
      <c r="C1358" s="13" t="s">
        <v>11259</v>
      </c>
      <c r="D1358" s="13">
        <v>226</v>
      </c>
      <c r="E1358" s="13" t="s">
        <v>9880</v>
      </c>
      <c r="F1358" s="13">
        <v>3.2</v>
      </c>
      <c r="G1358" s="13" t="s">
        <v>9837</v>
      </c>
    </row>
    <row r="1359" spans="1:7" ht="28.8" x14ac:dyDescent="0.3">
      <c r="A1359" s="13" t="s">
        <v>9829</v>
      </c>
      <c r="B1359" s="13" t="s">
        <v>11260</v>
      </c>
      <c r="C1359" s="13" t="s">
        <v>11261</v>
      </c>
      <c r="D1359" s="13">
        <v>228</v>
      </c>
      <c r="E1359" s="13" t="s">
        <v>9836</v>
      </c>
      <c r="F1359" s="13">
        <v>80</v>
      </c>
      <c r="G1359" s="13" t="s">
        <v>9837</v>
      </c>
    </row>
    <row r="1360" spans="1:7" ht="28.8" x14ac:dyDescent="0.3">
      <c r="A1360" s="13" t="s">
        <v>9829</v>
      </c>
      <c r="B1360" s="13" t="s">
        <v>11260</v>
      </c>
      <c r="C1360" s="13" t="s">
        <v>11261</v>
      </c>
      <c r="D1360" s="13">
        <v>228</v>
      </c>
      <c r="E1360" s="13" t="s">
        <v>9836</v>
      </c>
      <c r="F1360" s="13">
        <v>80</v>
      </c>
      <c r="G1360" s="13" t="s">
        <v>9837</v>
      </c>
    </row>
    <row r="1361" spans="1:7" ht="28.8" x14ac:dyDescent="0.3">
      <c r="A1361" s="13" t="s">
        <v>9829</v>
      </c>
      <c r="B1361" s="13" t="s">
        <v>11260</v>
      </c>
      <c r="C1361" s="13" t="s">
        <v>11261</v>
      </c>
      <c r="D1361" s="13">
        <v>228</v>
      </c>
      <c r="E1361" s="13" t="s">
        <v>9836</v>
      </c>
      <c r="F1361" s="13">
        <v>80</v>
      </c>
      <c r="G1361" s="13" t="s">
        <v>9837</v>
      </c>
    </row>
    <row r="1362" spans="1:7" ht="100.8" x14ac:dyDescent="0.3">
      <c r="A1362" s="13" t="s">
        <v>9829</v>
      </c>
      <c r="B1362" s="13" t="s">
        <v>11262</v>
      </c>
      <c r="C1362" s="13" t="s">
        <v>11263</v>
      </c>
      <c r="D1362" s="13">
        <v>698</v>
      </c>
      <c r="E1362" s="13" t="s">
        <v>9832</v>
      </c>
      <c r="F1362" s="13">
        <v>5</v>
      </c>
      <c r="G1362" s="13" t="s">
        <v>13320</v>
      </c>
    </row>
    <row r="1363" spans="1:7" ht="409.6" x14ac:dyDescent="0.3">
      <c r="A1363" s="13" t="s">
        <v>9829</v>
      </c>
      <c r="B1363" s="13" t="s">
        <v>11264</v>
      </c>
      <c r="C1363" s="13" t="s">
        <v>11265</v>
      </c>
      <c r="D1363" s="13">
        <v>795</v>
      </c>
      <c r="E1363" s="13" t="s">
        <v>9832</v>
      </c>
      <c r="F1363" s="13">
        <v>5</v>
      </c>
      <c r="G1363" s="13" t="s">
        <v>13321</v>
      </c>
    </row>
    <row r="1364" spans="1:7" ht="28.8" x14ac:dyDescent="0.3">
      <c r="A1364" s="13" t="s">
        <v>9829</v>
      </c>
      <c r="B1364" s="13" t="s">
        <v>11266</v>
      </c>
      <c r="C1364" s="13" t="s">
        <v>11267</v>
      </c>
      <c r="D1364" s="13">
        <v>1221</v>
      </c>
      <c r="E1364" s="13" t="s">
        <v>9863</v>
      </c>
      <c r="F1364" s="13">
        <v>8</v>
      </c>
      <c r="G1364" s="13" t="s">
        <v>9837</v>
      </c>
    </row>
    <row r="1365" spans="1:7" ht="43.2" x14ac:dyDescent="0.3">
      <c r="A1365" s="13" t="s">
        <v>9829</v>
      </c>
      <c r="B1365" s="13" t="s">
        <v>11268</v>
      </c>
      <c r="C1365" s="13" t="s">
        <v>11269</v>
      </c>
      <c r="D1365" s="13">
        <v>1217</v>
      </c>
      <c r="E1365" s="13" t="s">
        <v>9863</v>
      </c>
      <c r="F1365" s="13">
        <v>8</v>
      </c>
      <c r="G1365" s="13" t="s">
        <v>9837</v>
      </c>
    </row>
    <row r="1366" spans="1:7" ht="28.8" x14ac:dyDescent="0.3">
      <c r="A1366" s="13" t="s">
        <v>9829</v>
      </c>
      <c r="B1366" s="13" t="s">
        <v>11270</v>
      </c>
      <c r="C1366" s="13" t="s">
        <v>11271</v>
      </c>
      <c r="D1366" s="13">
        <v>1218</v>
      </c>
      <c r="E1366" s="13" t="s">
        <v>9863</v>
      </c>
      <c r="F1366" s="13">
        <v>8</v>
      </c>
      <c r="G1366" s="13" t="s">
        <v>9837</v>
      </c>
    </row>
    <row r="1367" spans="1:7" ht="129.6" x14ac:dyDescent="0.3">
      <c r="A1367" s="13" t="s">
        <v>9829</v>
      </c>
      <c r="B1367" s="13" t="s">
        <v>11272</v>
      </c>
      <c r="C1367" s="13" t="s">
        <v>11273</v>
      </c>
      <c r="D1367" s="13">
        <v>1244</v>
      </c>
      <c r="E1367" s="13" t="s">
        <v>9832</v>
      </c>
      <c r="F1367" s="13">
        <v>5</v>
      </c>
      <c r="G1367" s="13" t="s">
        <v>13243</v>
      </c>
    </row>
    <row r="1368" spans="1:7" ht="187.2" x14ac:dyDescent="0.3">
      <c r="A1368" s="13" t="s">
        <v>9829</v>
      </c>
      <c r="B1368" s="13" t="s">
        <v>11274</v>
      </c>
      <c r="C1368" s="13" t="s">
        <v>11275</v>
      </c>
      <c r="D1368" s="13">
        <v>1429</v>
      </c>
      <c r="E1368" s="13" t="s">
        <v>9832</v>
      </c>
      <c r="F1368" s="13">
        <v>5</v>
      </c>
      <c r="G1368" s="13" t="s">
        <v>13238</v>
      </c>
    </row>
    <row r="1369" spans="1:7" ht="172.8" x14ac:dyDescent="0.3">
      <c r="A1369" s="13" t="s">
        <v>9829</v>
      </c>
      <c r="B1369" s="13" t="s">
        <v>11276</v>
      </c>
      <c r="C1369" s="13" t="s">
        <v>11277</v>
      </c>
      <c r="D1369" s="13">
        <v>789</v>
      </c>
      <c r="E1369" s="13" t="s">
        <v>9832</v>
      </c>
      <c r="F1369" s="13">
        <v>5</v>
      </c>
      <c r="G1369" s="13" t="s">
        <v>13322</v>
      </c>
    </row>
    <row r="1370" spans="1:7" ht="57.6" x14ac:dyDescent="0.3">
      <c r="A1370" s="13" t="s">
        <v>9829</v>
      </c>
      <c r="B1370" s="13" t="s">
        <v>11278</v>
      </c>
      <c r="C1370" s="13" t="s">
        <v>11279</v>
      </c>
      <c r="D1370" s="13">
        <v>787</v>
      </c>
      <c r="E1370" s="13" t="s">
        <v>9836</v>
      </c>
      <c r="F1370" s="13">
        <v>35</v>
      </c>
      <c r="G1370" s="13" t="s">
        <v>9837</v>
      </c>
    </row>
    <row r="1371" spans="1:7" ht="57.6" x14ac:dyDescent="0.3">
      <c r="A1371" s="13" t="s">
        <v>9829</v>
      </c>
      <c r="B1371" s="13" t="s">
        <v>11280</v>
      </c>
      <c r="C1371" s="13" t="s">
        <v>11281</v>
      </c>
      <c r="D1371" s="13">
        <v>788</v>
      </c>
      <c r="E1371" s="13" t="s">
        <v>9836</v>
      </c>
      <c r="F1371" s="13">
        <v>35</v>
      </c>
      <c r="G1371" s="13" t="s">
        <v>9837</v>
      </c>
    </row>
    <row r="1372" spans="1:7" ht="43.2" x14ac:dyDescent="0.3">
      <c r="A1372" s="13" t="s">
        <v>9829</v>
      </c>
      <c r="B1372" s="13" t="s">
        <v>11282</v>
      </c>
      <c r="C1372" s="13" t="s">
        <v>11283</v>
      </c>
      <c r="D1372" s="13">
        <v>2204</v>
      </c>
      <c r="E1372" s="13" t="s">
        <v>9836</v>
      </c>
      <c r="F1372" s="13">
        <v>80</v>
      </c>
      <c r="G1372" s="13" t="s">
        <v>32</v>
      </c>
    </row>
    <row r="1373" spans="1:7" ht="43.2" x14ac:dyDescent="0.3">
      <c r="A1373" s="13" t="s">
        <v>9829</v>
      </c>
      <c r="B1373" s="13" t="s">
        <v>11284</v>
      </c>
      <c r="C1373" s="13" t="s">
        <v>11285</v>
      </c>
      <c r="D1373" s="13">
        <v>428</v>
      </c>
      <c r="E1373" s="13" t="s">
        <v>9836</v>
      </c>
      <c r="F1373" s="13">
        <v>60</v>
      </c>
      <c r="G1373" s="13" t="s">
        <v>9837</v>
      </c>
    </row>
    <row r="1374" spans="1:7" ht="345.6" x14ac:dyDescent="0.3">
      <c r="A1374" s="13" t="s">
        <v>9829</v>
      </c>
      <c r="B1374" s="13" t="s">
        <v>11286</v>
      </c>
      <c r="C1374" s="13" t="s">
        <v>11287</v>
      </c>
      <c r="D1374" s="13">
        <v>427</v>
      </c>
      <c r="E1374" s="13" t="s">
        <v>9832</v>
      </c>
      <c r="F1374" s="13">
        <v>5</v>
      </c>
      <c r="G1374" s="13" t="s">
        <v>13323</v>
      </c>
    </row>
    <row r="1375" spans="1:7" ht="28.8" x14ac:dyDescent="0.3">
      <c r="A1375" s="13" t="s">
        <v>9829</v>
      </c>
      <c r="B1375" s="13" t="s">
        <v>11288</v>
      </c>
      <c r="C1375" s="13" t="s">
        <v>11289</v>
      </c>
      <c r="D1375" s="13">
        <v>1110</v>
      </c>
      <c r="E1375" s="13" t="s">
        <v>9863</v>
      </c>
      <c r="F1375" s="13">
        <v>8</v>
      </c>
      <c r="G1375" s="13" t="s">
        <v>9837</v>
      </c>
    </row>
    <row r="1376" spans="1:7" ht="28.8" x14ac:dyDescent="0.3">
      <c r="A1376" s="13" t="s">
        <v>9829</v>
      </c>
      <c r="B1376" s="13" t="s">
        <v>11288</v>
      </c>
      <c r="C1376" s="13" t="s">
        <v>11289</v>
      </c>
      <c r="D1376" s="13">
        <v>1110</v>
      </c>
      <c r="E1376" s="13" t="s">
        <v>9863</v>
      </c>
      <c r="F1376" s="13">
        <v>8</v>
      </c>
      <c r="G1376" s="13" t="s">
        <v>9837</v>
      </c>
    </row>
    <row r="1377" spans="1:7" ht="28.8" x14ac:dyDescent="0.3">
      <c r="A1377" s="13" t="s">
        <v>9829</v>
      </c>
      <c r="B1377" s="13" t="s">
        <v>11288</v>
      </c>
      <c r="C1377" s="13" t="s">
        <v>11289</v>
      </c>
      <c r="D1377" s="13">
        <v>1110</v>
      </c>
      <c r="E1377" s="13" t="s">
        <v>9863</v>
      </c>
      <c r="F1377" s="13">
        <v>8</v>
      </c>
      <c r="G1377" s="13" t="s">
        <v>9837</v>
      </c>
    </row>
    <row r="1378" spans="1:7" ht="244.8" x14ac:dyDescent="0.3">
      <c r="A1378" s="13" t="s">
        <v>9829</v>
      </c>
      <c r="B1378" s="13" t="s">
        <v>11290</v>
      </c>
      <c r="C1378" s="13" t="s">
        <v>11291</v>
      </c>
      <c r="D1378" s="13">
        <v>1156</v>
      </c>
      <c r="E1378" s="13" t="s">
        <v>9832</v>
      </c>
      <c r="F1378" s="13">
        <v>5</v>
      </c>
      <c r="G1378" s="13" t="s">
        <v>13324</v>
      </c>
    </row>
    <row r="1379" spans="1:7" ht="115.2" x14ac:dyDescent="0.3">
      <c r="A1379" s="13" t="s">
        <v>9829</v>
      </c>
      <c r="B1379" s="13" t="s">
        <v>11292</v>
      </c>
      <c r="C1379" s="13" t="s">
        <v>11293</v>
      </c>
      <c r="D1379" s="13">
        <v>771</v>
      </c>
      <c r="E1379" s="13" t="s">
        <v>9832</v>
      </c>
      <c r="F1379" s="13">
        <v>5</v>
      </c>
      <c r="G1379" s="13" t="s">
        <v>9833</v>
      </c>
    </row>
    <row r="1380" spans="1:7" ht="57.6" x14ac:dyDescent="0.3">
      <c r="A1380" s="13" t="s">
        <v>9829</v>
      </c>
      <c r="B1380" s="13" t="s">
        <v>11294</v>
      </c>
      <c r="C1380" s="13" t="s">
        <v>11295</v>
      </c>
      <c r="D1380" s="13">
        <v>1243</v>
      </c>
      <c r="E1380" s="13" t="s">
        <v>9836</v>
      </c>
      <c r="F1380" s="13">
        <v>80</v>
      </c>
      <c r="G1380" s="13" t="s">
        <v>9837</v>
      </c>
    </row>
    <row r="1381" spans="1:7" ht="28.8" x14ac:dyDescent="0.3">
      <c r="A1381" s="13" t="s">
        <v>9829</v>
      </c>
      <c r="B1381" s="13" t="s">
        <v>11296</v>
      </c>
      <c r="C1381" s="13" t="s">
        <v>11297</v>
      </c>
      <c r="D1381" s="13">
        <v>2152</v>
      </c>
      <c r="E1381" s="13" t="s">
        <v>9901</v>
      </c>
      <c r="G1381" s="13" t="s">
        <v>9837</v>
      </c>
    </row>
    <row r="1382" spans="1:7" ht="28.8" x14ac:dyDescent="0.3">
      <c r="A1382" s="13" t="s">
        <v>9829</v>
      </c>
      <c r="B1382" s="13" t="s">
        <v>11298</v>
      </c>
      <c r="C1382" s="13" t="s">
        <v>11299</v>
      </c>
      <c r="D1382" s="13">
        <v>2153</v>
      </c>
      <c r="E1382" s="13" t="s">
        <v>9863</v>
      </c>
      <c r="F1382" s="13">
        <v>8</v>
      </c>
      <c r="G1382" s="13" t="s">
        <v>9837</v>
      </c>
    </row>
    <row r="1383" spans="1:7" ht="28.8" x14ac:dyDescent="0.3">
      <c r="A1383" s="13" t="s">
        <v>9829</v>
      </c>
      <c r="B1383" s="13" t="s">
        <v>11300</v>
      </c>
      <c r="C1383" s="13" t="s">
        <v>11301</v>
      </c>
      <c r="D1383" s="13">
        <v>2154</v>
      </c>
      <c r="E1383" s="13" t="s">
        <v>9863</v>
      </c>
      <c r="F1383" s="13">
        <v>8</v>
      </c>
      <c r="G1383" s="13" t="s">
        <v>9837</v>
      </c>
    </row>
    <row r="1384" spans="1:7" ht="316.8" x14ac:dyDescent="0.3">
      <c r="A1384" s="13" t="s">
        <v>9829</v>
      </c>
      <c r="B1384" s="13" t="s">
        <v>11302</v>
      </c>
      <c r="C1384" s="13" t="s">
        <v>11303</v>
      </c>
      <c r="D1384" s="13">
        <v>849</v>
      </c>
      <c r="E1384" s="13" t="s">
        <v>9832</v>
      </c>
      <c r="F1384" s="13">
        <v>5</v>
      </c>
      <c r="G1384" s="13" t="s">
        <v>13325</v>
      </c>
    </row>
    <row r="1385" spans="1:7" ht="316.8" x14ac:dyDescent="0.3">
      <c r="A1385" s="13" t="s">
        <v>9829</v>
      </c>
      <c r="B1385" s="13" t="s">
        <v>11302</v>
      </c>
      <c r="C1385" s="13" t="s">
        <v>11303</v>
      </c>
      <c r="D1385" s="13">
        <v>849</v>
      </c>
      <c r="E1385" s="13" t="s">
        <v>9832</v>
      </c>
      <c r="F1385" s="13">
        <v>5</v>
      </c>
      <c r="G1385" s="13" t="s">
        <v>13325</v>
      </c>
    </row>
    <row r="1386" spans="1:7" ht="187.2" x14ac:dyDescent="0.3">
      <c r="A1386" s="13" t="s">
        <v>9829</v>
      </c>
      <c r="B1386" s="13" t="s">
        <v>11304</v>
      </c>
      <c r="C1386" s="13" t="s">
        <v>11305</v>
      </c>
      <c r="D1386" s="13">
        <v>569</v>
      </c>
      <c r="E1386" s="13" t="s">
        <v>9832</v>
      </c>
      <c r="F1386" s="13">
        <v>5</v>
      </c>
      <c r="G1386" s="13" t="s">
        <v>13326</v>
      </c>
    </row>
    <row r="1387" spans="1:7" ht="409.6" x14ac:dyDescent="0.3">
      <c r="A1387" s="13" t="s">
        <v>9829</v>
      </c>
      <c r="B1387" s="13" t="s">
        <v>11306</v>
      </c>
      <c r="C1387" s="13" t="s">
        <v>11307</v>
      </c>
      <c r="D1387" s="13">
        <v>230</v>
      </c>
      <c r="E1387" s="13" t="s">
        <v>9832</v>
      </c>
      <c r="F1387" s="13">
        <v>5</v>
      </c>
      <c r="G1387" s="13" t="s">
        <v>13327</v>
      </c>
    </row>
    <row r="1388" spans="1:7" ht="409.6" x14ac:dyDescent="0.3">
      <c r="A1388" s="13" t="s">
        <v>9829</v>
      </c>
      <c r="B1388" s="13" t="s">
        <v>11306</v>
      </c>
      <c r="C1388" s="13" t="s">
        <v>11307</v>
      </c>
      <c r="D1388" s="13">
        <v>230</v>
      </c>
      <c r="E1388" s="13" t="s">
        <v>9832</v>
      </c>
      <c r="F1388" s="13">
        <v>5</v>
      </c>
      <c r="G1388" s="13" t="s">
        <v>13327</v>
      </c>
    </row>
    <row r="1389" spans="1:7" ht="409.6" x14ac:dyDescent="0.3">
      <c r="A1389" s="13" t="s">
        <v>9829</v>
      </c>
      <c r="B1389" s="13" t="s">
        <v>11306</v>
      </c>
      <c r="C1389" s="13" t="s">
        <v>11307</v>
      </c>
      <c r="D1389" s="13">
        <v>230</v>
      </c>
      <c r="E1389" s="13" t="s">
        <v>9832</v>
      </c>
      <c r="F1389" s="13">
        <v>5</v>
      </c>
      <c r="G1389" s="13" t="s">
        <v>13327</v>
      </c>
    </row>
    <row r="1390" spans="1:7" ht="28.8" x14ac:dyDescent="0.3">
      <c r="A1390" s="13" t="s">
        <v>9829</v>
      </c>
      <c r="B1390" s="13" t="s">
        <v>11308</v>
      </c>
      <c r="C1390" s="13" t="s">
        <v>11309</v>
      </c>
      <c r="D1390" s="13">
        <v>1371</v>
      </c>
      <c r="E1390" s="13" t="s">
        <v>9836</v>
      </c>
      <c r="F1390" s="13">
        <v>30</v>
      </c>
      <c r="G1390" s="13" t="s">
        <v>9837</v>
      </c>
    </row>
    <row r="1391" spans="1:7" ht="28.8" x14ac:dyDescent="0.3">
      <c r="A1391" s="13" t="s">
        <v>9829</v>
      </c>
      <c r="B1391" s="13" t="s">
        <v>11308</v>
      </c>
      <c r="C1391" s="13" t="s">
        <v>11309</v>
      </c>
      <c r="D1391" s="13">
        <v>1371</v>
      </c>
      <c r="E1391" s="13" t="s">
        <v>9836</v>
      </c>
      <c r="F1391" s="13">
        <v>30</v>
      </c>
      <c r="G1391" s="13" t="s">
        <v>9837</v>
      </c>
    </row>
    <row r="1392" spans="1:7" ht="28.8" x14ac:dyDescent="0.3">
      <c r="A1392" s="13" t="s">
        <v>9829</v>
      </c>
      <c r="B1392" s="13" t="s">
        <v>11308</v>
      </c>
      <c r="C1392" s="13" t="s">
        <v>11309</v>
      </c>
      <c r="D1392" s="13">
        <v>1371</v>
      </c>
      <c r="E1392" s="13" t="s">
        <v>9836</v>
      </c>
      <c r="F1392" s="13">
        <v>30</v>
      </c>
      <c r="G1392" s="13" t="s">
        <v>9837</v>
      </c>
    </row>
    <row r="1393" spans="1:7" ht="302.39999999999998" x14ac:dyDescent="0.3">
      <c r="A1393" s="13" t="s">
        <v>9829</v>
      </c>
      <c r="B1393" s="13" t="s">
        <v>11310</v>
      </c>
      <c r="C1393" s="13" t="s">
        <v>11311</v>
      </c>
      <c r="D1393" s="13">
        <v>654</v>
      </c>
      <c r="E1393" s="13" t="s">
        <v>9832</v>
      </c>
      <c r="F1393" s="13">
        <v>5</v>
      </c>
      <c r="G1393" s="13" t="s">
        <v>13328</v>
      </c>
    </row>
    <row r="1394" spans="1:7" ht="144" x14ac:dyDescent="0.3">
      <c r="A1394" s="13" t="s">
        <v>9829</v>
      </c>
      <c r="B1394" s="13" t="s">
        <v>11312</v>
      </c>
      <c r="C1394" s="13" t="s">
        <v>11313</v>
      </c>
      <c r="D1394" s="13">
        <v>1237</v>
      </c>
      <c r="E1394" s="13" t="s">
        <v>9832</v>
      </c>
      <c r="F1394" s="13">
        <v>5</v>
      </c>
      <c r="G1394" s="13" t="s">
        <v>13329</v>
      </c>
    </row>
    <row r="1395" spans="1:7" ht="43.2" x14ac:dyDescent="0.3">
      <c r="A1395" s="13" t="s">
        <v>9829</v>
      </c>
      <c r="B1395" s="13" t="s">
        <v>11314</v>
      </c>
      <c r="C1395" s="13" t="s">
        <v>11315</v>
      </c>
      <c r="D1395" s="13">
        <v>583</v>
      </c>
      <c r="E1395" s="13" t="s">
        <v>9836</v>
      </c>
      <c r="F1395" s="13">
        <v>60</v>
      </c>
      <c r="G1395" s="13" t="s">
        <v>9837</v>
      </c>
    </row>
    <row r="1396" spans="1:7" ht="43.2" x14ac:dyDescent="0.3">
      <c r="A1396" s="13" t="s">
        <v>9829</v>
      </c>
      <c r="B1396" s="13" t="s">
        <v>11316</v>
      </c>
      <c r="C1396" s="13" t="s">
        <v>11317</v>
      </c>
      <c r="D1396" s="13">
        <v>172</v>
      </c>
      <c r="E1396" s="13" t="s">
        <v>9836</v>
      </c>
      <c r="F1396" s="13">
        <v>45</v>
      </c>
      <c r="G1396" s="13" t="s">
        <v>9837</v>
      </c>
    </row>
    <row r="1397" spans="1:7" ht="43.2" x14ac:dyDescent="0.3">
      <c r="A1397" s="13" t="s">
        <v>9829</v>
      </c>
      <c r="B1397" s="13" t="s">
        <v>11316</v>
      </c>
      <c r="C1397" s="13" t="s">
        <v>11317</v>
      </c>
      <c r="D1397" s="13">
        <v>172</v>
      </c>
      <c r="E1397" s="13" t="s">
        <v>9836</v>
      </c>
      <c r="F1397" s="13">
        <v>45</v>
      </c>
      <c r="G1397" s="13" t="s">
        <v>9837</v>
      </c>
    </row>
    <row r="1398" spans="1:7" ht="43.2" x14ac:dyDescent="0.3">
      <c r="A1398" s="13" t="s">
        <v>9829</v>
      </c>
      <c r="B1398" s="13" t="s">
        <v>11316</v>
      </c>
      <c r="C1398" s="13" t="s">
        <v>11317</v>
      </c>
      <c r="D1398" s="13">
        <v>172</v>
      </c>
      <c r="E1398" s="13" t="s">
        <v>9836</v>
      </c>
      <c r="F1398" s="13">
        <v>45</v>
      </c>
      <c r="G1398" s="13" t="s">
        <v>9837</v>
      </c>
    </row>
    <row r="1399" spans="1:7" ht="43.2" x14ac:dyDescent="0.3">
      <c r="A1399" s="13" t="s">
        <v>9829</v>
      </c>
      <c r="B1399" s="13" t="s">
        <v>11316</v>
      </c>
      <c r="C1399" s="13" t="s">
        <v>11317</v>
      </c>
      <c r="D1399" s="13">
        <v>172</v>
      </c>
      <c r="E1399" s="13" t="s">
        <v>9836</v>
      </c>
      <c r="F1399" s="13">
        <v>45</v>
      </c>
      <c r="G1399" s="13" t="s">
        <v>9837</v>
      </c>
    </row>
    <row r="1400" spans="1:7" ht="43.2" x14ac:dyDescent="0.3">
      <c r="A1400" s="13" t="s">
        <v>9829</v>
      </c>
      <c r="B1400" s="13" t="s">
        <v>11316</v>
      </c>
      <c r="C1400" s="13" t="s">
        <v>11317</v>
      </c>
      <c r="D1400" s="13">
        <v>172</v>
      </c>
      <c r="E1400" s="13" t="s">
        <v>9836</v>
      </c>
      <c r="F1400" s="13">
        <v>45</v>
      </c>
      <c r="G1400" s="13" t="s">
        <v>9837</v>
      </c>
    </row>
    <row r="1401" spans="1:7" ht="158.4" x14ac:dyDescent="0.3">
      <c r="A1401" s="13" t="s">
        <v>9829</v>
      </c>
      <c r="B1401" s="13" t="s">
        <v>11318</v>
      </c>
      <c r="C1401" s="13" t="s">
        <v>11319</v>
      </c>
      <c r="D1401" s="13">
        <v>582</v>
      </c>
      <c r="E1401" s="13" t="s">
        <v>9832</v>
      </c>
      <c r="F1401" s="13">
        <v>5</v>
      </c>
      <c r="G1401" s="13" t="s">
        <v>13330</v>
      </c>
    </row>
    <row r="1402" spans="1:7" ht="28.8" x14ac:dyDescent="0.3">
      <c r="A1402" s="13" t="s">
        <v>9829</v>
      </c>
      <c r="B1402" s="13" t="s">
        <v>11320</v>
      </c>
      <c r="C1402" s="13" t="s">
        <v>11321</v>
      </c>
      <c r="D1402" s="13">
        <v>1214</v>
      </c>
      <c r="E1402" s="13" t="s">
        <v>9863</v>
      </c>
      <c r="F1402" s="13">
        <v>8</v>
      </c>
      <c r="G1402" s="13" t="s">
        <v>9837</v>
      </c>
    </row>
    <row r="1403" spans="1:7" ht="28.8" x14ac:dyDescent="0.3">
      <c r="A1403" s="13" t="s">
        <v>9829</v>
      </c>
      <c r="B1403" s="13" t="s">
        <v>11320</v>
      </c>
      <c r="C1403" s="13" t="s">
        <v>11321</v>
      </c>
      <c r="D1403" s="13">
        <v>1214</v>
      </c>
      <c r="E1403" s="13" t="s">
        <v>9863</v>
      </c>
      <c r="F1403" s="13">
        <v>8</v>
      </c>
      <c r="G1403" s="13" t="s">
        <v>9837</v>
      </c>
    </row>
    <row r="1404" spans="1:7" ht="57.6" x14ac:dyDescent="0.3">
      <c r="A1404" s="13" t="s">
        <v>9829</v>
      </c>
      <c r="B1404" s="13" t="s">
        <v>11322</v>
      </c>
      <c r="C1404" s="13" t="s">
        <v>11323</v>
      </c>
      <c r="D1404" s="13">
        <v>779</v>
      </c>
      <c r="E1404" s="13" t="s">
        <v>9836</v>
      </c>
      <c r="F1404" s="13">
        <v>35</v>
      </c>
      <c r="G1404" s="13" t="s">
        <v>9837</v>
      </c>
    </row>
    <row r="1405" spans="1:7" ht="57.6" x14ac:dyDescent="0.3">
      <c r="A1405" s="13" t="s">
        <v>9829</v>
      </c>
      <c r="B1405" s="13" t="s">
        <v>11322</v>
      </c>
      <c r="C1405" s="13" t="s">
        <v>11323</v>
      </c>
      <c r="D1405" s="13">
        <v>779</v>
      </c>
      <c r="E1405" s="13" t="s">
        <v>9836</v>
      </c>
      <c r="F1405" s="13">
        <v>35</v>
      </c>
      <c r="G1405" s="13" t="s">
        <v>9837</v>
      </c>
    </row>
    <row r="1406" spans="1:7" ht="43.2" x14ac:dyDescent="0.3">
      <c r="A1406" s="13" t="s">
        <v>9829</v>
      </c>
      <c r="B1406" s="13" t="s">
        <v>11324</v>
      </c>
      <c r="C1406" s="13" t="s">
        <v>11325</v>
      </c>
      <c r="D1406" s="13">
        <v>781</v>
      </c>
      <c r="E1406" s="13" t="s">
        <v>9863</v>
      </c>
      <c r="F1406" s="13">
        <v>8</v>
      </c>
      <c r="G1406" s="13" t="s">
        <v>9837</v>
      </c>
    </row>
    <row r="1407" spans="1:7" ht="43.2" x14ac:dyDescent="0.3">
      <c r="A1407" s="13" t="s">
        <v>9829</v>
      </c>
      <c r="B1407" s="13" t="s">
        <v>11324</v>
      </c>
      <c r="C1407" s="13" t="s">
        <v>11325</v>
      </c>
      <c r="D1407" s="13">
        <v>781</v>
      </c>
      <c r="E1407" s="13" t="s">
        <v>9863</v>
      </c>
      <c r="F1407" s="13">
        <v>8</v>
      </c>
      <c r="G1407" s="13" t="s">
        <v>9837</v>
      </c>
    </row>
    <row r="1408" spans="1:7" ht="28.8" x14ac:dyDescent="0.3">
      <c r="A1408" s="13" t="s">
        <v>9829</v>
      </c>
      <c r="B1408" s="13" t="s">
        <v>11326</v>
      </c>
      <c r="C1408" s="13" t="s">
        <v>11327</v>
      </c>
      <c r="D1408" s="13">
        <v>782</v>
      </c>
      <c r="E1408" s="13" t="s">
        <v>9836</v>
      </c>
      <c r="F1408" s="13">
        <v>60</v>
      </c>
      <c r="G1408" s="13" t="s">
        <v>9837</v>
      </c>
    </row>
    <row r="1409" spans="1:7" ht="28.8" x14ac:dyDescent="0.3">
      <c r="A1409" s="13" t="s">
        <v>9829</v>
      </c>
      <c r="B1409" s="13" t="s">
        <v>11326</v>
      </c>
      <c r="C1409" s="13" t="s">
        <v>11327</v>
      </c>
      <c r="D1409" s="13">
        <v>782</v>
      </c>
      <c r="E1409" s="13" t="s">
        <v>9836</v>
      </c>
      <c r="F1409" s="13">
        <v>60</v>
      </c>
      <c r="G1409" s="13" t="s">
        <v>9837</v>
      </c>
    </row>
    <row r="1410" spans="1:7" ht="115.2" x14ac:dyDescent="0.3">
      <c r="A1410" s="13" t="s">
        <v>9829</v>
      </c>
      <c r="B1410" s="13" t="s">
        <v>11328</v>
      </c>
      <c r="C1410" s="13" t="s">
        <v>11329</v>
      </c>
      <c r="D1410" s="13">
        <v>790</v>
      </c>
      <c r="E1410" s="13" t="s">
        <v>9832</v>
      </c>
      <c r="F1410" s="13">
        <v>5</v>
      </c>
      <c r="G1410" s="13" t="s">
        <v>13331</v>
      </c>
    </row>
    <row r="1411" spans="1:7" ht="144" x14ac:dyDescent="0.3">
      <c r="A1411" s="13" t="s">
        <v>9829</v>
      </c>
      <c r="B1411" s="13" t="s">
        <v>11330</v>
      </c>
      <c r="C1411" s="13" t="s">
        <v>11331</v>
      </c>
      <c r="D1411" s="13">
        <v>778</v>
      </c>
      <c r="E1411" s="13" t="s">
        <v>9832</v>
      </c>
      <c r="F1411" s="13">
        <v>5</v>
      </c>
      <c r="G1411" s="13" t="s">
        <v>13332</v>
      </c>
    </row>
    <row r="1412" spans="1:7" ht="144" x14ac:dyDescent="0.3">
      <c r="A1412" s="13" t="s">
        <v>9829</v>
      </c>
      <c r="B1412" s="13" t="s">
        <v>11330</v>
      </c>
      <c r="C1412" s="13" t="s">
        <v>11331</v>
      </c>
      <c r="D1412" s="13">
        <v>778</v>
      </c>
      <c r="E1412" s="13" t="s">
        <v>9832</v>
      </c>
      <c r="F1412" s="13">
        <v>5</v>
      </c>
      <c r="G1412" s="13" t="s">
        <v>13332</v>
      </c>
    </row>
    <row r="1413" spans="1:7" ht="57.6" x14ac:dyDescent="0.3">
      <c r="A1413" s="13" t="s">
        <v>9829</v>
      </c>
      <c r="B1413" s="13" t="s">
        <v>11332</v>
      </c>
      <c r="C1413" s="13" t="s">
        <v>11333</v>
      </c>
      <c r="D1413" s="13">
        <v>232</v>
      </c>
      <c r="E1413" s="13" t="s">
        <v>9836</v>
      </c>
      <c r="F1413" s="13">
        <v>45</v>
      </c>
      <c r="G1413" s="13" t="s">
        <v>9837</v>
      </c>
    </row>
    <row r="1414" spans="1:7" ht="57.6" x14ac:dyDescent="0.3">
      <c r="A1414" s="13" t="s">
        <v>9829</v>
      </c>
      <c r="B1414" s="13" t="s">
        <v>11332</v>
      </c>
      <c r="C1414" s="13" t="s">
        <v>11333</v>
      </c>
      <c r="D1414" s="13">
        <v>232</v>
      </c>
      <c r="E1414" s="13" t="s">
        <v>9836</v>
      </c>
      <c r="F1414" s="13">
        <v>45</v>
      </c>
      <c r="G1414" s="13" t="s">
        <v>9837</v>
      </c>
    </row>
    <row r="1415" spans="1:7" ht="57.6" x14ac:dyDescent="0.3">
      <c r="A1415" s="13" t="s">
        <v>9829</v>
      </c>
      <c r="B1415" s="13" t="s">
        <v>11332</v>
      </c>
      <c r="C1415" s="13" t="s">
        <v>11333</v>
      </c>
      <c r="D1415" s="13">
        <v>232</v>
      </c>
      <c r="E1415" s="13" t="s">
        <v>9836</v>
      </c>
      <c r="F1415" s="13">
        <v>45</v>
      </c>
      <c r="G1415" s="13" t="s">
        <v>9837</v>
      </c>
    </row>
    <row r="1416" spans="1:7" ht="259.2" x14ac:dyDescent="0.3">
      <c r="A1416" s="13" t="s">
        <v>9829</v>
      </c>
      <c r="B1416" s="13" t="s">
        <v>11334</v>
      </c>
      <c r="C1416" s="13" t="s">
        <v>11335</v>
      </c>
      <c r="D1416" s="13">
        <v>1282</v>
      </c>
      <c r="E1416" s="13" t="s">
        <v>9832</v>
      </c>
      <c r="F1416" s="13">
        <v>5</v>
      </c>
      <c r="G1416" s="13" t="s">
        <v>13333</v>
      </c>
    </row>
    <row r="1417" spans="1:7" ht="259.2" x14ac:dyDescent="0.3">
      <c r="A1417" s="13" t="s">
        <v>9829</v>
      </c>
      <c r="B1417" s="13" t="s">
        <v>11334</v>
      </c>
      <c r="C1417" s="13" t="s">
        <v>11335</v>
      </c>
      <c r="D1417" s="13">
        <v>1282</v>
      </c>
      <c r="E1417" s="13" t="s">
        <v>9832</v>
      </c>
      <c r="F1417" s="13">
        <v>5</v>
      </c>
      <c r="G1417" s="13" t="s">
        <v>13333</v>
      </c>
    </row>
    <row r="1418" spans="1:7" ht="57.6" x14ac:dyDescent="0.3">
      <c r="A1418" s="13" t="s">
        <v>9829</v>
      </c>
      <c r="B1418" s="13" t="s">
        <v>11336</v>
      </c>
      <c r="C1418" s="13" t="s">
        <v>11337</v>
      </c>
      <c r="D1418" s="13">
        <v>316</v>
      </c>
      <c r="E1418" s="13" t="s">
        <v>9832</v>
      </c>
      <c r="F1418" s="13">
        <v>5</v>
      </c>
      <c r="G1418" s="13" t="s">
        <v>9833</v>
      </c>
    </row>
    <row r="1419" spans="1:7" ht="43.2" x14ac:dyDescent="0.3">
      <c r="A1419" s="13" t="s">
        <v>9829</v>
      </c>
      <c r="B1419" s="13" t="s">
        <v>11338</v>
      </c>
      <c r="C1419" s="13" t="s">
        <v>11339</v>
      </c>
      <c r="D1419" s="13">
        <v>1462</v>
      </c>
      <c r="E1419" s="13" t="s">
        <v>9832</v>
      </c>
      <c r="F1419" s="13">
        <v>5</v>
      </c>
      <c r="G1419" s="13" t="s">
        <v>9833</v>
      </c>
    </row>
    <row r="1420" spans="1:7" ht="28.8" x14ac:dyDescent="0.3">
      <c r="A1420" s="13" t="s">
        <v>9829</v>
      </c>
      <c r="B1420" s="13" t="s">
        <v>11340</v>
      </c>
      <c r="C1420" s="13" t="s">
        <v>11341</v>
      </c>
      <c r="D1420" s="13">
        <v>233</v>
      </c>
      <c r="E1420" s="13" t="s">
        <v>9863</v>
      </c>
      <c r="F1420" s="13">
        <v>8</v>
      </c>
      <c r="G1420" s="13" t="s">
        <v>9837</v>
      </c>
    </row>
    <row r="1421" spans="1:7" ht="28.8" x14ac:dyDescent="0.3">
      <c r="A1421" s="13" t="s">
        <v>9829</v>
      </c>
      <c r="B1421" s="13" t="s">
        <v>11340</v>
      </c>
      <c r="C1421" s="13" t="s">
        <v>11341</v>
      </c>
      <c r="D1421" s="13">
        <v>233</v>
      </c>
      <c r="E1421" s="13" t="s">
        <v>9863</v>
      </c>
      <c r="F1421" s="13">
        <v>8</v>
      </c>
      <c r="G1421" s="13" t="s">
        <v>9837</v>
      </c>
    </row>
    <row r="1422" spans="1:7" ht="28.8" x14ac:dyDescent="0.3">
      <c r="A1422" s="13" t="s">
        <v>9829</v>
      </c>
      <c r="B1422" s="13" t="s">
        <v>11340</v>
      </c>
      <c r="C1422" s="13" t="s">
        <v>11341</v>
      </c>
      <c r="D1422" s="13">
        <v>233</v>
      </c>
      <c r="E1422" s="13" t="s">
        <v>9863</v>
      </c>
      <c r="F1422" s="13">
        <v>8</v>
      </c>
      <c r="G1422" s="13" t="s">
        <v>9837</v>
      </c>
    </row>
    <row r="1423" spans="1:7" ht="28.8" x14ac:dyDescent="0.3">
      <c r="A1423" s="13" t="s">
        <v>9829</v>
      </c>
      <c r="B1423" s="13" t="s">
        <v>11342</v>
      </c>
      <c r="C1423" s="13" t="s">
        <v>11343</v>
      </c>
      <c r="D1423" s="13">
        <v>234</v>
      </c>
      <c r="E1423" s="13" t="s">
        <v>9836</v>
      </c>
      <c r="F1423" s="13">
        <v>80</v>
      </c>
      <c r="G1423" s="13" t="s">
        <v>9837</v>
      </c>
    </row>
    <row r="1424" spans="1:7" ht="28.8" x14ac:dyDescent="0.3">
      <c r="A1424" s="13" t="s">
        <v>9829</v>
      </c>
      <c r="B1424" s="13" t="s">
        <v>11342</v>
      </c>
      <c r="C1424" s="13" t="s">
        <v>11343</v>
      </c>
      <c r="D1424" s="13">
        <v>234</v>
      </c>
      <c r="E1424" s="13" t="s">
        <v>9836</v>
      </c>
      <c r="F1424" s="13">
        <v>80</v>
      </c>
      <c r="G1424" s="13" t="s">
        <v>9837</v>
      </c>
    </row>
    <row r="1425" spans="1:7" ht="28.8" x14ac:dyDescent="0.3">
      <c r="A1425" s="13" t="s">
        <v>9829</v>
      </c>
      <c r="B1425" s="13" t="s">
        <v>11342</v>
      </c>
      <c r="C1425" s="13" t="s">
        <v>11343</v>
      </c>
      <c r="D1425" s="13">
        <v>234</v>
      </c>
      <c r="E1425" s="13" t="s">
        <v>9836</v>
      </c>
      <c r="F1425" s="13">
        <v>80</v>
      </c>
      <c r="G1425" s="13" t="s">
        <v>9837</v>
      </c>
    </row>
    <row r="1426" spans="1:7" ht="28.8" x14ac:dyDescent="0.3">
      <c r="A1426" s="13" t="s">
        <v>9829</v>
      </c>
      <c r="B1426" s="13" t="s">
        <v>11344</v>
      </c>
      <c r="C1426" s="13" t="s">
        <v>11345</v>
      </c>
      <c r="D1426" s="13">
        <v>235</v>
      </c>
      <c r="E1426" s="13" t="s">
        <v>9863</v>
      </c>
      <c r="F1426" s="13">
        <v>8</v>
      </c>
      <c r="G1426" s="13" t="s">
        <v>9837</v>
      </c>
    </row>
    <row r="1427" spans="1:7" ht="28.8" x14ac:dyDescent="0.3">
      <c r="A1427" s="13" t="s">
        <v>9829</v>
      </c>
      <c r="B1427" s="13" t="s">
        <v>11344</v>
      </c>
      <c r="C1427" s="13" t="s">
        <v>11345</v>
      </c>
      <c r="D1427" s="13">
        <v>235</v>
      </c>
      <c r="E1427" s="13" t="s">
        <v>9863</v>
      </c>
      <c r="F1427" s="13">
        <v>8</v>
      </c>
      <c r="G1427" s="13" t="s">
        <v>9837</v>
      </c>
    </row>
    <row r="1428" spans="1:7" ht="28.8" x14ac:dyDescent="0.3">
      <c r="A1428" s="13" t="s">
        <v>9829</v>
      </c>
      <c r="B1428" s="13" t="s">
        <v>11344</v>
      </c>
      <c r="C1428" s="13" t="s">
        <v>11345</v>
      </c>
      <c r="D1428" s="13">
        <v>235</v>
      </c>
      <c r="E1428" s="13" t="s">
        <v>9863</v>
      </c>
      <c r="F1428" s="13">
        <v>8</v>
      </c>
      <c r="G1428" s="13" t="s">
        <v>9837</v>
      </c>
    </row>
    <row r="1429" spans="1:7" ht="28.8" x14ac:dyDescent="0.3">
      <c r="A1429" s="13" t="s">
        <v>9829</v>
      </c>
      <c r="B1429" s="13" t="s">
        <v>11346</v>
      </c>
      <c r="C1429" s="13" t="s">
        <v>11347</v>
      </c>
      <c r="D1429" s="13">
        <v>236</v>
      </c>
      <c r="E1429" s="13" t="s">
        <v>9836</v>
      </c>
      <c r="F1429" s="13">
        <v>80</v>
      </c>
      <c r="G1429" s="13" t="s">
        <v>9837</v>
      </c>
    </row>
    <row r="1430" spans="1:7" ht="28.8" x14ac:dyDescent="0.3">
      <c r="A1430" s="13" t="s">
        <v>9829</v>
      </c>
      <c r="B1430" s="13" t="s">
        <v>11346</v>
      </c>
      <c r="C1430" s="13" t="s">
        <v>11347</v>
      </c>
      <c r="D1430" s="13">
        <v>236</v>
      </c>
      <c r="E1430" s="13" t="s">
        <v>9836</v>
      </c>
      <c r="F1430" s="13">
        <v>80</v>
      </c>
      <c r="G1430" s="13" t="s">
        <v>9837</v>
      </c>
    </row>
    <row r="1431" spans="1:7" ht="28.8" x14ac:dyDescent="0.3">
      <c r="A1431" s="13" t="s">
        <v>9829</v>
      </c>
      <c r="B1431" s="13" t="s">
        <v>11346</v>
      </c>
      <c r="C1431" s="13" t="s">
        <v>11347</v>
      </c>
      <c r="D1431" s="13">
        <v>236</v>
      </c>
      <c r="E1431" s="13" t="s">
        <v>9836</v>
      </c>
      <c r="F1431" s="13">
        <v>80</v>
      </c>
      <c r="G1431" s="13" t="s">
        <v>9837</v>
      </c>
    </row>
    <row r="1432" spans="1:7" ht="273.60000000000002" x14ac:dyDescent="0.3">
      <c r="A1432" s="13" t="s">
        <v>9829</v>
      </c>
      <c r="B1432" s="13" t="s">
        <v>11348</v>
      </c>
      <c r="C1432" s="13" t="s">
        <v>11349</v>
      </c>
      <c r="D1432" s="13">
        <v>237</v>
      </c>
      <c r="E1432" s="13" t="s">
        <v>9832</v>
      </c>
      <c r="F1432" s="13">
        <v>5</v>
      </c>
      <c r="G1432" s="13" t="s">
        <v>13334</v>
      </c>
    </row>
    <row r="1433" spans="1:7" ht="273.60000000000002" x14ac:dyDescent="0.3">
      <c r="A1433" s="13" t="s">
        <v>9829</v>
      </c>
      <c r="B1433" s="13" t="s">
        <v>11348</v>
      </c>
      <c r="C1433" s="13" t="s">
        <v>11349</v>
      </c>
      <c r="D1433" s="13">
        <v>237</v>
      </c>
      <c r="E1433" s="13" t="s">
        <v>9832</v>
      </c>
      <c r="F1433" s="13">
        <v>5</v>
      </c>
      <c r="G1433" s="13" t="s">
        <v>13334</v>
      </c>
    </row>
    <row r="1434" spans="1:7" ht="273.60000000000002" x14ac:dyDescent="0.3">
      <c r="A1434" s="13" t="s">
        <v>9829</v>
      </c>
      <c r="B1434" s="13" t="s">
        <v>11348</v>
      </c>
      <c r="C1434" s="13" t="s">
        <v>11349</v>
      </c>
      <c r="D1434" s="13">
        <v>237</v>
      </c>
      <c r="E1434" s="13" t="s">
        <v>9832</v>
      </c>
      <c r="F1434" s="13">
        <v>5</v>
      </c>
      <c r="G1434" s="13" t="s">
        <v>13334</v>
      </c>
    </row>
    <row r="1435" spans="1:7" ht="43.2" x14ac:dyDescent="0.3">
      <c r="A1435" s="13" t="s">
        <v>9829</v>
      </c>
      <c r="B1435" s="13" t="s">
        <v>11350</v>
      </c>
      <c r="C1435" s="13" t="s">
        <v>11351</v>
      </c>
      <c r="D1435" s="13">
        <v>238</v>
      </c>
      <c r="E1435" s="13" t="s">
        <v>9836</v>
      </c>
      <c r="F1435" s="13">
        <v>45</v>
      </c>
      <c r="G1435" s="13" t="s">
        <v>9837</v>
      </c>
    </row>
    <row r="1436" spans="1:7" ht="43.2" x14ac:dyDescent="0.3">
      <c r="A1436" s="13" t="s">
        <v>9829</v>
      </c>
      <c r="B1436" s="13" t="s">
        <v>11350</v>
      </c>
      <c r="C1436" s="13" t="s">
        <v>11351</v>
      </c>
      <c r="D1436" s="13">
        <v>238</v>
      </c>
      <c r="E1436" s="13" t="s">
        <v>9836</v>
      </c>
      <c r="F1436" s="13">
        <v>45</v>
      </c>
      <c r="G1436" s="13" t="s">
        <v>9837</v>
      </c>
    </row>
    <row r="1437" spans="1:7" ht="43.2" x14ac:dyDescent="0.3">
      <c r="A1437" s="13" t="s">
        <v>9829</v>
      </c>
      <c r="B1437" s="13" t="s">
        <v>11350</v>
      </c>
      <c r="C1437" s="13" t="s">
        <v>11351</v>
      </c>
      <c r="D1437" s="13">
        <v>238</v>
      </c>
      <c r="E1437" s="13" t="s">
        <v>9836</v>
      </c>
      <c r="F1437" s="13">
        <v>45</v>
      </c>
      <c r="G1437" s="13" t="s">
        <v>9837</v>
      </c>
    </row>
    <row r="1438" spans="1:7" ht="43.2" x14ac:dyDescent="0.3">
      <c r="A1438" s="13" t="s">
        <v>9829</v>
      </c>
      <c r="B1438" s="13" t="s">
        <v>11350</v>
      </c>
      <c r="C1438" s="13" t="s">
        <v>11351</v>
      </c>
      <c r="D1438" s="13">
        <v>238</v>
      </c>
      <c r="E1438" s="13" t="s">
        <v>9836</v>
      </c>
      <c r="F1438" s="13">
        <v>45</v>
      </c>
      <c r="G1438" s="13" t="s">
        <v>9837</v>
      </c>
    </row>
    <row r="1439" spans="1:7" ht="43.2" x14ac:dyDescent="0.3">
      <c r="A1439" s="13" t="s">
        <v>9829</v>
      </c>
      <c r="B1439" s="13" t="s">
        <v>11350</v>
      </c>
      <c r="C1439" s="13" t="s">
        <v>11351</v>
      </c>
      <c r="D1439" s="13">
        <v>238</v>
      </c>
      <c r="E1439" s="13" t="s">
        <v>9836</v>
      </c>
      <c r="F1439" s="13">
        <v>45</v>
      </c>
      <c r="G1439" s="13" t="s">
        <v>9837</v>
      </c>
    </row>
    <row r="1440" spans="1:7" ht="28.8" x14ac:dyDescent="0.3">
      <c r="A1440" s="13" t="s">
        <v>9829</v>
      </c>
      <c r="B1440" s="13" t="s">
        <v>11352</v>
      </c>
      <c r="C1440" s="13" t="s">
        <v>11353</v>
      </c>
      <c r="D1440" s="13">
        <v>791</v>
      </c>
      <c r="E1440" s="13" t="s">
        <v>9836</v>
      </c>
      <c r="F1440" s="13">
        <v>60</v>
      </c>
      <c r="G1440" s="13" t="s">
        <v>9837</v>
      </c>
    </row>
    <row r="1441" spans="1:7" ht="57.6" x14ac:dyDescent="0.3">
      <c r="A1441" s="13" t="s">
        <v>9829</v>
      </c>
      <c r="B1441" s="13" t="s">
        <v>11354</v>
      </c>
      <c r="C1441" s="13" t="s">
        <v>11355</v>
      </c>
      <c r="D1441" s="13">
        <v>1058</v>
      </c>
      <c r="E1441" s="13" t="s">
        <v>9832</v>
      </c>
      <c r="F1441" s="13">
        <v>5</v>
      </c>
      <c r="G1441" s="13" t="s">
        <v>9833</v>
      </c>
    </row>
    <row r="1442" spans="1:7" ht="43.2" x14ac:dyDescent="0.3">
      <c r="A1442" s="13" t="s">
        <v>9829</v>
      </c>
      <c r="B1442" s="13" t="s">
        <v>11356</v>
      </c>
      <c r="C1442" s="13" t="s">
        <v>11357</v>
      </c>
      <c r="D1442" s="13">
        <v>522</v>
      </c>
      <c r="E1442" s="13" t="s">
        <v>9836</v>
      </c>
      <c r="F1442" s="13">
        <v>60</v>
      </c>
      <c r="G1442" s="13" t="s">
        <v>9837</v>
      </c>
    </row>
    <row r="1443" spans="1:7" ht="43.2" x14ac:dyDescent="0.3">
      <c r="A1443" s="13" t="s">
        <v>9829</v>
      </c>
      <c r="B1443" s="13" t="s">
        <v>11356</v>
      </c>
      <c r="C1443" s="13" t="s">
        <v>11357</v>
      </c>
      <c r="D1443" s="13">
        <v>522</v>
      </c>
      <c r="E1443" s="13" t="s">
        <v>9836</v>
      </c>
      <c r="F1443" s="13">
        <v>60</v>
      </c>
      <c r="G1443" s="13" t="s">
        <v>9837</v>
      </c>
    </row>
    <row r="1444" spans="1:7" ht="100.8" x14ac:dyDescent="0.3">
      <c r="A1444" s="13" t="s">
        <v>9829</v>
      </c>
      <c r="B1444" s="13" t="s">
        <v>11358</v>
      </c>
      <c r="C1444" s="13" t="s">
        <v>11359</v>
      </c>
      <c r="D1444" s="13">
        <v>641</v>
      </c>
      <c r="E1444" s="13" t="s">
        <v>9836</v>
      </c>
      <c r="F1444" s="13">
        <v>5</v>
      </c>
      <c r="G1444" s="13" t="s">
        <v>9837</v>
      </c>
    </row>
    <row r="1445" spans="1:7" ht="409.6" x14ac:dyDescent="0.3">
      <c r="A1445" s="13" t="s">
        <v>9829</v>
      </c>
      <c r="B1445" s="13" t="s">
        <v>11360</v>
      </c>
      <c r="C1445" s="13" t="s">
        <v>11361</v>
      </c>
      <c r="D1445" s="13">
        <v>240</v>
      </c>
      <c r="E1445" s="13" t="s">
        <v>9832</v>
      </c>
      <c r="F1445" s="13">
        <v>5</v>
      </c>
      <c r="G1445" s="13" t="s">
        <v>13335</v>
      </c>
    </row>
    <row r="1446" spans="1:7" ht="409.6" x14ac:dyDescent="0.3">
      <c r="A1446" s="13" t="s">
        <v>9829</v>
      </c>
      <c r="B1446" s="13" t="s">
        <v>11360</v>
      </c>
      <c r="C1446" s="13" t="s">
        <v>11361</v>
      </c>
      <c r="D1446" s="13">
        <v>240</v>
      </c>
      <c r="E1446" s="13" t="s">
        <v>9832</v>
      </c>
      <c r="F1446" s="13">
        <v>5</v>
      </c>
      <c r="G1446" s="13" t="s">
        <v>13335</v>
      </c>
    </row>
    <row r="1447" spans="1:7" ht="409.6" x14ac:dyDescent="0.3">
      <c r="A1447" s="13" t="s">
        <v>9829</v>
      </c>
      <c r="B1447" s="13" t="s">
        <v>11360</v>
      </c>
      <c r="C1447" s="13" t="s">
        <v>11361</v>
      </c>
      <c r="D1447" s="13">
        <v>240</v>
      </c>
      <c r="E1447" s="13" t="s">
        <v>9832</v>
      </c>
      <c r="F1447" s="13">
        <v>5</v>
      </c>
      <c r="G1447" s="13" t="s">
        <v>13335</v>
      </c>
    </row>
    <row r="1448" spans="1:7" ht="409.6" x14ac:dyDescent="0.3">
      <c r="A1448" s="13" t="s">
        <v>9829</v>
      </c>
      <c r="B1448" s="13" t="s">
        <v>11360</v>
      </c>
      <c r="C1448" s="13" t="s">
        <v>11361</v>
      </c>
      <c r="D1448" s="13">
        <v>240</v>
      </c>
      <c r="E1448" s="13" t="s">
        <v>9832</v>
      </c>
      <c r="F1448" s="13">
        <v>5</v>
      </c>
      <c r="G1448" s="13" t="s">
        <v>13335</v>
      </c>
    </row>
    <row r="1449" spans="1:7" ht="409.6" x14ac:dyDescent="0.3">
      <c r="A1449" s="13" t="s">
        <v>9829</v>
      </c>
      <c r="B1449" s="13" t="s">
        <v>11360</v>
      </c>
      <c r="C1449" s="13" t="s">
        <v>11361</v>
      </c>
      <c r="D1449" s="13">
        <v>240</v>
      </c>
      <c r="E1449" s="13" t="s">
        <v>9832</v>
      </c>
      <c r="F1449" s="13">
        <v>5</v>
      </c>
      <c r="G1449" s="13" t="s">
        <v>13335</v>
      </c>
    </row>
    <row r="1450" spans="1:7" ht="43.2" x14ac:dyDescent="0.3">
      <c r="A1450" s="13" t="s">
        <v>9829</v>
      </c>
      <c r="B1450" s="13" t="s">
        <v>11362</v>
      </c>
      <c r="C1450" s="13" t="s">
        <v>11363</v>
      </c>
      <c r="D1450" s="13">
        <v>345</v>
      </c>
      <c r="E1450" s="13" t="s">
        <v>9836</v>
      </c>
      <c r="F1450" s="13">
        <v>35</v>
      </c>
      <c r="G1450" s="13" t="s">
        <v>9837</v>
      </c>
    </row>
    <row r="1451" spans="1:7" ht="43.2" x14ac:dyDescent="0.3">
      <c r="A1451" s="13" t="s">
        <v>9829</v>
      </c>
      <c r="B1451" s="13" t="s">
        <v>11362</v>
      </c>
      <c r="C1451" s="13" t="s">
        <v>11363</v>
      </c>
      <c r="D1451" s="13">
        <v>345</v>
      </c>
      <c r="E1451" s="13" t="s">
        <v>9836</v>
      </c>
      <c r="F1451" s="13">
        <v>35</v>
      </c>
      <c r="G1451" s="13" t="s">
        <v>9837</v>
      </c>
    </row>
    <row r="1452" spans="1:7" ht="72" x14ac:dyDescent="0.3">
      <c r="A1452" s="13" t="s">
        <v>9829</v>
      </c>
      <c r="B1452" s="13" t="s">
        <v>11364</v>
      </c>
      <c r="C1452" s="13" t="s">
        <v>11365</v>
      </c>
      <c r="D1452" s="13">
        <v>813</v>
      </c>
      <c r="E1452" s="13" t="s">
        <v>9836</v>
      </c>
      <c r="F1452" s="13">
        <v>60</v>
      </c>
      <c r="G1452" s="13" t="s">
        <v>9837</v>
      </c>
    </row>
    <row r="1453" spans="1:7" ht="28.8" x14ac:dyDescent="0.3">
      <c r="A1453" s="13" t="s">
        <v>9829</v>
      </c>
      <c r="B1453" s="13" t="s">
        <v>6324</v>
      </c>
      <c r="C1453" s="13" t="s">
        <v>6951</v>
      </c>
      <c r="D1453" s="13">
        <v>241</v>
      </c>
      <c r="E1453" s="13" t="s">
        <v>9863</v>
      </c>
      <c r="F1453" s="13">
        <v>8</v>
      </c>
      <c r="G1453" s="13" t="s">
        <v>9837</v>
      </c>
    </row>
    <row r="1454" spans="1:7" ht="28.8" x14ac:dyDescent="0.3">
      <c r="A1454" s="13" t="s">
        <v>9829</v>
      </c>
      <c r="B1454" s="13" t="s">
        <v>6324</v>
      </c>
      <c r="C1454" s="13" t="s">
        <v>6951</v>
      </c>
      <c r="D1454" s="13">
        <v>241</v>
      </c>
      <c r="E1454" s="13" t="s">
        <v>9863</v>
      </c>
      <c r="F1454" s="13">
        <v>8</v>
      </c>
      <c r="G1454" s="13" t="s">
        <v>9837</v>
      </c>
    </row>
    <row r="1455" spans="1:7" ht="28.8" x14ac:dyDescent="0.3">
      <c r="A1455" s="13" t="s">
        <v>9829</v>
      </c>
      <c r="B1455" s="13" t="s">
        <v>6324</v>
      </c>
      <c r="C1455" s="13" t="s">
        <v>6951</v>
      </c>
      <c r="D1455" s="13">
        <v>241</v>
      </c>
      <c r="E1455" s="13" t="s">
        <v>9863</v>
      </c>
      <c r="F1455" s="13">
        <v>8</v>
      </c>
      <c r="G1455" s="13" t="s">
        <v>9837</v>
      </c>
    </row>
    <row r="1456" spans="1:7" ht="28.8" x14ac:dyDescent="0.3">
      <c r="A1456" s="13" t="s">
        <v>9829</v>
      </c>
      <c r="B1456" s="13" t="s">
        <v>11366</v>
      </c>
      <c r="C1456" s="13" t="s">
        <v>11367</v>
      </c>
      <c r="D1456" s="13">
        <v>242</v>
      </c>
      <c r="E1456" s="13" t="s">
        <v>9836</v>
      </c>
      <c r="F1456" s="13">
        <v>45</v>
      </c>
      <c r="G1456" s="13" t="s">
        <v>9837</v>
      </c>
    </row>
    <row r="1457" spans="1:7" ht="28.8" x14ac:dyDescent="0.3">
      <c r="A1457" s="13" t="s">
        <v>9829</v>
      </c>
      <c r="B1457" s="13" t="s">
        <v>11366</v>
      </c>
      <c r="C1457" s="13" t="s">
        <v>11367</v>
      </c>
      <c r="D1457" s="13">
        <v>242</v>
      </c>
      <c r="E1457" s="13" t="s">
        <v>9836</v>
      </c>
      <c r="F1457" s="13">
        <v>45</v>
      </c>
      <c r="G1457" s="13" t="s">
        <v>9837</v>
      </c>
    </row>
    <row r="1458" spans="1:7" ht="28.8" x14ac:dyDescent="0.3">
      <c r="A1458" s="13" t="s">
        <v>9829</v>
      </c>
      <c r="B1458" s="13" t="s">
        <v>11366</v>
      </c>
      <c r="C1458" s="13" t="s">
        <v>11367</v>
      </c>
      <c r="D1458" s="13">
        <v>242</v>
      </c>
      <c r="E1458" s="13" t="s">
        <v>9836</v>
      </c>
      <c r="F1458" s="13">
        <v>45</v>
      </c>
      <c r="G1458" s="13" t="s">
        <v>9837</v>
      </c>
    </row>
    <row r="1459" spans="1:7" ht="230.4" x14ac:dyDescent="0.3">
      <c r="A1459" s="13" t="s">
        <v>9829</v>
      </c>
      <c r="B1459" s="13" t="s">
        <v>11368</v>
      </c>
      <c r="C1459" s="13" t="s">
        <v>11369</v>
      </c>
      <c r="D1459" s="13">
        <v>243</v>
      </c>
      <c r="E1459" s="13" t="s">
        <v>9832</v>
      </c>
      <c r="F1459" s="13">
        <v>5</v>
      </c>
      <c r="G1459" s="13" t="s">
        <v>13336</v>
      </c>
    </row>
    <row r="1460" spans="1:7" ht="230.4" x14ac:dyDescent="0.3">
      <c r="A1460" s="13" t="s">
        <v>9829</v>
      </c>
      <c r="B1460" s="13" t="s">
        <v>11368</v>
      </c>
      <c r="C1460" s="13" t="s">
        <v>11369</v>
      </c>
      <c r="D1460" s="13">
        <v>243</v>
      </c>
      <c r="E1460" s="13" t="s">
        <v>9832</v>
      </c>
      <c r="F1460" s="13">
        <v>5</v>
      </c>
      <c r="G1460" s="13" t="s">
        <v>13336</v>
      </c>
    </row>
    <row r="1461" spans="1:7" ht="230.4" x14ac:dyDescent="0.3">
      <c r="A1461" s="13" t="s">
        <v>9829</v>
      </c>
      <c r="B1461" s="13" t="s">
        <v>11368</v>
      </c>
      <c r="C1461" s="13" t="s">
        <v>11369</v>
      </c>
      <c r="D1461" s="13">
        <v>243</v>
      </c>
      <c r="E1461" s="13" t="s">
        <v>9832</v>
      </c>
      <c r="F1461" s="13">
        <v>5</v>
      </c>
      <c r="G1461" s="13" t="s">
        <v>13336</v>
      </c>
    </row>
    <row r="1462" spans="1:7" ht="57.6" x14ac:dyDescent="0.3">
      <c r="A1462" s="13" t="s">
        <v>9829</v>
      </c>
      <c r="B1462" s="13" t="s">
        <v>11370</v>
      </c>
      <c r="C1462" s="13" t="s">
        <v>11371</v>
      </c>
      <c r="D1462" s="13">
        <v>1047</v>
      </c>
      <c r="E1462" s="13" t="s">
        <v>9832</v>
      </c>
      <c r="F1462" s="13">
        <v>5</v>
      </c>
      <c r="G1462" s="13" t="s">
        <v>9833</v>
      </c>
    </row>
    <row r="1463" spans="1:7" ht="86.4" x14ac:dyDescent="0.3">
      <c r="A1463" s="13" t="s">
        <v>9829</v>
      </c>
      <c r="B1463" s="13" t="s">
        <v>11372</v>
      </c>
      <c r="C1463" s="13" t="s">
        <v>11373</v>
      </c>
      <c r="D1463" s="13">
        <v>718</v>
      </c>
      <c r="E1463" s="13" t="s">
        <v>9836</v>
      </c>
      <c r="F1463" s="13">
        <v>60</v>
      </c>
      <c r="G1463" s="13" t="s">
        <v>9837</v>
      </c>
    </row>
    <row r="1464" spans="1:7" ht="86.4" x14ac:dyDescent="0.3">
      <c r="A1464" s="13" t="s">
        <v>9829</v>
      </c>
      <c r="B1464" s="13" t="s">
        <v>11372</v>
      </c>
      <c r="C1464" s="13" t="s">
        <v>11373</v>
      </c>
      <c r="D1464" s="13">
        <v>718</v>
      </c>
      <c r="E1464" s="13" t="s">
        <v>9836</v>
      </c>
      <c r="F1464" s="13">
        <v>60</v>
      </c>
      <c r="G1464" s="13" t="s">
        <v>9837</v>
      </c>
    </row>
    <row r="1465" spans="1:7" ht="86.4" x14ac:dyDescent="0.3">
      <c r="A1465" s="13" t="s">
        <v>9829</v>
      </c>
      <c r="B1465" s="13" t="s">
        <v>11372</v>
      </c>
      <c r="C1465" s="13" t="s">
        <v>11373</v>
      </c>
      <c r="D1465" s="13">
        <v>718</v>
      </c>
      <c r="E1465" s="13" t="s">
        <v>9836</v>
      </c>
      <c r="F1465" s="13">
        <v>60</v>
      </c>
      <c r="G1465" s="13" t="s">
        <v>9837</v>
      </c>
    </row>
    <row r="1466" spans="1:7" ht="201.6" x14ac:dyDescent="0.3">
      <c r="A1466" s="13" t="s">
        <v>9829</v>
      </c>
      <c r="B1466" s="13" t="s">
        <v>11374</v>
      </c>
      <c r="C1466" s="13" t="s">
        <v>11375</v>
      </c>
      <c r="D1466" s="13">
        <v>244</v>
      </c>
      <c r="E1466" s="13" t="s">
        <v>9832</v>
      </c>
      <c r="F1466" s="13">
        <v>5</v>
      </c>
      <c r="G1466" s="13" t="s">
        <v>13337</v>
      </c>
    </row>
    <row r="1467" spans="1:7" ht="388.8" x14ac:dyDescent="0.3">
      <c r="A1467" s="13" t="s">
        <v>9829</v>
      </c>
      <c r="B1467" s="13" t="s">
        <v>11376</v>
      </c>
      <c r="C1467" s="13" t="s">
        <v>11377</v>
      </c>
      <c r="D1467" s="13">
        <v>245</v>
      </c>
      <c r="E1467" s="13" t="s">
        <v>9832</v>
      </c>
      <c r="F1467" s="13">
        <v>5</v>
      </c>
      <c r="G1467" s="13" t="s">
        <v>13338</v>
      </c>
    </row>
    <row r="1468" spans="1:7" ht="28.8" x14ac:dyDescent="0.3">
      <c r="A1468" s="13" t="s">
        <v>9829</v>
      </c>
      <c r="B1468" s="13" t="s">
        <v>11378</v>
      </c>
      <c r="C1468" s="13" t="s">
        <v>11379</v>
      </c>
      <c r="D1468" s="13">
        <v>1502</v>
      </c>
      <c r="E1468" s="13" t="s">
        <v>9863</v>
      </c>
      <c r="F1468" s="13">
        <v>8</v>
      </c>
      <c r="G1468" s="13" t="s">
        <v>9837</v>
      </c>
    </row>
    <row r="1469" spans="1:7" ht="28.8" x14ac:dyDescent="0.3">
      <c r="A1469" s="13" t="s">
        <v>9829</v>
      </c>
      <c r="B1469" s="13" t="s">
        <v>11378</v>
      </c>
      <c r="C1469" s="13" t="s">
        <v>11379</v>
      </c>
      <c r="D1469" s="13">
        <v>1502</v>
      </c>
      <c r="E1469" s="13" t="s">
        <v>9863</v>
      </c>
      <c r="F1469" s="13">
        <v>8</v>
      </c>
      <c r="G1469" s="13" t="s">
        <v>9837</v>
      </c>
    </row>
    <row r="1470" spans="1:7" ht="28.8" x14ac:dyDescent="0.3">
      <c r="A1470" s="13" t="s">
        <v>9829</v>
      </c>
      <c r="B1470" s="13" t="s">
        <v>11378</v>
      </c>
      <c r="C1470" s="13" t="s">
        <v>11379</v>
      </c>
      <c r="D1470" s="13">
        <v>1502</v>
      </c>
      <c r="E1470" s="13" t="s">
        <v>9863</v>
      </c>
      <c r="F1470" s="13">
        <v>8</v>
      </c>
      <c r="G1470" s="13" t="s">
        <v>9837</v>
      </c>
    </row>
    <row r="1471" spans="1:7" ht="28.8" x14ac:dyDescent="0.3">
      <c r="A1471" s="13" t="s">
        <v>9829</v>
      </c>
      <c r="B1471" s="13" t="s">
        <v>11378</v>
      </c>
      <c r="C1471" s="13" t="s">
        <v>11379</v>
      </c>
      <c r="D1471" s="13">
        <v>1502</v>
      </c>
      <c r="E1471" s="13" t="s">
        <v>9863</v>
      </c>
      <c r="F1471" s="13">
        <v>8</v>
      </c>
      <c r="G1471" s="13" t="s">
        <v>9837</v>
      </c>
    </row>
    <row r="1472" spans="1:7" ht="43.2" x14ac:dyDescent="0.3">
      <c r="A1472" s="13" t="s">
        <v>9829</v>
      </c>
      <c r="B1472" s="13" t="s">
        <v>11380</v>
      </c>
      <c r="C1472" s="13" t="s">
        <v>11381</v>
      </c>
      <c r="D1472" s="13">
        <v>989</v>
      </c>
      <c r="E1472" s="13" t="s">
        <v>9863</v>
      </c>
      <c r="F1472" s="13">
        <v>8</v>
      </c>
      <c r="G1472" s="13" t="s">
        <v>9837</v>
      </c>
    </row>
    <row r="1473" spans="1:7" ht="43.2" x14ac:dyDescent="0.3">
      <c r="A1473" s="13" t="s">
        <v>9829</v>
      </c>
      <c r="B1473" s="13" t="s">
        <v>11382</v>
      </c>
      <c r="C1473" s="13" t="s">
        <v>11383</v>
      </c>
      <c r="D1473" s="13">
        <v>465</v>
      </c>
      <c r="E1473" s="13" t="s">
        <v>9836</v>
      </c>
      <c r="F1473" s="13">
        <v>35</v>
      </c>
      <c r="G1473" s="13" t="s">
        <v>9837</v>
      </c>
    </row>
    <row r="1474" spans="1:7" ht="57.6" x14ac:dyDescent="0.3">
      <c r="A1474" s="13" t="s">
        <v>9829</v>
      </c>
      <c r="B1474" s="13" t="s">
        <v>11384</v>
      </c>
      <c r="C1474" s="13" t="s">
        <v>11385</v>
      </c>
      <c r="D1474" s="13">
        <v>463</v>
      </c>
      <c r="E1474" s="13" t="s">
        <v>9836</v>
      </c>
      <c r="F1474" s="13">
        <v>60</v>
      </c>
      <c r="G1474" s="13" t="s">
        <v>9837</v>
      </c>
    </row>
    <row r="1475" spans="1:7" ht="28.8" x14ac:dyDescent="0.3">
      <c r="A1475" s="13" t="s">
        <v>9829</v>
      </c>
      <c r="B1475" s="13" t="s">
        <v>11386</v>
      </c>
      <c r="C1475" s="13" t="s">
        <v>11387</v>
      </c>
      <c r="D1475" s="13">
        <v>464</v>
      </c>
      <c r="E1475" s="13" t="s">
        <v>9836</v>
      </c>
      <c r="F1475" s="13">
        <v>45</v>
      </c>
      <c r="G1475" s="13" t="s">
        <v>9837</v>
      </c>
    </row>
    <row r="1476" spans="1:7" ht="360" x14ac:dyDescent="0.3">
      <c r="A1476" s="13" t="s">
        <v>9829</v>
      </c>
      <c r="B1476" s="13" t="s">
        <v>11388</v>
      </c>
      <c r="C1476" s="13" t="s">
        <v>11389</v>
      </c>
      <c r="D1476" s="13">
        <v>652</v>
      </c>
      <c r="E1476" s="13" t="s">
        <v>9832</v>
      </c>
      <c r="F1476" s="13">
        <v>5</v>
      </c>
      <c r="G1476" s="13" t="s">
        <v>13339</v>
      </c>
    </row>
    <row r="1477" spans="1:7" ht="28.8" x14ac:dyDescent="0.3">
      <c r="A1477" s="13" t="s">
        <v>9829</v>
      </c>
      <c r="B1477" s="13" t="s">
        <v>11390</v>
      </c>
      <c r="C1477" s="13" t="s">
        <v>11391</v>
      </c>
      <c r="D1477" s="13">
        <v>597</v>
      </c>
      <c r="E1477" s="13" t="s">
        <v>9836</v>
      </c>
      <c r="F1477" s="13">
        <v>15</v>
      </c>
      <c r="G1477" s="13" t="s">
        <v>9837</v>
      </c>
    </row>
    <row r="1478" spans="1:7" ht="57.6" x14ac:dyDescent="0.3">
      <c r="A1478" s="13" t="s">
        <v>9829</v>
      </c>
      <c r="B1478" s="13" t="s">
        <v>11392</v>
      </c>
      <c r="C1478" s="13" t="s">
        <v>11393</v>
      </c>
      <c r="D1478" s="13">
        <v>1470</v>
      </c>
      <c r="E1478" s="13" t="s">
        <v>9832</v>
      </c>
      <c r="F1478" s="13">
        <v>5</v>
      </c>
      <c r="G1478" s="13" t="s">
        <v>9833</v>
      </c>
    </row>
    <row r="1479" spans="1:7" ht="43.2" x14ac:dyDescent="0.3">
      <c r="A1479" s="13" t="s">
        <v>9829</v>
      </c>
      <c r="B1479" s="13" t="s">
        <v>11394</v>
      </c>
      <c r="C1479" s="13" t="s">
        <v>11395</v>
      </c>
      <c r="D1479" s="13">
        <v>578</v>
      </c>
      <c r="E1479" s="13" t="s">
        <v>9836</v>
      </c>
      <c r="F1479" s="13">
        <v>80</v>
      </c>
      <c r="G1479" s="13" t="s">
        <v>9837</v>
      </c>
    </row>
    <row r="1480" spans="1:7" ht="28.8" x14ac:dyDescent="0.3">
      <c r="A1480" s="13" t="s">
        <v>9829</v>
      </c>
      <c r="B1480" s="13" t="s">
        <v>11396</v>
      </c>
      <c r="C1480" s="13" t="s">
        <v>11397</v>
      </c>
      <c r="D1480" s="13">
        <v>246</v>
      </c>
      <c r="E1480" s="13" t="s">
        <v>9836</v>
      </c>
      <c r="F1480" s="13">
        <v>35</v>
      </c>
      <c r="G1480" s="13" t="s">
        <v>9837</v>
      </c>
    </row>
    <row r="1481" spans="1:7" ht="28.8" x14ac:dyDescent="0.3">
      <c r="A1481" s="13" t="s">
        <v>9829</v>
      </c>
      <c r="B1481" s="13" t="s">
        <v>11396</v>
      </c>
      <c r="C1481" s="13" t="s">
        <v>11397</v>
      </c>
      <c r="D1481" s="13">
        <v>246</v>
      </c>
      <c r="E1481" s="13" t="s">
        <v>9836</v>
      </c>
      <c r="F1481" s="13">
        <v>35</v>
      </c>
      <c r="G1481" s="13" t="s">
        <v>9837</v>
      </c>
    </row>
    <row r="1482" spans="1:7" ht="28.8" x14ac:dyDescent="0.3">
      <c r="A1482" s="13" t="s">
        <v>9829</v>
      </c>
      <c r="B1482" s="13" t="s">
        <v>11398</v>
      </c>
      <c r="C1482" s="13" t="s">
        <v>11399</v>
      </c>
      <c r="D1482" s="13">
        <v>1197</v>
      </c>
      <c r="E1482" s="13" t="s">
        <v>9863</v>
      </c>
      <c r="F1482" s="13">
        <v>8</v>
      </c>
      <c r="G1482" s="13" t="s">
        <v>9837</v>
      </c>
    </row>
    <row r="1483" spans="1:7" ht="28.8" x14ac:dyDescent="0.3">
      <c r="A1483" s="13" t="s">
        <v>9829</v>
      </c>
      <c r="B1483" s="13" t="s">
        <v>11400</v>
      </c>
      <c r="C1483" s="13" t="s">
        <v>11401</v>
      </c>
      <c r="D1483" s="13">
        <v>247</v>
      </c>
      <c r="E1483" s="13" t="s">
        <v>9880</v>
      </c>
      <c r="F1483" s="13">
        <v>6.2</v>
      </c>
      <c r="G1483" s="13" t="s">
        <v>9837</v>
      </c>
    </row>
    <row r="1484" spans="1:7" ht="28.8" x14ac:dyDescent="0.3">
      <c r="A1484" s="13" t="s">
        <v>9829</v>
      </c>
      <c r="B1484" s="13" t="s">
        <v>11400</v>
      </c>
      <c r="C1484" s="13" t="s">
        <v>11401</v>
      </c>
      <c r="D1484" s="13">
        <v>247</v>
      </c>
      <c r="E1484" s="13" t="s">
        <v>9880</v>
      </c>
      <c r="F1484" s="13">
        <v>6.2</v>
      </c>
      <c r="G1484" s="13" t="s">
        <v>9837</v>
      </c>
    </row>
    <row r="1485" spans="1:7" ht="28.8" x14ac:dyDescent="0.3">
      <c r="A1485" s="13" t="s">
        <v>9829</v>
      </c>
      <c r="B1485" s="13" t="s">
        <v>11402</v>
      </c>
      <c r="C1485" s="13" t="s">
        <v>11403</v>
      </c>
      <c r="D1485" s="13">
        <v>248</v>
      </c>
      <c r="E1485" s="13" t="s">
        <v>9836</v>
      </c>
      <c r="F1485" s="13">
        <v>60</v>
      </c>
      <c r="G1485" s="13" t="s">
        <v>9837</v>
      </c>
    </row>
    <row r="1486" spans="1:7" ht="28.8" x14ac:dyDescent="0.3">
      <c r="A1486" s="13" t="s">
        <v>9829</v>
      </c>
      <c r="B1486" s="13" t="s">
        <v>11402</v>
      </c>
      <c r="C1486" s="13" t="s">
        <v>11403</v>
      </c>
      <c r="D1486" s="13">
        <v>248</v>
      </c>
      <c r="E1486" s="13" t="s">
        <v>9836</v>
      </c>
      <c r="F1486" s="13">
        <v>60</v>
      </c>
      <c r="G1486" s="13" t="s">
        <v>9837</v>
      </c>
    </row>
    <row r="1487" spans="1:7" ht="28.8" x14ac:dyDescent="0.3">
      <c r="A1487" s="13" t="s">
        <v>9829</v>
      </c>
      <c r="B1487" s="13" t="s">
        <v>11404</v>
      </c>
      <c r="C1487" s="13" t="s">
        <v>11405</v>
      </c>
      <c r="D1487" s="13">
        <v>1198</v>
      </c>
      <c r="E1487" s="13" t="s">
        <v>9863</v>
      </c>
      <c r="F1487" s="13">
        <v>8</v>
      </c>
      <c r="G1487" s="13" t="s">
        <v>9837</v>
      </c>
    </row>
    <row r="1488" spans="1:7" ht="43.2" x14ac:dyDescent="0.3">
      <c r="A1488" s="13" t="s">
        <v>9829</v>
      </c>
      <c r="B1488" s="13" t="s">
        <v>11406</v>
      </c>
      <c r="C1488" s="13" t="s">
        <v>11407</v>
      </c>
      <c r="D1488" s="13">
        <v>249</v>
      </c>
      <c r="E1488" s="13" t="s">
        <v>9836</v>
      </c>
      <c r="F1488" s="13">
        <v>45</v>
      </c>
      <c r="G1488" s="13" t="s">
        <v>9837</v>
      </c>
    </row>
    <row r="1489" spans="1:7" ht="43.2" x14ac:dyDescent="0.3">
      <c r="A1489" s="13" t="s">
        <v>9829</v>
      </c>
      <c r="B1489" s="13" t="s">
        <v>11406</v>
      </c>
      <c r="C1489" s="13" t="s">
        <v>11407</v>
      </c>
      <c r="D1489" s="13">
        <v>249</v>
      </c>
      <c r="E1489" s="13" t="s">
        <v>9836</v>
      </c>
      <c r="F1489" s="13">
        <v>45</v>
      </c>
      <c r="G1489" s="13" t="s">
        <v>9837</v>
      </c>
    </row>
    <row r="1490" spans="1:7" ht="316.8" x14ac:dyDescent="0.3">
      <c r="A1490" s="13" t="s">
        <v>9829</v>
      </c>
      <c r="B1490" s="13" t="s">
        <v>11408</v>
      </c>
      <c r="C1490" s="13" t="s">
        <v>11409</v>
      </c>
      <c r="D1490" s="13">
        <v>250</v>
      </c>
      <c r="E1490" s="13" t="s">
        <v>9832</v>
      </c>
      <c r="F1490" s="13">
        <v>5</v>
      </c>
      <c r="G1490" s="13" t="s">
        <v>13340</v>
      </c>
    </row>
    <row r="1491" spans="1:7" ht="316.8" x14ac:dyDescent="0.3">
      <c r="A1491" s="13" t="s">
        <v>9829</v>
      </c>
      <c r="B1491" s="13" t="s">
        <v>11408</v>
      </c>
      <c r="C1491" s="13" t="s">
        <v>11409</v>
      </c>
      <c r="D1491" s="13">
        <v>250</v>
      </c>
      <c r="E1491" s="13" t="s">
        <v>9832</v>
      </c>
      <c r="F1491" s="13">
        <v>5</v>
      </c>
      <c r="G1491" s="13" t="s">
        <v>13340</v>
      </c>
    </row>
    <row r="1492" spans="1:7" ht="28.8" x14ac:dyDescent="0.3">
      <c r="A1492" s="13" t="s">
        <v>9829</v>
      </c>
      <c r="B1492" s="13" t="s">
        <v>11410</v>
      </c>
      <c r="C1492" s="13" t="s">
        <v>11411</v>
      </c>
      <c r="D1492" s="13">
        <v>251</v>
      </c>
      <c r="E1492" s="13" t="s">
        <v>9836</v>
      </c>
      <c r="F1492" s="13">
        <v>60</v>
      </c>
      <c r="G1492" s="13" t="s">
        <v>9837</v>
      </c>
    </row>
    <row r="1493" spans="1:7" ht="28.8" x14ac:dyDescent="0.3">
      <c r="A1493" s="13" t="s">
        <v>9829</v>
      </c>
      <c r="B1493" s="13" t="s">
        <v>11410</v>
      </c>
      <c r="C1493" s="13" t="s">
        <v>11411</v>
      </c>
      <c r="D1493" s="13">
        <v>251</v>
      </c>
      <c r="E1493" s="13" t="s">
        <v>9836</v>
      </c>
      <c r="F1493" s="13">
        <v>60</v>
      </c>
      <c r="G1493" s="13" t="s">
        <v>9837</v>
      </c>
    </row>
    <row r="1494" spans="1:7" ht="28.8" x14ac:dyDescent="0.3">
      <c r="A1494" s="13" t="s">
        <v>9829</v>
      </c>
      <c r="B1494" s="13" t="s">
        <v>11412</v>
      </c>
      <c r="C1494" s="13" t="s">
        <v>11413</v>
      </c>
      <c r="D1494" s="13">
        <v>252</v>
      </c>
      <c r="E1494" s="13" t="s">
        <v>9836</v>
      </c>
      <c r="F1494" s="13">
        <v>45</v>
      </c>
      <c r="G1494" s="13" t="s">
        <v>9837</v>
      </c>
    </row>
    <row r="1495" spans="1:7" ht="28.8" x14ac:dyDescent="0.3">
      <c r="A1495" s="13" t="s">
        <v>9829</v>
      </c>
      <c r="B1495" s="13" t="s">
        <v>11414</v>
      </c>
      <c r="C1495" s="13" t="s">
        <v>11415</v>
      </c>
      <c r="D1495" s="13">
        <v>253</v>
      </c>
      <c r="E1495" s="13" t="s">
        <v>9836</v>
      </c>
      <c r="F1495" s="13">
        <v>45</v>
      </c>
      <c r="G1495" s="13" t="s">
        <v>9837</v>
      </c>
    </row>
    <row r="1496" spans="1:7" ht="28.8" x14ac:dyDescent="0.3">
      <c r="A1496" s="13" t="s">
        <v>9829</v>
      </c>
      <c r="B1496" s="13" t="s">
        <v>11414</v>
      </c>
      <c r="C1496" s="13" t="s">
        <v>11415</v>
      </c>
      <c r="D1496" s="13">
        <v>253</v>
      </c>
      <c r="E1496" s="13" t="s">
        <v>9836</v>
      </c>
      <c r="F1496" s="13">
        <v>45</v>
      </c>
      <c r="G1496" s="13" t="s">
        <v>9837</v>
      </c>
    </row>
    <row r="1497" spans="1:7" ht="28.8" x14ac:dyDescent="0.3">
      <c r="A1497" s="13" t="s">
        <v>9829</v>
      </c>
      <c r="B1497" s="13" t="s">
        <v>11416</v>
      </c>
      <c r="C1497" s="13" t="s">
        <v>11417</v>
      </c>
      <c r="D1497" s="13">
        <v>1196</v>
      </c>
      <c r="E1497" s="13" t="s">
        <v>9836</v>
      </c>
      <c r="F1497" s="13">
        <v>60</v>
      </c>
      <c r="G1497" s="13" t="s">
        <v>9837</v>
      </c>
    </row>
    <row r="1498" spans="1:7" ht="374.4" x14ac:dyDescent="0.3">
      <c r="A1498" s="13" t="s">
        <v>9829</v>
      </c>
      <c r="B1498" s="13" t="s">
        <v>11418</v>
      </c>
      <c r="C1498" s="13" t="s">
        <v>11419</v>
      </c>
      <c r="D1498" s="13">
        <v>254</v>
      </c>
      <c r="E1498" s="13" t="s">
        <v>9832</v>
      </c>
      <c r="F1498" s="13">
        <v>5</v>
      </c>
      <c r="G1498" s="13" t="s">
        <v>13341</v>
      </c>
    </row>
    <row r="1499" spans="1:7" ht="144" x14ac:dyDescent="0.3">
      <c r="A1499" s="13" t="s">
        <v>9829</v>
      </c>
      <c r="B1499" s="13" t="s">
        <v>11420</v>
      </c>
      <c r="C1499" s="13" t="s">
        <v>11421</v>
      </c>
      <c r="D1499" s="13">
        <v>1577</v>
      </c>
      <c r="E1499" s="13" t="s">
        <v>9832</v>
      </c>
      <c r="F1499" s="13">
        <v>5</v>
      </c>
      <c r="G1499" s="13" t="s">
        <v>13342</v>
      </c>
    </row>
    <row r="1500" spans="1:7" ht="28.8" x14ac:dyDescent="0.3">
      <c r="A1500" s="13" t="s">
        <v>9829</v>
      </c>
      <c r="B1500" s="13" t="s">
        <v>11422</v>
      </c>
      <c r="C1500" s="13" t="s">
        <v>11423</v>
      </c>
      <c r="D1500" s="13">
        <v>1540</v>
      </c>
      <c r="E1500" s="13" t="s">
        <v>9836</v>
      </c>
      <c r="F1500" s="13">
        <v>80</v>
      </c>
      <c r="G1500" s="13" t="s">
        <v>9837</v>
      </c>
    </row>
    <row r="1501" spans="1:7" ht="288" x14ac:dyDescent="0.3">
      <c r="A1501" s="13" t="s">
        <v>9829</v>
      </c>
      <c r="B1501" s="13" t="s">
        <v>11424</v>
      </c>
      <c r="C1501" s="13" t="s">
        <v>11425</v>
      </c>
      <c r="D1501" s="13">
        <v>900</v>
      </c>
      <c r="E1501" s="13" t="s">
        <v>9832</v>
      </c>
      <c r="F1501" s="13">
        <v>5</v>
      </c>
      <c r="G1501" s="13" t="s">
        <v>13343</v>
      </c>
    </row>
    <row r="1502" spans="1:7" ht="72" x14ac:dyDescent="0.3">
      <c r="A1502" s="13" t="s">
        <v>9829</v>
      </c>
      <c r="B1502" s="13" t="s">
        <v>11426</v>
      </c>
      <c r="C1502" s="13" t="s">
        <v>11427</v>
      </c>
      <c r="D1502" s="13">
        <v>751</v>
      </c>
      <c r="E1502" s="13" t="s">
        <v>9836</v>
      </c>
      <c r="F1502" s="13">
        <v>80</v>
      </c>
      <c r="G1502" s="13" t="s">
        <v>9837</v>
      </c>
    </row>
    <row r="1503" spans="1:7" ht="57.6" x14ac:dyDescent="0.3">
      <c r="A1503" s="13" t="s">
        <v>9829</v>
      </c>
      <c r="B1503" s="13" t="s">
        <v>11428</v>
      </c>
      <c r="C1503" s="13" t="s">
        <v>11429</v>
      </c>
      <c r="D1503" s="13">
        <v>1148</v>
      </c>
      <c r="E1503" s="13" t="s">
        <v>9836</v>
      </c>
      <c r="F1503" s="13">
        <v>45</v>
      </c>
      <c r="G1503" s="13" t="s">
        <v>9837</v>
      </c>
    </row>
    <row r="1504" spans="1:7" ht="201.6" x14ac:dyDescent="0.3">
      <c r="A1504" s="13" t="s">
        <v>9829</v>
      </c>
      <c r="B1504" s="13" t="s">
        <v>11430</v>
      </c>
      <c r="C1504" s="13" t="s">
        <v>11431</v>
      </c>
      <c r="D1504" s="13">
        <v>1098</v>
      </c>
      <c r="E1504" s="13" t="s">
        <v>9832</v>
      </c>
      <c r="F1504" s="13">
        <v>5</v>
      </c>
      <c r="G1504" s="13" t="s">
        <v>13344</v>
      </c>
    </row>
    <row r="1505" spans="1:7" ht="201.6" x14ac:dyDescent="0.3">
      <c r="A1505" s="13" t="s">
        <v>9829</v>
      </c>
      <c r="B1505" s="13" t="s">
        <v>11430</v>
      </c>
      <c r="C1505" s="13" t="s">
        <v>11431</v>
      </c>
      <c r="D1505" s="13">
        <v>1098</v>
      </c>
      <c r="E1505" s="13" t="s">
        <v>9832</v>
      </c>
      <c r="F1505" s="13">
        <v>5</v>
      </c>
      <c r="G1505" s="13" t="s">
        <v>13344</v>
      </c>
    </row>
    <row r="1506" spans="1:7" ht="72" x14ac:dyDescent="0.3">
      <c r="A1506" s="13" t="s">
        <v>9829</v>
      </c>
      <c r="B1506" s="13" t="s">
        <v>11432</v>
      </c>
      <c r="C1506" s="13" t="s">
        <v>11433</v>
      </c>
      <c r="D1506" s="13">
        <v>500</v>
      </c>
      <c r="E1506" s="13" t="s">
        <v>9880</v>
      </c>
      <c r="F1506" s="13">
        <v>6.2</v>
      </c>
      <c r="G1506" s="13" t="s">
        <v>9837</v>
      </c>
    </row>
    <row r="1507" spans="1:7" ht="43.2" x14ac:dyDescent="0.3">
      <c r="A1507" s="13" t="s">
        <v>9829</v>
      </c>
      <c r="B1507" s="13" t="s">
        <v>11434</v>
      </c>
      <c r="C1507" s="13" t="s">
        <v>11435</v>
      </c>
      <c r="D1507" s="13">
        <v>1147</v>
      </c>
      <c r="E1507" s="13" t="s">
        <v>9832</v>
      </c>
      <c r="F1507" s="13">
        <v>5</v>
      </c>
      <c r="G1507" s="13" t="s">
        <v>9833</v>
      </c>
    </row>
    <row r="1508" spans="1:7" ht="28.8" x14ac:dyDescent="0.3">
      <c r="A1508" s="13" t="s">
        <v>9829</v>
      </c>
      <c r="B1508" s="13" t="s">
        <v>11436</v>
      </c>
      <c r="C1508" s="13" t="s">
        <v>11437</v>
      </c>
      <c r="D1508" s="13">
        <v>1814</v>
      </c>
      <c r="E1508" s="13" t="s">
        <v>9836</v>
      </c>
      <c r="F1508" s="13">
        <v>20</v>
      </c>
      <c r="G1508" s="13" t="s">
        <v>9837</v>
      </c>
    </row>
    <row r="1509" spans="1:7" ht="28.8" x14ac:dyDescent="0.3">
      <c r="A1509" s="13" t="s">
        <v>9829</v>
      </c>
      <c r="B1509" s="13" t="s">
        <v>11438</v>
      </c>
      <c r="C1509" s="13" t="s">
        <v>11439</v>
      </c>
      <c r="D1509" s="13">
        <v>1815</v>
      </c>
      <c r="E1509" s="13" t="s">
        <v>9836</v>
      </c>
      <c r="F1509" s="13">
        <v>20</v>
      </c>
      <c r="G1509" s="13" t="s">
        <v>9837</v>
      </c>
    </row>
    <row r="1510" spans="1:7" ht="28.8" x14ac:dyDescent="0.3">
      <c r="A1510" s="13" t="s">
        <v>9829</v>
      </c>
      <c r="B1510" s="13" t="s">
        <v>11440</v>
      </c>
      <c r="C1510" s="13" t="s">
        <v>11441</v>
      </c>
      <c r="D1510" s="13">
        <v>1816</v>
      </c>
      <c r="E1510" s="13" t="s">
        <v>9836</v>
      </c>
      <c r="F1510" s="13">
        <v>20</v>
      </c>
      <c r="G1510" s="13" t="s">
        <v>9837</v>
      </c>
    </row>
    <row r="1511" spans="1:7" ht="43.2" x14ac:dyDescent="0.3">
      <c r="A1511" s="13" t="s">
        <v>9829</v>
      </c>
      <c r="B1511" s="13" t="s">
        <v>11442</v>
      </c>
      <c r="C1511" s="13" t="s">
        <v>11443</v>
      </c>
      <c r="D1511" s="13">
        <v>481</v>
      </c>
      <c r="E1511" s="13" t="s">
        <v>9836</v>
      </c>
      <c r="F1511" s="13">
        <v>80</v>
      </c>
      <c r="G1511" s="13" t="s">
        <v>9837</v>
      </c>
    </row>
    <row r="1512" spans="1:7" ht="43.2" x14ac:dyDescent="0.3">
      <c r="A1512" s="13" t="s">
        <v>9829</v>
      </c>
      <c r="B1512" s="13" t="s">
        <v>11442</v>
      </c>
      <c r="C1512" s="13" t="s">
        <v>11443</v>
      </c>
      <c r="D1512" s="13">
        <v>481</v>
      </c>
      <c r="E1512" s="13" t="s">
        <v>9836</v>
      </c>
      <c r="F1512" s="13">
        <v>80</v>
      </c>
      <c r="G1512" s="13" t="s">
        <v>9837</v>
      </c>
    </row>
    <row r="1513" spans="1:7" ht="43.2" x14ac:dyDescent="0.3">
      <c r="A1513" s="13" t="s">
        <v>9829</v>
      </c>
      <c r="B1513" s="13" t="s">
        <v>11444</v>
      </c>
      <c r="C1513" s="13" t="s">
        <v>11445</v>
      </c>
      <c r="D1513" s="13">
        <v>482</v>
      </c>
      <c r="E1513" s="13" t="s">
        <v>9836</v>
      </c>
      <c r="F1513" s="13">
        <v>80</v>
      </c>
      <c r="G1513" s="13" t="s">
        <v>9837</v>
      </c>
    </row>
    <row r="1514" spans="1:7" ht="43.2" x14ac:dyDescent="0.3">
      <c r="A1514" s="13" t="s">
        <v>9829</v>
      </c>
      <c r="B1514" s="13" t="s">
        <v>11444</v>
      </c>
      <c r="C1514" s="13" t="s">
        <v>11445</v>
      </c>
      <c r="D1514" s="13">
        <v>482</v>
      </c>
      <c r="E1514" s="13" t="s">
        <v>9836</v>
      </c>
      <c r="F1514" s="13">
        <v>80</v>
      </c>
      <c r="G1514" s="13" t="s">
        <v>9837</v>
      </c>
    </row>
    <row r="1515" spans="1:7" ht="57.6" x14ac:dyDescent="0.3">
      <c r="A1515" s="13" t="s">
        <v>9829</v>
      </c>
      <c r="B1515" s="13" t="s">
        <v>11446</v>
      </c>
      <c r="C1515" s="13" t="s">
        <v>11447</v>
      </c>
      <c r="D1515" s="13">
        <v>480</v>
      </c>
      <c r="E1515" s="13" t="s">
        <v>9836</v>
      </c>
      <c r="F1515" s="13">
        <v>24</v>
      </c>
      <c r="G1515" s="13" t="s">
        <v>9837</v>
      </c>
    </row>
    <row r="1516" spans="1:7" ht="57.6" x14ac:dyDescent="0.3">
      <c r="A1516" s="13" t="s">
        <v>9829</v>
      </c>
      <c r="B1516" s="13" t="s">
        <v>11446</v>
      </c>
      <c r="C1516" s="13" t="s">
        <v>11447</v>
      </c>
      <c r="D1516" s="13">
        <v>480</v>
      </c>
      <c r="E1516" s="13" t="s">
        <v>9836</v>
      </c>
      <c r="F1516" s="13">
        <v>24</v>
      </c>
      <c r="G1516" s="13" t="s">
        <v>9837</v>
      </c>
    </row>
    <row r="1517" spans="1:7" ht="43.2" x14ac:dyDescent="0.3">
      <c r="A1517" s="13" t="s">
        <v>9829</v>
      </c>
      <c r="B1517" s="13" t="s">
        <v>11448</v>
      </c>
      <c r="C1517" s="13" t="s">
        <v>11449</v>
      </c>
      <c r="D1517" s="13">
        <v>961</v>
      </c>
      <c r="E1517" s="13" t="s">
        <v>9836</v>
      </c>
      <c r="F1517" s="13">
        <v>80</v>
      </c>
      <c r="G1517" s="13" t="s">
        <v>9837</v>
      </c>
    </row>
    <row r="1518" spans="1:7" ht="28.8" x14ac:dyDescent="0.3">
      <c r="A1518" s="13" t="s">
        <v>9829</v>
      </c>
      <c r="B1518" s="13" t="s">
        <v>11450</v>
      </c>
      <c r="C1518" s="13" t="s">
        <v>11451</v>
      </c>
      <c r="D1518" s="13">
        <v>1134</v>
      </c>
      <c r="E1518" s="13" t="s">
        <v>9836</v>
      </c>
      <c r="F1518" s="13">
        <v>30</v>
      </c>
      <c r="G1518" s="13" t="s">
        <v>9837</v>
      </c>
    </row>
    <row r="1519" spans="1:7" ht="28.8" x14ac:dyDescent="0.3">
      <c r="A1519" s="13" t="s">
        <v>9829</v>
      </c>
      <c r="B1519" s="13" t="s">
        <v>11452</v>
      </c>
      <c r="C1519" s="13" t="s">
        <v>11453</v>
      </c>
      <c r="D1519" s="13">
        <v>865</v>
      </c>
      <c r="E1519" s="13" t="s">
        <v>9836</v>
      </c>
      <c r="F1519" s="13">
        <v>60</v>
      </c>
      <c r="G1519" s="13" t="s">
        <v>9837</v>
      </c>
    </row>
    <row r="1520" spans="1:7" ht="28.8" x14ac:dyDescent="0.3">
      <c r="A1520" s="13" t="s">
        <v>9829</v>
      </c>
      <c r="B1520" s="13" t="s">
        <v>11454</v>
      </c>
      <c r="C1520" s="13" t="s">
        <v>11455</v>
      </c>
      <c r="D1520" s="13">
        <v>1065</v>
      </c>
      <c r="E1520" s="13" t="s">
        <v>9863</v>
      </c>
      <c r="F1520" s="13">
        <v>8</v>
      </c>
      <c r="G1520" s="13" t="s">
        <v>9837</v>
      </c>
    </row>
    <row r="1521" spans="1:7" ht="216" x14ac:dyDescent="0.3">
      <c r="A1521" s="13" t="s">
        <v>9829</v>
      </c>
      <c r="B1521" s="13" t="s">
        <v>11456</v>
      </c>
      <c r="C1521" s="13" t="s">
        <v>11457</v>
      </c>
      <c r="D1521" s="13">
        <v>1067</v>
      </c>
      <c r="E1521" s="13" t="s">
        <v>9832</v>
      </c>
      <c r="F1521" s="13">
        <v>5</v>
      </c>
      <c r="G1521" s="13" t="s">
        <v>13345</v>
      </c>
    </row>
    <row r="1522" spans="1:7" ht="43.2" x14ac:dyDescent="0.3">
      <c r="A1522" s="13" t="s">
        <v>9829</v>
      </c>
      <c r="B1522" s="13" t="s">
        <v>11458</v>
      </c>
      <c r="C1522" s="13" t="s">
        <v>11459</v>
      </c>
      <c r="D1522" s="13">
        <v>1066</v>
      </c>
      <c r="E1522" s="13" t="s">
        <v>9863</v>
      </c>
      <c r="F1522" s="13">
        <v>8</v>
      </c>
      <c r="G1522" s="13" t="s">
        <v>9837</v>
      </c>
    </row>
    <row r="1523" spans="1:7" ht="158.4" x14ac:dyDescent="0.3">
      <c r="A1523" s="13" t="s">
        <v>9829</v>
      </c>
      <c r="B1523" s="13" t="s">
        <v>11460</v>
      </c>
      <c r="C1523" s="13" t="s">
        <v>11461</v>
      </c>
      <c r="D1523" s="13">
        <v>1068</v>
      </c>
      <c r="E1523" s="13" t="s">
        <v>9832</v>
      </c>
      <c r="F1523" s="13">
        <v>5</v>
      </c>
      <c r="G1523" s="13" t="s">
        <v>13346</v>
      </c>
    </row>
    <row r="1524" spans="1:7" ht="403.2" x14ac:dyDescent="0.3">
      <c r="A1524" s="13" t="s">
        <v>9829</v>
      </c>
      <c r="B1524" s="13" t="s">
        <v>11462</v>
      </c>
      <c r="C1524" s="13" t="s">
        <v>11463</v>
      </c>
      <c r="D1524" s="13">
        <v>1062</v>
      </c>
      <c r="E1524" s="13" t="s">
        <v>9832</v>
      </c>
      <c r="F1524" s="13">
        <v>5</v>
      </c>
      <c r="G1524" s="13" t="s">
        <v>13347</v>
      </c>
    </row>
    <row r="1525" spans="1:7" ht="100.8" x14ac:dyDescent="0.3">
      <c r="A1525" s="13" t="s">
        <v>9829</v>
      </c>
      <c r="B1525" s="13" t="s">
        <v>11464</v>
      </c>
      <c r="C1525" s="13" t="s">
        <v>11465</v>
      </c>
      <c r="D1525" s="13">
        <v>749</v>
      </c>
      <c r="E1525" s="13" t="s">
        <v>9836</v>
      </c>
      <c r="F1525" s="13">
        <v>80</v>
      </c>
      <c r="G1525" s="13" t="s">
        <v>9837</v>
      </c>
    </row>
    <row r="1526" spans="1:7" ht="201.6" x14ac:dyDescent="0.3">
      <c r="A1526" s="13" t="s">
        <v>9829</v>
      </c>
      <c r="B1526" s="13" t="s">
        <v>11466</v>
      </c>
      <c r="C1526" s="13" t="s">
        <v>11467</v>
      </c>
      <c r="D1526" s="13">
        <v>255</v>
      </c>
      <c r="E1526" s="13" t="s">
        <v>9832</v>
      </c>
      <c r="F1526" s="13">
        <v>5</v>
      </c>
      <c r="G1526" s="13" t="s">
        <v>13348</v>
      </c>
    </row>
    <row r="1527" spans="1:7" ht="201.6" x14ac:dyDescent="0.3">
      <c r="A1527" s="13" t="s">
        <v>9829</v>
      </c>
      <c r="B1527" s="13" t="s">
        <v>11466</v>
      </c>
      <c r="C1527" s="13" t="s">
        <v>11467</v>
      </c>
      <c r="D1527" s="13">
        <v>255</v>
      </c>
      <c r="E1527" s="13" t="s">
        <v>9832</v>
      </c>
      <c r="F1527" s="13">
        <v>5</v>
      </c>
      <c r="G1527" s="13" t="s">
        <v>13348</v>
      </c>
    </row>
    <row r="1528" spans="1:7" ht="201.6" x14ac:dyDescent="0.3">
      <c r="A1528" s="13" t="s">
        <v>9829</v>
      </c>
      <c r="B1528" s="13" t="s">
        <v>11466</v>
      </c>
      <c r="C1528" s="13" t="s">
        <v>11467</v>
      </c>
      <c r="D1528" s="13">
        <v>255</v>
      </c>
      <c r="E1528" s="13" t="s">
        <v>9832</v>
      </c>
      <c r="F1528" s="13">
        <v>5</v>
      </c>
      <c r="G1528" s="13" t="s">
        <v>13348</v>
      </c>
    </row>
    <row r="1529" spans="1:7" ht="201.6" x14ac:dyDescent="0.3">
      <c r="A1529" s="13" t="s">
        <v>9829</v>
      </c>
      <c r="B1529" s="13" t="s">
        <v>11468</v>
      </c>
      <c r="C1529" s="13" t="s">
        <v>11469</v>
      </c>
      <c r="D1529" s="13">
        <v>1302</v>
      </c>
      <c r="E1529" s="13" t="s">
        <v>9832</v>
      </c>
      <c r="F1529" s="13">
        <v>5</v>
      </c>
      <c r="G1529" s="13" t="s">
        <v>13349</v>
      </c>
    </row>
    <row r="1530" spans="1:7" ht="409.6" x14ac:dyDescent="0.3">
      <c r="A1530" s="13" t="s">
        <v>9829</v>
      </c>
      <c r="B1530" s="13" t="s">
        <v>11470</v>
      </c>
      <c r="C1530" s="13" t="s">
        <v>11471</v>
      </c>
      <c r="D1530" s="13">
        <v>944</v>
      </c>
      <c r="E1530" s="13" t="s">
        <v>9832</v>
      </c>
      <c r="F1530" s="13">
        <v>5</v>
      </c>
      <c r="G1530" s="13" t="s">
        <v>13350</v>
      </c>
    </row>
    <row r="1531" spans="1:7" ht="216" x14ac:dyDescent="0.3">
      <c r="A1531" s="13" t="s">
        <v>9829</v>
      </c>
      <c r="B1531" s="13" t="s">
        <v>11472</v>
      </c>
      <c r="C1531" s="13" t="s">
        <v>11473</v>
      </c>
      <c r="D1531" s="13">
        <v>611</v>
      </c>
      <c r="E1531" s="13" t="s">
        <v>9832</v>
      </c>
      <c r="F1531" s="13">
        <v>5</v>
      </c>
      <c r="G1531" s="13" t="s">
        <v>13351</v>
      </c>
    </row>
    <row r="1532" spans="1:7" ht="230.4" x14ac:dyDescent="0.3">
      <c r="A1532" s="13" t="s">
        <v>9829</v>
      </c>
      <c r="B1532" s="13" t="s">
        <v>11474</v>
      </c>
      <c r="C1532" s="13" t="s">
        <v>11475</v>
      </c>
      <c r="D1532" s="13">
        <v>559</v>
      </c>
      <c r="E1532" s="13" t="s">
        <v>9832</v>
      </c>
      <c r="F1532" s="13">
        <v>5</v>
      </c>
      <c r="G1532" s="13" t="s">
        <v>13352</v>
      </c>
    </row>
    <row r="1533" spans="1:7" ht="345.6" x14ac:dyDescent="0.3">
      <c r="A1533" s="13" t="s">
        <v>9829</v>
      </c>
      <c r="B1533" s="13" t="s">
        <v>11476</v>
      </c>
      <c r="C1533" s="13" t="s">
        <v>11477</v>
      </c>
      <c r="D1533" s="13">
        <v>717</v>
      </c>
      <c r="E1533" s="13" t="s">
        <v>9832</v>
      </c>
      <c r="F1533" s="13">
        <v>5</v>
      </c>
      <c r="G1533" s="13" t="s">
        <v>13353</v>
      </c>
    </row>
    <row r="1534" spans="1:7" ht="345.6" x14ac:dyDescent="0.3">
      <c r="A1534" s="13" t="s">
        <v>9829</v>
      </c>
      <c r="B1534" s="13" t="s">
        <v>11476</v>
      </c>
      <c r="C1534" s="13" t="s">
        <v>11477</v>
      </c>
      <c r="D1534" s="13">
        <v>717</v>
      </c>
      <c r="E1534" s="13" t="s">
        <v>9832</v>
      </c>
      <c r="F1534" s="13">
        <v>5</v>
      </c>
      <c r="G1534" s="13" t="s">
        <v>13353</v>
      </c>
    </row>
    <row r="1535" spans="1:7" ht="345.6" x14ac:dyDescent="0.3">
      <c r="A1535" s="13" t="s">
        <v>9829</v>
      </c>
      <c r="B1535" s="13" t="s">
        <v>11476</v>
      </c>
      <c r="C1535" s="13" t="s">
        <v>11477</v>
      </c>
      <c r="D1535" s="13">
        <v>717</v>
      </c>
      <c r="E1535" s="13" t="s">
        <v>9832</v>
      </c>
      <c r="F1535" s="13">
        <v>5</v>
      </c>
      <c r="G1535" s="13" t="s">
        <v>13353</v>
      </c>
    </row>
    <row r="1536" spans="1:7" ht="43.2" x14ac:dyDescent="0.3">
      <c r="A1536" s="13" t="s">
        <v>9829</v>
      </c>
      <c r="B1536" s="13" t="s">
        <v>11478</v>
      </c>
      <c r="C1536" s="13" t="s">
        <v>11479</v>
      </c>
      <c r="D1536" s="13">
        <v>258</v>
      </c>
      <c r="E1536" s="13" t="s">
        <v>9836</v>
      </c>
      <c r="F1536" s="13">
        <v>35</v>
      </c>
      <c r="G1536" s="13" t="s">
        <v>9837</v>
      </c>
    </row>
    <row r="1537" spans="1:7" ht="28.8" x14ac:dyDescent="0.3">
      <c r="A1537" s="13" t="s">
        <v>9829</v>
      </c>
      <c r="B1537" s="13" t="s">
        <v>11480</v>
      </c>
      <c r="C1537" s="13" t="s">
        <v>11481</v>
      </c>
      <c r="D1537" s="13">
        <v>1228</v>
      </c>
      <c r="E1537" s="13" t="s">
        <v>9863</v>
      </c>
      <c r="F1537" s="13">
        <v>8</v>
      </c>
      <c r="G1537" s="13" t="s">
        <v>9837</v>
      </c>
    </row>
    <row r="1538" spans="1:7" ht="43.2" x14ac:dyDescent="0.3">
      <c r="A1538" s="13" t="s">
        <v>9829</v>
      </c>
      <c r="B1538" s="13" t="s">
        <v>11482</v>
      </c>
      <c r="C1538" s="13" t="s">
        <v>11483</v>
      </c>
      <c r="D1538" s="13">
        <v>1229</v>
      </c>
      <c r="E1538" s="13" t="s">
        <v>9836</v>
      </c>
      <c r="F1538" s="13">
        <v>45</v>
      </c>
      <c r="G1538" s="13" t="s">
        <v>9837</v>
      </c>
    </row>
    <row r="1539" spans="1:7" ht="409.6" x14ac:dyDescent="0.3">
      <c r="A1539" s="13" t="s">
        <v>9829</v>
      </c>
      <c r="B1539" s="13" t="s">
        <v>11484</v>
      </c>
      <c r="C1539" s="13" t="s">
        <v>11485</v>
      </c>
      <c r="D1539" s="13">
        <v>1230</v>
      </c>
      <c r="E1539" s="13" t="s">
        <v>9832</v>
      </c>
      <c r="F1539" s="13">
        <v>5</v>
      </c>
      <c r="G1539" s="13" t="s">
        <v>13187</v>
      </c>
    </row>
    <row r="1540" spans="1:7" ht="28.8" x14ac:dyDescent="0.3">
      <c r="A1540" s="13" t="s">
        <v>9829</v>
      </c>
      <c r="B1540" s="13" t="s">
        <v>11486</v>
      </c>
      <c r="C1540" s="13" t="s">
        <v>11487</v>
      </c>
      <c r="D1540" s="13">
        <v>1319</v>
      </c>
      <c r="E1540" s="13" t="s">
        <v>9901</v>
      </c>
      <c r="F1540" s="13">
        <v>3</v>
      </c>
      <c r="G1540" s="13" t="s">
        <v>9837</v>
      </c>
    </row>
    <row r="1541" spans="1:7" ht="409.6" x14ac:dyDescent="0.3">
      <c r="A1541" s="13" t="s">
        <v>9829</v>
      </c>
      <c r="B1541" s="13" t="s">
        <v>11488</v>
      </c>
      <c r="C1541" s="13" t="s">
        <v>11489</v>
      </c>
      <c r="D1541" s="13">
        <v>773</v>
      </c>
      <c r="E1541" s="13" t="s">
        <v>9832</v>
      </c>
      <c r="F1541" s="13">
        <v>5</v>
      </c>
      <c r="G1541" s="13" t="s">
        <v>13354</v>
      </c>
    </row>
    <row r="1542" spans="1:7" ht="28.8" x14ac:dyDescent="0.3">
      <c r="A1542" s="13" t="s">
        <v>9829</v>
      </c>
      <c r="B1542" s="13" t="s">
        <v>11490</v>
      </c>
      <c r="C1542" s="13" t="s">
        <v>11491</v>
      </c>
      <c r="D1542" s="13">
        <v>1465</v>
      </c>
      <c r="E1542" s="13" t="s">
        <v>9832</v>
      </c>
      <c r="F1542" s="13">
        <v>5</v>
      </c>
      <c r="G1542" s="13" t="s">
        <v>9833</v>
      </c>
    </row>
    <row r="1543" spans="1:7" ht="28.8" x14ac:dyDescent="0.3">
      <c r="A1543" s="13" t="s">
        <v>9829</v>
      </c>
      <c r="B1543" s="13" t="s">
        <v>11492</v>
      </c>
      <c r="C1543" s="13" t="s">
        <v>11493</v>
      </c>
      <c r="D1543" s="13">
        <v>471</v>
      </c>
      <c r="E1543" s="13" t="s">
        <v>9863</v>
      </c>
      <c r="F1543" s="13">
        <v>8</v>
      </c>
      <c r="G1543" s="13" t="s">
        <v>9837</v>
      </c>
    </row>
    <row r="1544" spans="1:7" ht="57.6" x14ac:dyDescent="0.3">
      <c r="A1544" s="13" t="s">
        <v>9829</v>
      </c>
      <c r="B1544" s="13" t="s">
        <v>11494</v>
      </c>
      <c r="C1544" s="13" t="s">
        <v>11495</v>
      </c>
      <c r="D1544" s="13">
        <v>1102</v>
      </c>
      <c r="E1544" s="13" t="s">
        <v>9836</v>
      </c>
      <c r="F1544" s="13">
        <v>30</v>
      </c>
      <c r="G1544" s="13" t="s">
        <v>9837</v>
      </c>
    </row>
    <row r="1545" spans="1:7" ht="72" x14ac:dyDescent="0.3">
      <c r="A1545" s="13" t="s">
        <v>9829</v>
      </c>
      <c r="B1545" s="13" t="s">
        <v>11496</v>
      </c>
      <c r="C1545" s="13" t="s">
        <v>11497</v>
      </c>
      <c r="D1545" s="13">
        <v>763</v>
      </c>
      <c r="E1545" s="13" t="s">
        <v>9832</v>
      </c>
      <c r="F1545" s="13">
        <v>5</v>
      </c>
      <c r="G1545" s="13" t="s">
        <v>13355</v>
      </c>
    </row>
    <row r="1546" spans="1:7" ht="43.2" x14ac:dyDescent="0.3">
      <c r="A1546" s="13" t="s">
        <v>9829</v>
      </c>
      <c r="B1546" s="13" t="s">
        <v>11498</v>
      </c>
      <c r="C1546" s="13" t="s">
        <v>11499</v>
      </c>
      <c r="D1546" s="13">
        <v>1880</v>
      </c>
      <c r="E1546" s="13" t="s">
        <v>9836</v>
      </c>
      <c r="F1546" s="13">
        <v>50</v>
      </c>
      <c r="G1546" s="13" t="s">
        <v>9837</v>
      </c>
    </row>
    <row r="1547" spans="1:7" ht="230.4" x14ac:dyDescent="0.3">
      <c r="A1547" s="13" t="s">
        <v>9829</v>
      </c>
      <c r="B1547" s="13" t="s">
        <v>11500</v>
      </c>
      <c r="C1547" s="13" t="s">
        <v>11501</v>
      </c>
      <c r="D1547" s="13">
        <v>1448</v>
      </c>
      <c r="E1547" s="13" t="s">
        <v>9832</v>
      </c>
      <c r="F1547" s="13">
        <v>5</v>
      </c>
      <c r="G1547" s="13" t="s">
        <v>13356</v>
      </c>
    </row>
    <row r="1548" spans="1:7" ht="230.4" x14ac:dyDescent="0.3">
      <c r="A1548" s="13" t="s">
        <v>9829</v>
      </c>
      <c r="B1548" s="13" t="s">
        <v>11500</v>
      </c>
      <c r="C1548" s="13" t="s">
        <v>11501</v>
      </c>
      <c r="D1548" s="13">
        <v>1448</v>
      </c>
      <c r="E1548" s="13" t="s">
        <v>9832</v>
      </c>
      <c r="F1548" s="13">
        <v>5</v>
      </c>
      <c r="G1548" s="13" t="s">
        <v>13356</v>
      </c>
    </row>
    <row r="1549" spans="1:7" ht="230.4" x14ac:dyDescent="0.3">
      <c r="A1549" s="13" t="s">
        <v>9829</v>
      </c>
      <c r="B1549" s="13" t="s">
        <v>11500</v>
      </c>
      <c r="C1549" s="13" t="s">
        <v>11501</v>
      </c>
      <c r="D1549" s="13">
        <v>1448</v>
      </c>
      <c r="E1549" s="13" t="s">
        <v>9832</v>
      </c>
      <c r="F1549" s="13">
        <v>5</v>
      </c>
      <c r="G1549" s="13" t="s">
        <v>13356</v>
      </c>
    </row>
    <row r="1550" spans="1:7" ht="28.8" x14ac:dyDescent="0.3">
      <c r="A1550" s="13" t="s">
        <v>9829</v>
      </c>
      <c r="B1550" s="13" t="s">
        <v>11502</v>
      </c>
      <c r="C1550" s="13" t="s">
        <v>11503</v>
      </c>
      <c r="D1550" s="13">
        <v>811</v>
      </c>
      <c r="E1550" s="13" t="s">
        <v>9836</v>
      </c>
      <c r="F1550" s="13">
        <v>60</v>
      </c>
      <c r="G1550" s="13" t="s">
        <v>9837</v>
      </c>
    </row>
    <row r="1551" spans="1:7" ht="28.8" x14ac:dyDescent="0.3">
      <c r="A1551" s="13" t="s">
        <v>9829</v>
      </c>
      <c r="B1551" s="13" t="s">
        <v>11502</v>
      </c>
      <c r="C1551" s="13" t="s">
        <v>11503</v>
      </c>
      <c r="D1551" s="13">
        <v>811</v>
      </c>
      <c r="E1551" s="13" t="s">
        <v>9836</v>
      </c>
      <c r="F1551" s="13">
        <v>60</v>
      </c>
      <c r="G1551" s="13" t="s">
        <v>9837</v>
      </c>
    </row>
    <row r="1552" spans="1:7" ht="43.2" x14ac:dyDescent="0.3">
      <c r="A1552" s="13" t="s">
        <v>9829</v>
      </c>
      <c r="B1552" s="13" t="s">
        <v>11504</v>
      </c>
      <c r="C1552" s="13" t="s">
        <v>11505</v>
      </c>
      <c r="D1552" s="13">
        <v>1238</v>
      </c>
      <c r="E1552" s="13" t="s">
        <v>9863</v>
      </c>
      <c r="F1552" s="13">
        <v>8</v>
      </c>
      <c r="G1552" s="13" t="s">
        <v>9837</v>
      </c>
    </row>
    <row r="1553" spans="1:7" ht="43.2" x14ac:dyDescent="0.3">
      <c r="A1553" s="13" t="s">
        <v>9829</v>
      </c>
      <c r="B1553" s="13" t="s">
        <v>11504</v>
      </c>
      <c r="C1553" s="13" t="s">
        <v>11505</v>
      </c>
      <c r="D1553" s="13">
        <v>1238</v>
      </c>
      <c r="E1553" s="13" t="s">
        <v>9863</v>
      </c>
      <c r="F1553" s="13">
        <v>8</v>
      </c>
      <c r="G1553" s="13" t="s">
        <v>9837</v>
      </c>
    </row>
    <row r="1554" spans="1:7" ht="409.6" x14ac:dyDescent="0.3">
      <c r="A1554" s="13" t="s">
        <v>9829</v>
      </c>
      <c r="B1554" s="13" t="s">
        <v>11506</v>
      </c>
      <c r="C1554" s="13" t="s">
        <v>11507</v>
      </c>
      <c r="D1554" s="13">
        <v>1239</v>
      </c>
      <c r="E1554" s="13" t="s">
        <v>9832</v>
      </c>
      <c r="F1554" s="13">
        <v>5</v>
      </c>
      <c r="G1554" s="13" t="s">
        <v>13187</v>
      </c>
    </row>
    <row r="1555" spans="1:7" ht="409.6" x14ac:dyDescent="0.3">
      <c r="A1555" s="13" t="s">
        <v>9829</v>
      </c>
      <c r="B1555" s="13" t="s">
        <v>11506</v>
      </c>
      <c r="C1555" s="13" t="s">
        <v>11507</v>
      </c>
      <c r="D1555" s="13">
        <v>1239</v>
      </c>
      <c r="E1555" s="13" t="s">
        <v>9832</v>
      </c>
      <c r="F1555" s="13">
        <v>5</v>
      </c>
      <c r="G1555" s="13" t="s">
        <v>13187</v>
      </c>
    </row>
    <row r="1556" spans="1:7" ht="28.8" x14ac:dyDescent="0.3">
      <c r="A1556" s="13" t="s">
        <v>9829</v>
      </c>
      <c r="B1556" s="13" t="s">
        <v>11508</v>
      </c>
      <c r="C1556" s="13" t="s">
        <v>11509</v>
      </c>
      <c r="D1556" s="13">
        <v>1242</v>
      </c>
      <c r="E1556" s="13" t="s">
        <v>9863</v>
      </c>
      <c r="F1556" s="13">
        <v>8</v>
      </c>
      <c r="G1556" s="13" t="s">
        <v>9837</v>
      </c>
    </row>
    <row r="1557" spans="1:7" ht="28.8" x14ac:dyDescent="0.3">
      <c r="A1557" s="13" t="s">
        <v>9829</v>
      </c>
      <c r="B1557" s="13" t="s">
        <v>11508</v>
      </c>
      <c r="C1557" s="13" t="s">
        <v>11509</v>
      </c>
      <c r="D1557" s="13">
        <v>1242</v>
      </c>
      <c r="E1557" s="13" t="s">
        <v>9863</v>
      </c>
      <c r="F1557" s="13">
        <v>8</v>
      </c>
      <c r="G1557" s="13" t="s">
        <v>9837</v>
      </c>
    </row>
    <row r="1558" spans="1:7" ht="43.2" x14ac:dyDescent="0.3">
      <c r="A1558" s="13" t="s">
        <v>9829</v>
      </c>
      <c r="B1558" s="13" t="s">
        <v>11510</v>
      </c>
      <c r="C1558" s="13" t="s">
        <v>11511</v>
      </c>
      <c r="D1558" s="13">
        <v>959</v>
      </c>
      <c r="E1558" s="13" t="s">
        <v>9901</v>
      </c>
      <c r="F1558" s="13">
        <v>4</v>
      </c>
      <c r="G1558" s="13" t="s">
        <v>9837</v>
      </c>
    </row>
    <row r="1559" spans="1:7" ht="43.2" x14ac:dyDescent="0.3">
      <c r="A1559" s="13" t="s">
        <v>9829</v>
      </c>
      <c r="B1559" s="13" t="s">
        <v>11510</v>
      </c>
      <c r="C1559" s="13" t="s">
        <v>11511</v>
      </c>
      <c r="D1559" s="13">
        <v>959</v>
      </c>
      <c r="E1559" s="13" t="s">
        <v>9901</v>
      </c>
      <c r="F1559" s="13">
        <v>4</v>
      </c>
      <c r="G1559" s="13" t="s">
        <v>9837</v>
      </c>
    </row>
    <row r="1560" spans="1:7" ht="216" x14ac:dyDescent="0.3">
      <c r="A1560" s="13" t="s">
        <v>9829</v>
      </c>
      <c r="B1560" s="13" t="s">
        <v>11512</v>
      </c>
      <c r="C1560" s="13" t="s">
        <v>11513</v>
      </c>
      <c r="D1560" s="13">
        <v>1277</v>
      </c>
      <c r="E1560" s="13" t="s">
        <v>9832</v>
      </c>
      <c r="F1560" s="13">
        <v>5</v>
      </c>
      <c r="G1560" s="13" t="s">
        <v>13193</v>
      </c>
    </row>
    <row r="1561" spans="1:7" ht="409.6" x14ac:dyDescent="0.3">
      <c r="A1561" s="13" t="s">
        <v>9829</v>
      </c>
      <c r="B1561" s="13" t="s">
        <v>11514</v>
      </c>
      <c r="C1561" s="13" t="s">
        <v>11515</v>
      </c>
      <c r="D1561" s="13">
        <v>307</v>
      </c>
      <c r="E1561" s="13" t="s">
        <v>9832</v>
      </c>
      <c r="F1561" s="13">
        <v>5</v>
      </c>
      <c r="G1561" s="13" t="s">
        <v>13357</v>
      </c>
    </row>
    <row r="1562" spans="1:7" ht="409.6" x14ac:dyDescent="0.3">
      <c r="A1562" s="13" t="s">
        <v>9829</v>
      </c>
      <c r="B1562" s="13" t="s">
        <v>11514</v>
      </c>
      <c r="C1562" s="13" t="s">
        <v>11515</v>
      </c>
      <c r="D1562" s="13">
        <v>307</v>
      </c>
      <c r="E1562" s="13" t="s">
        <v>9832</v>
      </c>
      <c r="F1562" s="13">
        <v>5</v>
      </c>
      <c r="G1562" s="13" t="s">
        <v>13357</v>
      </c>
    </row>
    <row r="1563" spans="1:7" ht="409.6" x14ac:dyDescent="0.3">
      <c r="A1563" s="13" t="s">
        <v>9829</v>
      </c>
      <c r="B1563" s="13" t="s">
        <v>11514</v>
      </c>
      <c r="C1563" s="13" t="s">
        <v>11515</v>
      </c>
      <c r="D1563" s="13">
        <v>307</v>
      </c>
      <c r="E1563" s="13" t="s">
        <v>9832</v>
      </c>
      <c r="F1563" s="13">
        <v>5</v>
      </c>
      <c r="G1563" s="13" t="s">
        <v>13357</v>
      </c>
    </row>
    <row r="1564" spans="1:7" ht="409.6" x14ac:dyDescent="0.3">
      <c r="A1564" s="13" t="s">
        <v>9829</v>
      </c>
      <c r="B1564" s="13" t="s">
        <v>11516</v>
      </c>
      <c r="C1564" s="13" t="s">
        <v>11517</v>
      </c>
      <c r="D1564" s="13">
        <v>1167</v>
      </c>
      <c r="E1564" s="13" t="s">
        <v>9832</v>
      </c>
      <c r="F1564" s="13">
        <v>5</v>
      </c>
      <c r="G1564" s="13" t="s">
        <v>13358</v>
      </c>
    </row>
    <row r="1565" spans="1:7" ht="409.6" x14ac:dyDescent="0.3">
      <c r="A1565" s="13" t="s">
        <v>9829</v>
      </c>
      <c r="B1565" s="13" t="s">
        <v>11516</v>
      </c>
      <c r="C1565" s="13" t="s">
        <v>11517</v>
      </c>
      <c r="D1565" s="13">
        <v>1167</v>
      </c>
      <c r="E1565" s="13" t="s">
        <v>9832</v>
      </c>
      <c r="F1565" s="13">
        <v>5</v>
      </c>
      <c r="G1565" s="13" t="s">
        <v>13358</v>
      </c>
    </row>
    <row r="1566" spans="1:7" ht="409.6" x14ac:dyDescent="0.3">
      <c r="A1566" s="13" t="s">
        <v>9829</v>
      </c>
      <c r="B1566" s="13" t="s">
        <v>11518</v>
      </c>
      <c r="C1566" s="13" t="s">
        <v>11519</v>
      </c>
      <c r="D1566" s="13">
        <v>1260</v>
      </c>
      <c r="E1566" s="13" t="s">
        <v>9832</v>
      </c>
      <c r="F1566" s="13">
        <v>5</v>
      </c>
      <c r="G1566" s="13" t="s">
        <v>13172</v>
      </c>
    </row>
    <row r="1567" spans="1:7" ht="409.6" x14ac:dyDescent="0.3">
      <c r="A1567" s="13" t="s">
        <v>9829</v>
      </c>
      <c r="B1567" s="13" t="s">
        <v>11520</v>
      </c>
      <c r="C1567" s="13" t="s">
        <v>11521</v>
      </c>
      <c r="D1567" s="13">
        <v>1262</v>
      </c>
      <c r="E1567" s="13" t="s">
        <v>9832</v>
      </c>
      <c r="F1567" s="13">
        <v>5</v>
      </c>
      <c r="G1567" s="13" t="s">
        <v>13172</v>
      </c>
    </row>
    <row r="1568" spans="1:7" ht="409.6" x14ac:dyDescent="0.3">
      <c r="A1568" s="13" t="s">
        <v>9829</v>
      </c>
      <c r="B1568" s="13" t="s">
        <v>11522</v>
      </c>
      <c r="C1568" s="13" t="s">
        <v>11523</v>
      </c>
      <c r="D1568" s="13">
        <v>1261</v>
      </c>
      <c r="E1568" s="13" t="s">
        <v>9832</v>
      </c>
      <c r="F1568" s="13">
        <v>5</v>
      </c>
      <c r="G1568" s="13" t="s">
        <v>13172</v>
      </c>
    </row>
    <row r="1569" spans="1:7" ht="43.2" x14ac:dyDescent="0.3">
      <c r="A1569" s="13" t="s">
        <v>9829</v>
      </c>
      <c r="B1569" s="13" t="s">
        <v>11524</v>
      </c>
      <c r="C1569" s="13" t="s">
        <v>11525</v>
      </c>
      <c r="D1569" s="13">
        <v>1395</v>
      </c>
      <c r="E1569" s="13" t="s">
        <v>9836</v>
      </c>
      <c r="F1569" s="13">
        <v>25</v>
      </c>
      <c r="G1569" s="13" t="s">
        <v>9837</v>
      </c>
    </row>
    <row r="1570" spans="1:7" ht="43.2" x14ac:dyDescent="0.3">
      <c r="A1570" s="13" t="s">
        <v>9829</v>
      </c>
      <c r="B1570" s="13" t="s">
        <v>11524</v>
      </c>
      <c r="C1570" s="13" t="s">
        <v>11525</v>
      </c>
      <c r="D1570" s="13">
        <v>1395</v>
      </c>
      <c r="E1570" s="13" t="s">
        <v>9836</v>
      </c>
      <c r="F1570" s="13">
        <v>25</v>
      </c>
      <c r="G1570" s="13" t="s">
        <v>9837</v>
      </c>
    </row>
    <row r="1571" spans="1:7" ht="43.2" x14ac:dyDescent="0.3">
      <c r="A1571" s="13" t="s">
        <v>9829</v>
      </c>
      <c r="B1571" s="13" t="s">
        <v>11524</v>
      </c>
      <c r="C1571" s="13" t="s">
        <v>11525</v>
      </c>
      <c r="D1571" s="13">
        <v>1395</v>
      </c>
      <c r="E1571" s="13" t="s">
        <v>9836</v>
      </c>
      <c r="F1571" s="13">
        <v>25</v>
      </c>
      <c r="G1571" s="13" t="s">
        <v>9837</v>
      </c>
    </row>
    <row r="1572" spans="1:7" ht="43.2" x14ac:dyDescent="0.3">
      <c r="A1572" s="13" t="s">
        <v>9829</v>
      </c>
      <c r="B1572" s="13" t="s">
        <v>11524</v>
      </c>
      <c r="C1572" s="13" t="s">
        <v>11525</v>
      </c>
      <c r="D1572" s="13">
        <v>1395</v>
      </c>
      <c r="E1572" s="13" t="s">
        <v>9836</v>
      </c>
      <c r="F1572" s="13">
        <v>25</v>
      </c>
      <c r="G1572" s="13" t="s">
        <v>9837</v>
      </c>
    </row>
    <row r="1573" spans="1:7" ht="43.2" x14ac:dyDescent="0.3">
      <c r="A1573" s="13" t="s">
        <v>9829</v>
      </c>
      <c r="B1573" s="13" t="s">
        <v>11524</v>
      </c>
      <c r="C1573" s="13" t="s">
        <v>11525</v>
      </c>
      <c r="D1573" s="13">
        <v>1395</v>
      </c>
      <c r="E1573" s="13" t="s">
        <v>9836</v>
      </c>
      <c r="F1573" s="13">
        <v>25</v>
      </c>
      <c r="G1573" s="13" t="s">
        <v>9837</v>
      </c>
    </row>
    <row r="1574" spans="1:7" ht="43.2" x14ac:dyDescent="0.3">
      <c r="A1574" s="13" t="s">
        <v>9829</v>
      </c>
      <c r="B1574" s="13" t="s">
        <v>11524</v>
      </c>
      <c r="C1574" s="13" t="s">
        <v>11525</v>
      </c>
      <c r="D1574" s="13">
        <v>1395</v>
      </c>
      <c r="E1574" s="13" t="s">
        <v>9836</v>
      </c>
      <c r="F1574" s="13">
        <v>25</v>
      </c>
      <c r="G1574" s="13" t="s">
        <v>9837</v>
      </c>
    </row>
    <row r="1575" spans="1:7" ht="43.2" x14ac:dyDescent="0.3">
      <c r="A1575" s="13" t="s">
        <v>9829</v>
      </c>
      <c r="B1575" s="13" t="s">
        <v>11524</v>
      </c>
      <c r="C1575" s="13" t="s">
        <v>11525</v>
      </c>
      <c r="D1575" s="13">
        <v>1395</v>
      </c>
      <c r="E1575" s="13" t="s">
        <v>9836</v>
      </c>
      <c r="F1575" s="13">
        <v>25</v>
      </c>
      <c r="G1575" s="13" t="s">
        <v>9837</v>
      </c>
    </row>
    <row r="1576" spans="1:7" ht="43.2" x14ac:dyDescent="0.3">
      <c r="A1576" s="13" t="s">
        <v>9829</v>
      </c>
      <c r="B1576" s="13" t="s">
        <v>11524</v>
      </c>
      <c r="C1576" s="13" t="s">
        <v>11525</v>
      </c>
      <c r="D1576" s="13">
        <v>1395</v>
      </c>
      <c r="E1576" s="13" t="s">
        <v>9836</v>
      </c>
      <c r="F1576" s="13">
        <v>25</v>
      </c>
      <c r="G1576" s="13" t="s">
        <v>9837</v>
      </c>
    </row>
    <row r="1577" spans="1:7" ht="100.8" x14ac:dyDescent="0.3">
      <c r="A1577" s="13" t="s">
        <v>9829</v>
      </c>
      <c r="B1577" s="13" t="s">
        <v>11526</v>
      </c>
      <c r="C1577" s="13" t="s">
        <v>11527</v>
      </c>
      <c r="D1577" s="13">
        <v>581</v>
      </c>
      <c r="E1577" s="13" t="s">
        <v>9880</v>
      </c>
      <c r="F1577" s="13">
        <v>6.2</v>
      </c>
      <c r="G1577" s="13" t="s">
        <v>9837</v>
      </c>
    </row>
    <row r="1578" spans="1:7" ht="201.6" x14ac:dyDescent="0.3">
      <c r="A1578" s="13" t="s">
        <v>9829</v>
      </c>
      <c r="B1578" s="13" t="s">
        <v>11528</v>
      </c>
      <c r="C1578" s="13" t="s">
        <v>11529</v>
      </c>
      <c r="D1578" s="13">
        <v>1543</v>
      </c>
      <c r="E1578" s="13" t="s">
        <v>9832</v>
      </c>
      <c r="F1578" s="13">
        <v>5</v>
      </c>
      <c r="G1578" s="13" t="s">
        <v>13359</v>
      </c>
    </row>
    <row r="1579" spans="1:7" ht="201.6" x14ac:dyDescent="0.3">
      <c r="A1579" s="13" t="s">
        <v>9829</v>
      </c>
      <c r="B1579" s="13" t="s">
        <v>11530</v>
      </c>
      <c r="C1579" s="13" t="s">
        <v>11531</v>
      </c>
      <c r="D1579" s="13">
        <v>1544</v>
      </c>
      <c r="E1579" s="13" t="s">
        <v>9832</v>
      </c>
      <c r="F1579" s="13">
        <v>5</v>
      </c>
      <c r="G1579" s="13" t="s">
        <v>13360</v>
      </c>
    </row>
    <row r="1580" spans="1:7" ht="172.8" x14ac:dyDescent="0.3">
      <c r="A1580" s="13" t="s">
        <v>9829</v>
      </c>
      <c r="B1580" s="13" t="s">
        <v>11532</v>
      </c>
      <c r="C1580" s="13" t="s">
        <v>11533</v>
      </c>
      <c r="D1580" s="13">
        <v>1545</v>
      </c>
      <c r="E1580" s="13" t="s">
        <v>9832</v>
      </c>
      <c r="F1580" s="13">
        <v>5</v>
      </c>
      <c r="G1580" s="13" t="s">
        <v>13361</v>
      </c>
    </row>
    <row r="1581" spans="1:7" ht="43.2" x14ac:dyDescent="0.3">
      <c r="A1581" s="13" t="s">
        <v>9829</v>
      </c>
      <c r="B1581" s="13" t="s">
        <v>11534</v>
      </c>
      <c r="C1581" s="13" t="s">
        <v>11535</v>
      </c>
      <c r="D1581" s="13">
        <v>1091</v>
      </c>
      <c r="E1581" s="13" t="s">
        <v>9836</v>
      </c>
      <c r="F1581" s="13">
        <v>30</v>
      </c>
      <c r="G1581" s="13" t="s">
        <v>9837</v>
      </c>
    </row>
    <row r="1582" spans="1:7" ht="43.2" x14ac:dyDescent="0.3">
      <c r="A1582" s="13" t="s">
        <v>9829</v>
      </c>
      <c r="B1582" s="13" t="s">
        <v>11534</v>
      </c>
      <c r="C1582" s="13" t="s">
        <v>11535</v>
      </c>
      <c r="D1582" s="13">
        <v>1091</v>
      </c>
      <c r="E1582" s="13" t="s">
        <v>9836</v>
      </c>
      <c r="F1582" s="13">
        <v>30</v>
      </c>
      <c r="G1582" s="13" t="s">
        <v>9837</v>
      </c>
    </row>
    <row r="1583" spans="1:7" ht="409.6" x14ac:dyDescent="0.3">
      <c r="A1583" s="13" t="s">
        <v>9829</v>
      </c>
      <c r="B1583" s="13" t="s">
        <v>11536</v>
      </c>
      <c r="C1583" s="13" t="s">
        <v>11537</v>
      </c>
      <c r="D1583" s="13">
        <v>1090</v>
      </c>
      <c r="E1583" s="13" t="s">
        <v>9832</v>
      </c>
      <c r="F1583" s="13">
        <v>5</v>
      </c>
      <c r="G1583" s="13" t="s">
        <v>13362</v>
      </c>
    </row>
    <row r="1584" spans="1:7" ht="409.6" x14ac:dyDescent="0.3">
      <c r="A1584" s="13" t="s">
        <v>9829</v>
      </c>
      <c r="B1584" s="13" t="s">
        <v>11536</v>
      </c>
      <c r="C1584" s="13" t="s">
        <v>11537</v>
      </c>
      <c r="D1584" s="13">
        <v>1090</v>
      </c>
      <c r="E1584" s="13" t="s">
        <v>9832</v>
      </c>
      <c r="F1584" s="13">
        <v>5</v>
      </c>
      <c r="G1584" s="13" t="s">
        <v>13362</v>
      </c>
    </row>
    <row r="1585" spans="1:7" ht="172.8" x14ac:dyDescent="0.3">
      <c r="A1585" s="13" t="s">
        <v>9829</v>
      </c>
      <c r="B1585" s="13" t="s">
        <v>11538</v>
      </c>
      <c r="C1585" s="13" t="s">
        <v>11539</v>
      </c>
      <c r="D1585" s="13">
        <v>1092</v>
      </c>
      <c r="E1585" s="13" t="s">
        <v>9836</v>
      </c>
      <c r="F1585" s="13">
        <v>30</v>
      </c>
      <c r="G1585" s="13" t="s">
        <v>9837</v>
      </c>
    </row>
    <row r="1586" spans="1:7" ht="172.8" x14ac:dyDescent="0.3">
      <c r="A1586" s="13" t="s">
        <v>9829</v>
      </c>
      <c r="B1586" s="13" t="s">
        <v>11538</v>
      </c>
      <c r="C1586" s="13" t="s">
        <v>11539</v>
      </c>
      <c r="D1586" s="13">
        <v>1092</v>
      </c>
      <c r="E1586" s="13" t="s">
        <v>9836</v>
      </c>
      <c r="F1586" s="13">
        <v>30</v>
      </c>
      <c r="G1586" s="13" t="s">
        <v>9837</v>
      </c>
    </row>
    <row r="1587" spans="1:7" ht="43.2" x14ac:dyDescent="0.3">
      <c r="A1587" s="13" t="s">
        <v>9829</v>
      </c>
      <c r="B1587" s="13" t="s">
        <v>11540</v>
      </c>
      <c r="C1587" s="13" t="s">
        <v>11541</v>
      </c>
      <c r="D1587" s="13">
        <v>575</v>
      </c>
      <c r="E1587" s="13" t="s">
        <v>9836</v>
      </c>
      <c r="F1587" s="13">
        <v>45</v>
      </c>
      <c r="G1587" s="13" t="s">
        <v>9837</v>
      </c>
    </row>
    <row r="1588" spans="1:7" ht="57.6" x14ac:dyDescent="0.3">
      <c r="A1588" s="13" t="s">
        <v>9829</v>
      </c>
      <c r="B1588" s="13" t="s">
        <v>11542</v>
      </c>
      <c r="C1588" s="13" t="s">
        <v>11543</v>
      </c>
      <c r="D1588" s="13">
        <v>722</v>
      </c>
      <c r="E1588" s="13" t="s">
        <v>9836</v>
      </c>
      <c r="F1588" s="13">
        <v>60</v>
      </c>
      <c r="G1588" s="13" t="s">
        <v>9837</v>
      </c>
    </row>
    <row r="1589" spans="1:7" ht="43.2" x14ac:dyDescent="0.3">
      <c r="A1589" s="13" t="s">
        <v>9829</v>
      </c>
      <c r="B1589" s="13" t="s">
        <v>11544</v>
      </c>
      <c r="C1589" s="13" t="s">
        <v>11545</v>
      </c>
      <c r="D1589" s="13">
        <v>346</v>
      </c>
      <c r="E1589" s="13" t="s">
        <v>9836</v>
      </c>
      <c r="F1589" s="13">
        <v>80</v>
      </c>
      <c r="G1589" s="13" t="s">
        <v>9837</v>
      </c>
    </row>
    <row r="1590" spans="1:7" ht="201.6" x14ac:dyDescent="0.3">
      <c r="A1590" s="13" t="s">
        <v>9829</v>
      </c>
      <c r="B1590" s="13" t="s">
        <v>11546</v>
      </c>
      <c r="C1590" s="13" t="s">
        <v>11547</v>
      </c>
      <c r="D1590" s="13">
        <v>810</v>
      </c>
      <c r="E1590" s="13" t="s">
        <v>9836</v>
      </c>
      <c r="F1590" s="13">
        <v>60</v>
      </c>
      <c r="G1590" s="13" t="s">
        <v>9837</v>
      </c>
    </row>
    <row r="1591" spans="1:7" ht="230.4" x14ac:dyDescent="0.3">
      <c r="A1591" s="13" t="s">
        <v>9829</v>
      </c>
      <c r="B1591" s="13" t="s">
        <v>11548</v>
      </c>
      <c r="C1591" s="13" t="s">
        <v>11549</v>
      </c>
      <c r="D1591" s="13">
        <v>1546</v>
      </c>
      <c r="E1591" s="13" t="s">
        <v>9832</v>
      </c>
      <c r="F1591" s="13">
        <v>5</v>
      </c>
      <c r="G1591" s="13" t="s">
        <v>13363</v>
      </c>
    </row>
    <row r="1592" spans="1:7" ht="172.8" x14ac:dyDescent="0.3">
      <c r="A1592" s="13" t="s">
        <v>9829</v>
      </c>
      <c r="B1592" s="13" t="s">
        <v>11548</v>
      </c>
      <c r="C1592" s="13" t="s">
        <v>11549</v>
      </c>
      <c r="D1592" s="13">
        <v>1546</v>
      </c>
      <c r="E1592" s="13" t="s">
        <v>9832</v>
      </c>
      <c r="F1592" s="13">
        <v>5</v>
      </c>
      <c r="G1592" s="13" t="s">
        <v>13361</v>
      </c>
    </row>
    <row r="1593" spans="1:7" ht="43.2" x14ac:dyDescent="0.3">
      <c r="A1593" s="13" t="s">
        <v>9829</v>
      </c>
      <c r="B1593" s="13" t="s">
        <v>11550</v>
      </c>
      <c r="C1593" s="13" t="s">
        <v>11551</v>
      </c>
      <c r="D1593" s="13">
        <v>452</v>
      </c>
      <c r="E1593" s="13" t="s">
        <v>9836</v>
      </c>
      <c r="F1593" s="13">
        <v>60</v>
      </c>
      <c r="G1593" s="13" t="s">
        <v>9837</v>
      </c>
    </row>
    <row r="1594" spans="1:7" ht="43.2" x14ac:dyDescent="0.3">
      <c r="A1594" s="13" t="s">
        <v>9829</v>
      </c>
      <c r="B1594" s="13" t="s">
        <v>11552</v>
      </c>
      <c r="C1594" s="13" t="s">
        <v>11553</v>
      </c>
      <c r="D1594" s="13">
        <v>837</v>
      </c>
      <c r="E1594" s="13" t="s">
        <v>9836</v>
      </c>
      <c r="F1594" s="13">
        <v>35</v>
      </c>
      <c r="G1594" s="13" t="s">
        <v>9837</v>
      </c>
    </row>
    <row r="1595" spans="1:7" ht="57.6" x14ac:dyDescent="0.3">
      <c r="A1595" s="13" t="s">
        <v>9829</v>
      </c>
      <c r="B1595" s="13" t="s">
        <v>6720</v>
      </c>
      <c r="C1595" s="13" t="s">
        <v>11554</v>
      </c>
      <c r="D1595" s="13">
        <v>1444</v>
      </c>
      <c r="E1595" s="13" t="s">
        <v>9880</v>
      </c>
      <c r="F1595" s="13">
        <v>1.2</v>
      </c>
      <c r="G1595" s="13" t="s">
        <v>9837</v>
      </c>
    </row>
    <row r="1596" spans="1:7" ht="57.6" x14ac:dyDescent="0.3">
      <c r="A1596" s="13" t="s">
        <v>9829</v>
      </c>
      <c r="B1596" s="13" t="s">
        <v>6720</v>
      </c>
      <c r="C1596" s="13" t="s">
        <v>11554</v>
      </c>
      <c r="D1596" s="13">
        <v>1444</v>
      </c>
      <c r="E1596" s="13" t="s">
        <v>9880</v>
      </c>
      <c r="F1596" s="13">
        <v>1.2</v>
      </c>
      <c r="G1596" s="13" t="s">
        <v>9837</v>
      </c>
    </row>
    <row r="1597" spans="1:7" ht="129.6" x14ac:dyDescent="0.3">
      <c r="A1597" s="13" t="s">
        <v>9829</v>
      </c>
      <c r="B1597" s="13" t="s">
        <v>11555</v>
      </c>
      <c r="C1597" s="13" t="s">
        <v>11556</v>
      </c>
      <c r="D1597" s="13">
        <v>840</v>
      </c>
      <c r="E1597" s="13" t="s">
        <v>9832</v>
      </c>
      <c r="F1597" s="13">
        <v>5</v>
      </c>
      <c r="G1597" s="13" t="s">
        <v>9833</v>
      </c>
    </row>
    <row r="1598" spans="1:7" ht="409.6" x14ac:dyDescent="0.3">
      <c r="A1598" s="13" t="s">
        <v>9829</v>
      </c>
      <c r="B1598" s="13" t="s">
        <v>11557</v>
      </c>
      <c r="C1598" s="13" t="s">
        <v>11558</v>
      </c>
      <c r="D1598" s="13">
        <v>1168</v>
      </c>
      <c r="E1598" s="13" t="s">
        <v>9832</v>
      </c>
      <c r="F1598" s="13">
        <v>5</v>
      </c>
      <c r="G1598" s="13" t="s">
        <v>13364</v>
      </c>
    </row>
    <row r="1599" spans="1:7" ht="409.6" x14ac:dyDescent="0.3">
      <c r="A1599" s="13" t="s">
        <v>9829</v>
      </c>
      <c r="B1599" s="13" t="s">
        <v>11557</v>
      </c>
      <c r="C1599" s="13" t="s">
        <v>11558</v>
      </c>
      <c r="D1599" s="13">
        <v>1168</v>
      </c>
      <c r="E1599" s="13" t="s">
        <v>9832</v>
      </c>
      <c r="F1599" s="13">
        <v>5</v>
      </c>
      <c r="G1599" s="13" t="s">
        <v>13364</v>
      </c>
    </row>
    <row r="1600" spans="1:7" ht="28.8" x14ac:dyDescent="0.3">
      <c r="A1600" s="13" t="s">
        <v>9829</v>
      </c>
      <c r="B1600" s="13" t="s">
        <v>11559</v>
      </c>
      <c r="C1600" s="13" t="s">
        <v>11560</v>
      </c>
      <c r="D1600" s="13">
        <v>512</v>
      </c>
      <c r="E1600" s="13" t="s">
        <v>9836</v>
      </c>
      <c r="F1600" s="13">
        <v>80</v>
      </c>
      <c r="G1600" s="13" t="s">
        <v>9837</v>
      </c>
    </row>
    <row r="1601" spans="1:7" ht="28.8" x14ac:dyDescent="0.3">
      <c r="A1601" s="13" t="s">
        <v>9829</v>
      </c>
      <c r="B1601" s="13" t="s">
        <v>11561</v>
      </c>
      <c r="C1601" s="13" t="s">
        <v>11562</v>
      </c>
      <c r="D1601" s="13">
        <v>409</v>
      </c>
      <c r="E1601" s="13" t="s">
        <v>9836</v>
      </c>
      <c r="F1601" s="13">
        <v>35</v>
      </c>
      <c r="G1601" s="13" t="s">
        <v>9837</v>
      </c>
    </row>
    <row r="1602" spans="1:7" ht="43.2" x14ac:dyDescent="0.3">
      <c r="A1602" s="13" t="s">
        <v>9829</v>
      </c>
      <c r="B1602" s="13" t="s">
        <v>11563</v>
      </c>
      <c r="C1602" s="13" t="s">
        <v>11564</v>
      </c>
      <c r="D1602" s="13">
        <v>858</v>
      </c>
      <c r="E1602" s="13" t="s">
        <v>9836</v>
      </c>
      <c r="F1602" s="13">
        <v>60</v>
      </c>
      <c r="G1602" s="13" t="s">
        <v>9837</v>
      </c>
    </row>
    <row r="1603" spans="1:7" ht="28.8" x14ac:dyDescent="0.3">
      <c r="A1603" s="13" t="s">
        <v>9829</v>
      </c>
      <c r="B1603" s="13" t="s">
        <v>11565</v>
      </c>
      <c r="C1603" s="13" t="s">
        <v>11566</v>
      </c>
      <c r="D1603" s="13">
        <v>1541</v>
      </c>
      <c r="E1603" s="13" t="s">
        <v>9836</v>
      </c>
      <c r="F1603" s="13">
        <v>80</v>
      </c>
      <c r="G1603" s="13" t="s">
        <v>9837</v>
      </c>
    </row>
    <row r="1604" spans="1:7" ht="331.2" x14ac:dyDescent="0.3">
      <c r="A1604" s="13" t="s">
        <v>9829</v>
      </c>
      <c r="B1604" s="13" t="s">
        <v>11567</v>
      </c>
      <c r="C1604" s="13" t="s">
        <v>11568</v>
      </c>
      <c r="D1604" s="13">
        <v>1542</v>
      </c>
      <c r="E1604" s="13" t="s">
        <v>9832</v>
      </c>
      <c r="F1604" s="13">
        <v>5</v>
      </c>
      <c r="G1604" s="13" t="s">
        <v>13250</v>
      </c>
    </row>
    <row r="1605" spans="1:7" ht="100.8" x14ac:dyDescent="0.3">
      <c r="A1605" s="13" t="s">
        <v>9829</v>
      </c>
      <c r="B1605" s="13" t="s">
        <v>11569</v>
      </c>
      <c r="C1605" s="13" t="s">
        <v>11570</v>
      </c>
      <c r="D1605" s="13">
        <v>1547</v>
      </c>
      <c r="E1605" s="13" t="s">
        <v>9832</v>
      </c>
      <c r="F1605" s="13">
        <v>5</v>
      </c>
      <c r="G1605" s="13" t="s">
        <v>13365</v>
      </c>
    </row>
    <row r="1606" spans="1:7" ht="288" x14ac:dyDescent="0.3">
      <c r="A1606" s="13" t="s">
        <v>9829</v>
      </c>
      <c r="B1606" s="13" t="s">
        <v>11571</v>
      </c>
      <c r="C1606" s="13" t="s">
        <v>11572</v>
      </c>
      <c r="D1606" s="13">
        <v>190</v>
      </c>
      <c r="E1606" s="13" t="s">
        <v>9832</v>
      </c>
      <c r="F1606" s="13">
        <v>5</v>
      </c>
      <c r="G1606" s="13" t="s">
        <v>13366</v>
      </c>
    </row>
    <row r="1607" spans="1:7" ht="43.2" x14ac:dyDescent="0.3">
      <c r="A1607" s="13" t="s">
        <v>9829</v>
      </c>
      <c r="B1607" s="13" t="s">
        <v>11573</v>
      </c>
      <c r="C1607" s="13" t="s">
        <v>11574</v>
      </c>
      <c r="D1607" s="13">
        <v>191</v>
      </c>
      <c r="E1607" s="13" t="s">
        <v>9863</v>
      </c>
      <c r="F1607" s="13">
        <v>4</v>
      </c>
      <c r="G1607" s="13" t="s">
        <v>9837</v>
      </c>
    </row>
    <row r="1608" spans="1:7" ht="28.8" x14ac:dyDescent="0.3">
      <c r="A1608" s="13" t="s">
        <v>9829</v>
      </c>
      <c r="B1608" s="13" t="s">
        <v>11575</v>
      </c>
      <c r="C1608" s="13" t="s">
        <v>11576</v>
      </c>
      <c r="D1608" s="13">
        <v>1466</v>
      </c>
      <c r="E1608" s="13" t="s">
        <v>9863</v>
      </c>
      <c r="F1608" s="13">
        <v>8</v>
      </c>
      <c r="G1608" s="13" t="s">
        <v>9837</v>
      </c>
    </row>
    <row r="1609" spans="1:7" ht="28.8" x14ac:dyDescent="0.3">
      <c r="A1609" s="13" t="s">
        <v>9829</v>
      </c>
      <c r="B1609" s="13" t="s">
        <v>11577</v>
      </c>
      <c r="C1609" s="13" t="s">
        <v>11578</v>
      </c>
      <c r="D1609" s="13">
        <v>1467</v>
      </c>
      <c r="E1609" s="13" t="s">
        <v>9901</v>
      </c>
      <c r="F1609" s="13">
        <v>5</v>
      </c>
      <c r="G1609" s="13" t="s">
        <v>9837</v>
      </c>
    </row>
    <row r="1610" spans="1:7" ht="409.6" x14ac:dyDescent="0.3">
      <c r="A1610" s="13" t="s">
        <v>9829</v>
      </c>
      <c r="B1610" s="13" t="s">
        <v>11579</v>
      </c>
      <c r="C1610" s="13" t="s">
        <v>11580</v>
      </c>
      <c r="D1610" s="13">
        <v>268</v>
      </c>
      <c r="E1610" s="13" t="s">
        <v>9832</v>
      </c>
      <c r="F1610" s="13">
        <v>5</v>
      </c>
      <c r="G1610" s="13" t="s">
        <v>13367</v>
      </c>
    </row>
    <row r="1611" spans="1:7" ht="409.6" x14ac:dyDescent="0.3">
      <c r="A1611" s="13" t="s">
        <v>9829</v>
      </c>
      <c r="B1611" s="13" t="s">
        <v>11579</v>
      </c>
      <c r="C1611" s="13" t="s">
        <v>11580</v>
      </c>
      <c r="D1611" s="13">
        <v>268</v>
      </c>
      <c r="E1611" s="13" t="s">
        <v>9832</v>
      </c>
      <c r="F1611" s="13">
        <v>5</v>
      </c>
      <c r="G1611" s="13" t="s">
        <v>13367</v>
      </c>
    </row>
    <row r="1612" spans="1:7" ht="288" x14ac:dyDescent="0.3">
      <c r="A1612" s="13" t="s">
        <v>9829</v>
      </c>
      <c r="B1612" s="13" t="s">
        <v>11581</v>
      </c>
      <c r="C1612" s="13" t="s">
        <v>11582</v>
      </c>
      <c r="D1612" s="13">
        <v>1281</v>
      </c>
      <c r="E1612" s="13" t="s">
        <v>9832</v>
      </c>
      <c r="F1612" s="13">
        <v>5</v>
      </c>
      <c r="G1612" s="13" t="s">
        <v>13368</v>
      </c>
    </row>
    <row r="1613" spans="1:7" ht="288" x14ac:dyDescent="0.3">
      <c r="A1613" s="13" t="s">
        <v>9829</v>
      </c>
      <c r="B1613" s="13" t="s">
        <v>11581</v>
      </c>
      <c r="C1613" s="13" t="s">
        <v>11582</v>
      </c>
      <c r="D1613" s="13">
        <v>1281</v>
      </c>
      <c r="E1613" s="13" t="s">
        <v>9832</v>
      </c>
      <c r="F1613" s="13">
        <v>5</v>
      </c>
      <c r="G1613" s="13" t="s">
        <v>13368</v>
      </c>
    </row>
    <row r="1614" spans="1:7" ht="43.2" x14ac:dyDescent="0.3">
      <c r="A1614" s="13" t="s">
        <v>9829</v>
      </c>
      <c r="B1614" s="13" t="s">
        <v>11583</v>
      </c>
      <c r="C1614" s="13" t="s">
        <v>11584</v>
      </c>
      <c r="D1614" s="13">
        <v>270</v>
      </c>
      <c r="E1614" s="13" t="s">
        <v>9832</v>
      </c>
      <c r="F1614" s="13">
        <v>5</v>
      </c>
      <c r="G1614" s="13" t="s">
        <v>9833</v>
      </c>
    </row>
    <row r="1615" spans="1:7" ht="115.2" x14ac:dyDescent="0.3">
      <c r="A1615" s="13" t="s">
        <v>9829</v>
      </c>
      <c r="B1615" s="13" t="s">
        <v>11583</v>
      </c>
      <c r="C1615" s="13" t="s">
        <v>11584</v>
      </c>
      <c r="D1615" s="13">
        <v>270</v>
      </c>
      <c r="E1615" s="13" t="s">
        <v>9832</v>
      </c>
      <c r="F1615" s="13">
        <v>5</v>
      </c>
      <c r="G1615" s="13" t="s">
        <v>13139</v>
      </c>
    </row>
    <row r="1616" spans="1:7" ht="43.2" x14ac:dyDescent="0.3">
      <c r="A1616" s="13" t="s">
        <v>9829</v>
      </c>
      <c r="B1616" s="13" t="s">
        <v>11583</v>
      </c>
      <c r="C1616" s="13" t="s">
        <v>11584</v>
      </c>
      <c r="D1616" s="13">
        <v>270</v>
      </c>
      <c r="E1616" s="13" t="s">
        <v>9832</v>
      </c>
      <c r="F1616" s="13">
        <v>5</v>
      </c>
      <c r="G1616" s="13" t="s">
        <v>9833</v>
      </c>
    </row>
    <row r="1617" spans="1:7" ht="115.2" x14ac:dyDescent="0.3">
      <c r="A1617" s="13" t="s">
        <v>9829</v>
      </c>
      <c r="B1617" s="13" t="s">
        <v>11583</v>
      </c>
      <c r="C1617" s="13" t="s">
        <v>11584</v>
      </c>
      <c r="D1617" s="13">
        <v>270</v>
      </c>
      <c r="E1617" s="13" t="s">
        <v>9832</v>
      </c>
      <c r="F1617" s="13">
        <v>5</v>
      </c>
      <c r="G1617" s="13" t="s">
        <v>13139</v>
      </c>
    </row>
    <row r="1618" spans="1:7" ht="43.2" x14ac:dyDescent="0.3">
      <c r="A1618" s="13" t="s">
        <v>9829</v>
      </c>
      <c r="B1618" s="13" t="s">
        <v>11583</v>
      </c>
      <c r="C1618" s="13" t="s">
        <v>11584</v>
      </c>
      <c r="D1618" s="13">
        <v>270</v>
      </c>
      <c r="E1618" s="13" t="s">
        <v>9832</v>
      </c>
      <c r="F1618" s="13">
        <v>5</v>
      </c>
      <c r="G1618" s="13" t="s">
        <v>9833</v>
      </c>
    </row>
    <row r="1619" spans="1:7" ht="115.2" x14ac:dyDescent="0.3">
      <c r="A1619" s="13" t="s">
        <v>9829</v>
      </c>
      <c r="B1619" s="13" t="s">
        <v>11583</v>
      </c>
      <c r="C1619" s="13" t="s">
        <v>11584</v>
      </c>
      <c r="D1619" s="13">
        <v>270</v>
      </c>
      <c r="E1619" s="13" t="s">
        <v>9832</v>
      </c>
      <c r="F1619" s="13">
        <v>5</v>
      </c>
      <c r="G1619" s="13" t="s">
        <v>13139</v>
      </c>
    </row>
    <row r="1620" spans="1:7" ht="43.2" x14ac:dyDescent="0.3">
      <c r="A1620" s="13" t="s">
        <v>9829</v>
      </c>
      <c r="B1620" s="13" t="s">
        <v>11583</v>
      </c>
      <c r="C1620" s="13" t="s">
        <v>11584</v>
      </c>
      <c r="D1620" s="13">
        <v>270</v>
      </c>
      <c r="E1620" s="13" t="s">
        <v>9832</v>
      </c>
      <c r="F1620" s="13">
        <v>5</v>
      </c>
      <c r="G1620" s="13" t="s">
        <v>9833</v>
      </c>
    </row>
    <row r="1621" spans="1:7" ht="115.2" x14ac:dyDescent="0.3">
      <c r="A1621" s="13" t="s">
        <v>9829</v>
      </c>
      <c r="B1621" s="13" t="s">
        <v>11583</v>
      </c>
      <c r="C1621" s="13" t="s">
        <v>11584</v>
      </c>
      <c r="D1621" s="13">
        <v>270</v>
      </c>
      <c r="E1621" s="13" t="s">
        <v>9832</v>
      </c>
      <c r="F1621" s="13">
        <v>5</v>
      </c>
      <c r="G1621" s="13" t="s">
        <v>13139</v>
      </c>
    </row>
    <row r="1622" spans="1:7" ht="187.2" x14ac:dyDescent="0.3">
      <c r="A1622" s="13" t="s">
        <v>9829</v>
      </c>
      <c r="B1622" s="13" t="s">
        <v>11585</v>
      </c>
      <c r="C1622" s="13" t="s">
        <v>11586</v>
      </c>
      <c r="D1622" s="13">
        <v>720</v>
      </c>
      <c r="E1622" s="13" t="s">
        <v>9832</v>
      </c>
      <c r="F1622" s="13">
        <v>5</v>
      </c>
      <c r="G1622" s="13" t="s">
        <v>13369</v>
      </c>
    </row>
    <row r="1623" spans="1:7" ht="28.8" x14ac:dyDescent="0.3">
      <c r="A1623" s="13" t="s">
        <v>9829</v>
      </c>
      <c r="B1623" s="13" t="s">
        <v>11587</v>
      </c>
      <c r="C1623" s="13" t="s">
        <v>11588</v>
      </c>
      <c r="D1623" s="13">
        <v>1136</v>
      </c>
      <c r="E1623" s="13" t="s">
        <v>9836</v>
      </c>
      <c r="F1623" s="13">
        <v>30</v>
      </c>
      <c r="G1623" s="13" t="s">
        <v>9837</v>
      </c>
    </row>
    <row r="1624" spans="1:7" ht="28.8" x14ac:dyDescent="0.3">
      <c r="A1624" s="13" t="s">
        <v>9829</v>
      </c>
      <c r="B1624" s="13" t="s">
        <v>11587</v>
      </c>
      <c r="C1624" s="13" t="s">
        <v>11588</v>
      </c>
      <c r="D1624" s="13">
        <v>1136</v>
      </c>
      <c r="E1624" s="13" t="s">
        <v>9836</v>
      </c>
      <c r="F1624" s="13">
        <v>30</v>
      </c>
      <c r="G1624" s="13" t="s">
        <v>9837</v>
      </c>
    </row>
    <row r="1625" spans="1:7" ht="28.8" x14ac:dyDescent="0.3">
      <c r="A1625" s="13" t="s">
        <v>9829</v>
      </c>
      <c r="B1625" s="13" t="s">
        <v>11589</v>
      </c>
      <c r="C1625" s="13" t="s">
        <v>11590</v>
      </c>
      <c r="D1625" s="13">
        <v>1133</v>
      </c>
      <c r="E1625" s="13" t="s">
        <v>9836</v>
      </c>
      <c r="F1625" s="13">
        <v>30</v>
      </c>
      <c r="G1625" s="13" t="s">
        <v>9837</v>
      </c>
    </row>
    <row r="1626" spans="1:7" ht="28.8" x14ac:dyDescent="0.3">
      <c r="A1626" s="13" t="s">
        <v>9829</v>
      </c>
      <c r="B1626" s="13" t="s">
        <v>11589</v>
      </c>
      <c r="C1626" s="13" t="s">
        <v>11590</v>
      </c>
      <c r="D1626" s="13">
        <v>1133</v>
      </c>
      <c r="E1626" s="13" t="s">
        <v>9836</v>
      </c>
      <c r="F1626" s="13">
        <v>30</v>
      </c>
      <c r="G1626" s="13" t="s">
        <v>9837</v>
      </c>
    </row>
    <row r="1627" spans="1:7" ht="28.8" x14ac:dyDescent="0.3">
      <c r="A1627" s="13" t="s">
        <v>9829</v>
      </c>
      <c r="B1627" s="13" t="s">
        <v>11589</v>
      </c>
      <c r="C1627" s="13" t="s">
        <v>11590</v>
      </c>
      <c r="D1627" s="13">
        <v>1133</v>
      </c>
      <c r="E1627" s="13" t="s">
        <v>9836</v>
      </c>
      <c r="F1627" s="13">
        <v>30</v>
      </c>
      <c r="G1627" s="13" t="s">
        <v>9837</v>
      </c>
    </row>
    <row r="1628" spans="1:7" ht="201.6" x14ac:dyDescent="0.3">
      <c r="A1628" s="13" t="s">
        <v>9829</v>
      </c>
      <c r="B1628" s="13" t="s">
        <v>11591</v>
      </c>
      <c r="C1628" s="13" t="s">
        <v>11592</v>
      </c>
      <c r="D1628" s="13">
        <v>993</v>
      </c>
      <c r="E1628" s="13" t="s">
        <v>9832</v>
      </c>
      <c r="F1628" s="13">
        <v>5</v>
      </c>
      <c r="G1628" s="13" t="s">
        <v>13370</v>
      </c>
    </row>
    <row r="1629" spans="1:7" ht="57.6" x14ac:dyDescent="0.3">
      <c r="A1629" s="13" t="s">
        <v>9829</v>
      </c>
      <c r="B1629" s="13" t="s">
        <v>11593</v>
      </c>
      <c r="C1629" s="13" t="s">
        <v>11594</v>
      </c>
      <c r="D1629" s="13">
        <v>271</v>
      </c>
      <c r="E1629" s="13" t="s">
        <v>9836</v>
      </c>
      <c r="F1629" s="13">
        <v>45</v>
      </c>
      <c r="G1629" s="13" t="s">
        <v>9837</v>
      </c>
    </row>
    <row r="1630" spans="1:7" ht="57.6" x14ac:dyDescent="0.3">
      <c r="A1630" s="13" t="s">
        <v>9829</v>
      </c>
      <c r="B1630" s="13" t="s">
        <v>11593</v>
      </c>
      <c r="C1630" s="13" t="s">
        <v>11594</v>
      </c>
      <c r="D1630" s="13">
        <v>271</v>
      </c>
      <c r="E1630" s="13" t="s">
        <v>9836</v>
      </c>
      <c r="F1630" s="13">
        <v>45</v>
      </c>
      <c r="G1630" s="13" t="s">
        <v>9837</v>
      </c>
    </row>
    <row r="1631" spans="1:7" ht="57.6" x14ac:dyDescent="0.3">
      <c r="A1631" s="13" t="s">
        <v>9829</v>
      </c>
      <c r="B1631" s="13" t="s">
        <v>11593</v>
      </c>
      <c r="C1631" s="13" t="s">
        <v>11594</v>
      </c>
      <c r="D1631" s="13">
        <v>271</v>
      </c>
      <c r="E1631" s="13" t="s">
        <v>9836</v>
      </c>
      <c r="F1631" s="13">
        <v>45</v>
      </c>
      <c r="G1631" s="13" t="s">
        <v>9837</v>
      </c>
    </row>
    <row r="1632" spans="1:7" ht="43.2" x14ac:dyDescent="0.3">
      <c r="A1632" s="13" t="s">
        <v>9829</v>
      </c>
      <c r="B1632" s="13" t="s">
        <v>11595</v>
      </c>
      <c r="C1632" s="13" t="s">
        <v>11596</v>
      </c>
      <c r="D1632" s="13">
        <v>1428</v>
      </c>
      <c r="E1632" s="13" t="s">
        <v>9832</v>
      </c>
      <c r="F1632" s="13">
        <v>5</v>
      </c>
      <c r="G1632" s="13" t="s">
        <v>9833</v>
      </c>
    </row>
    <row r="1633" spans="1:7" ht="28.8" x14ac:dyDescent="0.3">
      <c r="A1633" s="13" t="s">
        <v>9829</v>
      </c>
      <c r="B1633" s="13" t="s">
        <v>11597</v>
      </c>
      <c r="C1633" s="13" t="s">
        <v>11598</v>
      </c>
      <c r="D1633" s="13">
        <v>2205</v>
      </c>
      <c r="E1633" s="13" t="s">
        <v>9836</v>
      </c>
      <c r="G1633" s="13" t="s">
        <v>32</v>
      </c>
    </row>
    <row r="1634" spans="1:7" ht="115.2" x14ac:dyDescent="0.3">
      <c r="A1634" s="13" t="s">
        <v>9829</v>
      </c>
      <c r="B1634" s="13" t="s">
        <v>11599</v>
      </c>
      <c r="C1634" s="13" t="s">
        <v>11600</v>
      </c>
      <c r="D1634" s="13">
        <v>621</v>
      </c>
      <c r="E1634" s="13" t="s">
        <v>9832</v>
      </c>
      <c r="F1634" s="13">
        <v>5</v>
      </c>
      <c r="G1634" s="13" t="s">
        <v>13371</v>
      </c>
    </row>
    <row r="1635" spans="1:7" ht="57.6" x14ac:dyDescent="0.3">
      <c r="A1635" s="13" t="s">
        <v>9829</v>
      </c>
      <c r="B1635" s="13" t="s">
        <v>11601</v>
      </c>
      <c r="C1635" s="13" t="s">
        <v>11602</v>
      </c>
      <c r="D1635" s="13">
        <v>1844</v>
      </c>
      <c r="E1635" s="13" t="s">
        <v>9836</v>
      </c>
      <c r="F1635" s="13">
        <v>30</v>
      </c>
      <c r="G1635" s="13" t="s">
        <v>9837</v>
      </c>
    </row>
    <row r="1636" spans="1:7" ht="158.4" x14ac:dyDescent="0.3">
      <c r="A1636" s="13" t="s">
        <v>9829</v>
      </c>
      <c r="B1636" s="13" t="s">
        <v>11603</v>
      </c>
      <c r="C1636" s="13" t="s">
        <v>11604</v>
      </c>
      <c r="D1636" s="13">
        <v>628</v>
      </c>
      <c r="E1636" s="13" t="s">
        <v>9832</v>
      </c>
      <c r="F1636" s="13">
        <v>5</v>
      </c>
      <c r="G1636" s="13" t="s">
        <v>13372</v>
      </c>
    </row>
    <row r="1637" spans="1:7" ht="28.8" x14ac:dyDescent="0.3">
      <c r="A1637" s="13" t="s">
        <v>9829</v>
      </c>
      <c r="B1637" s="13" t="s">
        <v>11605</v>
      </c>
      <c r="C1637" s="13" t="s">
        <v>11606</v>
      </c>
      <c r="D1637" s="13">
        <v>2206</v>
      </c>
      <c r="E1637" s="13" t="s">
        <v>9836</v>
      </c>
      <c r="G1637" s="13" t="s">
        <v>32</v>
      </c>
    </row>
    <row r="1638" spans="1:7" ht="43.2" x14ac:dyDescent="0.3">
      <c r="A1638" s="13" t="s">
        <v>9829</v>
      </c>
      <c r="B1638" s="13" t="s">
        <v>11607</v>
      </c>
      <c r="C1638" s="13" t="s">
        <v>11608</v>
      </c>
      <c r="D1638" s="13">
        <v>1846</v>
      </c>
      <c r="E1638" s="13" t="s">
        <v>9836</v>
      </c>
      <c r="F1638" s="13">
        <v>200</v>
      </c>
      <c r="G1638" s="13" t="s">
        <v>9837</v>
      </c>
    </row>
    <row r="1639" spans="1:7" ht="273.60000000000002" x14ac:dyDescent="0.3">
      <c r="A1639" s="13" t="s">
        <v>9829</v>
      </c>
      <c r="B1639" s="13" t="s">
        <v>11609</v>
      </c>
      <c r="C1639" s="13" t="s">
        <v>11610</v>
      </c>
      <c r="D1639" s="13">
        <v>719</v>
      </c>
      <c r="E1639" s="13" t="s">
        <v>9832</v>
      </c>
      <c r="F1639" s="13">
        <v>5</v>
      </c>
      <c r="G1639" s="13" t="s">
        <v>13373</v>
      </c>
    </row>
    <row r="1640" spans="1:7" ht="86.4" x14ac:dyDescent="0.3">
      <c r="A1640" s="13" t="s">
        <v>9829</v>
      </c>
      <c r="B1640" s="13" t="s">
        <v>11611</v>
      </c>
      <c r="C1640" s="13" t="s">
        <v>11612</v>
      </c>
      <c r="D1640" s="13">
        <v>750</v>
      </c>
      <c r="E1640" s="13" t="s">
        <v>9836</v>
      </c>
      <c r="F1640" s="13">
        <v>80</v>
      </c>
      <c r="G1640" s="13" t="s">
        <v>9837</v>
      </c>
    </row>
    <row r="1641" spans="1:7" ht="129.6" x14ac:dyDescent="0.3">
      <c r="A1641" s="13" t="s">
        <v>9829</v>
      </c>
      <c r="B1641" s="13" t="s">
        <v>11613</v>
      </c>
      <c r="C1641" s="13" t="s">
        <v>11614</v>
      </c>
      <c r="D1641" s="13">
        <v>486</v>
      </c>
      <c r="E1641" s="13" t="s">
        <v>9832</v>
      </c>
      <c r="F1641" s="13">
        <v>5</v>
      </c>
      <c r="G1641" s="13" t="s">
        <v>13374</v>
      </c>
    </row>
    <row r="1642" spans="1:7" ht="129.6" x14ac:dyDescent="0.3">
      <c r="A1642" s="13" t="s">
        <v>9829</v>
      </c>
      <c r="B1642" s="13" t="s">
        <v>11615</v>
      </c>
      <c r="C1642" s="13" t="s">
        <v>11616</v>
      </c>
      <c r="D1642" s="13">
        <v>1303</v>
      </c>
      <c r="E1642" s="13" t="s">
        <v>9832</v>
      </c>
      <c r="F1642" s="13">
        <v>5</v>
      </c>
      <c r="G1642" s="13" t="s">
        <v>13375</v>
      </c>
    </row>
    <row r="1643" spans="1:7" ht="409.6" x14ac:dyDescent="0.3">
      <c r="A1643" s="13" t="s">
        <v>9829</v>
      </c>
      <c r="B1643" s="13" t="s">
        <v>11617</v>
      </c>
      <c r="C1643" s="13" t="s">
        <v>11618</v>
      </c>
      <c r="D1643" s="13">
        <v>499</v>
      </c>
      <c r="E1643" s="13" t="s">
        <v>9832</v>
      </c>
      <c r="F1643" s="13">
        <v>5</v>
      </c>
      <c r="G1643" s="13" t="s">
        <v>13376</v>
      </c>
    </row>
    <row r="1644" spans="1:7" ht="28.8" x14ac:dyDescent="0.3">
      <c r="A1644" s="13" t="s">
        <v>9829</v>
      </c>
      <c r="B1644" s="13" t="s">
        <v>11619</v>
      </c>
      <c r="C1644" s="13" t="s">
        <v>11620</v>
      </c>
      <c r="D1644" s="13">
        <v>1111</v>
      </c>
      <c r="E1644" s="13" t="s">
        <v>9863</v>
      </c>
      <c r="F1644" s="13">
        <v>8</v>
      </c>
      <c r="G1644" s="13" t="s">
        <v>9837</v>
      </c>
    </row>
    <row r="1645" spans="1:7" ht="28.8" x14ac:dyDescent="0.3">
      <c r="A1645" s="13" t="s">
        <v>9829</v>
      </c>
      <c r="B1645" s="13" t="s">
        <v>11619</v>
      </c>
      <c r="C1645" s="13" t="s">
        <v>11620</v>
      </c>
      <c r="D1645" s="13">
        <v>1111</v>
      </c>
      <c r="E1645" s="13" t="s">
        <v>9863</v>
      </c>
      <c r="F1645" s="13">
        <v>8</v>
      </c>
      <c r="G1645" s="13" t="s">
        <v>9837</v>
      </c>
    </row>
    <row r="1646" spans="1:7" ht="28.8" x14ac:dyDescent="0.3">
      <c r="A1646" s="13" t="s">
        <v>9829</v>
      </c>
      <c r="B1646" s="13" t="s">
        <v>11619</v>
      </c>
      <c r="C1646" s="13" t="s">
        <v>11620</v>
      </c>
      <c r="D1646" s="13">
        <v>1111</v>
      </c>
      <c r="E1646" s="13" t="s">
        <v>9863</v>
      </c>
      <c r="F1646" s="13">
        <v>8</v>
      </c>
      <c r="G1646" s="13" t="s">
        <v>9837</v>
      </c>
    </row>
    <row r="1647" spans="1:7" ht="409.6" x14ac:dyDescent="0.3">
      <c r="A1647" s="13" t="s">
        <v>9829</v>
      </c>
      <c r="B1647" s="13" t="s">
        <v>11621</v>
      </c>
      <c r="C1647" s="13" t="s">
        <v>11622</v>
      </c>
      <c r="D1647" s="13">
        <v>1024</v>
      </c>
      <c r="E1647" s="13" t="s">
        <v>9832</v>
      </c>
      <c r="F1647" s="13">
        <v>5</v>
      </c>
      <c r="G1647" s="13" t="s">
        <v>13377</v>
      </c>
    </row>
    <row r="1648" spans="1:7" ht="345.6" x14ac:dyDescent="0.3">
      <c r="A1648" s="13" t="s">
        <v>9829</v>
      </c>
      <c r="B1648" s="13" t="s">
        <v>11623</v>
      </c>
      <c r="C1648" s="13" t="s">
        <v>11624</v>
      </c>
      <c r="D1648" s="13">
        <v>278</v>
      </c>
      <c r="E1648" s="13" t="s">
        <v>9832</v>
      </c>
      <c r="F1648" s="13">
        <v>5</v>
      </c>
      <c r="G1648" s="13" t="s">
        <v>13378</v>
      </c>
    </row>
    <row r="1649" spans="1:7" ht="409.6" x14ac:dyDescent="0.3">
      <c r="A1649" s="13" t="s">
        <v>9829</v>
      </c>
      <c r="B1649" s="13" t="s">
        <v>11625</v>
      </c>
      <c r="C1649" s="13" t="s">
        <v>11626</v>
      </c>
      <c r="D1649" s="13">
        <v>436</v>
      </c>
      <c r="E1649" s="13" t="s">
        <v>9832</v>
      </c>
      <c r="F1649" s="13">
        <v>5</v>
      </c>
      <c r="G1649" s="13" t="s">
        <v>13379</v>
      </c>
    </row>
    <row r="1650" spans="1:7" ht="409.6" x14ac:dyDescent="0.3">
      <c r="A1650" s="13" t="s">
        <v>9829</v>
      </c>
      <c r="B1650" s="13" t="s">
        <v>11625</v>
      </c>
      <c r="C1650" s="13" t="s">
        <v>11626</v>
      </c>
      <c r="D1650" s="13">
        <v>436</v>
      </c>
      <c r="E1650" s="13" t="s">
        <v>9832</v>
      </c>
      <c r="F1650" s="13">
        <v>5</v>
      </c>
      <c r="G1650" s="13" t="s">
        <v>13379</v>
      </c>
    </row>
    <row r="1651" spans="1:7" ht="409.6" x14ac:dyDescent="0.3">
      <c r="A1651" s="13" t="s">
        <v>9829</v>
      </c>
      <c r="B1651" s="13" t="s">
        <v>11627</v>
      </c>
      <c r="C1651" s="13" t="s">
        <v>11628</v>
      </c>
      <c r="D1651" s="13">
        <v>421</v>
      </c>
      <c r="E1651" s="13" t="s">
        <v>9832</v>
      </c>
      <c r="F1651" s="13">
        <v>5</v>
      </c>
      <c r="G1651" s="13" t="s">
        <v>13379</v>
      </c>
    </row>
    <row r="1652" spans="1:7" ht="409.6" x14ac:dyDescent="0.3">
      <c r="A1652" s="13" t="s">
        <v>9829</v>
      </c>
      <c r="B1652" s="13" t="s">
        <v>11629</v>
      </c>
      <c r="C1652" s="13" t="s">
        <v>11630</v>
      </c>
      <c r="D1652" s="13">
        <v>1162</v>
      </c>
      <c r="E1652" s="13" t="s">
        <v>9832</v>
      </c>
      <c r="F1652" s="13">
        <v>5</v>
      </c>
      <c r="G1652" s="13" t="s">
        <v>13294</v>
      </c>
    </row>
    <row r="1653" spans="1:7" ht="409.6" x14ac:dyDescent="0.3">
      <c r="A1653" s="13" t="s">
        <v>9829</v>
      </c>
      <c r="B1653" s="13" t="s">
        <v>11631</v>
      </c>
      <c r="C1653" s="13" t="s">
        <v>11632</v>
      </c>
      <c r="D1653" s="13">
        <v>1085</v>
      </c>
      <c r="E1653" s="13" t="s">
        <v>9832</v>
      </c>
      <c r="F1653" s="13">
        <v>5</v>
      </c>
      <c r="G1653" s="13" t="s">
        <v>13380</v>
      </c>
    </row>
    <row r="1654" spans="1:7" ht="409.6" x14ac:dyDescent="0.3">
      <c r="A1654" s="13" t="s">
        <v>9829</v>
      </c>
      <c r="B1654" s="13" t="s">
        <v>11631</v>
      </c>
      <c r="C1654" s="13" t="s">
        <v>11632</v>
      </c>
      <c r="D1654" s="13">
        <v>1085</v>
      </c>
      <c r="E1654" s="13" t="s">
        <v>9832</v>
      </c>
      <c r="F1654" s="13">
        <v>5</v>
      </c>
      <c r="G1654" s="13" t="s">
        <v>13380</v>
      </c>
    </row>
    <row r="1655" spans="1:7" ht="409.6" x14ac:dyDescent="0.3">
      <c r="A1655" s="13" t="s">
        <v>9829</v>
      </c>
      <c r="B1655" s="13" t="s">
        <v>11631</v>
      </c>
      <c r="C1655" s="13" t="s">
        <v>11632</v>
      </c>
      <c r="D1655" s="13">
        <v>1085</v>
      </c>
      <c r="E1655" s="13" t="s">
        <v>9832</v>
      </c>
      <c r="F1655" s="13">
        <v>5</v>
      </c>
      <c r="G1655" s="13" t="s">
        <v>13380</v>
      </c>
    </row>
    <row r="1656" spans="1:7" ht="216" x14ac:dyDescent="0.3">
      <c r="A1656" s="13" t="s">
        <v>9829</v>
      </c>
      <c r="B1656" s="13" t="s">
        <v>11633</v>
      </c>
      <c r="C1656" s="13" t="s">
        <v>11634</v>
      </c>
      <c r="D1656" s="13">
        <v>1087</v>
      </c>
      <c r="E1656" s="13" t="s">
        <v>9832</v>
      </c>
      <c r="F1656" s="13">
        <v>5</v>
      </c>
      <c r="G1656" s="13" t="s">
        <v>13381</v>
      </c>
    </row>
    <row r="1657" spans="1:7" ht="216" x14ac:dyDescent="0.3">
      <c r="A1657" s="13" t="s">
        <v>9829</v>
      </c>
      <c r="B1657" s="13" t="s">
        <v>11633</v>
      </c>
      <c r="C1657" s="13" t="s">
        <v>11634</v>
      </c>
      <c r="D1657" s="13">
        <v>1087</v>
      </c>
      <c r="E1657" s="13" t="s">
        <v>9832</v>
      </c>
      <c r="F1657" s="13">
        <v>5</v>
      </c>
      <c r="G1657" s="13" t="s">
        <v>13381</v>
      </c>
    </row>
    <row r="1658" spans="1:7" ht="216" x14ac:dyDescent="0.3">
      <c r="A1658" s="13" t="s">
        <v>9829</v>
      </c>
      <c r="B1658" s="13" t="s">
        <v>11633</v>
      </c>
      <c r="C1658" s="13" t="s">
        <v>11634</v>
      </c>
      <c r="D1658" s="13">
        <v>1087</v>
      </c>
      <c r="E1658" s="13" t="s">
        <v>9832</v>
      </c>
      <c r="F1658" s="13">
        <v>5</v>
      </c>
      <c r="G1658" s="13" t="s">
        <v>13381</v>
      </c>
    </row>
    <row r="1659" spans="1:7" ht="244.8" x14ac:dyDescent="0.3">
      <c r="A1659" s="13" t="s">
        <v>9829</v>
      </c>
      <c r="B1659" s="13" t="s">
        <v>11635</v>
      </c>
      <c r="C1659" s="13" t="s">
        <v>11636</v>
      </c>
      <c r="D1659" s="13">
        <v>1086</v>
      </c>
      <c r="E1659" s="13" t="s">
        <v>9832</v>
      </c>
      <c r="F1659" s="13">
        <v>5</v>
      </c>
      <c r="G1659" s="13" t="s">
        <v>13382</v>
      </c>
    </row>
    <row r="1660" spans="1:7" ht="244.8" x14ac:dyDescent="0.3">
      <c r="A1660" s="13" t="s">
        <v>9829</v>
      </c>
      <c r="B1660" s="13" t="s">
        <v>11635</v>
      </c>
      <c r="C1660" s="13" t="s">
        <v>11636</v>
      </c>
      <c r="D1660" s="13">
        <v>1086</v>
      </c>
      <c r="E1660" s="13" t="s">
        <v>9832</v>
      </c>
      <c r="F1660" s="13">
        <v>5</v>
      </c>
      <c r="G1660" s="13" t="s">
        <v>13382</v>
      </c>
    </row>
    <row r="1661" spans="1:7" ht="244.8" x14ac:dyDescent="0.3">
      <c r="A1661" s="13" t="s">
        <v>9829</v>
      </c>
      <c r="B1661" s="13" t="s">
        <v>11635</v>
      </c>
      <c r="C1661" s="13" t="s">
        <v>11636</v>
      </c>
      <c r="D1661" s="13">
        <v>1086</v>
      </c>
      <c r="E1661" s="13" t="s">
        <v>9832</v>
      </c>
      <c r="F1661" s="13">
        <v>5</v>
      </c>
      <c r="G1661" s="13" t="s">
        <v>13382</v>
      </c>
    </row>
    <row r="1662" spans="1:7" ht="43.2" x14ac:dyDescent="0.3">
      <c r="A1662" s="13" t="s">
        <v>9829</v>
      </c>
      <c r="B1662" s="13" t="s">
        <v>11637</v>
      </c>
      <c r="C1662" s="13" t="s">
        <v>11638</v>
      </c>
      <c r="D1662" s="13">
        <v>1417</v>
      </c>
      <c r="E1662" s="13" t="s">
        <v>9832</v>
      </c>
      <c r="F1662" s="13">
        <v>5</v>
      </c>
      <c r="G1662" s="13" t="s">
        <v>9833</v>
      </c>
    </row>
    <row r="1663" spans="1:7" ht="86.4" x14ac:dyDescent="0.3">
      <c r="A1663" s="13" t="s">
        <v>9829</v>
      </c>
      <c r="B1663" s="13" t="s">
        <v>11639</v>
      </c>
      <c r="C1663" s="13" t="s">
        <v>11640</v>
      </c>
      <c r="D1663" s="13">
        <v>281</v>
      </c>
      <c r="E1663" s="13" t="s">
        <v>9836</v>
      </c>
      <c r="F1663" s="13">
        <v>60</v>
      </c>
      <c r="G1663" s="13" t="s">
        <v>9837</v>
      </c>
    </row>
    <row r="1664" spans="1:7" ht="86.4" x14ac:dyDescent="0.3">
      <c r="A1664" s="13" t="s">
        <v>9829</v>
      </c>
      <c r="B1664" s="13" t="s">
        <v>11639</v>
      </c>
      <c r="C1664" s="13" t="s">
        <v>11640</v>
      </c>
      <c r="D1664" s="13">
        <v>281</v>
      </c>
      <c r="E1664" s="13" t="s">
        <v>9836</v>
      </c>
      <c r="F1664" s="13">
        <v>60</v>
      </c>
      <c r="G1664" s="13" t="s">
        <v>9837</v>
      </c>
    </row>
    <row r="1665" spans="1:7" ht="86.4" x14ac:dyDescent="0.3">
      <c r="A1665" s="13" t="s">
        <v>9829</v>
      </c>
      <c r="B1665" s="13" t="s">
        <v>11639</v>
      </c>
      <c r="C1665" s="13" t="s">
        <v>11640</v>
      </c>
      <c r="D1665" s="13">
        <v>281</v>
      </c>
      <c r="E1665" s="13" t="s">
        <v>9836</v>
      </c>
      <c r="F1665" s="13">
        <v>60</v>
      </c>
      <c r="G1665" s="13" t="s">
        <v>9837</v>
      </c>
    </row>
    <row r="1666" spans="1:7" ht="86.4" x14ac:dyDescent="0.3">
      <c r="A1666" s="13" t="s">
        <v>9829</v>
      </c>
      <c r="B1666" s="13" t="s">
        <v>11639</v>
      </c>
      <c r="C1666" s="13" t="s">
        <v>11640</v>
      </c>
      <c r="D1666" s="13">
        <v>281</v>
      </c>
      <c r="E1666" s="13" t="s">
        <v>9836</v>
      </c>
      <c r="F1666" s="13">
        <v>60</v>
      </c>
      <c r="G1666" s="13" t="s">
        <v>9837</v>
      </c>
    </row>
    <row r="1667" spans="1:7" ht="86.4" x14ac:dyDescent="0.3">
      <c r="A1667" s="13" t="s">
        <v>9829</v>
      </c>
      <c r="B1667" s="13" t="s">
        <v>11639</v>
      </c>
      <c r="C1667" s="13" t="s">
        <v>11640</v>
      </c>
      <c r="D1667" s="13">
        <v>281</v>
      </c>
      <c r="E1667" s="13" t="s">
        <v>9836</v>
      </c>
      <c r="F1667" s="13">
        <v>60</v>
      </c>
      <c r="G1667" s="13" t="s">
        <v>9837</v>
      </c>
    </row>
    <row r="1668" spans="1:7" ht="86.4" x14ac:dyDescent="0.3">
      <c r="A1668" s="13" t="s">
        <v>9829</v>
      </c>
      <c r="B1668" s="13" t="s">
        <v>11639</v>
      </c>
      <c r="C1668" s="13" t="s">
        <v>11640</v>
      </c>
      <c r="D1668" s="13">
        <v>281</v>
      </c>
      <c r="E1668" s="13" t="s">
        <v>9836</v>
      </c>
      <c r="F1668" s="13">
        <v>60</v>
      </c>
      <c r="G1668" s="13" t="s">
        <v>9837</v>
      </c>
    </row>
    <row r="1669" spans="1:7" ht="86.4" x14ac:dyDescent="0.3">
      <c r="A1669" s="13" t="s">
        <v>9829</v>
      </c>
      <c r="B1669" s="13" t="s">
        <v>11639</v>
      </c>
      <c r="C1669" s="13" t="s">
        <v>11640</v>
      </c>
      <c r="D1669" s="13">
        <v>281</v>
      </c>
      <c r="E1669" s="13" t="s">
        <v>9836</v>
      </c>
      <c r="F1669" s="13">
        <v>60</v>
      </c>
      <c r="G1669" s="13" t="s">
        <v>9837</v>
      </c>
    </row>
    <row r="1670" spans="1:7" ht="28.8" x14ac:dyDescent="0.3">
      <c r="A1670" s="13" t="s">
        <v>9829</v>
      </c>
      <c r="B1670" s="13" t="s">
        <v>11641</v>
      </c>
      <c r="C1670" s="13" t="s">
        <v>11642</v>
      </c>
      <c r="D1670" s="13">
        <v>472</v>
      </c>
      <c r="E1670" s="13" t="s">
        <v>9863</v>
      </c>
      <c r="F1670" s="13">
        <v>8</v>
      </c>
      <c r="G1670" s="13" t="s">
        <v>9837</v>
      </c>
    </row>
    <row r="1671" spans="1:7" ht="409.6" x14ac:dyDescent="0.3">
      <c r="A1671" s="13" t="s">
        <v>9829</v>
      </c>
      <c r="B1671" s="13" t="s">
        <v>11643</v>
      </c>
      <c r="C1671" s="13" t="s">
        <v>11644</v>
      </c>
      <c r="D1671" s="13">
        <v>774</v>
      </c>
      <c r="E1671" s="13" t="s">
        <v>9832</v>
      </c>
      <c r="F1671" s="13">
        <v>5</v>
      </c>
      <c r="G1671" s="13" t="s">
        <v>13354</v>
      </c>
    </row>
    <row r="1672" spans="1:7" ht="230.4" x14ac:dyDescent="0.3">
      <c r="A1672" s="13" t="s">
        <v>9829</v>
      </c>
      <c r="B1672" s="13" t="s">
        <v>11645</v>
      </c>
      <c r="C1672" s="13" t="s">
        <v>11646</v>
      </c>
      <c r="D1672" s="13">
        <v>1141</v>
      </c>
      <c r="E1672" s="13" t="s">
        <v>9832</v>
      </c>
      <c r="F1672" s="13">
        <v>5</v>
      </c>
      <c r="G1672" s="13" t="s">
        <v>13383</v>
      </c>
    </row>
    <row r="1673" spans="1:7" ht="144" x14ac:dyDescent="0.3">
      <c r="A1673" s="13" t="s">
        <v>9829</v>
      </c>
      <c r="B1673" s="13" t="s">
        <v>11647</v>
      </c>
      <c r="C1673" s="13" t="s">
        <v>11648</v>
      </c>
      <c r="D1673" s="13">
        <v>1304</v>
      </c>
      <c r="E1673" s="13" t="s">
        <v>9832</v>
      </c>
      <c r="F1673" s="13">
        <v>5</v>
      </c>
      <c r="G1673" s="13" t="s">
        <v>13384</v>
      </c>
    </row>
    <row r="1674" spans="1:7" ht="187.2" x14ac:dyDescent="0.3">
      <c r="A1674" s="13" t="s">
        <v>9829</v>
      </c>
      <c r="B1674" s="13" t="s">
        <v>11649</v>
      </c>
      <c r="C1674" s="13" t="s">
        <v>11650</v>
      </c>
      <c r="D1674" s="13">
        <v>1305</v>
      </c>
      <c r="E1674" s="13" t="s">
        <v>9832</v>
      </c>
      <c r="F1674" s="13">
        <v>5</v>
      </c>
      <c r="G1674" s="13" t="s">
        <v>13385</v>
      </c>
    </row>
    <row r="1675" spans="1:7" ht="115.2" x14ac:dyDescent="0.3">
      <c r="A1675" s="13" t="s">
        <v>9829</v>
      </c>
      <c r="B1675" s="13" t="s">
        <v>11651</v>
      </c>
      <c r="C1675" s="13" t="s">
        <v>11652</v>
      </c>
      <c r="D1675" s="13">
        <v>831</v>
      </c>
      <c r="E1675" s="13" t="s">
        <v>9836</v>
      </c>
      <c r="F1675" s="13">
        <v>45</v>
      </c>
      <c r="G1675" s="13" t="s">
        <v>9837</v>
      </c>
    </row>
    <row r="1676" spans="1:7" ht="144" x14ac:dyDescent="0.3">
      <c r="A1676" s="13" t="s">
        <v>9829</v>
      </c>
      <c r="B1676" s="13" t="s">
        <v>11653</v>
      </c>
      <c r="C1676" s="13" t="s">
        <v>13094</v>
      </c>
    </row>
    <row r="1677" spans="1:7" ht="158.4" x14ac:dyDescent="0.3">
      <c r="A1677" s="13" t="s">
        <v>13095</v>
      </c>
      <c r="B1677" s="13">
        <v>1882</v>
      </c>
      <c r="C1677" s="13" t="s">
        <v>9880</v>
      </c>
      <c r="D1677" s="13">
        <v>1.2</v>
      </c>
      <c r="E1677" s="13" t="s">
        <v>9837</v>
      </c>
    </row>
    <row r="1678" spans="1:7" ht="100.8" x14ac:dyDescent="0.3">
      <c r="A1678" s="13" t="s">
        <v>9829</v>
      </c>
      <c r="B1678" s="13" t="s">
        <v>11654</v>
      </c>
      <c r="C1678" s="13" t="s">
        <v>11655</v>
      </c>
      <c r="D1678" s="13">
        <v>1883</v>
      </c>
      <c r="E1678" s="13" t="s">
        <v>9880</v>
      </c>
      <c r="F1678" s="13">
        <v>1.2</v>
      </c>
      <c r="G1678" s="13" t="s">
        <v>9837</v>
      </c>
    </row>
    <row r="1679" spans="1:7" ht="28.8" x14ac:dyDescent="0.3">
      <c r="A1679" s="13" t="s">
        <v>9829</v>
      </c>
      <c r="B1679" s="13" t="s">
        <v>11656</v>
      </c>
      <c r="C1679" s="13" t="s">
        <v>11657</v>
      </c>
      <c r="D1679" s="13">
        <v>563</v>
      </c>
      <c r="E1679" s="13" t="s">
        <v>9836</v>
      </c>
      <c r="F1679" s="13">
        <v>15</v>
      </c>
      <c r="G1679" s="13" t="s">
        <v>9837</v>
      </c>
    </row>
    <row r="1680" spans="1:7" ht="100.8" x14ac:dyDescent="0.3">
      <c r="A1680" s="13" t="s">
        <v>9829</v>
      </c>
      <c r="B1680" s="13" t="s">
        <v>11658</v>
      </c>
      <c r="C1680" s="13" t="s">
        <v>11659</v>
      </c>
      <c r="D1680" s="13">
        <v>562</v>
      </c>
      <c r="E1680" s="13" t="s">
        <v>9832</v>
      </c>
      <c r="F1680" s="13">
        <v>5</v>
      </c>
      <c r="G1680" s="13" t="s">
        <v>13386</v>
      </c>
    </row>
    <row r="1681" spans="1:7" ht="28.8" x14ac:dyDescent="0.3">
      <c r="A1681" s="13" t="s">
        <v>9829</v>
      </c>
      <c r="B1681" s="13" t="s">
        <v>11660</v>
      </c>
      <c r="C1681" s="13" t="s">
        <v>11661</v>
      </c>
      <c r="D1681" s="13">
        <v>1457</v>
      </c>
      <c r="E1681" s="13" t="s">
        <v>9836</v>
      </c>
      <c r="F1681" s="13">
        <v>25</v>
      </c>
      <c r="G1681" s="13" t="s">
        <v>9837</v>
      </c>
    </row>
    <row r="1682" spans="1:7" ht="28.8" x14ac:dyDescent="0.3">
      <c r="A1682" s="13" t="s">
        <v>9829</v>
      </c>
      <c r="B1682" s="13" t="s">
        <v>11662</v>
      </c>
      <c r="C1682" s="13" t="s">
        <v>11663</v>
      </c>
      <c r="D1682" s="13">
        <v>1458</v>
      </c>
      <c r="E1682" s="13" t="s">
        <v>9836</v>
      </c>
      <c r="F1682" s="13">
        <v>30</v>
      </c>
      <c r="G1682" s="13" t="s">
        <v>9837</v>
      </c>
    </row>
    <row r="1683" spans="1:7" ht="28.8" x14ac:dyDescent="0.3">
      <c r="A1683" s="13" t="s">
        <v>9829</v>
      </c>
      <c r="B1683" s="13" t="s">
        <v>11664</v>
      </c>
      <c r="C1683" s="13" t="s">
        <v>11665</v>
      </c>
      <c r="D1683" s="13">
        <v>1459</v>
      </c>
      <c r="E1683" s="13" t="s">
        <v>9836</v>
      </c>
      <c r="F1683" s="13">
        <v>25</v>
      </c>
      <c r="G1683" s="13" t="s">
        <v>9837</v>
      </c>
    </row>
    <row r="1684" spans="1:7" ht="28.8" x14ac:dyDescent="0.3">
      <c r="A1684" s="13" t="s">
        <v>9829</v>
      </c>
      <c r="B1684" s="13" t="s">
        <v>11666</v>
      </c>
      <c r="C1684" s="13" t="s">
        <v>11667</v>
      </c>
      <c r="D1684" s="13">
        <v>1399</v>
      </c>
      <c r="E1684" s="13" t="s">
        <v>9832</v>
      </c>
      <c r="F1684" s="13">
        <v>5</v>
      </c>
      <c r="G1684" s="13" t="s">
        <v>9833</v>
      </c>
    </row>
    <row r="1685" spans="1:7" ht="43.2" x14ac:dyDescent="0.3">
      <c r="A1685" s="13" t="s">
        <v>9829</v>
      </c>
      <c r="B1685" s="13" t="s">
        <v>11668</v>
      </c>
      <c r="C1685" s="13" t="s">
        <v>11669</v>
      </c>
      <c r="D1685" s="13">
        <v>1865</v>
      </c>
      <c r="E1685" s="13" t="s">
        <v>9901</v>
      </c>
      <c r="F1685" s="13">
        <v>6</v>
      </c>
      <c r="G1685" s="13" t="s">
        <v>9837</v>
      </c>
    </row>
    <row r="1686" spans="1:7" ht="331.2" x14ac:dyDescent="0.3">
      <c r="A1686" s="13" t="s">
        <v>9829</v>
      </c>
      <c r="B1686" s="13" t="s">
        <v>11670</v>
      </c>
      <c r="C1686" s="13" t="s">
        <v>11671</v>
      </c>
      <c r="D1686" s="13">
        <v>1421</v>
      </c>
      <c r="E1686" s="13" t="s">
        <v>9832</v>
      </c>
      <c r="F1686" s="13">
        <v>5</v>
      </c>
      <c r="G1686" s="13" t="s">
        <v>13387</v>
      </c>
    </row>
    <row r="1687" spans="1:7" ht="331.2" x14ac:dyDescent="0.3">
      <c r="A1687" s="13" t="s">
        <v>9829</v>
      </c>
      <c r="B1687" s="13" t="s">
        <v>11670</v>
      </c>
      <c r="C1687" s="13" t="s">
        <v>11671</v>
      </c>
      <c r="D1687" s="13">
        <v>1421</v>
      </c>
      <c r="E1687" s="13" t="s">
        <v>9832</v>
      </c>
      <c r="F1687" s="13">
        <v>5</v>
      </c>
      <c r="G1687" s="13" t="s">
        <v>13387</v>
      </c>
    </row>
    <row r="1688" spans="1:7" ht="244.8" x14ac:dyDescent="0.3">
      <c r="A1688" s="13" t="s">
        <v>9829</v>
      </c>
      <c r="B1688" s="13" t="s">
        <v>11672</v>
      </c>
      <c r="C1688" s="13" t="s">
        <v>11673</v>
      </c>
      <c r="D1688" s="13">
        <v>1306</v>
      </c>
      <c r="E1688" s="13" t="s">
        <v>9832</v>
      </c>
      <c r="F1688" s="13">
        <v>5</v>
      </c>
      <c r="G1688" s="13" t="s">
        <v>13388</v>
      </c>
    </row>
    <row r="1689" spans="1:7" ht="28.8" x14ac:dyDescent="0.3">
      <c r="A1689" s="13" t="s">
        <v>9829</v>
      </c>
      <c r="B1689" s="13" t="s">
        <v>11674</v>
      </c>
      <c r="C1689" s="13" t="s">
        <v>11675</v>
      </c>
      <c r="D1689" s="13">
        <v>1011</v>
      </c>
      <c r="E1689" s="13" t="s">
        <v>9880</v>
      </c>
      <c r="F1689" s="13">
        <v>8.1999999999999993</v>
      </c>
      <c r="G1689" s="13" t="s">
        <v>9837</v>
      </c>
    </row>
    <row r="1690" spans="1:7" ht="28.8" x14ac:dyDescent="0.3">
      <c r="A1690" s="13" t="s">
        <v>9829</v>
      </c>
      <c r="B1690" s="13" t="s">
        <v>11676</v>
      </c>
      <c r="C1690" s="13" t="s">
        <v>11677</v>
      </c>
      <c r="D1690" s="13">
        <v>1278</v>
      </c>
      <c r="E1690" s="13" t="s">
        <v>9901</v>
      </c>
      <c r="F1690" s="13">
        <v>6</v>
      </c>
      <c r="G1690" s="13" t="s">
        <v>9837</v>
      </c>
    </row>
    <row r="1691" spans="1:7" ht="43.2" x14ac:dyDescent="0.3">
      <c r="A1691" s="13" t="s">
        <v>9829</v>
      </c>
      <c r="B1691" s="13" t="s">
        <v>11678</v>
      </c>
      <c r="C1691" s="13" t="s">
        <v>11679</v>
      </c>
      <c r="D1691" s="13">
        <v>627</v>
      </c>
      <c r="E1691" s="13" t="s">
        <v>9880</v>
      </c>
      <c r="F1691" s="13">
        <v>5.2</v>
      </c>
      <c r="G1691" s="13" t="s">
        <v>9837</v>
      </c>
    </row>
    <row r="1692" spans="1:7" ht="72" x14ac:dyDescent="0.3">
      <c r="A1692" s="13" t="s">
        <v>9829</v>
      </c>
      <c r="B1692" s="13" t="s">
        <v>11680</v>
      </c>
      <c r="C1692" s="13" t="s">
        <v>11681</v>
      </c>
      <c r="D1692" s="13">
        <v>284</v>
      </c>
      <c r="E1692" s="13" t="s">
        <v>9901</v>
      </c>
      <c r="F1692" s="13">
        <v>3</v>
      </c>
      <c r="G1692" s="13" t="s">
        <v>9837</v>
      </c>
    </row>
    <row r="1693" spans="1:7" ht="43.2" x14ac:dyDescent="0.3">
      <c r="A1693" s="13" t="s">
        <v>9829</v>
      </c>
      <c r="B1693" s="13" t="s">
        <v>11682</v>
      </c>
      <c r="C1693" s="13" t="s">
        <v>11683</v>
      </c>
      <c r="D1693" s="13">
        <v>724</v>
      </c>
      <c r="E1693" s="13" t="s">
        <v>9836</v>
      </c>
      <c r="F1693" s="13">
        <v>8</v>
      </c>
      <c r="G1693" s="13" t="s">
        <v>9837</v>
      </c>
    </row>
    <row r="1694" spans="1:7" ht="43.2" x14ac:dyDescent="0.3">
      <c r="A1694" s="13" t="s">
        <v>9829</v>
      </c>
      <c r="B1694" s="13" t="s">
        <v>11684</v>
      </c>
      <c r="C1694" s="13" t="s">
        <v>11685</v>
      </c>
      <c r="D1694" s="13">
        <v>441</v>
      </c>
      <c r="E1694" s="13" t="s">
        <v>9880</v>
      </c>
      <c r="F1694" s="13">
        <v>2.1</v>
      </c>
      <c r="G1694" s="13" t="s">
        <v>9837</v>
      </c>
    </row>
    <row r="1695" spans="1:7" ht="28.8" x14ac:dyDescent="0.3">
      <c r="A1695" s="13" t="s">
        <v>9829</v>
      </c>
      <c r="B1695" s="13" t="s">
        <v>11686</v>
      </c>
      <c r="C1695" s="13" t="s">
        <v>11687</v>
      </c>
      <c r="D1695" s="13">
        <v>286</v>
      </c>
      <c r="E1695" s="13" t="s">
        <v>9836</v>
      </c>
      <c r="F1695" s="13">
        <v>10</v>
      </c>
      <c r="G1695" s="13" t="s">
        <v>9837</v>
      </c>
    </row>
    <row r="1696" spans="1:7" ht="28.8" x14ac:dyDescent="0.3">
      <c r="A1696" s="13" t="s">
        <v>9829</v>
      </c>
      <c r="B1696" s="13" t="s">
        <v>11686</v>
      </c>
      <c r="C1696" s="13" t="s">
        <v>11687</v>
      </c>
      <c r="D1696" s="13">
        <v>286</v>
      </c>
      <c r="E1696" s="13" t="s">
        <v>9836</v>
      </c>
      <c r="F1696" s="13">
        <v>10</v>
      </c>
      <c r="G1696" s="13" t="s">
        <v>9837</v>
      </c>
    </row>
    <row r="1697" spans="1:7" ht="28.8" x14ac:dyDescent="0.3">
      <c r="A1697" s="13" t="s">
        <v>9829</v>
      </c>
      <c r="B1697" s="13" t="s">
        <v>11686</v>
      </c>
      <c r="C1697" s="13" t="s">
        <v>11687</v>
      </c>
      <c r="D1697" s="13">
        <v>286</v>
      </c>
      <c r="E1697" s="13" t="s">
        <v>9836</v>
      </c>
      <c r="F1697" s="13">
        <v>10</v>
      </c>
      <c r="G1697" s="13" t="s">
        <v>9837</v>
      </c>
    </row>
    <row r="1698" spans="1:7" ht="43.2" x14ac:dyDescent="0.3">
      <c r="A1698" s="13" t="s">
        <v>9829</v>
      </c>
      <c r="B1698" s="13" t="s">
        <v>11688</v>
      </c>
      <c r="C1698" s="13" t="s">
        <v>11689</v>
      </c>
      <c r="D1698" s="13">
        <v>287</v>
      </c>
      <c r="E1698" s="13" t="s">
        <v>9863</v>
      </c>
      <c r="F1698" s="13">
        <v>8</v>
      </c>
      <c r="G1698" s="13" t="s">
        <v>9837</v>
      </c>
    </row>
    <row r="1699" spans="1:7" ht="43.2" x14ac:dyDescent="0.3">
      <c r="A1699" s="13" t="s">
        <v>9829</v>
      </c>
      <c r="B1699" s="13" t="s">
        <v>11688</v>
      </c>
      <c r="C1699" s="13" t="s">
        <v>11689</v>
      </c>
      <c r="D1699" s="13">
        <v>287</v>
      </c>
      <c r="E1699" s="13" t="s">
        <v>9863</v>
      </c>
      <c r="F1699" s="13">
        <v>8</v>
      </c>
      <c r="G1699" s="13" t="s">
        <v>9837</v>
      </c>
    </row>
    <row r="1700" spans="1:7" ht="43.2" x14ac:dyDescent="0.3">
      <c r="A1700" s="13" t="s">
        <v>9829</v>
      </c>
      <c r="B1700" s="13" t="s">
        <v>11688</v>
      </c>
      <c r="C1700" s="13" t="s">
        <v>11689</v>
      </c>
      <c r="D1700" s="13">
        <v>287</v>
      </c>
      <c r="E1700" s="13" t="s">
        <v>9863</v>
      </c>
      <c r="F1700" s="13">
        <v>8</v>
      </c>
      <c r="G1700" s="13" t="s">
        <v>9837</v>
      </c>
    </row>
    <row r="1701" spans="1:7" ht="28.8" x14ac:dyDescent="0.3">
      <c r="A1701" s="13" t="s">
        <v>9829</v>
      </c>
      <c r="B1701" s="13" t="s">
        <v>11690</v>
      </c>
      <c r="C1701" s="13" t="s">
        <v>11691</v>
      </c>
      <c r="D1701" s="13">
        <v>288</v>
      </c>
      <c r="E1701" s="13" t="s">
        <v>9863</v>
      </c>
      <c r="F1701" s="13">
        <v>8</v>
      </c>
      <c r="G1701" s="13" t="s">
        <v>9837</v>
      </c>
    </row>
    <row r="1702" spans="1:7" ht="28.8" x14ac:dyDescent="0.3">
      <c r="A1702" s="13" t="s">
        <v>9829</v>
      </c>
      <c r="B1702" s="13" t="s">
        <v>11690</v>
      </c>
      <c r="C1702" s="13" t="s">
        <v>11691</v>
      </c>
      <c r="D1702" s="13">
        <v>288</v>
      </c>
      <c r="E1702" s="13" t="s">
        <v>9863</v>
      </c>
      <c r="F1702" s="13">
        <v>8</v>
      </c>
      <c r="G1702" s="13" t="s">
        <v>9837</v>
      </c>
    </row>
    <row r="1703" spans="1:7" ht="28.8" x14ac:dyDescent="0.3">
      <c r="A1703" s="13" t="s">
        <v>9829</v>
      </c>
      <c r="B1703" s="13" t="s">
        <v>11690</v>
      </c>
      <c r="C1703" s="13" t="s">
        <v>11691</v>
      </c>
      <c r="D1703" s="13">
        <v>288</v>
      </c>
      <c r="E1703" s="13" t="s">
        <v>9863</v>
      </c>
      <c r="F1703" s="13">
        <v>8</v>
      </c>
      <c r="G1703" s="13" t="s">
        <v>9837</v>
      </c>
    </row>
    <row r="1704" spans="1:7" ht="86.4" x14ac:dyDescent="0.3">
      <c r="A1704" s="13" t="s">
        <v>9829</v>
      </c>
      <c r="B1704" s="13" t="s">
        <v>11692</v>
      </c>
      <c r="C1704" s="13" t="s">
        <v>11693</v>
      </c>
      <c r="D1704" s="13">
        <v>841</v>
      </c>
      <c r="E1704" s="13" t="s">
        <v>9832</v>
      </c>
      <c r="F1704" s="13">
        <v>5</v>
      </c>
      <c r="G1704" s="13" t="s">
        <v>13389</v>
      </c>
    </row>
    <row r="1705" spans="1:7" ht="86.4" x14ac:dyDescent="0.3">
      <c r="A1705" s="13" t="s">
        <v>9829</v>
      </c>
      <c r="B1705" s="13" t="s">
        <v>11692</v>
      </c>
      <c r="C1705" s="13" t="s">
        <v>11693</v>
      </c>
      <c r="D1705" s="13">
        <v>841</v>
      </c>
      <c r="E1705" s="13" t="s">
        <v>9832</v>
      </c>
      <c r="F1705" s="13">
        <v>5</v>
      </c>
      <c r="G1705" s="13" t="s">
        <v>13389</v>
      </c>
    </row>
    <row r="1706" spans="1:7" ht="86.4" x14ac:dyDescent="0.3">
      <c r="A1706" s="13" t="s">
        <v>9829</v>
      </c>
      <c r="B1706" s="13" t="s">
        <v>11692</v>
      </c>
      <c r="C1706" s="13" t="s">
        <v>11693</v>
      </c>
      <c r="D1706" s="13">
        <v>841</v>
      </c>
      <c r="E1706" s="13" t="s">
        <v>9832</v>
      </c>
      <c r="F1706" s="13">
        <v>5</v>
      </c>
      <c r="G1706" s="13" t="s">
        <v>13389</v>
      </c>
    </row>
    <row r="1707" spans="1:7" ht="28.8" x14ac:dyDescent="0.3">
      <c r="A1707" s="13" t="s">
        <v>9829</v>
      </c>
      <c r="B1707" s="13" t="s">
        <v>11694</v>
      </c>
      <c r="C1707" s="13" t="s">
        <v>11695</v>
      </c>
      <c r="D1707" s="13">
        <v>1194</v>
      </c>
      <c r="E1707" s="13" t="s">
        <v>9832</v>
      </c>
      <c r="F1707" s="13">
        <v>5</v>
      </c>
      <c r="G1707" s="13" t="s">
        <v>9833</v>
      </c>
    </row>
    <row r="1708" spans="1:7" ht="28.8" x14ac:dyDescent="0.3">
      <c r="A1708" s="13" t="s">
        <v>9829</v>
      </c>
      <c r="B1708" s="13" t="s">
        <v>11696</v>
      </c>
      <c r="C1708" s="13" t="s">
        <v>11697</v>
      </c>
      <c r="D1708" s="13">
        <v>1249</v>
      </c>
      <c r="E1708" s="13" t="s">
        <v>9863</v>
      </c>
      <c r="F1708" s="13">
        <v>8</v>
      </c>
      <c r="G1708" s="13" t="s">
        <v>9837</v>
      </c>
    </row>
    <row r="1709" spans="1:7" ht="409.6" x14ac:dyDescent="0.3">
      <c r="A1709" s="13" t="s">
        <v>9829</v>
      </c>
      <c r="B1709" s="13" t="s">
        <v>11698</v>
      </c>
      <c r="C1709" s="13" t="s">
        <v>11699</v>
      </c>
      <c r="D1709" s="13">
        <v>1250</v>
      </c>
      <c r="E1709" s="13" t="s">
        <v>9832</v>
      </c>
      <c r="F1709" s="13">
        <v>5</v>
      </c>
      <c r="G1709" s="13" t="s">
        <v>13187</v>
      </c>
    </row>
    <row r="1710" spans="1:7" ht="28.8" x14ac:dyDescent="0.3">
      <c r="A1710" s="13" t="s">
        <v>9829</v>
      </c>
      <c r="B1710" s="13" t="s">
        <v>11700</v>
      </c>
      <c r="C1710" s="13" t="s">
        <v>11701</v>
      </c>
      <c r="D1710" s="13">
        <v>1251</v>
      </c>
      <c r="E1710" s="13" t="s">
        <v>9836</v>
      </c>
      <c r="F1710" s="13">
        <v>30</v>
      </c>
      <c r="G1710" s="13" t="s">
        <v>9837</v>
      </c>
    </row>
    <row r="1711" spans="1:7" ht="28.8" x14ac:dyDescent="0.3">
      <c r="A1711" s="13" t="s">
        <v>9829</v>
      </c>
      <c r="B1711" s="13" t="s">
        <v>11702</v>
      </c>
      <c r="C1711" s="13" t="s">
        <v>11703</v>
      </c>
      <c r="D1711" s="13">
        <v>1252</v>
      </c>
      <c r="E1711" s="13" t="s">
        <v>9836</v>
      </c>
      <c r="F1711" s="13">
        <v>30</v>
      </c>
      <c r="G1711" s="13" t="s">
        <v>9837</v>
      </c>
    </row>
    <row r="1712" spans="1:7" ht="28.8" x14ac:dyDescent="0.3">
      <c r="A1712" s="13" t="s">
        <v>9829</v>
      </c>
      <c r="B1712" s="13" t="s">
        <v>11704</v>
      </c>
      <c r="C1712" s="13" t="s">
        <v>11705</v>
      </c>
      <c r="D1712" s="13">
        <v>1253</v>
      </c>
      <c r="E1712" s="13" t="s">
        <v>9863</v>
      </c>
      <c r="F1712" s="13">
        <v>8</v>
      </c>
      <c r="G1712" s="13" t="s">
        <v>9837</v>
      </c>
    </row>
    <row r="1713" spans="1:7" ht="43.2" x14ac:dyDescent="0.3">
      <c r="A1713" s="13" t="s">
        <v>9829</v>
      </c>
      <c r="B1713" s="13" t="s">
        <v>11706</v>
      </c>
      <c r="C1713" s="13" t="s">
        <v>11707</v>
      </c>
      <c r="D1713" s="13">
        <v>1254</v>
      </c>
      <c r="E1713" s="13" t="s">
        <v>9836</v>
      </c>
      <c r="F1713" s="13">
        <v>45</v>
      </c>
      <c r="G1713" s="13" t="s">
        <v>9837</v>
      </c>
    </row>
    <row r="1714" spans="1:7" ht="388.8" x14ac:dyDescent="0.3">
      <c r="A1714" s="13" t="s">
        <v>9829</v>
      </c>
      <c r="B1714" s="13" t="s">
        <v>11708</v>
      </c>
      <c r="C1714" s="13" t="s">
        <v>11709</v>
      </c>
      <c r="D1714" s="13">
        <v>721</v>
      </c>
      <c r="E1714" s="13" t="s">
        <v>9832</v>
      </c>
      <c r="F1714" s="13">
        <v>5</v>
      </c>
      <c r="G1714" s="13" t="s">
        <v>13390</v>
      </c>
    </row>
    <row r="1715" spans="1:7" ht="28.8" x14ac:dyDescent="0.3">
      <c r="A1715" s="13" t="s">
        <v>9829</v>
      </c>
      <c r="B1715" s="13" t="s">
        <v>11710</v>
      </c>
      <c r="C1715" s="13" t="s">
        <v>11711</v>
      </c>
      <c r="D1715" s="13">
        <v>448</v>
      </c>
      <c r="E1715" s="13" t="s">
        <v>9863</v>
      </c>
      <c r="F1715" s="13">
        <v>8</v>
      </c>
      <c r="G1715" s="13" t="s">
        <v>9837</v>
      </c>
    </row>
    <row r="1716" spans="1:7" ht="28.8" x14ac:dyDescent="0.3">
      <c r="A1716" s="13" t="s">
        <v>9829</v>
      </c>
      <c r="B1716" s="13" t="s">
        <v>11712</v>
      </c>
      <c r="C1716" s="13" t="s">
        <v>11713</v>
      </c>
      <c r="D1716" s="13">
        <v>449</v>
      </c>
      <c r="E1716" s="13" t="s">
        <v>9863</v>
      </c>
      <c r="F1716" s="13">
        <v>8</v>
      </c>
      <c r="G1716" s="13" t="s">
        <v>9837</v>
      </c>
    </row>
    <row r="1717" spans="1:7" ht="28.8" x14ac:dyDescent="0.3">
      <c r="A1717" s="13" t="s">
        <v>9829</v>
      </c>
      <c r="B1717" s="13" t="s">
        <v>11714</v>
      </c>
      <c r="C1717" s="13" t="s">
        <v>11715</v>
      </c>
      <c r="D1717" s="13">
        <v>446</v>
      </c>
      <c r="E1717" s="13" t="s">
        <v>9836</v>
      </c>
      <c r="F1717" s="13">
        <v>45</v>
      </c>
      <c r="G1717" s="13" t="s">
        <v>9837</v>
      </c>
    </row>
    <row r="1718" spans="1:7" ht="28.8" x14ac:dyDescent="0.3">
      <c r="A1718" s="13" t="s">
        <v>9829</v>
      </c>
      <c r="B1718" s="13" t="s">
        <v>11716</v>
      </c>
      <c r="C1718" s="13" t="s">
        <v>11717</v>
      </c>
      <c r="D1718" s="13">
        <v>447</v>
      </c>
      <c r="E1718" s="13" t="s">
        <v>9836</v>
      </c>
      <c r="F1718" s="13">
        <v>80</v>
      </c>
      <c r="G1718" s="13" t="s">
        <v>9837</v>
      </c>
    </row>
    <row r="1719" spans="1:7" ht="28.8" x14ac:dyDescent="0.3">
      <c r="A1719" s="13" t="s">
        <v>9829</v>
      </c>
      <c r="B1719" s="13" t="s">
        <v>11718</v>
      </c>
      <c r="C1719" s="13" t="s">
        <v>11719</v>
      </c>
      <c r="D1719" s="13">
        <v>290</v>
      </c>
      <c r="E1719" s="13" t="s">
        <v>9836</v>
      </c>
      <c r="F1719" s="13">
        <v>20</v>
      </c>
      <c r="G1719" s="13" t="s">
        <v>9837</v>
      </c>
    </row>
    <row r="1720" spans="1:7" ht="28.8" x14ac:dyDescent="0.3">
      <c r="A1720" s="13" t="s">
        <v>9829</v>
      </c>
      <c r="B1720" s="13" t="s">
        <v>11718</v>
      </c>
      <c r="C1720" s="13" t="s">
        <v>11719</v>
      </c>
      <c r="D1720" s="13">
        <v>290</v>
      </c>
      <c r="E1720" s="13" t="s">
        <v>9836</v>
      </c>
      <c r="F1720" s="13">
        <v>20</v>
      </c>
      <c r="G1720" s="13" t="s">
        <v>9837</v>
      </c>
    </row>
    <row r="1721" spans="1:7" ht="86.4" x14ac:dyDescent="0.3">
      <c r="A1721" s="13" t="s">
        <v>9829</v>
      </c>
      <c r="B1721" s="13" t="s">
        <v>11720</v>
      </c>
      <c r="C1721" s="13" t="s">
        <v>11721</v>
      </c>
      <c r="D1721" s="13">
        <v>776</v>
      </c>
      <c r="E1721" s="13" t="s">
        <v>9836</v>
      </c>
      <c r="F1721" s="13">
        <v>35</v>
      </c>
      <c r="G1721" s="13" t="s">
        <v>9837</v>
      </c>
    </row>
    <row r="1722" spans="1:7" ht="43.2" x14ac:dyDescent="0.3">
      <c r="A1722" s="13" t="s">
        <v>9829</v>
      </c>
      <c r="B1722" s="13" t="s">
        <v>11722</v>
      </c>
      <c r="C1722" s="13" t="s">
        <v>11723</v>
      </c>
      <c r="D1722" s="13">
        <v>625</v>
      </c>
      <c r="E1722" s="13" t="s">
        <v>9880</v>
      </c>
      <c r="F1722" s="13">
        <v>5.2</v>
      </c>
      <c r="G1722" s="13" t="s">
        <v>9837</v>
      </c>
    </row>
    <row r="1723" spans="1:7" ht="409.6" x14ac:dyDescent="0.3">
      <c r="A1723" s="13" t="s">
        <v>9829</v>
      </c>
      <c r="B1723" s="13" t="s">
        <v>11724</v>
      </c>
      <c r="C1723" s="13" t="s">
        <v>11725</v>
      </c>
      <c r="D1723" s="13">
        <v>1116</v>
      </c>
      <c r="E1723" s="13" t="s">
        <v>9832</v>
      </c>
      <c r="F1723" s="13">
        <v>5</v>
      </c>
      <c r="G1723" s="13" t="s">
        <v>13391</v>
      </c>
    </row>
    <row r="1724" spans="1:7" ht="409.6" x14ac:dyDescent="0.3">
      <c r="A1724" s="13" t="s">
        <v>9829</v>
      </c>
      <c r="B1724" s="13" t="s">
        <v>11724</v>
      </c>
      <c r="C1724" s="13" t="s">
        <v>11725</v>
      </c>
      <c r="D1724" s="13">
        <v>1116</v>
      </c>
      <c r="E1724" s="13" t="s">
        <v>9832</v>
      </c>
      <c r="F1724" s="13">
        <v>5</v>
      </c>
      <c r="G1724" s="13" t="s">
        <v>13391</v>
      </c>
    </row>
    <row r="1725" spans="1:7" ht="72" x14ac:dyDescent="0.3">
      <c r="A1725" s="13" t="s">
        <v>9829</v>
      </c>
      <c r="B1725" s="13" t="s">
        <v>11726</v>
      </c>
      <c r="C1725" s="13" t="s">
        <v>11727</v>
      </c>
      <c r="D1725" s="13">
        <v>756</v>
      </c>
      <c r="E1725" s="13" t="s">
        <v>9836</v>
      </c>
      <c r="F1725" s="13">
        <v>35</v>
      </c>
      <c r="G1725" s="13" t="s">
        <v>9837</v>
      </c>
    </row>
    <row r="1726" spans="1:7" ht="100.8" x14ac:dyDescent="0.3">
      <c r="A1726" s="13" t="s">
        <v>9829</v>
      </c>
      <c r="B1726" s="13" t="s">
        <v>11728</v>
      </c>
      <c r="C1726" s="13" t="s">
        <v>11729</v>
      </c>
      <c r="D1726" s="13">
        <v>1391</v>
      </c>
      <c r="E1726" s="13" t="s">
        <v>9836</v>
      </c>
      <c r="F1726" s="13">
        <v>50</v>
      </c>
      <c r="G1726" s="13" t="s">
        <v>9837</v>
      </c>
    </row>
    <row r="1727" spans="1:7" ht="100.8" x14ac:dyDescent="0.3">
      <c r="A1727" s="13" t="s">
        <v>9829</v>
      </c>
      <c r="B1727" s="13" t="s">
        <v>11728</v>
      </c>
      <c r="C1727" s="13" t="s">
        <v>11729</v>
      </c>
      <c r="D1727" s="13">
        <v>1391</v>
      </c>
      <c r="E1727" s="13" t="s">
        <v>9836</v>
      </c>
      <c r="F1727" s="13">
        <v>50</v>
      </c>
      <c r="G1727" s="13" t="s">
        <v>9837</v>
      </c>
    </row>
    <row r="1728" spans="1:7" ht="100.8" x14ac:dyDescent="0.3">
      <c r="A1728" s="13" t="s">
        <v>9829</v>
      </c>
      <c r="B1728" s="13" t="s">
        <v>11728</v>
      </c>
      <c r="C1728" s="13" t="s">
        <v>11729</v>
      </c>
      <c r="D1728" s="13">
        <v>1391</v>
      </c>
      <c r="E1728" s="13" t="s">
        <v>9836</v>
      </c>
      <c r="F1728" s="13">
        <v>50</v>
      </c>
      <c r="G1728" s="13" t="s">
        <v>9837</v>
      </c>
    </row>
    <row r="1729" spans="1:7" ht="100.8" x14ac:dyDescent="0.3">
      <c r="A1729" s="13" t="s">
        <v>9829</v>
      </c>
      <c r="B1729" s="13" t="s">
        <v>11728</v>
      </c>
      <c r="C1729" s="13" t="s">
        <v>11729</v>
      </c>
      <c r="D1729" s="13">
        <v>1391</v>
      </c>
      <c r="E1729" s="13" t="s">
        <v>9836</v>
      </c>
      <c r="F1729" s="13">
        <v>50</v>
      </c>
      <c r="G1729" s="13" t="s">
        <v>9837</v>
      </c>
    </row>
    <row r="1730" spans="1:7" ht="100.8" x14ac:dyDescent="0.3">
      <c r="A1730" s="13" t="s">
        <v>9829</v>
      </c>
      <c r="B1730" s="13" t="s">
        <v>11728</v>
      </c>
      <c r="C1730" s="13" t="s">
        <v>11729</v>
      </c>
      <c r="D1730" s="13">
        <v>1391</v>
      </c>
      <c r="E1730" s="13" t="s">
        <v>9836</v>
      </c>
      <c r="F1730" s="13">
        <v>50</v>
      </c>
      <c r="G1730" s="13" t="s">
        <v>9837</v>
      </c>
    </row>
    <row r="1731" spans="1:7" ht="100.8" x14ac:dyDescent="0.3">
      <c r="A1731" s="13" t="s">
        <v>9829</v>
      </c>
      <c r="B1731" s="13" t="s">
        <v>11728</v>
      </c>
      <c r="C1731" s="13" t="s">
        <v>11729</v>
      </c>
      <c r="D1731" s="13">
        <v>1391</v>
      </c>
      <c r="E1731" s="13" t="s">
        <v>9836</v>
      </c>
      <c r="F1731" s="13">
        <v>50</v>
      </c>
      <c r="G1731" s="13" t="s">
        <v>9837</v>
      </c>
    </row>
    <row r="1732" spans="1:7" ht="100.8" x14ac:dyDescent="0.3">
      <c r="A1732" s="13" t="s">
        <v>9829</v>
      </c>
      <c r="B1732" s="13" t="s">
        <v>11728</v>
      </c>
      <c r="C1732" s="13" t="s">
        <v>11729</v>
      </c>
      <c r="D1732" s="13">
        <v>1391</v>
      </c>
      <c r="E1732" s="13" t="s">
        <v>9836</v>
      </c>
      <c r="F1732" s="13">
        <v>50</v>
      </c>
      <c r="G1732" s="13" t="s">
        <v>9837</v>
      </c>
    </row>
    <row r="1733" spans="1:7" ht="28.8" x14ac:dyDescent="0.3">
      <c r="A1733" s="13" t="s">
        <v>9829</v>
      </c>
      <c r="B1733" s="13" t="s">
        <v>11730</v>
      </c>
      <c r="C1733" s="13" t="s">
        <v>11731</v>
      </c>
      <c r="D1733" s="13">
        <v>292</v>
      </c>
      <c r="E1733" s="13" t="s">
        <v>9836</v>
      </c>
      <c r="F1733" s="13">
        <v>30</v>
      </c>
      <c r="G1733" s="13" t="s">
        <v>9837</v>
      </c>
    </row>
    <row r="1734" spans="1:7" ht="28.8" x14ac:dyDescent="0.3">
      <c r="A1734" s="13" t="s">
        <v>9829</v>
      </c>
      <c r="B1734" s="13" t="s">
        <v>11730</v>
      </c>
      <c r="C1734" s="13" t="s">
        <v>11731</v>
      </c>
      <c r="D1734" s="13">
        <v>292</v>
      </c>
      <c r="E1734" s="13" t="s">
        <v>9836</v>
      </c>
      <c r="F1734" s="13">
        <v>30</v>
      </c>
      <c r="G1734" s="13" t="s">
        <v>9837</v>
      </c>
    </row>
    <row r="1735" spans="1:7" ht="28.8" x14ac:dyDescent="0.3">
      <c r="A1735" s="13" t="s">
        <v>9829</v>
      </c>
      <c r="B1735" s="13" t="s">
        <v>11730</v>
      </c>
      <c r="C1735" s="13" t="s">
        <v>11731</v>
      </c>
      <c r="D1735" s="13">
        <v>292</v>
      </c>
      <c r="E1735" s="13" t="s">
        <v>9836</v>
      </c>
      <c r="F1735" s="13">
        <v>30</v>
      </c>
      <c r="G1735" s="13" t="s">
        <v>9837</v>
      </c>
    </row>
    <row r="1736" spans="1:7" ht="28.8" x14ac:dyDescent="0.3">
      <c r="A1736" s="13" t="s">
        <v>9829</v>
      </c>
      <c r="B1736" s="13" t="s">
        <v>11732</v>
      </c>
      <c r="C1736" s="13" t="s">
        <v>11733</v>
      </c>
      <c r="D1736" s="13">
        <v>484</v>
      </c>
      <c r="E1736" s="13" t="s">
        <v>9836</v>
      </c>
      <c r="F1736" s="13">
        <v>30</v>
      </c>
      <c r="G1736" s="13" t="s">
        <v>9837</v>
      </c>
    </row>
    <row r="1737" spans="1:7" ht="28.8" x14ac:dyDescent="0.3">
      <c r="A1737" s="13" t="s">
        <v>9829</v>
      </c>
      <c r="B1737" s="13" t="s">
        <v>11732</v>
      </c>
      <c r="C1737" s="13" t="s">
        <v>11733</v>
      </c>
      <c r="D1737" s="13">
        <v>484</v>
      </c>
      <c r="E1737" s="13" t="s">
        <v>9836</v>
      </c>
      <c r="F1737" s="13">
        <v>30</v>
      </c>
      <c r="G1737" s="13" t="s">
        <v>9837</v>
      </c>
    </row>
    <row r="1738" spans="1:7" ht="28.8" x14ac:dyDescent="0.3">
      <c r="A1738" s="13" t="s">
        <v>9829</v>
      </c>
      <c r="B1738" s="13" t="s">
        <v>11734</v>
      </c>
      <c r="C1738" s="13" t="s">
        <v>11735</v>
      </c>
      <c r="D1738" s="13">
        <v>293</v>
      </c>
      <c r="E1738" s="13" t="s">
        <v>9836</v>
      </c>
      <c r="F1738" s="13">
        <v>10</v>
      </c>
      <c r="G1738" s="13" t="s">
        <v>9837</v>
      </c>
    </row>
    <row r="1739" spans="1:7" ht="28.8" x14ac:dyDescent="0.3">
      <c r="A1739" s="13" t="s">
        <v>9829</v>
      </c>
      <c r="B1739" s="13" t="s">
        <v>11734</v>
      </c>
      <c r="C1739" s="13" t="s">
        <v>11735</v>
      </c>
      <c r="D1739" s="13">
        <v>293</v>
      </c>
      <c r="E1739" s="13" t="s">
        <v>9836</v>
      </c>
      <c r="F1739" s="13">
        <v>10</v>
      </c>
      <c r="G1739" s="13" t="s">
        <v>9837</v>
      </c>
    </row>
    <row r="1740" spans="1:7" ht="28.8" x14ac:dyDescent="0.3">
      <c r="A1740" s="13" t="s">
        <v>9829</v>
      </c>
      <c r="B1740" s="13" t="s">
        <v>11736</v>
      </c>
      <c r="C1740" s="13" t="s">
        <v>11737</v>
      </c>
      <c r="D1740" s="13">
        <v>294</v>
      </c>
      <c r="E1740" s="13" t="s">
        <v>9836</v>
      </c>
      <c r="F1740" s="13">
        <v>45</v>
      </c>
      <c r="G1740" s="13" t="s">
        <v>9837</v>
      </c>
    </row>
    <row r="1741" spans="1:7" ht="28.8" x14ac:dyDescent="0.3">
      <c r="A1741" s="13" t="s">
        <v>9829</v>
      </c>
      <c r="B1741" s="13" t="s">
        <v>11736</v>
      </c>
      <c r="C1741" s="13" t="s">
        <v>11737</v>
      </c>
      <c r="D1741" s="13">
        <v>294</v>
      </c>
      <c r="E1741" s="13" t="s">
        <v>9836</v>
      </c>
      <c r="F1741" s="13">
        <v>45</v>
      </c>
      <c r="G1741" s="13" t="s">
        <v>9837</v>
      </c>
    </row>
    <row r="1742" spans="1:7" ht="409.6" x14ac:dyDescent="0.3">
      <c r="A1742" s="13" t="s">
        <v>9829</v>
      </c>
      <c r="B1742" s="13" t="s">
        <v>11738</v>
      </c>
      <c r="C1742" s="13" t="s">
        <v>11739</v>
      </c>
      <c r="D1742" s="13">
        <v>497</v>
      </c>
      <c r="E1742" s="13" t="s">
        <v>9832</v>
      </c>
      <c r="F1742" s="13">
        <v>5</v>
      </c>
      <c r="G1742" s="13" t="s">
        <v>13392</v>
      </c>
    </row>
    <row r="1743" spans="1:7" ht="86.4" x14ac:dyDescent="0.3">
      <c r="A1743" s="13" t="s">
        <v>9829</v>
      </c>
      <c r="B1743" s="13" t="s">
        <v>11740</v>
      </c>
      <c r="C1743" s="13" t="s">
        <v>11741</v>
      </c>
      <c r="D1743" s="13">
        <v>830</v>
      </c>
      <c r="E1743" s="13" t="s">
        <v>9836</v>
      </c>
      <c r="F1743" s="13">
        <v>45</v>
      </c>
      <c r="G1743" s="13" t="s">
        <v>9837</v>
      </c>
    </row>
    <row r="1744" spans="1:7" ht="28.8" x14ac:dyDescent="0.3">
      <c r="A1744" s="13" t="s">
        <v>9829</v>
      </c>
      <c r="B1744" s="13" t="s">
        <v>11742</v>
      </c>
      <c r="C1744" s="13" t="s">
        <v>11743</v>
      </c>
      <c r="D1744" s="13">
        <v>1435</v>
      </c>
      <c r="E1744" s="13" t="s">
        <v>9832</v>
      </c>
      <c r="F1744" s="13">
        <v>5</v>
      </c>
      <c r="G1744" s="13" t="s">
        <v>9833</v>
      </c>
    </row>
    <row r="1745" spans="1:7" ht="28.8" x14ac:dyDescent="0.3">
      <c r="A1745" s="13" t="s">
        <v>9829</v>
      </c>
      <c r="B1745" s="13" t="s">
        <v>11742</v>
      </c>
      <c r="C1745" s="13" t="s">
        <v>11743</v>
      </c>
      <c r="D1745" s="13">
        <v>1435</v>
      </c>
      <c r="E1745" s="13" t="s">
        <v>9832</v>
      </c>
      <c r="F1745" s="13">
        <v>5</v>
      </c>
      <c r="G1745" s="13" t="s">
        <v>9833</v>
      </c>
    </row>
    <row r="1746" spans="1:7" ht="28.8" x14ac:dyDescent="0.3">
      <c r="A1746" s="13" t="s">
        <v>9829</v>
      </c>
      <c r="B1746" s="13" t="s">
        <v>11742</v>
      </c>
      <c r="C1746" s="13" t="s">
        <v>11743</v>
      </c>
      <c r="D1746" s="13">
        <v>1435</v>
      </c>
      <c r="E1746" s="13" t="s">
        <v>9832</v>
      </c>
      <c r="F1746" s="13">
        <v>5</v>
      </c>
      <c r="G1746" s="13" t="s">
        <v>9833</v>
      </c>
    </row>
    <row r="1747" spans="1:7" ht="28.8" x14ac:dyDescent="0.3">
      <c r="A1747" s="13" t="s">
        <v>9829</v>
      </c>
      <c r="B1747" s="13" t="s">
        <v>11742</v>
      </c>
      <c r="C1747" s="13" t="s">
        <v>11743</v>
      </c>
      <c r="D1747" s="13">
        <v>1435</v>
      </c>
      <c r="E1747" s="13" t="s">
        <v>9832</v>
      </c>
      <c r="F1747" s="13">
        <v>5</v>
      </c>
      <c r="G1747" s="13" t="s">
        <v>9833</v>
      </c>
    </row>
    <row r="1748" spans="1:7" ht="28.8" x14ac:dyDescent="0.3">
      <c r="A1748" s="13" t="s">
        <v>9829</v>
      </c>
      <c r="B1748" s="13" t="s">
        <v>11742</v>
      </c>
      <c r="C1748" s="13" t="s">
        <v>11743</v>
      </c>
      <c r="D1748" s="13">
        <v>1435</v>
      </c>
      <c r="E1748" s="13" t="s">
        <v>9832</v>
      </c>
      <c r="F1748" s="13">
        <v>5</v>
      </c>
      <c r="G1748" s="13" t="s">
        <v>9833</v>
      </c>
    </row>
    <row r="1749" spans="1:7" ht="57.6" x14ac:dyDescent="0.3">
      <c r="A1749" s="13" t="s">
        <v>9829</v>
      </c>
      <c r="B1749" s="13" t="s">
        <v>11744</v>
      </c>
      <c r="C1749" s="13" t="s">
        <v>11745</v>
      </c>
      <c r="D1749" s="13">
        <v>1153</v>
      </c>
      <c r="E1749" s="13" t="s">
        <v>9832</v>
      </c>
      <c r="F1749" s="13">
        <v>5</v>
      </c>
      <c r="G1749" s="13" t="s">
        <v>9833</v>
      </c>
    </row>
    <row r="1750" spans="1:7" ht="57.6" x14ac:dyDescent="0.3">
      <c r="A1750" s="13" t="s">
        <v>9829</v>
      </c>
      <c r="B1750" s="13" t="s">
        <v>11746</v>
      </c>
      <c r="C1750" s="13" t="s">
        <v>11747</v>
      </c>
      <c r="D1750" s="13">
        <v>1154</v>
      </c>
      <c r="E1750" s="13" t="s">
        <v>9832</v>
      </c>
      <c r="F1750" s="13">
        <v>5</v>
      </c>
      <c r="G1750" s="13" t="s">
        <v>9833</v>
      </c>
    </row>
    <row r="1751" spans="1:7" ht="43.2" x14ac:dyDescent="0.3">
      <c r="A1751" s="13" t="s">
        <v>9829</v>
      </c>
      <c r="B1751" s="13" t="s">
        <v>11748</v>
      </c>
      <c r="C1751" s="13" t="s">
        <v>11749</v>
      </c>
      <c r="D1751" s="13">
        <v>295</v>
      </c>
      <c r="E1751" s="13" t="s">
        <v>9836</v>
      </c>
      <c r="F1751" s="13">
        <v>60</v>
      </c>
      <c r="G1751" s="13" t="s">
        <v>9837</v>
      </c>
    </row>
    <row r="1752" spans="1:7" ht="43.2" x14ac:dyDescent="0.3">
      <c r="A1752" s="13" t="s">
        <v>9829</v>
      </c>
      <c r="B1752" s="13" t="s">
        <v>11750</v>
      </c>
      <c r="C1752" s="13" t="s">
        <v>11751</v>
      </c>
      <c r="D1752" s="13">
        <v>296</v>
      </c>
      <c r="E1752" s="13" t="s">
        <v>9836</v>
      </c>
      <c r="F1752" s="13">
        <v>60</v>
      </c>
      <c r="G1752" s="13" t="s">
        <v>9837</v>
      </c>
    </row>
    <row r="1753" spans="1:7" ht="144" x14ac:dyDescent="0.3">
      <c r="A1753" s="13" t="s">
        <v>9829</v>
      </c>
      <c r="B1753" s="13" t="s">
        <v>11752</v>
      </c>
      <c r="C1753" s="13" t="s">
        <v>11753</v>
      </c>
      <c r="D1753" s="13">
        <v>1307</v>
      </c>
      <c r="E1753" s="13" t="s">
        <v>9832</v>
      </c>
      <c r="F1753" s="13">
        <v>5</v>
      </c>
      <c r="G1753" s="13" t="s">
        <v>13393</v>
      </c>
    </row>
    <row r="1754" spans="1:7" ht="28.8" x14ac:dyDescent="0.3">
      <c r="A1754" s="13" t="s">
        <v>9829</v>
      </c>
      <c r="B1754" s="13" t="s">
        <v>11754</v>
      </c>
      <c r="C1754" s="13" t="s">
        <v>11755</v>
      </c>
      <c r="D1754" s="13">
        <v>1320</v>
      </c>
      <c r="E1754" s="13" t="s">
        <v>9836</v>
      </c>
      <c r="F1754" s="13">
        <v>45</v>
      </c>
      <c r="G1754" s="13" t="s">
        <v>9837</v>
      </c>
    </row>
    <row r="1755" spans="1:7" ht="28.8" x14ac:dyDescent="0.3">
      <c r="A1755" s="13" t="s">
        <v>9829</v>
      </c>
      <c r="B1755" s="13" t="s">
        <v>11756</v>
      </c>
      <c r="C1755" s="13" t="s">
        <v>11757</v>
      </c>
      <c r="D1755" s="13">
        <v>488</v>
      </c>
      <c r="E1755" s="13" t="s">
        <v>9863</v>
      </c>
      <c r="F1755" s="13">
        <v>8</v>
      </c>
      <c r="G1755" s="13" t="s">
        <v>9837</v>
      </c>
    </row>
    <row r="1756" spans="1:7" ht="288" x14ac:dyDescent="0.3">
      <c r="A1756" s="13" t="s">
        <v>9829</v>
      </c>
      <c r="B1756" s="13" t="s">
        <v>11758</v>
      </c>
      <c r="C1756" s="13" t="s">
        <v>11759</v>
      </c>
      <c r="D1756" s="13">
        <v>487</v>
      </c>
      <c r="E1756" s="13" t="s">
        <v>9832</v>
      </c>
      <c r="F1756" s="13">
        <v>5</v>
      </c>
      <c r="G1756" s="13" t="s">
        <v>13394</v>
      </c>
    </row>
    <row r="1757" spans="1:7" ht="28.8" x14ac:dyDescent="0.3">
      <c r="A1757" s="13" t="s">
        <v>9829</v>
      </c>
      <c r="B1757" s="13" t="s">
        <v>11760</v>
      </c>
      <c r="C1757" s="13" t="s">
        <v>11761</v>
      </c>
      <c r="D1757" s="13">
        <v>1321</v>
      </c>
      <c r="E1757" s="13" t="s">
        <v>9836</v>
      </c>
      <c r="F1757" s="13">
        <v>45</v>
      </c>
      <c r="G1757" s="13" t="s">
        <v>9837</v>
      </c>
    </row>
    <row r="1758" spans="1:7" ht="57.6" x14ac:dyDescent="0.3">
      <c r="A1758" s="13" t="s">
        <v>9829</v>
      </c>
      <c r="B1758" s="13" t="s">
        <v>11762</v>
      </c>
      <c r="C1758" s="13" t="s">
        <v>11763</v>
      </c>
      <c r="D1758" s="13">
        <v>1317</v>
      </c>
      <c r="E1758" s="13" t="s">
        <v>9836</v>
      </c>
      <c r="F1758" s="13">
        <v>30</v>
      </c>
      <c r="G1758" s="13" t="s">
        <v>9837</v>
      </c>
    </row>
    <row r="1759" spans="1:7" ht="28.8" x14ac:dyDescent="0.3">
      <c r="A1759" s="13" t="s">
        <v>9829</v>
      </c>
      <c r="B1759" s="13" t="s">
        <v>11764</v>
      </c>
      <c r="C1759" s="13" t="s">
        <v>11765</v>
      </c>
      <c r="D1759" s="13">
        <v>1323</v>
      </c>
      <c r="E1759" s="13" t="s">
        <v>9863</v>
      </c>
      <c r="F1759" s="13">
        <v>8</v>
      </c>
      <c r="G1759" s="13" t="s">
        <v>9837</v>
      </c>
    </row>
    <row r="1760" spans="1:7" ht="28.8" x14ac:dyDescent="0.3">
      <c r="A1760" s="13" t="s">
        <v>9829</v>
      </c>
      <c r="B1760" s="13" t="s">
        <v>11766</v>
      </c>
      <c r="C1760" s="13" t="s">
        <v>11767</v>
      </c>
      <c r="D1760" s="13">
        <v>1322</v>
      </c>
      <c r="E1760" s="13" t="s">
        <v>9863</v>
      </c>
      <c r="F1760" s="13">
        <v>4</v>
      </c>
      <c r="G1760" s="13" t="s">
        <v>9837</v>
      </c>
    </row>
    <row r="1761" spans="1:7" ht="28.8" x14ac:dyDescent="0.3">
      <c r="A1761" s="13" t="s">
        <v>9829</v>
      </c>
      <c r="B1761" s="13" t="s">
        <v>11768</v>
      </c>
      <c r="C1761" s="13" t="s">
        <v>11769</v>
      </c>
      <c r="D1761" s="13">
        <v>1316</v>
      </c>
      <c r="E1761" s="13" t="s">
        <v>9836</v>
      </c>
      <c r="F1761" s="13">
        <v>30</v>
      </c>
      <c r="G1761" s="13" t="s">
        <v>9837</v>
      </c>
    </row>
    <row r="1762" spans="1:7" ht="43.2" x14ac:dyDescent="0.3">
      <c r="A1762" s="13" t="s">
        <v>9829</v>
      </c>
      <c r="B1762" s="13" t="s">
        <v>11770</v>
      </c>
      <c r="C1762" s="13" t="s">
        <v>11771</v>
      </c>
      <c r="D1762" s="13">
        <v>1115</v>
      </c>
      <c r="E1762" s="13" t="s">
        <v>9836</v>
      </c>
      <c r="F1762" s="13">
        <v>30</v>
      </c>
      <c r="G1762" s="13" t="s">
        <v>9837</v>
      </c>
    </row>
    <row r="1763" spans="1:7" ht="43.2" x14ac:dyDescent="0.3">
      <c r="A1763" s="13" t="s">
        <v>9829</v>
      </c>
      <c r="B1763" s="13" t="s">
        <v>11770</v>
      </c>
      <c r="C1763" s="13" t="s">
        <v>11771</v>
      </c>
      <c r="D1763" s="13">
        <v>1115</v>
      </c>
      <c r="E1763" s="13" t="s">
        <v>9836</v>
      </c>
      <c r="F1763" s="13">
        <v>30</v>
      </c>
      <c r="G1763" s="13" t="s">
        <v>9837</v>
      </c>
    </row>
    <row r="1764" spans="1:7" ht="28.8" x14ac:dyDescent="0.3">
      <c r="A1764" s="13" t="s">
        <v>9829</v>
      </c>
      <c r="B1764" s="13" t="s">
        <v>11772</v>
      </c>
      <c r="C1764" s="13" t="s">
        <v>11773</v>
      </c>
      <c r="D1764" s="13">
        <v>515</v>
      </c>
      <c r="E1764" s="13" t="s">
        <v>9880</v>
      </c>
      <c r="F1764" s="13">
        <v>3.2</v>
      </c>
      <c r="G1764" s="13" t="s">
        <v>9837</v>
      </c>
    </row>
    <row r="1765" spans="1:7" ht="43.2" x14ac:dyDescent="0.3">
      <c r="A1765" s="13" t="s">
        <v>9829</v>
      </c>
      <c r="B1765" s="13" t="s">
        <v>11774</v>
      </c>
      <c r="C1765" s="13" t="s">
        <v>11775</v>
      </c>
      <c r="D1765" s="13">
        <v>1053</v>
      </c>
      <c r="E1765" s="13" t="s">
        <v>9836</v>
      </c>
      <c r="F1765" s="13">
        <v>30</v>
      </c>
      <c r="G1765" s="13" t="s">
        <v>9837</v>
      </c>
    </row>
    <row r="1766" spans="1:7" ht="43.2" x14ac:dyDescent="0.3">
      <c r="A1766" s="13" t="s">
        <v>9829</v>
      </c>
      <c r="B1766" s="13" t="s">
        <v>11776</v>
      </c>
      <c r="C1766" s="13" t="s">
        <v>11777</v>
      </c>
      <c r="D1766" s="13">
        <v>1152</v>
      </c>
      <c r="E1766" s="13" t="s">
        <v>9832</v>
      </c>
      <c r="F1766" s="13">
        <v>5</v>
      </c>
      <c r="G1766" s="13" t="s">
        <v>9833</v>
      </c>
    </row>
    <row r="1767" spans="1:7" ht="409.6" x14ac:dyDescent="0.3">
      <c r="A1767" s="13" t="s">
        <v>9829</v>
      </c>
      <c r="B1767" s="13" t="s">
        <v>11778</v>
      </c>
      <c r="C1767" s="13" t="s">
        <v>11779</v>
      </c>
      <c r="D1767" s="13">
        <v>1286</v>
      </c>
      <c r="E1767" s="13" t="s">
        <v>9832</v>
      </c>
      <c r="F1767" s="13">
        <v>5</v>
      </c>
      <c r="G1767" s="13" t="s">
        <v>13395</v>
      </c>
    </row>
    <row r="1768" spans="1:7" ht="409.6" x14ac:dyDescent="0.3">
      <c r="A1768" s="13" t="s">
        <v>9829</v>
      </c>
      <c r="B1768" s="13" t="s">
        <v>11778</v>
      </c>
      <c r="C1768" s="13" t="s">
        <v>11779</v>
      </c>
      <c r="D1768" s="13">
        <v>1286</v>
      </c>
      <c r="E1768" s="13" t="s">
        <v>9832</v>
      </c>
      <c r="F1768" s="13">
        <v>5</v>
      </c>
      <c r="G1768" s="13" t="s">
        <v>13395</v>
      </c>
    </row>
    <row r="1769" spans="1:7" ht="72" x14ac:dyDescent="0.3">
      <c r="A1769" s="13" t="s">
        <v>9829</v>
      </c>
      <c r="B1769" s="13" t="s">
        <v>11780</v>
      </c>
      <c r="C1769" s="13" t="s">
        <v>11781</v>
      </c>
      <c r="D1769" s="13">
        <v>297</v>
      </c>
      <c r="E1769" s="13" t="s">
        <v>9832</v>
      </c>
      <c r="F1769" s="13">
        <v>5</v>
      </c>
      <c r="G1769" s="13" t="s">
        <v>9833</v>
      </c>
    </row>
    <row r="1770" spans="1:7" ht="129.6" x14ac:dyDescent="0.3">
      <c r="A1770" s="13" t="s">
        <v>9829</v>
      </c>
      <c r="B1770" s="13" t="s">
        <v>11782</v>
      </c>
      <c r="C1770" s="13" t="s">
        <v>11783</v>
      </c>
      <c r="D1770" s="13">
        <v>714</v>
      </c>
      <c r="E1770" s="13" t="s">
        <v>9832</v>
      </c>
      <c r="F1770" s="13">
        <v>5</v>
      </c>
      <c r="G1770" s="13" t="s">
        <v>13396</v>
      </c>
    </row>
    <row r="1771" spans="1:7" ht="28.8" x14ac:dyDescent="0.3">
      <c r="A1771" s="13" t="s">
        <v>9829</v>
      </c>
      <c r="B1771" s="13" t="s">
        <v>11784</v>
      </c>
      <c r="C1771" s="13" t="s">
        <v>11785</v>
      </c>
      <c r="D1771" s="13">
        <v>298</v>
      </c>
      <c r="E1771" s="13" t="s">
        <v>9863</v>
      </c>
      <c r="F1771" s="13">
        <v>8</v>
      </c>
      <c r="G1771" s="13" t="s">
        <v>9837</v>
      </c>
    </row>
    <row r="1772" spans="1:7" ht="28.8" x14ac:dyDescent="0.3">
      <c r="A1772" s="13" t="s">
        <v>9829</v>
      </c>
      <c r="B1772" s="13" t="s">
        <v>11784</v>
      </c>
      <c r="C1772" s="13" t="s">
        <v>11785</v>
      </c>
      <c r="D1772" s="13">
        <v>298</v>
      </c>
      <c r="E1772" s="13" t="s">
        <v>9863</v>
      </c>
      <c r="F1772" s="13">
        <v>8</v>
      </c>
      <c r="G1772" s="13" t="s">
        <v>9837</v>
      </c>
    </row>
    <row r="1773" spans="1:7" ht="28.8" x14ac:dyDescent="0.3">
      <c r="A1773" s="13" t="s">
        <v>9829</v>
      </c>
      <c r="B1773" s="13" t="s">
        <v>11784</v>
      </c>
      <c r="C1773" s="13" t="s">
        <v>11785</v>
      </c>
      <c r="D1773" s="13">
        <v>298</v>
      </c>
      <c r="E1773" s="13" t="s">
        <v>9863</v>
      </c>
      <c r="F1773" s="13">
        <v>8</v>
      </c>
      <c r="G1773" s="13" t="s">
        <v>9837</v>
      </c>
    </row>
    <row r="1774" spans="1:7" ht="28.8" x14ac:dyDescent="0.3">
      <c r="A1774" s="13" t="s">
        <v>9829</v>
      </c>
      <c r="B1774" s="13" t="s">
        <v>11786</v>
      </c>
      <c r="C1774" s="13" t="s">
        <v>11787</v>
      </c>
      <c r="D1774" s="13">
        <v>299</v>
      </c>
      <c r="E1774" s="13" t="s">
        <v>9836</v>
      </c>
      <c r="F1774" s="13">
        <v>80</v>
      </c>
      <c r="G1774" s="13" t="s">
        <v>9837</v>
      </c>
    </row>
    <row r="1775" spans="1:7" ht="28.8" x14ac:dyDescent="0.3">
      <c r="A1775" s="13" t="s">
        <v>9829</v>
      </c>
      <c r="B1775" s="13" t="s">
        <v>11786</v>
      </c>
      <c r="C1775" s="13" t="s">
        <v>11787</v>
      </c>
      <c r="D1775" s="13">
        <v>299</v>
      </c>
      <c r="E1775" s="13" t="s">
        <v>9836</v>
      </c>
      <c r="F1775" s="13">
        <v>80</v>
      </c>
      <c r="G1775" s="13" t="s">
        <v>9837</v>
      </c>
    </row>
    <row r="1776" spans="1:7" ht="28.8" x14ac:dyDescent="0.3">
      <c r="A1776" s="13" t="s">
        <v>9829</v>
      </c>
      <c r="B1776" s="13" t="s">
        <v>11786</v>
      </c>
      <c r="C1776" s="13" t="s">
        <v>11787</v>
      </c>
      <c r="D1776" s="13">
        <v>299</v>
      </c>
      <c r="E1776" s="13" t="s">
        <v>9836</v>
      </c>
      <c r="F1776" s="13">
        <v>80</v>
      </c>
      <c r="G1776" s="13" t="s">
        <v>9837</v>
      </c>
    </row>
    <row r="1777" spans="1:7" ht="28.8" x14ac:dyDescent="0.3">
      <c r="A1777" s="13" t="s">
        <v>9829</v>
      </c>
      <c r="B1777" s="13" t="s">
        <v>11788</v>
      </c>
      <c r="C1777" s="13" t="s">
        <v>11789</v>
      </c>
      <c r="D1777" s="13">
        <v>300</v>
      </c>
      <c r="E1777" s="13" t="s">
        <v>9863</v>
      </c>
      <c r="F1777" s="13">
        <v>8</v>
      </c>
      <c r="G1777" s="13" t="s">
        <v>9837</v>
      </c>
    </row>
    <row r="1778" spans="1:7" ht="28.8" x14ac:dyDescent="0.3">
      <c r="A1778" s="13" t="s">
        <v>9829</v>
      </c>
      <c r="B1778" s="13" t="s">
        <v>11788</v>
      </c>
      <c r="C1778" s="13" t="s">
        <v>11789</v>
      </c>
      <c r="D1778" s="13">
        <v>300</v>
      </c>
      <c r="E1778" s="13" t="s">
        <v>9863</v>
      </c>
      <c r="F1778" s="13">
        <v>8</v>
      </c>
      <c r="G1778" s="13" t="s">
        <v>9837</v>
      </c>
    </row>
    <row r="1779" spans="1:7" ht="28.8" x14ac:dyDescent="0.3">
      <c r="A1779" s="13" t="s">
        <v>9829</v>
      </c>
      <c r="B1779" s="13" t="s">
        <v>11788</v>
      </c>
      <c r="C1779" s="13" t="s">
        <v>11789</v>
      </c>
      <c r="D1779" s="13">
        <v>300</v>
      </c>
      <c r="E1779" s="13" t="s">
        <v>9863</v>
      </c>
      <c r="F1779" s="13">
        <v>8</v>
      </c>
      <c r="G1779" s="13" t="s">
        <v>9837</v>
      </c>
    </row>
    <row r="1780" spans="1:7" ht="43.2" x14ac:dyDescent="0.3">
      <c r="A1780" s="13" t="s">
        <v>9829</v>
      </c>
      <c r="B1780" s="13" t="s">
        <v>11790</v>
      </c>
      <c r="C1780" s="13" t="s">
        <v>11791</v>
      </c>
      <c r="D1780" s="13">
        <v>301</v>
      </c>
      <c r="E1780" s="13" t="s">
        <v>9836</v>
      </c>
      <c r="F1780" s="13">
        <v>45</v>
      </c>
      <c r="G1780" s="13" t="s">
        <v>9837</v>
      </c>
    </row>
    <row r="1781" spans="1:7" ht="43.2" x14ac:dyDescent="0.3">
      <c r="A1781" s="13" t="s">
        <v>9829</v>
      </c>
      <c r="B1781" s="13" t="s">
        <v>11790</v>
      </c>
      <c r="C1781" s="13" t="s">
        <v>11791</v>
      </c>
      <c r="D1781" s="13">
        <v>301</v>
      </c>
      <c r="E1781" s="13" t="s">
        <v>9836</v>
      </c>
      <c r="F1781" s="13">
        <v>45</v>
      </c>
      <c r="G1781" s="13" t="s">
        <v>9837</v>
      </c>
    </row>
    <row r="1782" spans="1:7" ht="43.2" x14ac:dyDescent="0.3">
      <c r="A1782" s="13" t="s">
        <v>9829</v>
      </c>
      <c r="B1782" s="13" t="s">
        <v>11790</v>
      </c>
      <c r="C1782" s="13" t="s">
        <v>11791</v>
      </c>
      <c r="D1782" s="13">
        <v>301</v>
      </c>
      <c r="E1782" s="13" t="s">
        <v>9836</v>
      </c>
      <c r="F1782" s="13">
        <v>45</v>
      </c>
      <c r="G1782" s="13" t="s">
        <v>9837</v>
      </c>
    </row>
    <row r="1783" spans="1:7" ht="28.8" x14ac:dyDescent="0.3">
      <c r="A1783" s="13" t="s">
        <v>9829</v>
      </c>
      <c r="B1783" s="13" t="s">
        <v>11792</v>
      </c>
      <c r="C1783" s="13" t="s">
        <v>11793</v>
      </c>
      <c r="D1783" s="13">
        <v>302</v>
      </c>
      <c r="E1783" s="13" t="s">
        <v>9863</v>
      </c>
      <c r="F1783" s="13">
        <v>8</v>
      </c>
      <c r="G1783" s="13" t="s">
        <v>9837</v>
      </c>
    </row>
    <row r="1784" spans="1:7" ht="28.8" x14ac:dyDescent="0.3">
      <c r="A1784" s="13" t="s">
        <v>9829</v>
      </c>
      <c r="B1784" s="13" t="s">
        <v>11792</v>
      </c>
      <c r="C1784" s="13" t="s">
        <v>11793</v>
      </c>
      <c r="D1784" s="13">
        <v>302</v>
      </c>
      <c r="E1784" s="13" t="s">
        <v>9863</v>
      </c>
      <c r="F1784" s="13">
        <v>8</v>
      </c>
      <c r="G1784" s="13" t="s">
        <v>9837</v>
      </c>
    </row>
    <row r="1785" spans="1:7" ht="28.8" x14ac:dyDescent="0.3">
      <c r="A1785" s="13" t="s">
        <v>9829</v>
      </c>
      <c r="B1785" s="13" t="s">
        <v>11792</v>
      </c>
      <c r="C1785" s="13" t="s">
        <v>11793</v>
      </c>
      <c r="D1785" s="13">
        <v>302</v>
      </c>
      <c r="E1785" s="13" t="s">
        <v>9863</v>
      </c>
      <c r="F1785" s="13">
        <v>8</v>
      </c>
      <c r="G1785" s="13" t="s">
        <v>9837</v>
      </c>
    </row>
    <row r="1786" spans="1:7" ht="28.8" x14ac:dyDescent="0.3">
      <c r="A1786" s="13" t="s">
        <v>9829</v>
      </c>
      <c r="B1786" s="13" t="s">
        <v>11794</v>
      </c>
      <c r="C1786" s="13" t="s">
        <v>11795</v>
      </c>
      <c r="D1786" s="13">
        <v>303</v>
      </c>
      <c r="E1786" s="13" t="s">
        <v>9836</v>
      </c>
      <c r="F1786" s="13">
        <v>80</v>
      </c>
      <c r="G1786" s="13" t="s">
        <v>9837</v>
      </c>
    </row>
    <row r="1787" spans="1:7" ht="28.8" x14ac:dyDescent="0.3">
      <c r="A1787" s="13" t="s">
        <v>9829</v>
      </c>
      <c r="B1787" s="13" t="s">
        <v>11794</v>
      </c>
      <c r="C1787" s="13" t="s">
        <v>11795</v>
      </c>
      <c r="D1787" s="13">
        <v>303</v>
      </c>
      <c r="E1787" s="13" t="s">
        <v>9836</v>
      </c>
      <c r="F1787" s="13">
        <v>80</v>
      </c>
      <c r="G1787" s="13" t="s">
        <v>9837</v>
      </c>
    </row>
    <row r="1788" spans="1:7" ht="28.8" x14ac:dyDescent="0.3">
      <c r="A1788" s="13" t="s">
        <v>9829</v>
      </c>
      <c r="B1788" s="13" t="s">
        <v>11794</v>
      </c>
      <c r="C1788" s="13" t="s">
        <v>11795</v>
      </c>
      <c r="D1788" s="13">
        <v>303</v>
      </c>
      <c r="E1788" s="13" t="s">
        <v>9836</v>
      </c>
      <c r="F1788" s="13">
        <v>80</v>
      </c>
      <c r="G1788" s="13" t="s">
        <v>9837</v>
      </c>
    </row>
    <row r="1789" spans="1:7" ht="273.60000000000002" x14ac:dyDescent="0.3">
      <c r="A1789" s="13" t="s">
        <v>9829</v>
      </c>
      <c r="B1789" s="13" t="s">
        <v>11796</v>
      </c>
      <c r="C1789" s="13" t="s">
        <v>11797</v>
      </c>
      <c r="D1789" s="13">
        <v>1131</v>
      </c>
      <c r="E1789" s="13" t="s">
        <v>9832</v>
      </c>
      <c r="F1789" s="13">
        <v>5</v>
      </c>
      <c r="G1789" s="13" t="s">
        <v>13397</v>
      </c>
    </row>
    <row r="1790" spans="1:7" ht="273.60000000000002" x14ac:dyDescent="0.3">
      <c r="A1790" s="13" t="s">
        <v>9829</v>
      </c>
      <c r="B1790" s="13" t="s">
        <v>11796</v>
      </c>
      <c r="C1790" s="13" t="s">
        <v>11797</v>
      </c>
      <c r="D1790" s="13">
        <v>1131</v>
      </c>
      <c r="E1790" s="13" t="s">
        <v>9832</v>
      </c>
      <c r="F1790" s="13">
        <v>5</v>
      </c>
      <c r="G1790" s="13" t="s">
        <v>13397</v>
      </c>
    </row>
    <row r="1791" spans="1:7" ht="28.8" x14ac:dyDescent="0.3">
      <c r="A1791" s="13" t="s">
        <v>9829</v>
      </c>
      <c r="B1791" s="13" t="s">
        <v>11798</v>
      </c>
      <c r="C1791" s="13" t="s">
        <v>11799</v>
      </c>
      <c r="D1791" s="13">
        <v>1137</v>
      </c>
      <c r="E1791" s="13" t="s">
        <v>9832</v>
      </c>
      <c r="F1791" s="13">
        <v>5</v>
      </c>
      <c r="G1791" s="13" t="s">
        <v>9833</v>
      </c>
    </row>
    <row r="1792" spans="1:7" ht="57.6" x14ac:dyDescent="0.3">
      <c r="A1792" s="13" t="s">
        <v>9829</v>
      </c>
      <c r="B1792" s="13" t="s">
        <v>11800</v>
      </c>
      <c r="C1792" s="13" t="s">
        <v>11801</v>
      </c>
      <c r="D1792" s="13">
        <v>367</v>
      </c>
      <c r="E1792" s="13" t="s">
        <v>9863</v>
      </c>
      <c r="F1792" s="13">
        <v>8</v>
      </c>
      <c r="G1792" s="13" t="s">
        <v>9837</v>
      </c>
    </row>
    <row r="1793" spans="1:7" ht="43.2" x14ac:dyDescent="0.3">
      <c r="A1793" s="13" t="s">
        <v>9829</v>
      </c>
      <c r="B1793" s="13" t="s">
        <v>11802</v>
      </c>
      <c r="C1793" s="13" t="s">
        <v>11803</v>
      </c>
      <c r="D1793" s="13">
        <v>1582</v>
      </c>
      <c r="E1793" s="13" t="s">
        <v>9836</v>
      </c>
      <c r="F1793" s="13">
        <v>30</v>
      </c>
      <c r="G1793" s="13" t="s">
        <v>9837</v>
      </c>
    </row>
    <row r="1794" spans="1:7" ht="43.2" x14ac:dyDescent="0.3">
      <c r="A1794" s="13" t="s">
        <v>9829</v>
      </c>
      <c r="B1794" s="13" t="s">
        <v>11804</v>
      </c>
      <c r="C1794" s="13" t="s">
        <v>11805</v>
      </c>
      <c r="D1794" s="13">
        <v>360</v>
      </c>
      <c r="E1794" s="13" t="s">
        <v>9836</v>
      </c>
      <c r="F1794" s="13">
        <v>35</v>
      </c>
      <c r="G1794" s="13" t="s">
        <v>9837</v>
      </c>
    </row>
    <row r="1795" spans="1:7" ht="28.8" x14ac:dyDescent="0.3">
      <c r="A1795" s="13" t="s">
        <v>9829</v>
      </c>
      <c r="B1795" s="13" t="s">
        <v>11806</v>
      </c>
      <c r="C1795" s="13" t="s">
        <v>11807</v>
      </c>
      <c r="D1795" s="13">
        <v>697</v>
      </c>
      <c r="E1795" s="13" t="s">
        <v>9836</v>
      </c>
      <c r="F1795" s="13">
        <v>45</v>
      </c>
      <c r="G1795" s="13" t="s">
        <v>9837</v>
      </c>
    </row>
    <row r="1796" spans="1:7" ht="144" x14ac:dyDescent="0.3">
      <c r="A1796" s="13" t="s">
        <v>9829</v>
      </c>
      <c r="B1796" s="13" t="s">
        <v>11808</v>
      </c>
      <c r="C1796" s="13" t="s">
        <v>11809</v>
      </c>
      <c r="D1796" s="13">
        <v>700</v>
      </c>
      <c r="E1796" s="13" t="s">
        <v>9832</v>
      </c>
      <c r="F1796" s="13">
        <v>5</v>
      </c>
      <c r="G1796" s="13" t="s">
        <v>13398</v>
      </c>
    </row>
    <row r="1797" spans="1:7" ht="129.6" x14ac:dyDescent="0.3">
      <c r="A1797" s="13" t="s">
        <v>9829</v>
      </c>
      <c r="B1797" s="13" t="s">
        <v>11810</v>
      </c>
      <c r="C1797" s="13" t="s">
        <v>11811</v>
      </c>
      <c r="D1797" s="13">
        <v>699</v>
      </c>
      <c r="E1797" s="13" t="s">
        <v>9832</v>
      </c>
      <c r="F1797" s="13">
        <v>5</v>
      </c>
      <c r="G1797" s="13" t="s">
        <v>13399</v>
      </c>
    </row>
    <row r="1798" spans="1:7" ht="28.8" x14ac:dyDescent="0.3">
      <c r="A1798" s="13" t="s">
        <v>9829</v>
      </c>
      <c r="B1798" s="13" t="s">
        <v>11812</v>
      </c>
      <c r="C1798" s="13" t="s">
        <v>11813</v>
      </c>
      <c r="D1798" s="13">
        <v>994</v>
      </c>
      <c r="E1798" s="13" t="s">
        <v>9863</v>
      </c>
      <c r="F1798" s="13">
        <v>8</v>
      </c>
      <c r="G1798" s="13" t="s">
        <v>9837</v>
      </c>
    </row>
    <row r="1799" spans="1:7" ht="28.8" x14ac:dyDescent="0.3">
      <c r="A1799" s="13" t="s">
        <v>9829</v>
      </c>
      <c r="B1799" s="13" t="s">
        <v>11814</v>
      </c>
      <c r="C1799" s="13" t="s">
        <v>11815</v>
      </c>
      <c r="D1799" s="13">
        <v>991</v>
      </c>
      <c r="E1799" s="13" t="s">
        <v>9863</v>
      </c>
      <c r="F1799" s="13">
        <v>8</v>
      </c>
      <c r="G1799" s="13" t="s">
        <v>9837</v>
      </c>
    </row>
    <row r="1800" spans="1:7" ht="129.6" x14ac:dyDescent="0.3">
      <c r="A1800" s="13" t="s">
        <v>9829</v>
      </c>
      <c r="B1800" s="13" t="s">
        <v>11816</v>
      </c>
      <c r="C1800" s="13" t="s">
        <v>11817</v>
      </c>
      <c r="D1800" s="13">
        <v>990</v>
      </c>
      <c r="E1800" s="13" t="s">
        <v>9832</v>
      </c>
      <c r="F1800" s="13">
        <v>5</v>
      </c>
      <c r="G1800" s="13" t="s">
        <v>13400</v>
      </c>
    </row>
    <row r="1801" spans="1:7" ht="28.8" x14ac:dyDescent="0.3">
      <c r="A1801" s="13" t="s">
        <v>9829</v>
      </c>
      <c r="B1801" s="13" t="s">
        <v>11818</v>
      </c>
      <c r="C1801" s="13" t="s">
        <v>11819</v>
      </c>
      <c r="D1801" s="13">
        <v>992</v>
      </c>
      <c r="E1801" s="13" t="s">
        <v>9836</v>
      </c>
      <c r="F1801" s="13">
        <v>6</v>
      </c>
      <c r="G1801" s="13" t="s">
        <v>9837</v>
      </c>
    </row>
    <row r="1802" spans="1:7" ht="115.2" x14ac:dyDescent="0.3">
      <c r="A1802" s="13" t="s">
        <v>9829</v>
      </c>
      <c r="B1802" s="13" t="s">
        <v>11820</v>
      </c>
      <c r="C1802" s="13" t="s">
        <v>11821</v>
      </c>
      <c r="D1802" s="13">
        <v>362</v>
      </c>
      <c r="E1802" s="13" t="s">
        <v>9832</v>
      </c>
      <c r="F1802" s="13">
        <v>5</v>
      </c>
      <c r="G1802" s="13" t="s">
        <v>13139</v>
      </c>
    </row>
    <row r="1803" spans="1:7" ht="28.8" x14ac:dyDescent="0.3">
      <c r="A1803" s="13" t="s">
        <v>9829</v>
      </c>
      <c r="B1803" s="13" t="s">
        <v>11822</v>
      </c>
      <c r="C1803" s="13" t="s">
        <v>11823</v>
      </c>
      <c r="D1803" s="13">
        <v>363</v>
      </c>
      <c r="E1803" s="13" t="s">
        <v>9863</v>
      </c>
      <c r="F1803" s="13">
        <v>8</v>
      </c>
      <c r="G1803" s="13" t="s">
        <v>9837</v>
      </c>
    </row>
    <row r="1804" spans="1:7" ht="409.6" x14ac:dyDescent="0.3">
      <c r="A1804" s="13" t="s">
        <v>9829</v>
      </c>
      <c r="B1804" s="13" t="s">
        <v>11824</v>
      </c>
      <c r="C1804" s="13" t="s">
        <v>11825</v>
      </c>
      <c r="D1804" s="13">
        <v>2155</v>
      </c>
      <c r="E1804" s="13" t="s">
        <v>9832</v>
      </c>
      <c r="F1804" s="13">
        <v>5</v>
      </c>
      <c r="G1804" s="13" t="s">
        <v>13401</v>
      </c>
    </row>
    <row r="1805" spans="1:7" ht="43.2" x14ac:dyDescent="0.3">
      <c r="A1805" s="13" t="s">
        <v>9829</v>
      </c>
      <c r="B1805" s="13" t="s">
        <v>11826</v>
      </c>
      <c r="C1805" s="13" t="s">
        <v>11827</v>
      </c>
      <c r="D1805" s="13">
        <v>453</v>
      </c>
      <c r="E1805" s="13" t="s">
        <v>9880</v>
      </c>
      <c r="F1805" s="13">
        <v>2.2000000000000002</v>
      </c>
      <c r="G1805" s="13" t="s">
        <v>9837</v>
      </c>
    </row>
    <row r="1806" spans="1:7" ht="43.2" x14ac:dyDescent="0.3">
      <c r="A1806" s="13" t="s">
        <v>9829</v>
      </c>
      <c r="B1806" s="13" t="s">
        <v>11828</v>
      </c>
      <c r="C1806" s="13" t="s">
        <v>11829</v>
      </c>
      <c r="D1806" s="13">
        <v>439</v>
      </c>
      <c r="E1806" s="13" t="s">
        <v>9880</v>
      </c>
      <c r="F1806" s="13">
        <v>2.1</v>
      </c>
      <c r="G1806" s="13" t="s">
        <v>9837</v>
      </c>
    </row>
    <row r="1807" spans="1:7" ht="86.4" x14ac:dyDescent="0.3">
      <c r="A1807" s="13" t="s">
        <v>9829</v>
      </c>
      <c r="B1807" s="13" t="s">
        <v>11830</v>
      </c>
      <c r="C1807" s="13" t="s">
        <v>11831</v>
      </c>
      <c r="D1807" s="13">
        <v>440</v>
      </c>
      <c r="E1807" s="13" t="s">
        <v>9880</v>
      </c>
      <c r="F1807" s="13">
        <v>2.1</v>
      </c>
      <c r="G1807" s="13" t="s">
        <v>9837</v>
      </c>
    </row>
    <row r="1808" spans="1:7" ht="43.2" x14ac:dyDescent="0.3">
      <c r="A1808" s="13" t="s">
        <v>9829</v>
      </c>
      <c r="B1808" s="13" t="s">
        <v>11832</v>
      </c>
      <c r="C1808" s="13" t="s">
        <v>11833</v>
      </c>
      <c r="D1808" s="13">
        <v>1149</v>
      </c>
      <c r="E1808" s="13" t="s">
        <v>9880</v>
      </c>
      <c r="F1808" s="13">
        <v>2.1</v>
      </c>
      <c r="G1808" s="13" t="s">
        <v>9837</v>
      </c>
    </row>
    <row r="1809" spans="1:7" ht="57.6" x14ac:dyDescent="0.3">
      <c r="A1809" s="13" t="s">
        <v>9829</v>
      </c>
      <c r="B1809" s="13" t="s">
        <v>11834</v>
      </c>
      <c r="C1809" s="13" t="s">
        <v>11835</v>
      </c>
      <c r="D1809" s="13">
        <v>306</v>
      </c>
      <c r="E1809" s="13" t="s">
        <v>9836</v>
      </c>
      <c r="F1809" s="13">
        <v>15</v>
      </c>
      <c r="G1809" s="13" t="s">
        <v>9837</v>
      </c>
    </row>
    <row r="1810" spans="1:7" ht="57.6" x14ac:dyDescent="0.3">
      <c r="A1810" s="13" t="s">
        <v>9829</v>
      </c>
      <c r="B1810" s="13" t="s">
        <v>11834</v>
      </c>
      <c r="C1810" s="13" t="s">
        <v>11835</v>
      </c>
      <c r="D1810" s="13">
        <v>306</v>
      </c>
      <c r="E1810" s="13" t="s">
        <v>9836</v>
      </c>
      <c r="F1810" s="13">
        <v>15</v>
      </c>
      <c r="G1810" s="13" t="s">
        <v>9837</v>
      </c>
    </row>
    <row r="1811" spans="1:7" ht="57.6" x14ac:dyDescent="0.3">
      <c r="A1811" s="13" t="s">
        <v>9829</v>
      </c>
      <c r="B1811" s="13" t="s">
        <v>11834</v>
      </c>
      <c r="C1811" s="13" t="s">
        <v>11835</v>
      </c>
      <c r="D1811" s="13">
        <v>306</v>
      </c>
      <c r="E1811" s="13" t="s">
        <v>9836</v>
      </c>
      <c r="F1811" s="13">
        <v>15</v>
      </c>
      <c r="G1811" s="13" t="s">
        <v>9837</v>
      </c>
    </row>
    <row r="1812" spans="1:7" ht="57.6" x14ac:dyDescent="0.3">
      <c r="A1812" s="13" t="s">
        <v>9829</v>
      </c>
      <c r="B1812" s="13" t="s">
        <v>11834</v>
      </c>
      <c r="C1812" s="13" t="s">
        <v>11835</v>
      </c>
      <c r="D1812" s="13">
        <v>306</v>
      </c>
      <c r="E1812" s="13" t="s">
        <v>9836</v>
      </c>
      <c r="F1812" s="13">
        <v>15</v>
      </c>
      <c r="G1812" s="13" t="s">
        <v>9837</v>
      </c>
    </row>
    <row r="1813" spans="1:7" ht="57.6" x14ac:dyDescent="0.3">
      <c r="A1813" s="13" t="s">
        <v>9829</v>
      </c>
      <c r="B1813" s="13" t="s">
        <v>11834</v>
      </c>
      <c r="C1813" s="13" t="s">
        <v>11835</v>
      </c>
      <c r="D1813" s="13">
        <v>306</v>
      </c>
      <c r="E1813" s="13" t="s">
        <v>9836</v>
      </c>
      <c r="F1813" s="13">
        <v>15</v>
      </c>
      <c r="G1813" s="13" t="s">
        <v>9837</v>
      </c>
    </row>
    <row r="1814" spans="1:7" ht="57.6" x14ac:dyDescent="0.3">
      <c r="A1814" s="13" t="s">
        <v>9829</v>
      </c>
      <c r="B1814" s="13" t="s">
        <v>11834</v>
      </c>
      <c r="C1814" s="13" t="s">
        <v>11835</v>
      </c>
      <c r="D1814" s="13">
        <v>306</v>
      </c>
      <c r="E1814" s="13" t="s">
        <v>9836</v>
      </c>
      <c r="F1814" s="13">
        <v>15</v>
      </c>
      <c r="G1814" s="13" t="s">
        <v>9837</v>
      </c>
    </row>
    <row r="1815" spans="1:7" ht="216" x14ac:dyDescent="0.3">
      <c r="A1815" s="13" t="s">
        <v>11836</v>
      </c>
      <c r="B1815" s="13" t="s">
        <v>11837</v>
      </c>
      <c r="C1815" s="13" t="s">
        <v>11838</v>
      </c>
      <c r="E1815" s="13" t="s">
        <v>11839</v>
      </c>
      <c r="G1815" s="13" t="s">
        <v>13402</v>
      </c>
    </row>
    <row r="1816" spans="1:7" ht="409.6" x14ac:dyDescent="0.3">
      <c r="A1816" s="13" t="s">
        <v>11836</v>
      </c>
      <c r="B1816" s="13" t="s">
        <v>11840</v>
      </c>
      <c r="C1816" s="13" t="s">
        <v>11841</v>
      </c>
      <c r="E1816" s="13" t="s">
        <v>11839</v>
      </c>
      <c r="G1816" s="13" t="s">
        <v>13403</v>
      </c>
    </row>
    <row r="1817" spans="1:7" ht="100.8" x14ac:dyDescent="0.3">
      <c r="A1817" s="13" t="s">
        <v>11836</v>
      </c>
      <c r="B1817" s="13" t="s">
        <v>11842</v>
      </c>
      <c r="C1817" s="13" t="s">
        <v>11843</v>
      </c>
      <c r="E1817" s="13" t="s">
        <v>11839</v>
      </c>
      <c r="G1817" s="13" t="s">
        <v>13404</v>
      </c>
    </row>
    <row r="1818" spans="1:7" ht="28.8" x14ac:dyDescent="0.3">
      <c r="A1818" s="13" t="s">
        <v>11836</v>
      </c>
      <c r="B1818" s="13" t="s">
        <v>11844</v>
      </c>
      <c r="C1818" s="13" t="s">
        <v>11845</v>
      </c>
      <c r="E1818" s="13" t="s">
        <v>11839</v>
      </c>
      <c r="F1818" s="13">
        <v>60</v>
      </c>
      <c r="G1818" s="13" t="s">
        <v>32</v>
      </c>
    </row>
    <row r="1819" spans="1:7" ht="409.6" x14ac:dyDescent="0.3">
      <c r="A1819" s="13" t="s">
        <v>11836</v>
      </c>
      <c r="B1819" s="13" t="s">
        <v>11846</v>
      </c>
      <c r="C1819" s="13" t="s">
        <v>11847</v>
      </c>
      <c r="E1819" s="13" t="s">
        <v>11839</v>
      </c>
      <c r="G1819" s="13" t="s">
        <v>13405</v>
      </c>
    </row>
    <row r="1820" spans="1:7" ht="28.8" x14ac:dyDescent="0.3">
      <c r="A1820" s="13" t="s">
        <v>11836</v>
      </c>
      <c r="B1820" s="13" t="s">
        <v>11848</v>
      </c>
      <c r="C1820" s="13" t="s">
        <v>11849</v>
      </c>
      <c r="E1820" s="13" t="s">
        <v>11839</v>
      </c>
      <c r="F1820" s="13">
        <v>60</v>
      </c>
      <c r="G1820" s="13" t="s">
        <v>32</v>
      </c>
    </row>
    <row r="1821" spans="1:7" ht="43.2" x14ac:dyDescent="0.3">
      <c r="A1821" s="13" t="s">
        <v>11836</v>
      </c>
      <c r="B1821" s="13" t="s">
        <v>11850</v>
      </c>
      <c r="C1821" s="13" t="s">
        <v>11851</v>
      </c>
      <c r="E1821" s="13" t="s">
        <v>11852</v>
      </c>
      <c r="G1821" s="13" t="s">
        <v>32</v>
      </c>
    </row>
    <row r="1822" spans="1:7" ht="201.6" x14ac:dyDescent="0.3">
      <c r="A1822" s="13" t="s">
        <v>11836</v>
      </c>
      <c r="B1822" s="13" t="s">
        <v>11853</v>
      </c>
      <c r="C1822" s="13" t="s">
        <v>11854</v>
      </c>
      <c r="E1822" s="13" t="s">
        <v>11839</v>
      </c>
      <c r="G1822" s="13" t="s">
        <v>13406</v>
      </c>
    </row>
    <row r="1823" spans="1:7" ht="216" x14ac:dyDescent="0.3">
      <c r="A1823" s="13" t="s">
        <v>11836</v>
      </c>
      <c r="B1823" s="13" t="s">
        <v>11855</v>
      </c>
      <c r="C1823" s="13" t="s">
        <v>11856</v>
      </c>
      <c r="E1823" s="13" t="s">
        <v>11839</v>
      </c>
      <c r="G1823" s="13" t="s">
        <v>13407</v>
      </c>
    </row>
    <row r="1824" spans="1:7" ht="86.4" x14ac:dyDescent="0.3">
      <c r="A1824" s="13" t="s">
        <v>11836</v>
      </c>
      <c r="B1824" s="13" t="s">
        <v>11857</v>
      </c>
      <c r="C1824" s="13" t="s">
        <v>11858</v>
      </c>
      <c r="E1824" s="13" t="s">
        <v>11839</v>
      </c>
      <c r="G1824" s="13" t="s">
        <v>13408</v>
      </c>
    </row>
    <row r="1825" spans="1:7" ht="409.6" x14ac:dyDescent="0.3">
      <c r="A1825" s="13" t="s">
        <v>11836</v>
      </c>
      <c r="B1825" s="13" t="s">
        <v>11859</v>
      </c>
      <c r="C1825" s="13" t="s">
        <v>11860</v>
      </c>
      <c r="E1825" s="13" t="s">
        <v>11839</v>
      </c>
      <c r="G1825" s="13" t="s">
        <v>13409</v>
      </c>
    </row>
    <row r="1826" spans="1:7" x14ac:dyDescent="0.3">
      <c r="A1826" s="13" t="s">
        <v>11836</v>
      </c>
      <c r="B1826" s="13" t="s">
        <v>11861</v>
      </c>
      <c r="C1826" s="13" t="s">
        <v>11862</v>
      </c>
      <c r="E1826" s="13" t="s">
        <v>11839</v>
      </c>
      <c r="F1826" s="13">
        <v>80</v>
      </c>
      <c r="G1826" s="13" t="s">
        <v>32</v>
      </c>
    </row>
    <row r="1827" spans="1:7" x14ac:dyDescent="0.3">
      <c r="A1827" s="13" t="s">
        <v>11836</v>
      </c>
      <c r="B1827" s="13" t="s">
        <v>11863</v>
      </c>
      <c r="C1827" s="13" t="s">
        <v>11864</v>
      </c>
      <c r="E1827" s="13" t="s">
        <v>11865</v>
      </c>
      <c r="G1827" s="13" t="s">
        <v>32</v>
      </c>
    </row>
    <row r="1828" spans="1:7" x14ac:dyDescent="0.3">
      <c r="A1828" s="13" t="s">
        <v>11836</v>
      </c>
      <c r="B1828" s="13" t="s">
        <v>11866</v>
      </c>
      <c r="C1828" s="13" t="s">
        <v>11867</v>
      </c>
      <c r="E1828" s="13" t="s">
        <v>11868</v>
      </c>
      <c r="G1828" s="13" t="s">
        <v>32</v>
      </c>
    </row>
    <row r="1829" spans="1:7" ht="244.8" x14ac:dyDescent="0.3">
      <c r="A1829" s="13" t="s">
        <v>11836</v>
      </c>
      <c r="B1829" s="13" t="s">
        <v>11869</v>
      </c>
      <c r="C1829" s="13" t="s">
        <v>11870</v>
      </c>
      <c r="E1829" s="13" t="s">
        <v>11839</v>
      </c>
      <c r="G1829" s="13" t="s">
        <v>13410</v>
      </c>
    </row>
    <row r="1830" spans="1:7" x14ac:dyDescent="0.3">
      <c r="A1830" s="13" t="s">
        <v>11836</v>
      </c>
      <c r="B1830" s="13" t="s">
        <v>11871</v>
      </c>
      <c r="C1830" s="13" t="s">
        <v>11872</v>
      </c>
      <c r="E1830" s="13" t="s">
        <v>11839</v>
      </c>
      <c r="F1830" s="13">
        <v>60</v>
      </c>
      <c r="G1830" s="13" t="s">
        <v>32</v>
      </c>
    </row>
    <row r="1831" spans="1:7" ht="144" x14ac:dyDescent="0.3">
      <c r="A1831" s="13" t="s">
        <v>11836</v>
      </c>
      <c r="B1831" s="13" t="s">
        <v>11873</v>
      </c>
      <c r="C1831" s="13" t="s">
        <v>11874</v>
      </c>
      <c r="E1831" s="13" t="s">
        <v>11839</v>
      </c>
      <c r="G1831" s="13" t="s">
        <v>13411</v>
      </c>
    </row>
    <row r="1832" spans="1:7" x14ac:dyDescent="0.3">
      <c r="A1832" s="13" t="s">
        <v>11836</v>
      </c>
      <c r="B1832" s="13" t="s">
        <v>11875</v>
      </c>
      <c r="C1832" s="13" t="s">
        <v>11876</v>
      </c>
      <c r="E1832" s="13" t="s">
        <v>11839</v>
      </c>
      <c r="F1832" s="13">
        <v>60</v>
      </c>
      <c r="G1832" s="13" t="s">
        <v>32</v>
      </c>
    </row>
    <row r="1833" spans="1:7" x14ac:dyDescent="0.3">
      <c r="A1833" s="13" t="s">
        <v>11836</v>
      </c>
      <c r="B1833" s="13" t="s">
        <v>11877</v>
      </c>
      <c r="C1833" s="13" t="s">
        <v>11878</v>
      </c>
      <c r="E1833" s="13" t="s">
        <v>11879</v>
      </c>
      <c r="G1833" s="13" t="s">
        <v>32</v>
      </c>
    </row>
    <row r="1834" spans="1:7" ht="100.8" x14ac:dyDescent="0.3">
      <c r="A1834" s="13" t="s">
        <v>11836</v>
      </c>
      <c r="B1834" s="13" t="s">
        <v>11880</v>
      </c>
      <c r="C1834" s="13" t="s">
        <v>11881</v>
      </c>
      <c r="E1834" s="13" t="s">
        <v>11839</v>
      </c>
      <c r="G1834" s="13" t="s">
        <v>13404</v>
      </c>
    </row>
    <row r="1835" spans="1:7" ht="230.4" x14ac:dyDescent="0.3">
      <c r="A1835" s="13" t="s">
        <v>11836</v>
      </c>
      <c r="B1835" s="13" t="s">
        <v>11882</v>
      </c>
      <c r="C1835" s="13" t="s">
        <v>11883</v>
      </c>
      <c r="E1835" s="13" t="s">
        <v>11839</v>
      </c>
      <c r="G1835" s="13" t="s">
        <v>13412</v>
      </c>
    </row>
    <row r="1836" spans="1:7" x14ac:dyDescent="0.3">
      <c r="A1836" s="13" t="s">
        <v>11836</v>
      </c>
      <c r="B1836" s="13" t="s">
        <v>11884</v>
      </c>
      <c r="C1836" s="13" t="s">
        <v>11885</v>
      </c>
      <c r="E1836" s="13" t="s">
        <v>11839</v>
      </c>
      <c r="F1836" s="13">
        <v>20</v>
      </c>
      <c r="G1836" s="13" t="s">
        <v>32</v>
      </c>
    </row>
    <row r="1837" spans="1:7" ht="28.8" x14ac:dyDescent="0.3">
      <c r="A1837" s="13" t="s">
        <v>11836</v>
      </c>
      <c r="B1837" s="13" t="s">
        <v>11886</v>
      </c>
      <c r="C1837" s="13" t="s">
        <v>11887</v>
      </c>
      <c r="E1837" s="13" t="s">
        <v>11839</v>
      </c>
      <c r="G1837" s="13" t="s">
        <v>32</v>
      </c>
    </row>
    <row r="1838" spans="1:7" ht="86.4" x14ac:dyDescent="0.3">
      <c r="A1838" s="13" t="s">
        <v>11836</v>
      </c>
      <c r="B1838" s="13" t="s">
        <v>11888</v>
      </c>
      <c r="C1838" s="13" t="s">
        <v>11889</v>
      </c>
      <c r="E1838" s="13" t="s">
        <v>11839</v>
      </c>
      <c r="G1838" s="13" t="s">
        <v>13413</v>
      </c>
    </row>
    <row r="1839" spans="1:7" ht="28.8" x14ac:dyDescent="0.3">
      <c r="A1839" s="13" t="s">
        <v>11836</v>
      </c>
      <c r="B1839" s="13" t="s">
        <v>11890</v>
      </c>
      <c r="C1839" s="13" t="s">
        <v>11891</v>
      </c>
      <c r="E1839" s="13" t="s">
        <v>11839</v>
      </c>
      <c r="G1839" s="13" t="s">
        <v>32</v>
      </c>
    </row>
    <row r="1840" spans="1:7" ht="28.8" x14ac:dyDescent="0.3">
      <c r="A1840" s="13" t="s">
        <v>11836</v>
      </c>
      <c r="B1840" s="13" t="s">
        <v>11892</v>
      </c>
      <c r="C1840" s="13" t="s">
        <v>11893</v>
      </c>
      <c r="E1840" s="13" t="s">
        <v>11894</v>
      </c>
      <c r="G1840" s="13" t="s">
        <v>32</v>
      </c>
    </row>
    <row r="1841" spans="1:7" ht="28.8" x14ac:dyDescent="0.3">
      <c r="A1841" s="13" t="s">
        <v>11836</v>
      </c>
      <c r="B1841" s="13" t="s">
        <v>11895</v>
      </c>
      <c r="C1841" s="13" t="s">
        <v>11896</v>
      </c>
      <c r="E1841" s="13" t="s">
        <v>11852</v>
      </c>
      <c r="G1841" s="13" t="s">
        <v>32</v>
      </c>
    </row>
    <row r="1842" spans="1:7" ht="409.6" x14ac:dyDescent="0.3">
      <c r="A1842" s="13" t="s">
        <v>11836</v>
      </c>
      <c r="B1842" s="13" t="s">
        <v>11897</v>
      </c>
      <c r="C1842" s="13" t="s">
        <v>11898</v>
      </c>
      <c r="E1842" s="13" t="s">
        <v>11839</v>
      </c>
      <c r="G1842" s="13" t="s">
        <v>13414</v>
      </c>
    </row>
    <row r="1843" spans="1:7" x14ac:dyDescent="0.3">
      <c r="A1843" s="13" t="s">
        <v>11836</v>
      </c>
      <c r="B1843" s="13" t="s">
        <v>11899</v>
      </c>
      <c r="C1843" s="13" t="s">
        <v>11900</v>
      </c>
      <c r="E1843" s="13" t="s">
        <v>11839</v>
      </c>
      <c r="F1843" s="13">
        <v>500</v>
      </c>
      <c r="G1843" s="13" t="s">
        <v>32</v>
      </c>
    </row>
    <row r="1844" spans="1:7" ht="100.8" x14ac:dyDescent="0.3">
      <c r="A1844" s="13" t="s">
        <v>11836</v>
      </c>
      <c r="B1844" s="13" t="s">
        <v>11901</v>
      </c>
      <c r="C1844" s="13" t="s">
        <v>11902</v>
      </c>
      <c r="E1844" s="13" t="s">
        <v>11839</v>
      </c>
      <c r="G1844" s="13" t="s">
        <v>13404</v>
      </c>
    </row>
    <row r="1845" spans="1:7" ht="86.4" x14ac:dyDescent="0.3">
      <c r="A1845" s="13" t="s">
        <v>11836</v>
      </c>
      <c r="B1845" s="13" t="s">
        <v>11903</v>
      </c>
      <c r="C1845" s="13" t="s">
        <v>11904</v>
      </c>
      <c r="E1845" s="13" t="s">
        <v>11839</v>
      </c>
      <c r="G1845" s="13" t="s">
        <v>13415</v>
      </c>
    </row>
    <row r="1846" spans="1:7" ht="28.8" x14ac:dyDescent="0.3">
      <c r="A1846" s="13" t="s">
        <v>11836</v>
      </c>
      <c r="B1846" s="13" t="s">
        <v>11905</v>
      </c>
      <c r="C1846" s="13" t="s">
        <v>11906</v>
      </c>
      <c r="E1846" s="13" t="s">
        <v>11879</v>
      </c>
      <c r="G1846" s="13" t="s">
        <v>32</v>
      </c>
    </row>
    <row r="1847" spans="1:7" ht="43.2" x14ac:dyDescent="0.3">
      <c r="A1847" s="13" t="s">
        <v>11836</v>
      </c>
      <c r="B1847" s="13" t="s">
        <v>11907</v>
      </c>
      <c r="C1847" s="13" t="s">
        <v>11908</v>
      </c>
      <c r="E1847" s="13" t="s">
        <v>11839</v>
      </c>
      <c r="F1847" s="13">
        <v>6</v>
      </c>
      <c r="G1847" s="13" t="s">
        <v>32</v>
      </c>
    </row>
    <row r="1848" spans="1:7" ht="144" x14ac:dyDescent="0.3">
      <c r="A1848" s="13" t="s">
        <v>11836</v>
      </c>
      <c r="B1848" s="13" t="s">
        <v>11909</v>
      </c>
      <c r="C1848" s="13" t="s">
        <v>11910</v>
      </c>
      <c r="E1848" s="13" t="s">
        <v>11839</v>
      </c>
      <c r="G1848" s="13" t="s">
        <v>13416</v>
      </c>
    </row>
    <row r="1849" spans="1:7" ht="28.8" x14ac:dyDescent="0.3">
      <c r="A1849" s="13" t="s">
        <v>11836</v>
      </c>
      <c r="B1849" s="13" t="s">
        <v>11911</v>
      </c>
      <c r="C1849" s="13" t="s">
        <v>11912</v>
      </c>
      <c r="E1849" s="13" t="s">
        <v>11839</v>
      </c>
      <c r="F1849" s="13">
        <v>45</v>
      </c>
      <c r="G1849" s="13" t="s">
        <v>32</v>
      </c>
    </row>
    <row r="1850" spans="1:7" ht="28.8" x14ac:dyDescent="0.3">
      <c r="A1850" s="13" t="s">
        <v>11836</v>
      </c>
      <c r="B1850" s="13" t="s">
        <v>11913</v>
      </c>
      <c r="C1850" s="13" t="s">
        <v>11914</v>
      </c>
      <c r="E1850" s="13" t="s">
        <v>11879</v>
      </c>
      <c r="G1850" s="13" t="s">
        <v>32</v>
      </c>
    </row>
    <row r="1851" spans="1:7" ht="28.8" x14ac:dyDescent="0.3">
      <c r="A1851" s="13" t="s">
        <v>11836</v>
      </c>
      <c r="B1851" s="13" t="s">
        <v>11915</v>
      </c>
      <c r="C1851" s="13" t="s">
        <v>11916</v>
      </c>
      <c r="E1851" s="13" t="s">
        <v>11839</v>
      </c>
      <c r="F1851" s="13">
        <v>60</v>
      </c>
      <c r="G1851" s="13" t="s">
        <v>32</v>
      </c>
    </row>
    <row r="1852" spans="1:7" ht="172.8" x14ac:dyDescent="0.3">
      <c r="A1852" s="13" t="s">
        <v>11836</v>
      </c>
      <c r="B1852" s="13" t="s">
        <v>11917</v>
      </c>
      <c r="C1852" s="13" t="s">
        <v>11918</v>
      </c>
      <c r="E1852" s="13" t="s">
        <v>11839</v>
      </c>
      <c r="G1852" s="13" t="s">
        <v>13417</v>
      </c>
    </row>
    <row r="1853" spans="1:7" ht="28.8" x14ac:dyDescent="0.3">
      <c r="A1853" s="13" t="s">
        <v>11836</v>
      </c>
      <c r="B1853" s="13" t="s">
        <v>11919</v>
      </c>
      <c r="C1853" s="13" t="s">
        <v>11920</v>
      </c>
      <c r="E1853" s="13" t="s">
        <v>11868</v>
      </c>
      <c r="G1853" s="13" t="s">
        <v>32</v>
      </c>
    </row>
    <row r="1854" spans="1:7" ht="172.8" x14ac:dyDescent="0.3">
      <c r="A1854" s="13" t="s">
        <v>11836</v>
      </c>
      <c r="B1854" s="13" t="s">
        <v>11921</v>
      </c>
      <c r="C1854" s="13" t="s">
        <v>11922</v>
      </c>
      <c r="E1854" s="13" t="s">
        <v>11839</v>
      </c>
      <c r="G1854" s="13" t="s">
        <v>13418</v>
      </c>
    </row>
    <row r="1855" spans="1:7" x14ac:dyDescent="0.3">
      <c r="A1855" s="13" t="s">
        <v>11836</v>
      </c>
      <c r="B1855" s="13" t="s">
        <v>11923</v>
      </c>
      <c r="C1855" s="13" t="s">
        <v>11924</v>
      </c>
      <c r="E1855" s="13" t="s">
        <v>11839</v>
      </c>
      <c r="F1855" s="13">
        <v>40</v>
      </c>
      <c r="G1855" s="13" t="s">
        <v>32</v>
      </c>
    </row>
    <row r="1856" spans="1:7" x14ac:dyDescent="0.3">
      <c r="A1856" s="13" t="s">
        <v>11836</v>
      </c>
      <c r="B1856" s="13" t="s">
        <v>11925</v>
      </c>
      <c r="C1856" s="13" t="s">
        <v>11926</v>
      </c>
      <c r="E1856" s="13" t="s">
        <v>11839</v>
      </c>
      <c r="F1856" s="13">
        <v>4</v>
      </c>
      <c r="G1856" s="13" t="s">
        <v>32</v>
      </c>
    </row>
    <row r="1857" spans="1:7" ht="43.2" x14ac:dyDescent="0.3">
      <c r="A1857" s="13" t="s">
        <v>11836</v>
      </c>
      <c r="B1857" s="13" t="s">
        <v>11927</v>
      </c>
      <c r="C1857" s="13" t="s">
        <v>11928</v>
      </c>
      <c r="E1857" s="13" t="s">
        <v>11839</v>
      </c>
      <c r="F1857" s="13">
        <v>12</v>
      </c>
      <c r="G1857" s="13" t="s">
        <v>32</v>
      </c>
    </row>
    <row r="1858" spans="1:7" ht="43.2" x14ac:dyDescent="0.3">
      <c r="A1858" s="13" t="s">
        <v>11836</v>
      </c>
      <c r="B1858" s="13" t="s">
        <v>11929</v>
      </c>
      <c r="C1858" s="13" t="s">
        <v>11930</v>
      </c>
      <c r="E1858" s="13" t="s">
        <v>11839</v>
      </c>
      <c r="F1858" s="13">
        <v>6</v>
      </c>
      <c r="G1858" s="13" t="s">
        <v>32</v>
      </c>
    </row>
    <row r="1859" spans="1:7" ht="28.8" x14ac:dyDescent="0.3">
      <c r="A1859" s="13" t="s">
        <v>11836</v>
      </c>
      <c r="B1859" s="13" t="s">
        <v>11931</v>
      </c>
      <c r="C1859" s="13" t="s">
        <v>11932</v>
      </c>
      <c r="E1859" s="13" t="s">
        <v>11879</v>
      </c>
      <c r="G1859" s="13" t="s">
        <v>32</v>
      </c>
    </row>
    <row r="1860" spans="1:7" ht="28.8" x14ac:dyDescent="0.3">
      <c r="A1860" s="13" t="s">
        <v>11836</v>
      </c>
      <c r="B1860" s="13" t="s">
        <v>11933</v>
      </c>
      <c r="C1860" s="13" t="s">
        <v>11934</v>
      </c>
      <c r="E1860" s="13" t="s">
        <v>11839</v>
      </c>
      <c r="F1860" s="13">
        <v>11</v>
      </c>
      <c r="G1860" s="13" t="s">
        <v>32</v>
      </c>
    </row>
    <row r="1861" spans="1:7" ht="28.8" x14ac:dyDescent="0.3">
      <c r="A1861" s="13" t="s">
        <v>11836</v>
      </c>
      <c r="B1861" s="13" t="s">
        <v>11935</v>
      </c>
      <c r="C1861" s="13" t="s">
        <v>11936</v>
      </c>
      <c r="E1861" s="13" t="s">
        <v>11879</v>
      </c>
      <c r="G1861" s="13" t="s">
        <v>32</v>
      </c>
    </row>
    <row r="1862" spans="1:7" ht="43.2" x14ac:dyDescent="0.3">
      <c r="A1862" s="13" t="s">
        <v>11836</v>
      </c>
      <c r="B1862" s="13" t="s">
        <v>11937</v>
      </c>
      <c r="C1862" s="13" t="s">
        <v>11938</v>
      </c>
      <c r="E1862" s="13" t="s">
        <v>11839</v>
      </c>
      <c r="F1862" s="13">
        <v>60</v>
      </c>
      <c r="G1862" s="13" t="s">
        <v>32</v>
      </c>
    </row>
    <row r="1863" spans="1:7" ht="28.8" x14ac:dyDescent="0.3">
      <c r="A1863" s="13" t="s">
        <v>11836</v>
      </c>
      <c r="B1863" s="13" t="s">
        <v>11939</v>
      </c>
      <c r="C1863" s="13" t="s">
        <v>11940</v>
      </c>
      <c r="E1863" s="13" t="s">
        <v>11839</v>
      </c>
      <c r="F1863" s="13">
        <v>20</v>
      </c>
      <c r="G1863" s="13" t="s">
        <v>32</v>
      </c>
    </row>
    <row r="1864" spans="1:7" ht="28.8" x14ac:dyDescent="0.3">
      <c r="A1864" s="13" t="s">
        <v>11836</v>
      </c>
      <c r="B1864" s="13" t="s">
        <v>11941</v>
      </c>
      <c r="C1864" s="13" t="s">
        <v>11942</v>
      </c>
      <c r="E1864" s="13" t="s">
        <v>11839</v>
      </c>
      <c r="F1864" s="13">
        <v>80</v>
      </c>
      <c r="G1864" s="13" t="s">
        <v>32</v>
      </c>
    </row>
    <row r="1865" spans="1:7" ht="409.6" x14ac:dyDescent="0.3">
      <c r="A1865" s="13" t="s">
        <v>11836</v>
      </c>
      <c r="B1865" s="13" t="s">
        <v>11943</v>
      </c>
      <c r="C1865" s="13" t="s">
        <v>11944</v>
      </c>
      <c r="E1865" s="13" t="s">
        <v>11839</v>
      </c>
      <c r="G1865" s="13" t="s">
        <v>13419</v>
      </c>
    </row>
    <row r="1866" spans="1:7" ht="409.6" x14ac:dyDescent="0.3">
      <c r="A1866" s="13" t="s">
        <v>11836</v>
      </c>
      <c r="B1866" s="13" t="s">
        <v>11945</v>
      </c>
      <c r="C1866" s="13" t="s">
        <v>11946</v>
      </c>
      <c r="E1866" s="13" t="s">
        <v>11839</v>
      </c>
      <c r="G1866" s="13" t="s">
        <v>13420</v>
      </c>
    </row>
    <row r="1867" spans="1:7" ht="28.8" x14ac:dyDescent="0.3">
      <c r="A1867" s="13" t="s">
        <v>11836</v>
      </c>
      <c r="B1867" s="13" t="s">
        <v>11947</v>
      </c>
      <c r="C1867" s="13" t="s">
        <v>11948</v>
      </c>
      <c r="E1867" s="13" t="s">
        <v>11839</v>
      </c>
      <c r="G1867" s="13" t="s">
        <v>32</v>
      </c>
    </row>
    <row r="1868" spans="1:7" x14ac:dyDescent="0.3">
      <c r="A1868" s="13" t="s">
        <v>11836</v>
      </c>
      <c r="B1868" s="13" t="s">
        <v>11949</v>
      </c>
      <c r="C1868" s="13" t="s">
        <v>11950</v>
      </c>
      <c r="E1868" s="13" t="s">
        <v>11879</v>
      </c>
      <c r="G1868" s="13" t="s">
        <v>32</v>
      </c>
    </row>
    <row r="1869" spans="1:7" ht="28.8" x14ac:dyDescent="0.3">
      <c r="A1869" s="13" t="s">
        <v>11836</v>
      </c>
      <c r="B1869" s="13" t="s">
        <v>11951</v>
      </c>
      <c r="C1869" s="13" t="s">
        <v>11952</v>
      </c>
      <c r="E1869" s="13" t="s">
        <v>11839</v>
      </c>
      <c r="F1869" s="13">
        <v>60</v>
      </c>
      <c r="G1869" s="13" t="s">
        <v>32</v>
      </c>
    </row>
    <row r="1870" spans="1:7" ht="172.8" x14ac:dyDescent="0.3">
      <c r="A1870" s="13" t="s">
        <v>11836</v>
      </c>
      <c r="B1870" s="13" t="s">
        <v>11953</v>
      </c>
      <c r="C1870" s="13" t="s">
        <v>11954</v>
      </c>
      <c r="E1870" s="13" t="s">
        <v>11839</v>
      </c>
      <c r="G1870" s="13" t="s">
        <v>13421</v>
      </c>
    </row>
    <row r="1871" spans="1:7" x14ac:dyDescent="0.3">
      <c r="A1871" s="13" t="s">
        <v>11836</v>
      </c>
      <c r="B1871" s="13" t="s">
        <v>11955</v>
      </c>
      <c r="C1871" s="13" t="s">
        <v>11956</v>
      </c>
      <c r="E1871" s="13" t="s">
        <v>11839</v>
      </c>
      <c r="F1871" s="13">
        <v>60</v>
      </c>
      <c r="G1871" s="13" t="s">
        <v>32</v>
      </c>
    </row>
    <row r="1872" spans="1:7" ht="409.6" x14ac:dyDescent="0.3">
      <c r="A1872" s="13" t="s">
        <v>11836</v>
      </c>
      <c r="B1872" s="13" t="s">
        <v>2514</v>
      </c>
      <c r="C1872" s="13" t="s">
        <v>2511</v>
      </c>
      <c r="E1872" s="13" t="s">
        <v>11839</v>
      </c>
      <c r="G1872" s="13" t="s">
        <v>13422</v>
      </c>
    </row>
    <row r="1873" spans="1:7" ht="28.8" x14ac:dyDescent="0.3">
      <c r="A1873" s="13" t="s">
        <v>11836</v>
      </c>
      <c r="B1873" s="13" t="s">
        <v>11957</v>
      </c>
      <c r="C1873" s="13" t="s">
        <v>11958</v>
      </c>
      <c r="E1873" s="13" t="s">
        <v>11839</v>
      </c>
      <c r="F1873" s="13">
        <v>10</v>
      </c>
      <c r="G1873" s="13" t="s">
        <v>32</v>
      </c>
    </row>
    <row r="1874" spans="1:7" ht="28.8" x14ac:dyDescent="0.3">
      <c r="A1874" s="13" t="s">
        <v>11836</v>
      </c>
      <c r="B1874" s="13" t="s">
        <v>11959</v>
      </c>
      <c r="C1874" s="13" t="s">
        <v>2504</v>
      </c>
      <c r="E1874" s="13" t="s">
        <v>11839</v>
      </c>
      <c r="F1874" s="13">
        <v>3</v>
      </c>
      <c r="G1874" s="13" t="s">
        <v>32</v>
      </c>
    </row>
    <row r="1875" spans="1:7" ht="409.6" x14ac:dyDescent="0.3">
      <c r="A1875" s="13" t="s">
        <v>11836</v>
      </c>
      <c r="B1875" s="13" t="s">
        <v>11960</v>
      </c>
      <c r="C1875" s="13" t="s">
        <v>11961</v>
      </c>
      <c r="E1875" s="13" t="s">
        <v>11839</v>
      </c>
      <c r="G1875" s="13" t="s">
        <v>13423</v>
      </c>
    </row>
    <row r="1876" spans="1:7" ht="144" x14ac:dyDescent="0.3">
      <c r="A1876" s="13" t="s">
        <v>11836</v>
      </c>
      <c r="B1876" s="13" t="s">
        <v>11962</v>
      </c>
      <c r="C1876" s="13" t="s">
        <v>11963</v>
      </c>
      <c r="E1876" s="13" t="s">
        <v>11839</v>
      </c>
      <c r="G1876" s="13" t="s">
        <v>13424</v>
      </c>
    </row>
    <row r="1877" spans="1:7" ht="409.6" x14ac:dyDescent="0.3">
      <c r="A1877" s="13" t="s">
        <v>11836</v>
      </c>
      <c r="B1877" s="13" t="s">
        <v>11964</v>
      </c>
      <c r="C1877" s="13" t="s">
        <v>2541</v>
      </c>
      <c r="E1877" s="13" t="s">
        <v>11839</v>
      </c>
      <c r="G1877" s="13" t="s">
        <v>13425</v>
      </c>
    </row>
    <row r="1878" spans="1:7" ht="409.6" x14ac:dyDescent="0.3">
      <c r="A1878" s="13" t="s">
        <v>11836</v>
      </c>
      <c r="B1878" s="13" t="s">
        <v>11965</v>
      </c>
      <c r="C1878" s="13" t="s">
        <v>11966</v>
      </c>
      <c r="E1878" s="13" t="s">
        <v>11839</v>
      </c>
      <c r="G1878" s="13" t="s">
        <v>13426</v>
      </c>
    </row>
    <row r="1879" spans="1:7" ht="409.6" x14ac:dyDescent="0.3">
      <c r="A1879" s="13" t="s">
        <v>11836</v>
      </c>
      <c r="B1879" s="13" t="s">
        <v>11967</v>
      </c>
      <c r="C1879" s="13" t="s">
        <v>11968</v>
      </c>
      <c r="E1879" s="13" t="s">
        <v>11839</v>
      </c>
      <c r="G1879" s="13" t="s">
        <v>13427</v>
      </c>
    </row>
    <row r="1880" spans="1:7" ht="86.4" x14ac:dyDescent="0.3">
      <c r="A1880" s="13" t="s">
        <v>11836</v>
      </c>
      <c r="B1880" s="13" t="s">
        <v>11969</v>
      </c>
      <c r="C1880" s="13" t="s">
        <v>11970</v>
      </c>
      <c r="E1880" s="13" t="s">
        <v>11839</v>
      </c>
      <c r="G1880" s="13" t="s">
        <v>13408</v>
      </c>
    </row>
    <row r="1881" spans="1:7" ht="201.6" x14ac:dyDescent="0.3">
      <c r="A1881" s="13" t="s">
        <v>11836</v>
      </c>
      <c r="B1881" s="13" t="s">
        <v>11971</v>
      </c>
      <c r="C1881" s="13" t="s">
        <v>11972</v>
      </c>
      <c r="E1881" s="13" t="s">
        <v>11839</v>
      </c>
      <c r="G1881" s="13" t="s">
        <v>13428</v>
      </c>
    </row>
    <row r="1882" spans="1:7" ht="302.39999999999998" x14ac:dyDescent="0.3">
      <c r="A1882" s="13" t="s">
        <v>11836</v>
      </c>
      <c r="B1882" s="13" t="s">
        <v>11973</v>
      </c>
      <c r="C1882" s="13" t="s">
        <v>11974</v>
      </c>
      <c r="E1882" s="13" t="s">
        <v>11839</v>
      </c>
      <c r="G1882" s="13" t="s">
        <v>13429</v>
      </c>
    </row>
    <row r="1883" spans="1:7" ht="86.4" x14ac:dyDescent="0.3">
      <c r="A1883" s="13" t="s">
        <v>11836</v>
      </c>
      <c r="B1883" s="13" t="s">
        <v>11975</v>
      </c>
      <c r="C1883" s="13" t="s">
        <v>11976</v>
      </c>
      <c r="E1883" s="13" t="s">
        <v>11839</v>
      </c>
      <c r="G1883" s="13" t="s">
        <v>13415</v>
      </c>
    </row>
    <row r="1884" spans="1:7" ht="28.8" x14ac:dyDescent="0.3">
      <c r="A1884" s="13" t="s">
        <v>11836</v>
      </c>
      <c r="B1884" s="13" t="s">
        <v>11977</v>
      </c>
      <c r="C1884" s="13" t="s">
        <v>11978</v>
      </c>
      <c r="E1884" s="13" t="s">
        <v>11852</v>
      </c>
      <c r="G1884" s="13" t="s">
        <v>32</v>
      </c>
    </row>
    <row r="1885" spans="1:7" ht="409.6" x14ac:dyDescent="0.3">
      <c r="A1885" s="13" t="s">
        <v>11836</v>
      </c>
      <c r="B1885" s="13" t="s">
        <v>11979</v>
      </c>
      <c r="C1885" s="13" t="s">
        <v>11980</v>
      </c>
      <c r="E1885" s="13" t="s">
        <v>11839</v>
      </c>
      <c r="G1885" s="13" t="s">
        <v>13430</v>
      </c>
    </row>
    <row r="1886" spans="1:7" ht="409.6" x14ac:dyDescent="0.3">
      <c r="A1886" s="13" t="s">
        <v>11836</v>
      </c>
      <c r="B1886" s="13" t="s">
        <v>11981</v>
      </c>
      <c r="C1886" s="13" t="s">
        <v>11982</v>
      </c>
      <c r="E1886" s="13" t="s">
        <v>11839</v>
      </c>
      <c r="G1886" s="13" t="s">
        <v>13431</v>
      </c>
    </row>
    <row r="1887" spans="1:7" ht="86.4" x14ac:dyDescent="0.3">
      <c r="A1887" s="13" t="s">
        <v>11836</v>
      </c>
      <c r="B1887" s="13" t="s">
        <v>11983</v>
      </c>
      <c r="C1887" s="13" t="s">
        <v>11984</v>
      </c>
      <c r="E1887" s="13" t="s">
        <v>11839</v>
      </c>
      <c r="G1887" s="13" t="s">
        <v>13432</v>
      </c>
    </row>
    <row r="1888" spans="1:7" ht="86.4" x14ac:dyDescent="0.3">
      <c r="A1888" s="13" t="s">
        <v>11836</v>
      </c>
      <c r="B1888" s="13" t="s">
        <v>11985</v>
      </c>
      <c r="C1888" s="13" t="s">
        <v>11986</v>
      </c>
      <c r="E1888" s="13" t="s">
        <v>11839</v>
      </c>
      <c r="G1888" s="13" t="s">
        <v>13433</v>
      </c>
    </row>
    <row r="1889" spans="1:7" ht="28.8" x14ac:dyDescent="0.3">
      <c r="A1889" s="13" t="s">
        <v>11836</v>
      </c>
      <c r="B1889" s="13" t="s">
        <v>11987</v>
      </c>
      <c r="C1889" s="13" t="s">
        <v>11988</v>
      </c>
      <c r="E1889" s="13" t="s">
        <v>11879</v>
      </c>
      <c r="G1889" s="13" t="s">
        <v>32</v>
      </c>
    </row>
    <row r="1890" spans="1:7" ht="28.8" x14ac:dyDescent="0.3">
      <c r="A1890" s="13" t="s">
        <v>11836</v>
      </c>
      <c r="B1890" s="13" t="s">
        <v>11989</v>
      </c>
      <c r="C1890" s="13" t="s">
        <v>11990</v>
      </c>
      <c r="E1890" s="13" t="s">
        <v>11839</v>
      </c>
      <c r="F1890" s="13">
        <v>20</v>
      </c>
      <c r="G1890" s="13" t="s">
        <v>32</v>
      </c>
    </row>
    <row r="1891" spans="1:7" ht="144" x14ac:dyDescent="0.3">
      <c r="A1891" s="13" t="s">
        <v>11836</v>
      </c>
      <c r="B1891" s="13" t="s">
        <v>11991</v>
      </c>
      <c r="C1891" s="13" t="s">
        <v>11992</v>
      </c>
      <c r="E1891" s="13" t="s">
        <v>11839</v>
      </c>
      <c r="G1891" s="13" t="s">
        <v>13434</v>
      </c>
    </row>
    <row r="1892" spans="1:7" ht="409.6" x14ac:dyDescent="0.3">
      <c r="A1892" s="13" t="s">
        <v>11836</v>
      </c>
      <c r="B1892" s="13" t="s">
        <v>11993</v>
      </c>
      <c r="C1892" s="13" t="s">
        <v>11994</v>
      </c>
      <c r="E1892" s="13" t="s">
        <v>11839</v>
      </c>
      <c r="G1892" s="13" t="s">
        <v>13435</v>
      </c>
    </row>
    <row r="1893" spans="1:7" x14ac:dyDescent="0.3">
      <c r="A1893" s="13" t="s">
        <v>11836</v>
      </c>
      <c r="B1893" s="13" t="s">
        <v>11995</v>
      </c>
      <c r="C1893" s="13" t="s">
        <v>11996</v>
      </c>
      <c r="E1893" s="13" t="s">
        <v>11839</v>
      </c>
      <c r="F1893" s="13">
        <v>40</v>
      </c>
      <c r="G1893" s="13" t="s">
        <v>32</v>
      </c>
    </row>
    <row r="1894" spans="1:7" x14ac:dyDescent="0.3">
      <c r="A1894" s="13" t="s">
        <v>11836</v>
      </c>
      <c r="B1894" s="13" t="s">
        <v>11997</v>
      </c>
      <c r="C1894" s="13" t="s">
        <v>11998</v>
      </c>
      <c r="E1894" s="13" t="s">
        <v>11879</v>
      </c>
      <c r="G1894" s="13" t="s">
        <v>32</v>
      </c>
    </row>
    <row r="1895" spans="1:7" x14ac:dyDescent="0.3">
      <c r="A1895" s="13" t="s">
        <v>11836</v>
      </c>
      <c r="B1895" s="13" t="s">
        <v>3465</v>
      </c>
      <c r="C1895" s="13" t="s">
        <v>11999</v>
      </c>
      <c r="E1895" s="13" t="s">
        <v>11879</v>
      </c>
      <c r="G1895" s="13" t="s">
        <v>32</v>
      </c>
    </row>
    <row r="1896" spans="1:7" x14ac:dyDescent="0.3">
      <c r="A1896" s="13" t="s">
        <v>11836</v>
      </c>
      <c r="B1896" s="13" t="s">
        <v>3470</v>
      </c>
      <c r="C1896" s="13" t="s">
        <v>12000</v>
      </c>
      <c r="E1896" s="13" t="s">
        <v>11839</v>
      </c>
      <c r="F1896" s="13">
        <v>40</v>
      </c>
      <c r="G1896" s="13" t="s">
        <v>32</v>
      </c>
    </row>
    <row r="1897" spans="1:7" ht="28.8" x14ac:dyDescent="0.3">
      <c r="A1897" s="13" t="s">
        <v>11836</v>
      </c>
      <c r="B1897" s="13" t="s">
        <v>12001</v>
      </c>
      <c r="C1897" s="13" t="s">
        <v>12002</v>
      </c>
      <c r="E1897" s="13" t="s">
        <v>11852</v>
      </c>
      <c r="G1897" s="13" t="s">
        <v>32</v>
      </c>
    </row>
    <row r="1898" spans="1:7" ht="28.8" x14ac:dyDescent="0.3">
      <c r="A1898" s="13" t="s">
        <v>11836</v>
      </c>
      <c r="B1898" s="13" t="s">
        <v>12003</v>
      </c>
      <c r="C1898" s="13" t="s">
        <v>12004</v>
      </c>
      <c r="E1898" s="13" t="s">
        <v>11879</v>
      </c>
      <c r="G1898" s="13" t="s">
        <v>32</v>
      </c>
    </row>
    <row r="1899" spans="1:7" ht="28.8" x14ac:dyDescent="0.3">
      <c r="A1899" s="13" t="s">
        <v>11836</v>
      </c>
      <c r="B1899" s="13" t="s">
        <v>12005</v>
      </c>
      <c r="C1899" s="13" t="s">
        <v>12006</v>
      </c>
      <c r="E1899" s="13" t="s">
        <v>12007</v>
      </c>
      <c r="G1899" s="13" t="s">
        <v>32</v>
      </c>
    </row>
    <row r="1900" spans="1:7" ht="409.6" x14ac:dyDescent="0.3">
      <c r="A1900" s="13" t="s">
        <v>11836</v>
      </c>
      <c r="B1900" s="13" t="s">
        <v>12008</v>
      </c>
      <c r="C1900" s="13" t="s">
        <v>12009</v>
      </c>
      <c r="E1900" s="13" t="s">
        <v>11839</v>
      </c>
      <c r="F1900" s="13">
        <v>3</v>
      </c>
      <c r="G1900" s="13" t="s">
        <v>13436</v>
      </c>
    </row>
    <row r="1901" spans="1:7" ht="28.8" x14ac:dyDescent="0.3">
      <c r="A1901" s="13" t="s">
        <v>11836</v>
      </c>
      <c r="B1901" s="13" t="s">
        <v>12010</v>
      </c>
      <c r="C1901" s="13" t="s">
        <v>12011</v>
      </c>
      <c r="E1901" s="13" t="s">
        <v>11839</v>
      </c>
      <c r="G1901" s="13" t="s">
        <v>32</v>
      </c>
    </row>
    <row r="1902" spans="1:7" ht="345.6" x14ac:dyDescent="0.3">
      <c r="A1902" s="13" t="s">
        <v>11836</v>
      </c>
      <c r="B1902" s="13" t="s">
        <v>12012</v>
      </c>
      <c r="C1902" s="13" t="s">
        <v>12013</v>
      </c>
      <c r="E1902" s="13" t="s">
        <v>11839</v>
      </c>
      <c r="G1902" s="13" t="s">
        <v>13437</v>
      </c>
    </row>
    <row r="1903" spans="1:7" ht="28.8" x14ac:dyDescent="0.3">
      <c r="A1903" s="13" t="s">
        <v>11836</v>
      </c>
      <c r="B1903" s="13" t="s">
        <v>12014</v>
      </c>
      <c r="C1903" s="13" t="s">
        <v>12015</v>
      </c>
      <c r="E1903" s="13" t="s">
        <v>11879</v>
      </c>
      <c r="G1903" s="13" t="s">
        <v>32</v>
      </c>
    </row>
    <row r="1904" spans="1:7" ht="28.8" x14ac:dyDescent="0.3">
      <c r="A1904" s="13" t="s">
        <v>11836</v>
      </c>
      <c r="B1904" s="13" t="s">
        <v>12016</v>
      </c>
      <c r="C1904" s="13" t="s">
        <v>12017</v>
      </c>
      <c r="E1904" s="13" t="s">
        <v>11879</v>
      </c>
      <c r="G1904" s="13" t="s">
        <v>32</v>
      </c>
    </row>
    <row r="1905" spans="1:7" ht="28.8" x14ac:dyDescent="0.3">
      <c r="A1905" s="13" t="s">
        <v>11836</v>
      </c>
      <c r="B1905" s="13" t="s">
        <v>12018</v>
      </c>
      <c r="C1905" s="13" t="s">
        <v>12019</v>
      </c>
      <c r="E1905" s="13" t="s">
        <v>11879</v>
      </c>
      <c r="G1905" s="13" t="s">
        <v>32</v>
      </c>
    </row>
    <row r="1906" spans="1:7" ht="86.4" x14ac:dyDescent="0.3">
      <c r="A1906" s="13" t="s">
        <v>11836</v>
      </c>
      <c r="B1906" s="13" t="s">
        <v>12020</v>
      </c>
      <c r="C1906" s="13" t="s">
        <v>12021</v>
      </c>
      <c r="E1906" s="13" t="s">
        <v>11839</v>
      </c>
      <c r="G1906" s="13" t="s">
        <v>13408</v>
      </c>
    </row>
    <row r="1907" spans="1:7" ht="28.8" x14ac:dyDescent="0.3">
      <c r="A1907" s="13" t="s">
        <v>11836</v>
      </c>
      <c r="B1907" s="13" t="s">
        <v>12022</v>
      </c>
      <c r="C1907" s="13" t="s">
        <v>12023</v>
      </c>
      <c r="E1907" s="13" t="s">
        <v>11852</v>
      </c>
      <c r="G1907" s="13" t="s">
        <v>32</v>
      </c>
    </row>
    <row r="1908" spans="1:7" ht="302.39999999999998" x14ac:dyDescent="0.3">
      <c r="A1908" s="13" t="s">
        <v>11836</v>
      </c>
      <c r="B1908" s="13" t="s">
        <v>12024</v>
      </c>
      <c r="C1908" s="13" t="s">
        <v>12025</v>
      </c>
      <c r="E1908" s="13" t="s">
        <v>11839</v>
      </c>
      <c r="G1908" s="13" t="s">
        <v>13438</v>
      </c>
    </row>
    <row r="1909" spans="1:7" ht="409.6" x14ac:dyDescent="0.3">
      <c r="A1909" s="13" t="s">
        <v>11836</v>
      </c>
      <c r="B1909" s="13" t="s">
        <v>12026</v>
      </c>
      <c r="C1909" s="13" t="s">
        <v>12027</v>
      </c>
      <c r="E1909" s="13" t="s">
        <v>11839</v>
      </c>
      <c r="G1909" s="13" t="s">
        <v>13419</v>
      </c>
    </row>
    <row r="1910" spans="1:7" x14ac:dyDescent="0.3">
      <c r="A1910" s="13" t="s">
        <v>11836</v>
      </c>
      <c r="B1910" s="13" t="s">
        <v>12028</v>
      </c>
      <c r="C1910" s="13" t="s">
        <v>12029</v>
      </c>
      <c r="E1910" s="13" t="s">
        <v>11839</v>
      </c>
      <c r="F1910" s="13">
        <v>60</v>
      </c>
      <c r="G1910" s="13" t="s">
        <v>32</v>
      </c>
    </row>
    <row r="1911" spans="1:7" ht="28.8" x14ac:dyDescent="0.3">
      <c r="A1911" s="13" t="s">
        <v>11836</v>
      </c>
      <c r="B1911" s="13" t="s">
        <v>12030</v>
      </c>
      <c r="C1911" s="13" t="s">
        <v>12031</v>
      </c>
      <c r="E1911" s="13" t="s">
        <v>11894</v>
      </c>
      <c r="G1911" s="13" t="s">
        <v>32</v>
      </c>
    </row>
    <row r="1912" spans="1:7" ht="28.8" x14ac:dyDescent="0.3">
      <c r="A1912" s="13" t="s">
        <v>11836</v>
      </c>
      <c r="B1912" s="13" t="s">
        <v>12032</v>
      </c>
      <c r="C1912" s="13" t="s">
        <v>12033</v>
      </c>
      <c r="E1912" s="13" t="s">
        <v>11894</v>
      </c>
      <c r="G1912" s="13" t="s">
        <v>32</v>
      </c>
    </row>
    <row r="1913" spans="1:7" ht="172.8" x14ac:dyDescent="0.3">
      <c r="A1913" s="13" t="s">
        <v>11836</v>
      </c>
      <c r="B1913" s="13" t="s">
        <v>12034</v>
      </c>
      <c r="C1913" s="13" t="s">
        <v>12035</v>
      </c>
      <c r="E1913" s="13" t="s">
        <v>11839</v>
      </c>
      <c r="G1913" s="13" t="s">
        <v>13439</v>
      </c>
    </row>
    <row r="1914" spans="1:7" ht="57.6" x14ac:dyDescent="0.3">
      <c r="A1914" s="13" t="s">
        <v>11836</v>
      </c>
      <c r="B1914" s="13" t="s">
        <v>12036</v>
      </c>
      <c r="C1914" s="13" t="s">
        <v>12037</v>
      </c>
      <c r="E1914" s="13" t="s">
        <v>11879</v>
      </c>
      <c r="G1914" s="13" t="s">
        <v>32</v>
      </c>
    </row>
    <row r="1915" spans="1:7" x14ac:dyDescent="0.3">
      <c r="A1915" s="13" t="s">
        <v>11836</v>
      </c>
      <c r="B1915" s="13" t="s">
        <v>12038</v>
      </c>
      <c r="C1915" s="13" t="s">
        <v>12039</v>
      </c>
      <c r="E1915" s="13" t="s">
        <v>11839</v>
      </c>
      <c r="F1915" s="13">
        <v>500</v>
      </c>
      <c r="G1915" s="13" t="s">
        <v>32</v>
      </c>
    </row>
    <row r="1916" spans="1:7" ht="129.6" x14ac:dyDescent="0.3">
      <c r="A1916" s="13" t="s">
        <v>11836</v>
      </c>
      <c r="B1916" s="13" t="s">
        <v>12040</v>
      </c>
      <c r="C1916" s="13" t="s">
        <v>12041</v>
      </c>
      <c r="E1916" s="13" t="s">
        <v>11839</v>
      </c>
      <c r="G1916" s="13" t="s">
        <v>13440</v>
      </c>
    </row>
    <row r="1917" spans="1:7" ht="115.2" x14ac:dyDescent="0.3">
      <c r="A1917" s="13" t="s">
        <v>11836</v>
      </c>
      <c r="B1917" s="13" t="s">
        <v>12042</v>
      </c>
      <c r="C1917" s="13" t="s">
        <v>12043</v>
      </c>
      <c r="E1917" s="13" t="s">
        <v>11839</v>
      </c>
      <c r="G1917" s="13" t="s">
        <v>13441</v>
      </c>
    </row>
    <row r="1918" spans="1:7" ht="144" x14ac:dyDescent="0.3">
      <c r="A1918" s="13" t="s">
        <v>11836</v>
      </c>
      <c r="B1918" s="13" t="s">
        <v>12044</v>
      </c>
      <c r="C1918" s="13" t="s">
        <v>12045</v>
      </c>
      <c r="E1918" s="13" t="s">
        <v>11839</v>
      </c>
      <c r="G1918" s="13" t="s">
        <v>13442</v>
      </c>
    </row>
    <row r="1919" spans="1:7" ht="28.8" x14ac:dyDescent="0.3">
      <c r="A1919" s="13" t="s">
        <v>11836</v>
      </c>
      <c r="B1919" s="13" t="s">
        <v>12046</v>
      </c>
      <c r="C1919" s="13" t="s">
        <v>12047</v>
      </c>
      <c r="E1919" s="13" t="s">
        <v>11839</v>
      </c>
      <c r="F1919" s="13">
        <v>30</v>
      </c>
      <c r="G1919" s="13" t="s">
        <v>32</v>
      </c>
    </row>
    <row r="1920" spans="1:7" x14ac:dyDescent="0.3">
      <c r="A1920" s="13" t="s">
        <v>11836</v>
      </c>
      <c r="B1920" s="13" t="s">
        <v>12048</v>
      </c>
      <c r="C1920" s="13" t="s">
        <v>12049</v>
      </c>
      <c r="E1920" s="13" t="s">
        <v>11879</v>
      </c>
      <c r="G1920" s="13" t="s">
        <v>32</v>
      </c>
    </row>
    <row r="1921" spans="1:7" ht="72" x14ac:dyDescent="0.3">
      <c r="A1921" s="13" t="s">
        <v>11836</v>
      </c>
      <c r="B1921" s="13" t="s">
        <v>12050</v>
      </c>
      <c r="C1921" s="13" t="s">
        <v>12051</v>
      </c>
      <c r="E1921" s="13" t="s">
        <v>11879</v>
      </c>
      <c r="G1921" s="13" t="s">
        <v>32</v>
      </c>
    </row>
    <row r="1922" spans="1:7" ht="409.6" x14ac:dyDescent="0.3">
      <c r="A1922" s="13" t="s">
        <v>11836</v>
      </c>
      <c r="B1922" s="13" t="s">
        <v>12052</v>
      </c>
      <c r="C1922" s="13" t="s">
        <v>12053</v>
      </c>
      <c r="E1922" s="13" t="s">
        <v>11839</v>
      </c>
      <c r="F1922" s="13">
        <v>3</v>
      </c>
      <c r="G1922" s="13" t="s">
        <v>13443</v>
      </c>
    </row>
    <row r="1923" spans="1:7" ht="100.8" x14ac:dyDescent="0.3">
      <c r="A1923" s="13" t="s">
        <v>11836</v>
      </c>
      <c r="B1923" s="13" t="s">
        <v>12054</v>
      </c>
      <c r="C1923" s="13" t="s">
        <v>12055</v>
      </c>
      <c r="E1923" s="13" t="s">
        <v>11839</v>
      </c>
      <c r="G1923" s="13" t="s">
        <v>13404</v>
      </c>
    </row>
    <row r="1924" spans="1:7" ht="43.2" x14ac:dyDescent="0.3">
      <c r="A1924" s="13" t="s">
        <v>11836</v>
      </c>
      <c r="B1924" s="13" t="s">
        <v>12056</v>
      </c>
      <c r="C1924" s="13" t="s">
        <v>12057</v>
      </c>
      <c r="E1924" s="13" t="s">
        <v>11839</v>
      </c>
      <c r="F1924" s="13">
        <v>20</v>
      </c>
      <c r="G1924" s="13" t="s">
        <v>32</v>
      </c>
    </row>
    <row r="1925" spans="1:7" ht="403.2" x14ac:dyDescent="0.3">
      <c r="A1925" s="13" t="s">
        <v>11836</v>
      </c>
      <c r="B1925" s="13" t="s">
        <v>12058</v>
      </c>
      <c r="C1925" s="13" t="s">
        <v>12059</v>
      </c>
      <c r="E1925" s="13" t="s">
        <v>11839</v>
      </c>
      <c r="G1925" s="13" t="s">
        <v>13444</v>
      </c>
    </row>
    <row r="1926" spans="1:7" ht="409.6" x14ac:dyDescent="0.3">
      <c r="A1926" s="13" t="s">
        <v>11836</v>
      </c>
      <c r="B1926" s="13" t="s">
        <v>12060</v>
      </c>
      <c r="C1926" s="13" t="s">
        <v>12061</v>
      </c>
      <c r="E1926" s="13" t="s">
        <v>11839</v>
      </c>
      <c r="G1926" s="13" t="s">
        <v>13445</v>
      </c>
    </row>
    <row r="1927" spans="1:7" x14ac:dyDescent="0.3">
      <c r="A1927" s="13" t="s">
        <v>11836</v>
      </c>
      <c r="B1927" s="13" t="s">
        <v>12062</v>
      </c>
      <c r="C1927" s="13" t="s">
        <v>12063</v>
      </c>
      <c r="E1927" s="13" t="s">
        <v>11879</v>
      </c>
      <c r="G1927" s="13" t="s">
        <v>32</v>
      </c>
    </row>
    <row r="1928" spans="1:7" ht="28.8" x14ac:dyDescent="0.3">
      <c r="A1928" s="13" t="s">
        <v>11836</v>
      </c>
      <c r="B1928" s="13" t="s">
        <v>12064</v>
      </c>
      <c r="C1928" s="13" t="s">
        <v>12065</v>
      </c>
      <c r="E1928" s="13" t="s">
        <v>11839</v>
      </c>
      <c r="F1928" s="13">
        <v>128</v>
      </c>
      <c r="G1928" s="13" t="s">
        <v>32</v>
      </c>
    </row>
    <row r="1929" spans="1:7" ht="43.2" x14ac:dyDescent="0.3">
      <c r="A1929" s="13" t="s">
        <v>11836</v>
      </c>
      <c r="B1929" s="13" t="s">
        <v>12066</v>
      </c>
      <c r="C1929" s="13" t="s">
        <v>12067</v>
      </c>
      <c r="E1929" s="13" t="s">
        <v>11839</v>
      </c>
      <c r="F1929" s="13">
        <v>60</v>
      </c>
      <c r="G1929" s="13" t="s">
        <v>32</v>
      </c>
    </row>
    <row r="1930" spans="1:7" ht="115.2" x14ac:dyDescent="0.3">
      <c r="A1930" s="13" t="s">
        <v>11836</v>
      </c>
      <c r="B1930" s="13" t="s">
        <v>12068</v>
      </c>
      <c r="C1930" s="13" t="s">
        <v>12069</v>
      </c>
      <c r="E1930" s="13" t="s">
        <v>11839</v>
      </c>
      <c r="G1930" s="13" t="s">
        <v>13446</v>
      </c>
    </row>
    <row r="1931" spans="1:7" ht="374.4" x14ac:dyDescent="0.3">
      <c r="A1931" s="13" t="s">
        <v>11836</v>
      </c>
      <c r="B1931" s="13" t="s">
        <v>12070</v>
      </c>
      <c r="C1931" s="13" t="s">
        <v>12071</v>
      </c>
      <c r="E1931" s="13" t="s">
        <v>11839</v>
      </c>
      <c r="G1931" s="13" t="s">
        <v>13447</v>
      </c>
    </row>
    <row r="1932" spans="1:7" ht="28.8" x14ac:dyDescent="0.3">
      <c r="A1932" s="13" t="s">
        <v>11836</v>
      </c>
      <c r="B1932" s="13" t="s">
        <v>12072</v>
      </c>
      <c r="C1932" s="13" t="s">
        <v>12073</v>
      </c>
      <c r="E1932" s="13" t="s">
        <v>11879</v>
      </c>
      <c r="G1932" s="13" t="s">
        <v>32</v>
      </c>
    </row>
    <row r="1933" spans="1:7" ht="409.6" x14ac:dyDescent="0.3">
      <c r="A1933" s="13" t="s">
        <v>11836</v>
      </c>
      <c r="B1933" s="13" t="s">
        <v>12074</v>
      </c>
      <c r="C1933" s="13" t="s">
        <v>12075</v>
      </c>
      <c r="E1933" s="13" t="s">
        <v>11839</v>
      </c>
      <c r="F1933" s="13">
        <v>2</v>
      </c>
      <c r="G1933" s="13" t="s">
        <v>13448</v>
      </c>
    </row>
    <row r="1934" spans="1:7" x14ac:dyDescent="0.3">
      <c r="A1934" s="13" t="s">
        <v>11836</v>
      </c>
      <c r="B1934" s="13" t="s">
        <v>12076</v>
      </c>
      <c r="C1934" s="13" t="s">
        <v>12077</v>
      </c>
      <c r="E1934" s="13" t="s">
        <v>11839</v>
      </c>
      <c r="F1934" s="13">
        <v>80</v>
      </c>
      <c r="G1934" s="13" t="s">
        <v>32</v>
      </c>
    </row>
    <row r="1935" spans="1:7" ht="360" x14ac:dyDescent="0.3">
      <c r="A1935" s="13" t="s">
        <v>11836</v>
      </c>
      <c r="B1935" s="13" t="s">
        <v>12078</v>
      </c>
      <c r="C1935" s="13" t="s">
        <v>12079</v>
      </c>
      <c r="E1935" s="13" t="s">
        <v>11839</v>
      </c>
      <c r="G1935" s="13" t="s">
        <v>13449</v>
      </c>
    </row>
    <row r="1936" spans="1:7" ht="316.8" x14ac:dyDescent="0.3">
      <c r="A1936" s="13" t="s">
        <v>11836</v>
      </c>
      <c r="B1936" s="13" t="s">
        <v>12080</v>
      </c>
      <c r="C1936" s="13" t="s">
        <v>12081</v>
      </c>
      <c r="E1936" s="13" t="s">
        <v>11839</v>
      </c>
      <c r="G1936" s="13" t="s">
        <v>13450</v>
      </c>
    </row>
    <row r="1937" spans="1:7" ht="28.8" x14ac:dyDescent="0.3">
      <c r="A1937" s="13" t="s">
        <v>11836</v>
      </c>
      <c r="B1937" s="13" t="s">
        <v>12082</v>
      </c>
      <c r="C1937" s="13" t="s">
        <v>12083</v>
      </c>
      <c r="E1937" s="13" t="s">
        <v>11879</v>
      </c>
      <c r="G1937" s="13" t="s">
        <v>32</v>
      </c>
    </row>
    <row r="1938" spans="1:7" ht="43.2" x14ac:dyDescent="0.3">
      <c r="A1938" s="13" t="s">
        <v>11836</v>
      </c>
      <c r="B1938" s="13" t="s">
        <v>12084</v>
      </c>
      <c r="C1938" s="13" t="s">
        <v>12085</v>
      </c>
      <c r="E1938" s="13" t="s">
        <v>11839</v>
      </c>
      <c r="F1938" s="13">
        <v>40</v>
      </c>
      <c r="G1938" s="13" t="s">
        <v>32</v>
      </c>
    </row>
    <row r="1939" spans="1:7" ht="100.8" x14ac:dyDescent="0.3">
      <c r="A1939" s="13" t="s">
        <v>11836</v>
      </c>
      <c r="B1939" s="13" t="s">
        <v>12086</v>
      </c>
      <c r="C1939" s="13" t="s">
        <v>12087</v>
      </c>
      <c r="E1939" s="13" t="s">
        <v>11839</v>
      </c>
      <c r="G1939" s="13" t="s">
        <v>13451</v>
      </c>
    </row>
    <row r="1940" spans="1:7" ht="28.8" x14ac:dyDescent="0.3">
      <c r="A1940" s="13" t="s">
        <v>11836</v>
      </c>
      <c r="B1940" s="13" t="s">
        <v>12088</v>
      </c>
      <c r="C1940" s="13" t="s">
        <v>12089</v>
      </c>
      <c r="E1940" s="13" t="s">
        <v>11839</v>
      </c>
      <c r="F1940" s="13">
        <v>80</v>
      </c>
      <c r="G1940" s="13" t="s">
        <v>32</v>
      </c>
    </row>
    <row r="1941" spans="1:7" ht="172.8" x14ac:dyDescent="0.3">
      <c r="A1941" s="13" t="s">
        <v>11836</v>
      </c>
      <c r="B1941" s="13" t="s">
        <v>12090</v>
      </c>
      <c r="C1941" s="13" t="s">
        <v>12091</v>
      </c>
      <c r="E1941" s="13" t="s">
        <v>11839</v>
      </c>
      <c r="G1941" s="13" t="s">
        <v>13452</v>
      </c>
    </row>
    <row r="1942" spans="1:7" ht="172.8" x14ac:dyDescent="0.3">
      <c r="A1942" s="13" t="s">
        <v>11836</v>
      </c>
      <c r="B1942" s="13" t="s">
        <v>12092</v>
      </c>
      <c r="C1942" s="13" t="s">
        <v>12093</v>
      </c>
      <c r="E1942" s="13" t="s">
        <v>11839</v>
      </c>
      <c r="G1942" s="13" t="s">
        <v>13452</v>
      </c>
    </row>
    <row r="1943" spans="1:7" ht="86.4" x14ac:dyDescent="0.3">
      <c r="A1943" s="13" t="s">
        <v>11836</v>
      </c>
      <c r="B1943" s="13" t="s">
        <v>12094</v>
      </c>
      <c r="C1943" s="13" t="s">
        <v>12095</v>
      </c>
      <c r="E1943" s="13" t="s">
        <v>11839</v>
      </c>
      <c r="G1943" s="13" t="s">
        <v>13453</v>
      </c>
    </row>
    <row r="1944" spans="1:7" ht="302.39999999999998" x14ac:dyDescent="0.3">
      <c r="A1944" s="13" t="s">
        <v>11836</v>
      </c>
      <c r="B1944" s="13" t="s">
        <v>12096</v>
      </c>
      <c r="C1944" s="13" t="s">
        <v>12097</v>
      </c>
      <c r="E1944" s="13" t="s">
        <v>11839</v>
      </c>
      <c r="G1944" s="13" t="s">
        <v>13454</v>
      </c>
    </row>
    <row r="1945" spans="1:7" ht="345.6" x14ac:dyDescent="0.3">
      <c r="A1945" s="13" t="s">
        <v>11836</v>
      </c>
      <c r="B1945" s="13" t="s">
        <v>12098</v>
      </c>
      <c r="C1945" s="13" t="s">
        <v>12099</v>
      </c>
      <c r="E1945" s="13" t="s">
        <v>11839</v>
      </c>
      <c r="G1945" s="13" t="s">
        <v>13455</v>
      </c>
    </row>
    <row r="1946" spans="1:7" ht="28.8" x14ac:dyDescent="0.3">
      <c r="A1946" s="13" t="s">
        <v>11836</v>
      </c>
      <c r="B1946" s="13" t="s">
        <v>12100</v>
      </c>
      <c r="C1946" s="13" t="s">
        <v>12101</v>
      </c>
      <c r="E1946" s="13" t="s">
        <v>11839</v>
      </c>
      <c r="G1946" s="13" t="s">
        <v>32</v>
      </c>
    </row>
    <row r="1947" spans="1:7" ht="43.2" x14ac:dyDescent="0.3">
      <c r="A1947" s="13" t="s">
        <v>11836</v>
      </c>
      <c r="B1947" s="13" t="s">
        <v>12102</v>
      </c>
      <c r="C1947" s="13" t="s">
        <v>12103</v>
      </c>
      <c r="E1947" s="13" t="s">
        <v>11839</v>
      </c>
      <c r="F1947" s="13">
        <v>80</v>
      </c>
      <c r="G1947" s="13" t="s">
        <v>32</v>
      </c>
    </row>
    <row r="1948" spans="1:7" ht="28.8" x14ac:dyDescent="0.3">
      <c r="A1948" s="13" t="s">
        <v>11836</v>
      </c>
      <c r="B1948" s="13" t="s">
        <v>12104</v>
      </c>
      <c r="C1948" s="13" t="s">
        <v>12105</v>
      </c>
      <c r="E1948" s="13" t="s">
        <v>11879</v>
      </c>
      <c r="G1948" s="13" t="s">
        <v>32</v>
      </c>
    </row>
    <row r="1949" spans="1:7" ht="28.8" x14ac:dyDescent="0.3">
      <c r="A1949" s="13" t="s">
        <v>11836</v>
      </c>
      <c r="B1949" s="13" t="s">
        <v>12106</v>
      </c>
      <c r="C1949" s="13" t="s">
        <v>12107</v>
      </c>
      <c r="E1949" s="13" t="s">
        <v>11839</v>
      </c>
      <c r="F1949" s="13">
        <v>40</v>
      </c>
      <c r="G1949" s="13" t="s">
        <v>32</v>
      </c>
    </row>
    <row r="1950" spans="1:7" ht="28.8" x14ac:dyDescent="0.3">
      <c r="A1950" s="13" t="s">
        <v>11836</v>
      </c>
      <c r="B1950" s="13" t="s">
        <v>12108</v>
      </c>
      <c r="C1950" s="13" t="s">
        <v>12109</v>
      </c>
      <c r="E1950" s="13" t="s">
        <v>11879</v>
      </c>
      <c r="G1950" s="13" t="s">
        <v>32</v>
      </c>
    </row>
    <row r="1951" spans="1:7" ht="28.8" x14ac:dyDescent="0.3">
      <c r="A1951" s="13" t="s">
        <v>11836</v>
      </c>
      <c r="B1951" s="13" t="s">
        <v>12110</v>
      </c>
      <c r="C1951" s="13" t="s">
        <v>12111</v>
      </c>
      <c r="E1951" s="13" t="s">
        <v>11839</v>
      </c>
      <c r="F1951" s="13">
        <v>40</v>
      </c>
      <c r="G1951" s="13" t="s">
        <v>32</v>
      </c>
    </row>
    <row r="1952" spans="1:7" ht="409.6" x14ac:dyDescent="0.3">
      <c r="A1952" s="13" t="s">
        <v>11836</v>
      </c>
      <c r="B1952" s="13" t="s">
        <v>12112</v>
      </c>
      <c r="C1952" s="13" t="s">
        <v>12113</v>
      </c>
      <c r="E1952" s="13" t="s">
        <v>11839</v>
      </c>
      <c r="G1952" s="13" t="s">
        <v>13456</v>
      </c>
    </row>
    <row r="1953" spans="1:7" ht="28.8" x14ac:dyDescent="0.3">
      <c r="A1953" s="13" t="s">
        <v>11836</v>
      </c>
      <c r="B1953" s="13" t="s">
        <v>12114</v>
      </c>
      <c r="C1953" s="13" t="s">
        <v>12115</v>
      </c>
      <c r="E1953" s="13" t="s">
        <v>11839</v>
      </c>
      <c r="G1953" s="13" t="s">
        <v>32</v>
      </c>
    </row>
    <row r="1954" spans="1:7" ht="288" x14ac:dyDescent="0.3">
      <c r="A1954" s="13" t="s">
        <v>11836</v>
      </c>
      <c r="B1954" s="13" t="s">
        <v>12116</v>
      </c>
      <c r="C1954" s="13" t="s">
        <v>12117</v>
      </c>
      <c r="E1954" s="13" t="s">
        <v>11839</v>
      </c>
      <c r="G1954" s="13" t="s">
        <v>13457</v>
      </c>
    </row>
    <row r="1955" spans="1:7" x14ac:dyDescent="0.3">
      <c r="A1955" s="13" t="s">
        <v>11836</v>
      </c>
      <c r="B1955" s="13" t="s">
        <v>12118</v>
      </c>
      <c r="C1955" s="13" t="s">
        <v>12119</v>
      </c>
      <c r="E1955" s="13" t="s">
        <v>11839</v>
      </c>
      <c r="F1955" s="13">
        <v>40</v>
      </c>
      <c r="G1955" s="13" t="s">
        <v>32</v>
      </c>
    </row>
    <row r="1956" spans="1:7" x14ac:dyDescent="0.3">
      <c r="A1956" s="13" t="s">
        <v>11836</v>
      </c>
      <c r="B1956" s="13" t="s">
        <v>12120</v>
      </c>
      <c r="C1956" s="13" t="s">
        <v>12121</v>
      </c>
      <c r="E1956" s="13" t="s">
        <v>11839</v>
      </c>
      <c r="F1956" s="13">
        <v>20</v>
      </c>
      <c r="G1956" s="13" t="s">
        <v>32</v>
      </c>
    </row>
    <row r="1957" spans="1:7" x14ac:dyDescent="0.3">
      <c r="A1957" s="13" t="s">
        <v>11836</v>
      </c>
      <c r="B1957" s="13" t="s">
        <v>12122</v>
      </c>
      <c r="C1957" s="13" t="s">
        <v>12123</v>
      </c>
      <c r="E1957" s="13" t="s">
        <v>11879</v>
      </c>
      <c r="G1957" s="13" t="s">
        <v>32</v>
      </c>
    </row>
    <row r="1958" spans="1:7" ht="43.2" x14ac:dyDescent="0.3">
      <c r="A1958" s="13" t="s">
        <v>11836</v>
      </c>
      <c r="B1958" s="13" t="s">
        <v>12124</v>
      </c>
      <c r="C1958" s="13" t="s">
        <v>12125</v>
      </c>
      <c r="E1958" s="13" t="s">
        <v>11839</v>
      </c>
      <c r="F1958" s="13">
        <v>20</v>
      </c>
      <c r="G1958" s="13" t="s">
        <v>32</v>
      </c>
    </row>
    <row r="1959" spans="1:7" ht="409.6" x14ac:dyDescent="0.3">
      <c r="A1959" s="13" t="s">
        <v>11836</v>
      </c>
      <c r="B1959" s="13" t="s">
        <v>12126</v>
      </c>
      <c r="C1959" s="13" t="s">
        <v>12127</v>
      </c>
      <c r="E1959" s="13" t="s">
        <v>11839</v>
      </c>
      <c r="F1959" s="13">
        <v>20</v>
      </c>
      <c r="G1959" s="13" t="s">
        <v>13458</v>
      </c>
    </row>
    <row r="1960" spans="1:7" x14ac:dyDescent="0.3">
      <c r="A1960" s="13" t="s">
        <v>11836</v>
      </c>
      <c r="B1960" s="13" t="s">
        <v>12128</v>
      </c>
      <c r="C1960" s="13" t="s">
        <v>12129</v>
      </c>
      <c r="E1960" s="13" t="s">
        <v>11839</v>
      </c>
      <c r="F1960" s="13">
        <v>30</v>
      </c>
      <c r="G1960" s="13" t="s">
        <v>32</v>
      </c>
    </row>
    <row r="1961" spans="1:7" x14ac:dyDescent="0.3">
      <c r="A1961" s="13" t="s">
        <v>11836</v>
      </c>
      <c r="B1961" s="13" t="s">
        <v>12130</v>
      </c>
      <c r="C1961" s="13" t="s">
        <v>12131</v>
      </c>
      <c r="E1961" s="13" t="s">
        <v>11839</v>
      </c>
      <c r="F1961" s="13">
        <v>30</v>
      </c>
      <c r="G1961" s="13" t="s">
        <v>32</v>
      </c>
    </row>
    <row r="1962" spans="1:7" ht="86.4" x14ac:dyDescent="0.3">
      <c r="A1962" s="13" t="s">
        <v>11836</v>
      </c>
      <c r="B1962" s="13" t="s">
        <v>12132</v>
      </c>
      <c r="C1962" s="13" t="s">
        <v>12133</v>
      </c>
      <c r="E1962" s="13" t="s">
        <v>11839</v>
      </c>
      <c r="G1962" s="13" t="s">
        <v>13415</v>
      </c>
    </row>
    <row r="1963" spans="1:7" ht="86.4" x14ac:dyDescent="0.3">
      <c r="A1963" s="13" t="s">
        <v>11836</v>
      </c>
      <c r="B1963" s="13" t="s">
        <v>12134</v>
      </c>
      <c r="C1963" s="13" t="s">
        <v>12135</v>
      </c>
      <c r="E1963" s="13" t="s">
        <v>11839</v>
      </c>
      <c r="G1963" s="13" t="s">
        <v>13408</v>
      </c>
    </row>
    <row r="1964" spans="1:7" ht="201.6" x14ac:dyDescent="0.3">
      <c r="A1964" s="13" t="s">
        <v>11836</v>
      </c>
      <c r="B1964" s="13" t="s">
        <v>12136</v>
      </c>
      <c r="C1964" s="13" t="s">
        <v>12137</v>
      </c>
      <c r="E1964" s="13" t="s">
        <v>11839</v>
      </c>
      <c r="G1964" s="13" t="s">
        <v>13428</v>
      </c>
    </row>
    <row r="1965" spans="1:7" ht="28.8" x14ac:dyDescent="0.3">
      <c r="A1965" s="13" t="s">
        <v>11836</v>
      </c>
      <c r="B1965" s="13" t="s">
        <v>12138</v>
      </c>
      <c r="C1965" s="13" t="s">
        <v>12139</v>
      </c>
      <c r="E1965" s="13" t="s">
        <v>11839</v>
      </c>
      <c r="F1965" s="13">
        <v>60</v>
      </c>
      <c r="G1965" s="13" t="s">
        <v>32</v>
      </c>
    </row>
    <row r="1966" spans="1:7" ht="28.8" x14ac:dyDescent="0.3">
      <c r="A1966" s="13" t="s">
        <v>11836</v>
      </c>
      <c r="B1966" s="13" t="s">
        <v>12140</v>
      </c>
      <c r="C1966" s="13" t="s">
        <v>12141</v>
      </c>
      <c r="E1966" s="13" t="s">
        <v>11839</v>
      </c>
      <c r="F1966" s="13">
        <v>60</v>
      </c>
      <c r="G1966" s="13" t="s">
        <v>32</v>
      </c>
    </row>
    <row r="1967" spans="1:7" ht="409.6" x14ac:dyDescent="0.3">
      <c r="A1967" s="13" t="s">
        <v>11836</v>
      </c>
      <c r="B1967" s="13" t="s">
        <v>12142</v>
      </c>
      <c r="C1967" s="13" t="s">
        <v>12143</v>
      </c>
      <c r="E1967" s="13" t="s">
        <v>11839</v>
      </c>
      <c r="G1967" s="13" t="s">
        <v>13445</v>
      </c>
    </row>
    <row r="1968" spans="1:7" ht="28.8" x14ac:dyDescent="0.3">
      <c r="A1968" s="13" t="s">
        <v>11836</v>
      </c>
      <c r="B1968" s="13" t="s">
        <v>12144</v>
      </c>
      <c r="C1968" s="13" t="s">
        <v>12145</v>
      </c>
      <c r="E1968" s="13" t="s">
        <v>11839</v>
      </c>
      <c r="F1968" s="13">
        <v>40</v>
      </c>
      <c r="G1968" s="13" t="s">
        <v>32</v>
      </c>
    </row>
    <row r="1969" spans="1:7" ht="403.2" x14ac:dyDescent="0.3">
      <c r="A1969" s="13" t="s">
        <v>11836</v>
      </c>
      <c r="B1969" s="13" t="s">
        <v>12146</v>
      </c>
      <c r="C1969" s="13" t="s">
        <v>12147</v>
      </c>
      <c r="E1969" s="13" t="s">
        <v>11839</v>
      </c>
      <c r="G1969" s="13" t="s">
        <v>13459</v>
      </c>
    </row>
    <row r="1970" spans="1:7" ht="100.8" x14ac:dyDescent="0.3">
      <c r="A1970" s="13" t="s">
        <v>11836</v>
      </c>
      <c r="B1970" s="13" t="s">
        <v>12148</v>
      </c>
      <c r="C1970" s="13" t="s">
        <v>12149</v>
      </c>
      <c r="E1970" s="13" t="s">
        <v>11839</v>
      </c>
      <c r="G1970" s="13" t="s">
        <v>13460</v>
      </c>
    </row>
    <row r="1971" spans="1:7" x14ac:dyDescent="0.3">
      <c r="A1971" s="13" t="s">
        <v>11836</v>
      </c>
      <c r="B1971" s="13" t="s">
        <v>12150</v>
      </c>
      <c r="C1971" s="13" t="s">
        <v>12151</v>
      </c>
      <c r="E1971" s="13" t="s">
        <v>11839</v>
      </c>
      <c r="F1971" s="13">
        <v>25</v>
      </c>
      <c r="G1971" s="13" t="s">
        <v>32</v>
      </c>
    </row>
    <row r="1972" spans="1:7" ht="316.8" x14ac:dyDescent="0.3">
      <c r="A1972" s="13" t="s">
        <v>11836</v>
      </c>
      <c r="B1972" s="13" t="s">
        <v>12152</v>
      </c>
      <c r="C1972" s="13" t="s">
        <v>12153</v>
      </c>
      <c r="E1972" s="13" t="s">
        <v>11839</v>
      </c>
      <c r="G1972" s="13" t="s">
        <v>13461</v>
      </c>
    </row>
    <row r="1973" spans="1:7" x14ac:dyDescent="0.3">
      <c r="A1973" s="13" t="s">
        <v>11836</v>
      </c>
      <c r="B1973" s="13" t="s">
        <v>12154</v>
      </c>
      <c r="C1973" s="13" t="s">
        <v>12155</v>
      </c>
      <c r="E1973" s="13" t="s">
        <v>11839</v>
      </c>
      <c r="G1973" s="13" t="s">
        <v>32</v>
      </c>
    </row>
    <row r="1974" spans="1:7" ht="388.8" x14ac:dyDescent="0.3">
      <c r="A1974" s="13" t="s">
        <v>11836</v>
      </c>
      <c r="B1974" s="13" t="s">
        <v>12156</v>
      </c>
      <c r="C1974" s="13" t="s">
        <v>12157</v>
      </c>
      <c r="E1974" s="13" t="s">
        <v>11839</v>
      </c>
      <c r="G1974" s="13" t="s">
        <v>13462</v>
      </c>
    </row>
    <row r="1975" spans="1:7" x14ac:dyDescent="0.3">
      <c r="A1975" s="13" t="s">
        <v>11836</v>
      </c>
      <c r="B1975" s="13" t="s">
        <v>5776</v>
      </c>
      <c r="C1975" s="13" t="s">
        <v>12158</v>
      </c>
      <c r="E1975" s="13" t="s">
        <v>11839</v>
      </c>
      <c r="F1975" s="13">
        <v>26</v>
      </c>
      <c r="G1975" s="13" t="s">
        <v>32</v>
      </c>
    </row>
    <row r="1976" spans="1:7" ht="244.8" x14ac:dyDescent="0.3">
      <c r="A1976" s="13" t="s">
        <v>11836</v>
      </c>
      <c r="B1976" s="13" t="s">
        <v>12159</v>
      </c>
      <c r="C1976" s="13" t="s">
        <v>12160</v>
      </c>
      <c r="E1976" s="13" t="s">
        <v>11839</v>
      </c>
      <c r="G1976" s="13" t="s">
        <v>13463</v>
      </c>
    </row>
    <row r="1977" spans="1:7" ht="43.2" x14ac:dyDescent="0.3">
      <c r="A1977" s="13" t="s">
        <v>11836</v>
      </c>
      <c r="B1977" s="13" t="s">
        <v>12161</v>
      </c>
      <c r="C1977" s="13" t="s">
        <v>12162</v>
      </c>
      <c r="E1977" s="13" t="s">
        <v>11879</v>
      </c>
      <c r="G1977" s="13" t="s">
        <v>32</v>
      </c>
    </row>
    <row r="1978" spans="1:7" ht="409.6" x14ac:dyDescent="0.3">
      <c r="A1978" s="13" t="s">
        <v>11836</v>
      </c>
      <c r="B1978" s="13" t="s">
        <v>12163</v>
      </c>
      <c r="C1978" s="13" t="s">
        <v>12164</v>
      </c>
      <c r="E1978" s="13" t="s">
        <v>11839</v>
      </c>
      <c r="G1978" s="13" t="s">
        <v>13464</v>
      </c>
    </row>
    <row r="1979" spans="1:7" ht="43.2" x14ac:dyDescent="0.3">
      <c r="A1979" s="13" t="s">
        <v>11836</v>
      </c>
      <c r="B1979" s="13" t="s">
        <v>12165</v>
      </c>
      <c r="C1979" s="13" t="s">
        <v>12166</v>
      </c>
      <c r="E1979" s="13" t="s">
        <v>11839</v>
      </c>
      <c r="F1979" s="13">
        <v>20</v>
      </c>
      <c r="G1979" s="13" t="s">
        <v>32</v>
      </c>
    </row>
    <row r="1980" spans="1:7" ht="259.2" x14ac:dyDescent="0.3">
      <c r="A1980" s="13" t="s">
        <v>11836</v>
      </c>
      <c r="B1980" s="13" t="s">
        <v>12167</v>
      </c>
      <c r="C1980" s="13" t="s">
        <v>12168</v>
      </c>
      <c r="E1980" s="13" t="s">
        <v>11839</v>
      </c>
      <c r="G1980" s="13" t="s">
        <v>13465</v>
      </c>
    </row>
    <row r="1981" spans="1:7" ht="28.8" x14ac:dyDescent="0.3">
      <c r="A1981" s="13" t="s">
        <v>11836</v>
      </c>
      <c r="B1981" s="13" t="s">
        <v>12169</v>
      </c>
      <c r="C1981" s="13" t="s">
        <v>12170</v>
      </c>
      <c r="E1981" s="13" t="s">
        <v>11839</v>
      </c>
      <c r="F1981" s="13">
        <v>30</v>
      </c>
      <c r="G1981" s="13" t="s">
        <v>32</v>
      </c>
    </row>
    <row r="1982" spans="1:7" ht="28.8" x14ac:dyDescent="0.3">
      <c r="A1982" s="13" t="s">
        <v>11836</v>
      </c>
      <c r="B1982" s="13" t="s">
        <v>12171</v>
      </c>
      <c r="C1982" s="13" t="s">
        <v>12172</v>
      </c>
      <c r="E1982" s="13" t="s">
        <v>11879</v>
      </c>
      <c r="G1982" s="13" t="s">
        <v>32</v>
      </c>
    </row>
    <row r="1983" spans="1:7" ht="409.6" x14ac:dyDescent="0.3">
      <c r="A1983" s="13" t="s">
        <v>11836</v>
      </c>
      <c r="B1983" s="13" t="s">
        <v>12173</v>
      </c>
      <c r="C1983" s="13" t="s">
        <v>12174</v>
      </c>
      <c r="E1983" s="13" t="s">
        <v>11839</v>
      </c>
      <c r="G1983" s="13" t="s">
        <v>13445</v>
      </c>
    </row>
    <row r="1984" spans="1:7" ht="43.2" x14ac:dyDescent="0.3">
      <c r="A1984" s="13" t="s">
        <v>11836</v>
      </c>
      <c r="B1984" s="13" t="s">
        <v>12175</v>
      </c>
      <c r="C1984" s="13" t="s">
        <v>12176</v>
      </c>
      <c r="E1984" s="13" t="s">
        <v>11839</v>
      </c>
      <c r="F1984" s="13">
        <v>8</v>
      </c>
      <c r="G1984" s="13" t="s">
        <v>32</v>
      </c>
    </row>
    <row r="1985" spans="1:7" ht="43.2" x14ac:dyDescent="0.3">
      <c r="A1985" s="13" t="s">
        <v>11836</v>
      </c>
      <c r="B1985" s="13" t="s">
        <v>12175</v>
      </c>
      <c r="C1985" s="13" t="s">
        <v>12176</v>
      </c>
      <c r="E1985" s="13" t="s">
        <v>11839</v>
      </c>
      <c r="F1985" s="13">
        <v>8</v>
      </c>
      <c r="G1985" s="13" t="s">
        <v>32</v>
      </c>
    </row>
    <row r="1986" spans="1:7" ht="43.2" x14ac:dyDescent="0.3">
      <c r="A1986" s="13" t="s">
        <v>11836</v>
      </c>
      <c r="B1986" s="13" t="s">
        <v>12177</v>
      </c>
      <c r="C1986" s="13" t="s">
        <v>12178</v>
      </c>
      <c r="E1986" s="13" t="s">
        <v>11839</v>
      </c>
      <c r="F1986" s="13">
        <v>8</v>
      </c>
      <c r="G1986" s="13" t="s">
        <v>32</v>
      </c>
    </row>
    <row r="1987" spans="1:7" ht="28.8" x14ac:dyDescent="0.3">
      <c r="A1987" s="13" t="s">
        <v>11836</v>
      </c>
      <c r="B1987" s="13" t="s">
        <v>12179</v>
      </c>
      <c r="C1987" s="13" t="s">
        <v>12180</v>
      </c>
      <c r="E1987" s="13" t="s">
        <v>11839</v>
      </c>
      <c r="F1987" s="13">
        <v>30</v>
      </c>
      <c r="G1987" s="13" t="s">
        <v>32</v>
      </c>
    </row>
    <row r="1988" spans="1:7" ht="28.8" x14ac:dyDescent="0.3">
      <c r="A1988" s="13" t="s">
        <v>11836</v>
      </c>
      <c r="B1988" s="13" t="s">
        <v>12181</v>
      </c>
      <c r="C1988" s="13" t="s">
        <v>12182</v>
      </c>
      <c r="E1988" s="13" t="s">
        <v>11839</v>
      </c>
      <c r="F1988" s="13">
        <v>30</v>
      </c>
      <c r="G1988" s="13" t="s">
        <v>32</v>
      </c>
    </row>
    <row r="1989" spans="1:7" ht="28.8" x14ac:dyDescent="0.3">
      <c r="A1989" s="13" t="s">
        <v>11836</v>
      </c>
      <c r="B1989" s="13" t="s">
        <v>12183</v>
      </c>
      <c r="C1989" s="13" t="s">
        <v>12184</v>
      </c>
      <c r="E1989" s="13" t="s">
        <v>11839</v>
      </c>
      <c r="F1989" s="13">
        <v>30</v>
      </c>
      <c r="G1989" s="13" t="s">
        <v>32</v>
      </c>
    </row>
    <row r="1990" spans="1:7" ht="409.6" x14ac:dyDescent="0.3">
      <c r="A1990" s="13" t="s">
        <v>11836</v>
      </c>
      <c r="B1990" s="13" t="s">
        <v>12185</v>
      </c>
      <c r="C1990" s="13" t="s">
        <v>12186</v>
      </c>
      <c r="E1990" s="13" t="s">
        <v>11839</v>
      </c>
      <c r="G1990" s="13" t="s">
        <v>13445</v>
      </c>
    </row>
    <row r="1991" spans="1:7" ht="409.6" x14ac:dyDescent="0.3">
      <c r="A1991" s="13" t="s">
        <v>11836</v>
      </c>
      <c r="B1991" s="13" t="s">
        <v>12187</v>
      </c>
      <c r="C1991" s="13" t="s">
        <v>12188</v>
      </c>
      <c r="E1991" s="13" t="s">
        <v>11839</v>
      </c>
      <c r="G1991" s="13" t="s">
        <v>13466</v>
      </c>
    </row>
    <row r="1992" spans="1:7" ht="201.6" x14ac:dyDescent="0.3">
      <c r="A1992" s="13" t="s">
        <v>11836</v>
      </c>
      <c r="B1992" s="13" t="s">
        <v>12189</v>
      </c>
      <c r="C1992" s="13" t="s">
        <v>12190</v>
      </c>
      <c r="E1992" s="13" t="s">
        <v>11839</v>
      </c>
      <c r="G1992" s="13" t="s">
        <v>13467</v>
      </c>
    </row>
    <row r="1993" spans="1:7" ht="28.8" x14ac:dyDescent="0.3">
      <c r="A1993" s="13" t="s">
        <v>11836</v>
      </c>
      <c r="B1993" s="13" t="s">
        <v>12191</v>
      </c>
      <c r="C1993" s="13" t="s">
        <v>12192</v>
      </c>
      <c r="E1993" s="13" t="s">
        <v>11839</v>
      </c>
      <c r="F1993" s="13">
        <v>15</v>
      </c>
      <c r="G1993" s="13" t="s">
        <v>32</v>
      </c>
    </row>
    <row r="1994" spans="1:7" ht="86.4" x14ac:dyDescent="0.3">
      <c r="A1994" s="13" t="s">
        <v>11836</v>
      </c>
      <c r="B1994" s="13" t="s">
        <v>12193</v>
      </c>
      <c r="C1994" s="13" t="s">
        <v>12194</v>
      </c>
      <c r="E1994" s="13" t="s">
        <v>11839</v>
      </c>
      <c r="G1994" s="13" t="s">
        <v>13468</v>
      </c>
    </row>
    <row r="1995" spans="1:7" ht="28.8" x14ac:dyDescent="0.3">
      <c r="A1995" s="13" t="s">
        <v>11836</v>
      </c>
      <c r="B1995" s="13" t="s">
        <v>12195</v>
      </c>
      <c r="C1995" s="13" t="s">
        <v>11891</v>
      </c>
      <c r="E1995" s="13" t="s">
        <v>11839</v>
      </c>
      <c r="G1995" s="13" t="s">
        <v>32</v>
      </c>
    </row>
    <row r="1996" spans="1:7" ht="28.8" x14ac:dyDescent="0.3">
      <c r="A1996" s="13" t="s">
        <v>11836</v>
      </c>
      <c r="B1996" s="13" t="s">
        <v>12196</v>
      </c>
      <c r="C1996" s="13" t="s">
        <v>12197</v>
      </c>
      <c r="E1996" s="13" t="s">
        <v>11839</v>
      </c>
      <c r="F1996" s="13">
        <v>30</v>
      </c>
      <c r="G1996" s="13" t="s">
        <v>32</v>
      </c>
    </row>
    <row r="1997" spans="1:7" x14ac:dyDescent="0.3">
      <c r="A1997" s="13" t="s">
        <v>11836</v>
      </c>
      <c r="B1997" s="13" t="s">
        <v>12198</v>
      </c>
      <c r="C1997" s="13" t="s">
        <v>12199</v>
      </c>
      <c r="E1997" s="13" t="s">
        <v>11839</v>
      </c>
      <c r="F1997" s="13">
        <v>3</v>
      </c>
      <c r="G1997" s="13" t="s">
        <v>32</v>
      </c>
    </row>
    <row r="1998" spans="1:7" x14ac:dyDescent="0.3">
      <c r="A1998" s="13" t="s">
        <v>11836</v>
      </c>
      <c r="B1998" s="13" t="s">
        <v>12200</v>
      </c>
      <c r="C1998" s="13" t="s">
        <v>12201</v>
      </c>
      <c r="E1998" s="13" t="s">
        <v>11839</v>
      </c>
      <c r="F1998" s="13">
        <v>60</v>
      </c>
      <c r="G1998" s="13" t="s">
        <v>32</v>
      </c>
    </row>
    <row r="1999" spans="1:7" x14ac:dyDescent="0.3">
      <c r="A1999" s="13" t="s">
        <v>11836</v>
      </c>
      <c r="B1999" s="13" t="s">
        <v>12202</v>
      </c>
      <c r="C1999" s="13" t="s">
        <v>12203</v>
      </c>
      <c r="E1999" s="13" t="s">
        <v>11839</v>
      </c>
      <c r="F1999" s="13">
        <v>60</v>
      </c>
      <c r="G1999" s="13" t="s">
        <v>32</v>
      </c>
    </row>
    <row r="2000" spans="1:7" ht="28.8" x14ac:dyDescent="0.3">
      <c r="A2000" s="13" t="s">
        <v>11836</v>
      </c>
      <c r="B2000" s="13" t="s">
        <v>12204</v>
      </c>
      <c r="C2000" s="13" t="s">
        <v>12205</v>
      </c>
      <c r="E2000" s="13" t="s">
        <v>11839</v>
      </c>
      <c r="F2000" s="13">
        <v>26</v>
      </c>
      <c r="G2000" s="13" t="s">
        <v>32</v>
      </c>
    </row>
    <row r="2001" spans="1:7" ht="409.6" x14ac:dyDescent="0.3">
      <c r="A2001" s="13" t="s">
        <v>11836</v>
      </c>
      <c r="B2001" s="13" t="s">
        <v>12206</v>
      </c>
      <c r="C2001" s="13" t="s">
        <v>12207</v>
      </c>
      <c r="E2001" s="13" t="s">
        <v>11839</v>
      </c>
      <c r="G2001" s="13" t="s">
        <v>13469</v>
      </c>
    </row>
    <row r="2002" spans="1:7" ht="28.8" x14ac:dyDescent="0.3">
      <c r="A2002" s="13" t="s">
        <v>11836</v>
      </c>
      <c r="B2002" s="13" t="s">
        <v>12208</v>
      </c>
      <c r="C2002" s="13" t="s">
        <v>12209</v>
      </c>
      <c r="E2002" s="13" t="s">
        <v>11879</v>
      </c>
      <c r="G2002" s="13" t="s">
        <v>32</v>
      </c>
    </row>
    <row r="2003" spans="1:7" ht="259.2" x14ac:dyDescent="0.3">
      <c r="A2003" s="13" t="s">
        <v>11836</v>
      </c>
      <c r="B2003" s="13" t="s">
        <v>12210</v>
      </c>
      <c r="C2003" s="13" t="s">
        <v>12211</v>
      </c>
      <c r="E2003" s="13" t="s">
        <v>11839</v>
      </c>
      <c r="G2003" s="13" t="s">
        <v>13470</v>
      </c>
    </row>
    <row r="2004" spans="1:7" ht="158.4" x14ac:dyDescent="0.3">
      <c r="A2004" s="13" t="s">
        <v>11836</v>
      </c>
      <c r="B2004" s="13" t="s">
        <v>12212</v>
      </c>
      <c r="C2004" s="13" t="s">
        <v>12213</v>
      </c>
      <c r="E2004" s="13" t="s">
        <v>11839</v>
      </c>
      <c r="G2004" s="13" t="s">
        <v>13471</v>
      </c>
    </row>
    <row r="2005" spans="1:7" ht="28.8" x14ac:dyDescent="0.3">
      <c r="A2005" s="13" t="s">
        <v>11836</v>
      </c>
      <c r="B2005" s="13" t="s">
        <v>12214</v>
      </c>
      <c r="C2005" s="13" t="s">
        <v>12215</v>
      </c>
      <c r="E2005" s="13" t="s">
        <v>12216</v>
      </c>
      <c r="G2005" s="13" t="s">
        <v>32</v>
      </c>
    </row>
    <row r="2006" spans="1:7" ht="28.8" x14ac:dyDescent="0.3">
      <c r="A2006" s="13" t="s">
        <v>11836</v>
      </c>
      <c r="B2006" s="13" t="s">
        <v>12217</v>
      </c>
      <c r="C2006" s="13" t="s">
        <v>12218</v>
      </c>
      <c r="E2006" s="13" t="s">
        <v>12216</v>
      </c>
      <c r="G2006" s="13" t="s">
        <v>32</v>
      </c>
    </row>
    <row r="2007" spans="1:7" x14ac:dyDescent="0.3">
      <c r="A2007" s="13" t="s">
        <v>11836</v>
      </c>
      <c r="B2007" s="13" t="s">
        <v>12219</v>
      </c>
      <c r="C2007" s="13" t="s">
        <v>12220</v>
      </c>
      <c r="E2007" s="13" t="s">
        <v>11839</v>
      </c>
      <c r="F2007" s="13">
        <v>60</v>
      </c>
      <c r="G2007" s="13" t="s">
        <v>32</v>
      </c>
    </row>
    <row r="2008" spans="1:7" ht="230.4" x14ac:dyDescent="0.3">
      <c r="A2008" s="13" t="s">
        <v>11836</v>
      </c>
      <c r="B2008" s="13" t="s">
        <v>12221</v>
      </c>
      <c r="C2008" s="13" t="s">
        <v>12222</v>
      </c>
      <c r="E2008" s="13" t="s">
        <v>11839</v>
      </c>
      <c r="G2008" s="13" t="s">
        <v>13472</v>
      </c>
    </row>
    <row r="2009" spans="1:7" ht="43.2" x14ac:dyDescent="0.3">
      <c r="A2009" s="13" t="s">
        <v>11836</v>
      </c>
      <c r="B2009" s="13" t="s">
        <v>12223</v>
      </c>
      <c r="C2009" s="13" t="s">
        <v>12224</v>
      </c>
      <c r="E2009" s="13" t="s">
        <v>11839</v>
      </c>
      <c r="G2009" s="13" t="s">
        <v>32</v>
      </c>
    </row>
    <row r="2010" spans="1:7" ht="43.2" x14ac:dyDescent="0.3">
      <c r="A2010" s="13" t="s">
        <v>11836</v>
      </c>
      <c r="B2010" s="13" t="s">
        <v>12225</v>
      </c>
      <c r="C2010" s="13" t="s">
        <v>12226</v>
      </c>
      <c r="E2010" s="13" t="s">
        <v>11839</v>
      </c>
      <c r="G2010" s="13" t="s">
        <v>32</v>
      </c>
    </row>
    <row r="2011" spans="1:7" ht="28.8" x14ac:dyDescent="0.3">
      <c r="A2011" s="13" t="s">
        <v>11836</v>
      </c>
      <c r="B2011" s="13" t="s">
        <v>12227</v>
      </c>
      <c r="C2011" s="13" t="s">
        <v>12228</v>
      </c>
      <c r="E2011" s="13" t="s">
        <v>11839</v>
      </c>
      <c r="G2011" s="13" t="s">
        <v>32</v>
      </c>
    </row>
    <row r="2012" spans="1:7" ht="216" x14ac:dyDescent="0.3">
      <c r="A2012" s="13" t="s">
        <v>11836</v>
      </c>
      <c r="B2012" s="13" t="s">
        <v>12229</v>
      </c>
      <c r="C2012" s="13" t="s">
        <v>12230</v>
      </c>
      <c r="E2012" s="13" t="s">
        <v>11839</v>
      </c>
      <c r="G2012" s="13" t="s">
        <v>13473</v>
      </c>
    </row>
    <row r="2013" spans="1:7" ht="100.8" x14ac:dyDescent="0.3">
      <c r="A2013" s="13" t="s">
        <v>11836</v>
      </c>
      <c r="B2013" s="13" t="s">
        <v>12231</v>
      </c>
      <c r="C2013" s="13" t="s">
        <v>12232</v>
      </c>
      <c r="E2013" s="13" t="s">
        <v>11839</v>
      </c>
      <c r="G2013" s="13" t="s">
        <v>13404</v>
      </c>
    </row>
    <row r="2014" spans="1:7" ht="28.8" x14ac:dyDescent="0.3">
      <c r="A2014" s="13" t="s">
        <v>11836</v>
      </c>
      <c r="B2014" s="13" t="s">
        <v>12233</v>
      </c>
      <c r="C2014" s="13" t="s">
        <v>12234</v>
      </c>
      <c r="E2014" s="13" t="s">
        <v>11839</v>
      </c>
      <c r="G2014" s="13" t="s">
        <v>32</v>
      </c>
    </row>
    <row r="2015" spans="1:7" ht="374.4" x14ac:dyDescent="0.3">
      <c r="A2015" s="13" t="s">
        <v>11836</v>
      </c>
      <c r="B2015" s="13" t="s">
        <v>12235</v>
      </c>
      <c r="C2015" s="13" t="s">
        <v>12236</v>
      </c>
      <c r="E2015" s="13" t="s">
        <v>11839</v>
      </c>
      <c r="G2015" s="13" t="s">
        <v>13474</v>
      </c>
    </row>
    <row r="2016" spans="1:7" x14ac:dyDescent="0.3">
      <c r="A2016" s="13" t="s">
        <v>11836</v>
      </c>
      <c r="B2016" s="13" t="s">
        <v>12237</v>
      </c>
      <c r="C2016" s="13" t="s">
        <v>12238</v>
      </c>
      <c r="E2016" s="13" t="s">
        <v>11839</v>
      </c>
      <c r="F2016" s="13">
        <v>60</v>
      </c>
      <c r="G2016" s="13" t="s">
        <v>32</v>
      </c>
    </row>
    <row r="2017" spans="1:7" ht="28.8" x14ac:dyDescent="0.3">
      <c r="A2017" s="13" t="s">
        <v>11836</v>
      </c>
      <c r="B2017" s="13" t="s">
        <v>12239</v>
      </c>
      <c r="C2017" s="13" t="s">
        <v>12240</v>
      </c>
      <c r="E2017" s="13" t="s">
        <v>12007</v>
      </c>
      <c r="G2017" s="13" t="s">
        <v>32</v>
      </c>
    </row>
    <row r="2018" spans="1:7" ht="28.8" x14ac:dyDescent="0.3">
      <c r="A2018" s="13" t="s">
        <v>11836</v>
      </c>
      <c r="B2018" s="13" t="s">
        <v>12241</v>
      </c>
      <c r="C2018" s="13" t="s">
        <v>12242</v>
      </c>
      <c r="E2018" s="13" t="s">
        <v>11839</v>
      </c>
      <c r="F2018" s="13">
        <v>20</v>
      </c>
      <c r="G2018" s="13" t="s">
        <v>32</v>
      </c>
    </row>
    <row r="2019" spans="1:7" ht="57.6" x14ac:dyDescent="0.3">
      <c r="A2019" s="13" t="s">
        <v>11836</v>
      </c>
      <c r="B2019" s="13" t="s">
        <v>12243</v>
      </c>
      <c r="C2019" s="13" t="s">
        <v>12244</v>
      </c>
      <c r="E2019" s="13" t="s">
        <v>11839</v>
      </c>
      <c r="G2019" s="13" t="s">
        <v>32</v>
      </c>
    </row>
    <row r="2020" spans="1:7" ht="409.6" x14ac:dyDescent="0.3">
      <c r="A2020" s="13" t="s">
        <v>11836</v>
      </c>
      <c r="B2020" s="13" t="s">
        <v>12245</v>
      </c>
      <c r="C2020" s="13" t="s">
        <v>12246</v>
      </c>
      <c r="E2020" s="13" t="s">
        <v>11839</v>
      </c>
      <c r="G2020" s="13" t="s">
        <v>13475</v>
      </c>
    </row>
    <row r="2021" spans="1:7" ht="201.6" x14ac:dyDescent="0.3">
      <c r="A2021" s="13" t="s">
        <v>11836</v>
      </c>
      <c r="B2021" s="13" t="s">
        <v>12247</v>
      </c>
      <c r="C2021" s="13" t="s">
        <v>12248</v>
      </c>
      <c r="E2021" s="13" t="s">
        <v>11839</v>
      </c>
      <c r="G2021" s="13" t="s">
        <v>13476</v>
      </c>
    </row>
    <row r="2022" spans="1:7" ht="28.8" x14ac:dyDescent="0.3">
      <c r="A2022" s="13" t="s">
        <v>11836</v>
      </c>
      <c r="B2022" s="13" t="s">
        <v>12249</v>
      </c>
      <c r="C2022" s="13" t="s">
        <v>12250</v>
      </c>
      <c r="E2022" s="13" t="s">
        <v>11839</v>
      </c>
      <c r="F2022" s="13">
        <v>80</v>
      </c>
      <c r="G2022" s="13" t="s">
        <v>32</v>
      </c>
    </row>
    <row r="2023" spans="1:7" ht="86.4" x14ac:dyDescent="0.3">
      <c r="A2023" s="13" t="s">
        <v>11836</v>
      </c>
      <c r="B2023" s="13" t="s">
        <v>12251</v>
      </c>
      <c r="C2023" s="13" t="s">
        <v>12252</v>
      </c>
      <c r="E2023" s="13" t="s">
        <v>11839</v>
      </c>
      <c r="G2023" s="13" t="s">
        <v>13477</v>
      </c>
    </row>
    <row r="2024" spans="1:7" ht="28.8" x14ac:dyDescent="0.3">
      <c r="A2024" s="13" t="s">
        <v>11836</v>
      </c>
      <c r="B2024" s="13" t="s">
        <v>12253</v>
      </c>
      <c r="C2024" s="13" t="s">
        <v>12254</v>
      </c>
      <c r="E2024" s="13" t="s">
        <v>11839</v>
      </c>
      <c r="F2024" s="13">
        <v>40</v>
      </c>
      <c r="G2024" s="13" t="s">
        <v>32</v>
      </c>
    </row>
    <row r="2025" spans="1:7" ht="43.2" x14ac:dyDescent="0.3">
      <c r="A2025" s="13" t="s">
        <v>11836</v>
      </c>
      <c r="B2025" s="13" t="s">
        <v>12255</v>
      </c>
      <c r="C2025" s="13" t="s">
        <v>12256</v>
      </c>
      <c r="E2025" s="13" t="s">
        <v>11839</v>
      </c>
      <c r="F2025" s="13">
        <v>50</v>
      </c>
      <c r="G2025" s="13" t="s">
        <v>32</v>
      </c>
    </row>
    <row r="2026" spans="1:7" x14ac:dyDescent="0.3">
      <c r="A2026" s="13" t="s">
        <v>11836</v>
      </c>
      <c r="B2026" s="13" t="s">
        <v>12257</v>
      </c>
      <c r="C2026" s="13" t="s">
        <v>12258</v>
      </c>
      <c r="E2026" s="13" t="s">
        <v>11879</v>
      </c>
      <c r="G2026" s="13" t="s">
        <v>32</v>
      </c>
    </row>
    <row r="2027" spans="1:7" ht="409.6" x14ac:dyDescent="0.3">
      <c r="A2027" s="13" t="s">
        <v>11836</v>
      </c>
      <c r="B2027" s="13" t="s">
        <v>12259</v>
      </c>
      <c r="C2027" s="13" t="s">
        <v>12260</v>
      </c>
      <c r="E2027" s="13" t="s">
        <v>11839</v>
      </c>
      <c r="F2027" s="13">
        <v>3</v>
      </c>
      <c r="G2027" s="13" t="s">
        <v>13478</v>
      </c>
    </row>
    <row r="2028" spans="1:7" ht="115.2" x14ac:dyDescent="0.3">
      <c r="A2028" s="13" t="s">
        <v>11836</v>
      </c>
      <c r="B2028" s="13" t="s">
        <v>12261</v>
      </c>
      <c r="C2028" s="13" t="s">
        <v>12262</v>
      </c>
      <c r="E2028" s="13" t="s">
        <v>11839</v>
      </c>
      <c r="G2028" s="13" t="s">
        <v>13479</v>
      </c>
    </row>
    <row r="2029" spans="1:7" ht="28.8" x14ac:dyDescent="0.3">
      <c r="A2029" s="13" t="s">
        <v>11836</v>
      </c>
      <c r="B2029" s="13" t="s">
        <v>12263</v>
      </c>
      <c r="C2029" s="13" t="s">
        <v>12264</v>
      </c>
      <c r="E2029" s="13" t="s">
        <v>11839</v>
      </c>
      <c r="F2029" s="13">
        <v>40</v>
      </c>
      <c r="G2029" s="13" t="s">
        <v>32</v>
      </c>
    </row>
    <row r="2030" spans="1:7" ht="28.8" x14ac:dyDescent="0.3">
      <c r="A2030" s="13" t="s">
        <v>11836</v>
      </c>
      <c r="B2030" s="13" t="s">
        <v>12265</v>
      </c>
      <c r="C2030" s="13" t="s">
        <v>12266</v>
      </c>
      <c r="E2030" s="13" t="s">
        <v>11839</v>
      </c>
      <c r="F2030" s="13">
        <v>40</v>
      </c>
      <c r="G2030" s="13" t="s">
        <v>32</v>
      </c>
    </row>
    <row r="2031" spans="1:7" ht="28.8" x14ac:dyDescent="0.3">
      <c r="A2031" s="13" t="s">
        <v>11836</v>
      </c>
      <c r="B2031" s="13" t="s">
        <v>12267</v>
      </c>
      <c r="C2031" s="13" t="s">
        <v>12268</v>
      </c>
      <c r="E2031" s="13" t="s">
        <v>11852</v>
      </c>
      <c r="G2031" s="13" t="s">
        <v>32</v>
      </c>
    </row>
    <row r="2032" spans="1:7" ht="28.8" x14ac:dyDescent="0.3">
      <c r="A2032" s="13" t="s">
        <v>11836</v>
      </c>
      <c r="B2032" s="13" t="s">
        <v>12269</v>
      </c>
      <c r="C2032" s="13" t="s">
        <v>12270</v>
      </c>
      <c r="E2032" s="13" t="s">
        <v>11852</v>
      </c>
      <c r="G2032" s="13" t="s">
        <v>32</v>
      </c>
    </row>
    <row r="2033" spans="1:7" ht="28.8" x14ac:dyDescent="0.3">
      <c r="A2033" s="13" t="s">
        <v>11836</v>
      </c>
      <c r="B2033" s="13" t="s">
        <v>12271</v>
      </c>
      <c r="C2033" s="13" t="s">
        <v>12272</v>
      </c>
      <c r="E2033" s="13" t="s">
        <v>11852</v>
      </c>
      <c r="G2033" s="13" t="s">
        <v>32</v>
      </c>
    </row>
    <row r="2034" spans="1:7" ht="28.8" x14ac:dyDescent="0.3">
      <c r="A2034" s="13" t="s">
        <v>12273</v>
      </c>
      <c r="B2034" s="13" t="s">
        <v>12274</v>
      </c>
      <c r="C2034" s="13" t="s">
        <v>12275</v>
      </c>
      <c r="E2034" s="13" t="s">
        <v>12276</v>
      </c>
      <c r="G2034" s="13" t="s">
        <v>32</v>
      </c>
    </row>
    <row r="2035" spans="1:7" ht="28.8" x14ac:dyDescent="0.3">
      <c r="A2035" s="13" t="s">
        <v>12273</v>
      </c>
      <c r="B2035" s="13" t="s">
        <v>12277</v>
      </c>
      <c r="E2035" s="13" t="s">
        <v>12278</v>
      </c>
      <c r="G2035" s="13" t="s">
        <v>32</v>
      </c>
    </row>
    <row r="2036" spans="1:7" ht="28.8" x14ac:dyDescent="0.3">
      <c r="A2036" s="13" t="s">
        <v>12273</v>
      </c>
      <c r="B2036" s="13" t="s">
        <v>12279</v>
      </c>
      <c r="E2036" s="13" t="s">
        <v>12280</v>
      </c>
      <c r="G2036" s="13" t="s">
        <v>32</v>
      </c>
    </row>
    <row r="2037" spans="1:7" x14ac:dyDescent="0.3">
      <c r="A2037" s="13" t="s">
        <v>12273</v>
      </c>
      <c r="B2037" s="13" t="s">
        <v>12281</v>
      </c>
      <c r="C2037" s="13" t="s">
        <v>12282</v>
      </c>
      <c r="E2037" s="13" t="s">
        <v>12276</v>
      </c>
      <c r="G2037" s="13" t="s">
        <v>32</v>
      </c>
    </row>
    <row r="2038" spans="1:7" x14ac:dyDescent="0.3">
      <c r="A2038" s="13" t="s">
        <v>12273</v>
      </c>
      <c r="B2038" s="13" t="s">
        <v>12283</v>
      </c>
      <c r="C2038" s="13" t="s">
        <v>12284</v>
      </c>
      <c r="E2038" s="13" t="s">
        <v>12285</v>
      </c>
      <c r="G2038" s="13" t="s">
        <v>32</v>
      </c>
    </row>
    <row r="2039" spans="1:7" ht="86.4" x14ac:dyDescent="0.3">
      <c r="A2039" s="13" t="s">
        <v>12273</v>
      </c>
      <c r="B2039" s="13" t="s">
        <v>12286</v>
      </c>
      <c r="C2039" s="13" t="s">
        <v>12287</v>
      </c>
      <c r="E2039" s="13" t="s">
        <v>12285</v>
      </c>
      <c r="G2039" s="13" t="s">
        <v>32</v>
      </c>
    </row>
    <row r="2040" spans="1:7" ht="28.8" x14ac:dyDescent="0.3">
      <c r="A2040" s="13" t="s">
        <v>12273</v>
      </c>
      <c r="B2040" s="13" t="s">
        <v>12288</v>
      </c>
      <c r="C2040" s="13" t="s">
        <v>12289</v>
      </c>
      <c r="E2040" s="13" t="s">
        <v>12285</v>
      </c>
      <c r="G2040" s="13" t="s">
        <v>32</v>
      </c>
    </row>
    <row r="2041" spans="1:7" ht="43.2" x14ac:dyDescent="0.3">
      <c r="A2041" s="13" t="s">
        <v>12273</v>
      </c>
      <c r="B2041" s="13" t="s">
        <v>12290</v>
      </c>
      <c r="C2041" s="13" t="s">
        <v>12291</v>
      </c>
      <c r="E2041" s="13" t="s">
        <v>12292</v>
      </c>
      <c r="G2041" s="13" t="s">
        <v>32</v>
      </c>
    </row>
    <row r="2042" spans="1:7" ht="57.6" x14ac:dyDescent="0.3">
      <c r="A2042" s="13" t="s">
        <v>12273</v>
      </c>
      <c r="B2042" s="13" t="s">
        <v>12293</v>
      </c>
      <c r="C2042" s="13" t="s">
        <v>12294</v>
      </c>
      <c r="E2042" s="13" t="s">
        <v>12295</v>
      </c>
      <c r="G2042" s="13" t="s">
        <v>32</v>
      </c>
    </row>
    <row r="2043" spans="1:7" ht="72" x14ac:dyDescent="0.3">
      <c r="A2043" s="13" t="s">
        <v>12273</v>
      </c>
      <c r="B2043" s="13" t="s">
        <v>12296</v>
      </c>
      <c r="C2043" s="13" t="s">
        <v>12297</v>
      </c>
      <c r="E2043" s="13" t="s">
        <v>12285</v>
      </c>
      <c r="G2043" s="13" t="s">
        <v>32</v>
      </c>
    </row>
    <row r="2044" spans="1:7" ht="43.2" x14ac:dyDescent="0.3">
      <c r="A2044" s="13" t="s">
        <v>12273</v>
      </c>
      <c r="B2044" s="13" t="s">
        <v>12298</v>
      </c>
      <c r="C2044" s="13" t="s">
        <v>12299</v>
      </c>
      <c r="E2044" s="13" t="s">
        <v>12276</v>
      </c>
      <c r="G2044" s="13" t="s">
        <v>32</v>
      </c>
    </row>
    <row r="2045" spans="1:7" ht="43.2" x14ac:dyDescent="0.3">
      <c r="A2045" s="13" t="s">
        <v>12273</v>
      </c>
      <c r="B2045" s="13" t="s">
        <v>12300</v>
      </c>
      <c r="C2045" s="13" t="s">
        <v>12301</v>
      </c>
      <c r="E2045" s="13" t="s">
        <v>12285</v>
      </c>
      <c r="G2045" s="13" t="s">
        <v>32</v>
      </c>
    </row>
    <row r="2046" spans="1:7" ht="28.8" x14ac:dyDescent="0.3">
      <c r="A2046" s="13" t="s">
        <v>12273</v>
      </c>
      <c r="B2046" s="13" t="s">
        <v>12302</v>
      </c>
      <c r="C2046" s="13" t="s">
        <v>12303</v>
      </c>
      <c r="E2046" s="13" t="s">
        <v>12304</v>
      </c>
      <c r="G2046" s="13" t="s">
        <v>32</v>
      </c>
    </row>
    <row r="2047" spans="1:7" ht="28.8" x14ac:dyDescent="0.3">
      <c r="A2047" s="13" t="s">
        <v>12273</v>
      </c>
      <c r="B2047" s="13" t="s">
        <v>12305</v>
      </c>
      <c r="E2047" s="13" t="s">
        <v>12306</v>
      </c>
      <c r="G2047" s="13" t="s">
        <v>32</v>
      </c>
    </row>
    <row r="2048" spans="1:7" ht="28.8" x14ac:dyDescent="0.3">
      <c r="A2048" s="13" t="s">
        <v>12273</v>
      </c>
      <c r="B2048" s="13" t="s">
        <v>12307</v>
      </c>
      <c r="C2048" s="13" t="s">
        <v>12308</v>
      </c>
      <c r="E2048" s="13" t="s">
        <v>12309</v>
      </c>
      <c r="G2048" s="13" t="s">
        <v>32</v>
      </c>
    </row>
    <row r="2049" spans="1:7" ht="28.8" x14ac:dyDescent="0.3">
      <c r="A2049" s="13" t="s">
        <v>12273</v>
      </c>
      <c r="B2049" s="13" t="s">
        <v>12310</v>
      </c>
      <c r="C2049" s="13" t="s">
        <v>12311</v>
      </c>
      <c r="E2049" s="13" t="s">
        <v>12285</v>
      </c>
      <c r="G2049" s="13" t="s">
        <v>32</v>
      </c>
    </row>
    <row r="2050" spans="1:7" ht="43.2" x14ac:dyDescent="0.3">
      <c r="A2050" s="13" t="s">
        <v>12273</v>
      </c>
      <c r="B2050" s="13" t="s">
        <v>12312</v>
      </c>
      <c r="C2050" s="13" t="s">
        <v>12313</v>
      </c>
      <c r="E2050" s="13" t="s">
        <v>12285</v>
      </c>
      <c r="G2050" s="13" t="s">
        <v>32</v>
      </c>
    </row>
    <row r="2051" spans="1:7" ht="28.8" x14ac:dyDescent="0.3">
      <c r="A2051" s="13" t="s">
        <v>12273</v>
      </c>
      <c r="B2051" s="13" t="s">
        <v>12314</v>
      </c>
      <c r="C2051" s="13" t="s">
        <v>12315</v>
      </c>
      <c r="E2051" s="13" t="s">
        <v>12292</v>
      </c>
      <c r="G2051" s="13" t="s">
        <v>32</v>
      </c>
    </row>
    <row r="2052" spans="1:7" ht="57.6" x14ac:dyDescent="0.3">
      <c r="A2052" s="13" t="s">
        <v>12273</v>
      </c>
      <c r="B2052" s="13" t="s">
        <v>12316</v>
      </c>
      <c r="C2052" s="13" t="s">
        <v>12317</v>
      </c>
      <c r="E2052" s="13" t="s">
        <v>12285</v>
      </c>
      <c r="G2052" s="13" t="s">
        <v>32</v>
      </c>
    </row>
    <row r="2053" spans="1:7" ht="57.6" x14ac:dyDescent="0.3">
      <c r="A2053" s="13" t="s">
        <v>12273</v>
      </c>
      <c r="B2053" s="13" t="s">
        <v>12318</v>
      </c>
      <c r="C2053" s="13" t="s">
        <v>12319</v>
      </c>
      <c r="E2053" s="13" t="s">
        <v>12285</v>
      </c>
      <c r="G2053" s="13" t="s">
        <v>32</v>
      </c>
    </row>
    <row r="2054" spans="1:7" ht="72" x14ac:dyDescent="0.3">
      <c r="A2054" s="13" t="s">
        <v>12273</v>
      </c>
      <c r="B2054" s="13" t="s">
        <v>12320</v>
      </c>
      <c r="C2054" s="13" t="s">
        <v>12321</v>
      </c>
      <c r="E2054" s="13" t="s">
        <v>12285</v>
      </c>
      <c r="G2054" s="13" t="s">
        <v>32</v>
      </c>
    </row>
    <row r="2055" spans="1:7" ht="72" x14ac:dyDescent="0.3">
      <c r="A2055" s="13" t="s">
        <v>12273</v>
      </c>
      <c r="B2055" s="13" t="s">
        <v>12322</v>
      </c>
      <c r="C2055" s="13" t="s">
        <v>12323</v>
      </c>
      <c r="E2055" s="13" t="s">
        <v>12304</v>
      </c>
      <c r="G2055" s="13" t="s">
        <v>32</v>
      </c>
    </row>
    <row r="2056" spans="1:7" ht="28.8" x14ac:dyDescent="0.3">
      <c r="A2056" s="13" t="s">
        <v>12273</v>
      </c>
      <c r="B2056" s="13" t="s">
        <v>12324</v>
      </c>
      <c r="C2056" s="13" t="s">
        <v>12325</v>
      </c>
      <c r="E2056" s="13" t="s">
        <v>12326</v>
      </c>
      <c r="G2056" s="13" t="s">
        <v>32</v>
      </c>
    </row>
    <row r="2057" spans="1:7" ht="28.8" x14ac:dyDescent="0.3">
      <c r="A2057" s="13" t="s">
        <v>12273</v>
      </c>
      <c r="B2057" s="13" t="s">
        <v>12327</v>
      </c>
      <c r="C2057" s="13" t="s">
        <v>12328</v>
      </c>
      <c r="E2057" s="13" t="s">
        <v>12285</v>
      </c>
      <c r="G2057" s="13" t="s">
        <v>32</v>
      </c>
    </row>
    <row r="2058" spans="1:7" ht="57.6" x14ac:dyDescent="0.3">
      <c r="A2058" s="13" t="s">
        <v>12273</v>
      </c>
      <c r="B2058" s="13" t="s">
        <v>12329</v>
      </c>
      <c r="C2058" s="13" t="s">
        <v>12330</v>
      </c>
      <c r="E2058" s="13" t="s">
        <v>12285</v>
      </c>
      <c r="G2058" s="13" t="s">
        <v>32</v>
      </c>
    </row>
    <row r="2059" spans="1:7" ht="28.8" x14ac:dyDescent="0.3">
      <c r="A2059" s="13" t="s">
        <v>12273</v>
      </c>
      <c r="B2059" s="13" t="s">
        <v>12331</v>
      </c>
      <c r="C2059" s="13" t="s">
        <v>12332</v>
      </c>
      <c r="E2059" s="13" t="s">
        <v>12333</v>
      </c>
      <c r="G2059" s="13" t="s">
        <v>32</v>
      </c>
    </row>
    <row r="2060" spans="1:7" ht="57.6" x14ac:dyDescent="0.3">
      <c r="A2060" s="13" t="s">
        <v>12273</v>
      </c>
      <c r="B2060" s="13" t="s">
        <v>12334</v>
      </c>
      <c r="C2060" s="13" t="s">
        <v>12335</v>
      </c>
      <c r="E2060" s="13" t="s">
        <v>12295</v>
      </c>
      <c r="G2060" s="13" t="s">
        <v>32</v>
      </c>
    </row>
    <row r="2061" spans="1:7" ht="72" x14ac:dyDescent="0.3">
      <c r="A2061" s="13" t="s">
        <v>12273</v>
      </c>
      <c r="B2061" s="13" t="s">
        <v>12336</v>
      </c>
      <c r="C2061" s="13" t="s">
        <v>12337</v>
      </c>
      <c r="E2061" s="13" t="s">
        <v>12285</v>
      </c>
      <c r="G2061" s="13" t="s">
        <v>32</v>
      </c>
    </row>
    <row r="2062" spans="1:7" ht="28.8" x14ac:dyDescent="0.3">
      <c r="A2062" s="13" t="s">
        <v>12273</v>
      </c>
      <c r="B2062" s="13" t="s">
        <v>12338</v>
      </c>
      <c r="C2062" s="13" t="s">
        <v>13096</v>
      </c>
    </row>
    <row r="2063" spans="1:7" x14ac:dyDescent="0.3">
      <c r="A2063" s="13" t="s">
        <v>13097</v>
      </c>
    </row>
    <row r="2064" spans="1:7" x14ac:dyDescent="0.3">
      <c r="A2064" s="13" t="s">
        <v>13098</v>
      </c>
    </row>
    <row r="2065" spans="1:7" ht="43.2" x14ac:dyDescent="0.3">
      <c r="A2065" s="13" t="s">
        <v>13099</v>
      </c>
      <c r="C2065" s="13" t="s">
        <v>12285</v>
      </c>
      <c r="E2065" s="13" t="s">
        <v>32</v>
      </c>
    </row>
    <row r="2066" spans="1:7" ht="43.2" x14ac:dyDescent="0.3">
      <c r="A2066" s="13" t="s">
        <v>12273</v>
      </c>
      <c r="B2066" s="13" t="s">
        <v>12339</v>
      </c>
      <c r="C2066" s="13" t="s">
        <v>12340</v>
      </c>
      <c r="E2066" s="13" t="s">
        <v>12292</v>
      </c>
      <c r="G2066" s="13" t="s">
        <v>32</v>
      </c>
    </row>
    <row r="2067" spans="1:7" ht="43.2" x14ac:dyDescent="0.3">
      <c r="A2067" s="13" t="s">
        <v>12273</v>
      </c>
      <c r="B2067" s="13" t="s">
        <v>12341</v>
      </c>
      <c r="C2067" s="13" t="s">
        <v>12342</v>
      </c>
      <c r="E2067" s="13" t="s">
        <v>12292</v>
      </c>
      <c r="G2067" s="13" t="s">
        <v>32</v>
      </c>
    </row>
    <row r="2068" spans="1:7" ht="43.2" x14ac:dyDescent="0.3">
      <c r="A2068" s="13" t="s">
        <v>12273</v>
      </c>
      <c r="B2068" s="13" t="s">
        <v>12343</v>
      </c>
      <c r="C2068" s="13" t="s">
        <v>12344</v>
      </c>
      <c r="E2068" s="13" t="s">
        <v>12285</v>
      </c>
      <c r="G2068" s="13" t="s">
        <v>32</v>
      </c>
    </row>
    <row r="2069" spans="1:7" ht="57.6" x14ac:dyDescent="0.3">
      <c r="A2069" s="13" t="s">
        <v>12273</v>
      </c>
      <c r="B2069" s="13" t="s">
        <v>12345</v>
      </c>
      <c r="C2069" s="13" t="s">
        <v>12319</v>
      </c>
      <c r="E2069" s="13" t="s">
        <v>12285</v>
      </c>
      <c r="G2069" s="13" t="s">
        <v>32</v>
      </c>
    </row>
    <row r="2070" spans="1:7" ht="72" x14ac:dyDescent="0.3">
      <c r="A2070" s="13" t="s">
        <v>12273</v>
      </c>
      <c r="B2070" s="13" t="s">
        <v>12346</v>
      </c>
      <c r="C2070" s="13" t="s">
        <v>12347</v>
      </c>
      <c r="E2070" s="13" t="s">
        <v>12304</v>
      </c>
      <c r="G2070" s="13" t="s">
        <v>32</v>
      </c>
    </row>
    <row r="2071" spans="1:7" ht="28.8" x14ac:dyDescent="0.3">
      <c r="A2071" s="13" t="s">
        <v>12273</v>
      </c>
      <c r="B2071" s="13" t="s">
        <v>12348</v>
      </c>
      <c r="C2071" s="13" t="s">
        <v>12349</v>
      </c>
      <c r="E2071" s="13" t="s">
        <v>12306</v>
      </c>
      <c r="G2071" s="13" t="s">
        <v>32</v>
      </c>
    </row>
    <row r="2072" spans="1:7" ht="57.6" x14ac:dyDescent="0.3">
      <c r="A2072" s="13" t="s">
        <v>12273</v>
      </c>
      <c r="B2072" s="13" t="s">
        <v>12350</v>
      </c>
      <c r="C2072" s="13" t="s">
        <v>12351</v>
      </c>
      <c r="E2072" s="13" t="s">
        <v>12352</v>
      </c>
      <c r="G2072" s="13" t="s">
        <v>32</v>
      </c>
    </row>
    <row r="2073" spans="1:7" ht="72" x14ac:dyDescent="0.3">
      <c r="A2073" s="13" t="s">
        <v>12273</v>
      </c>
      <c r="B2073" s="13" t="s">
        <v>12353</v>
      </c>
      <c r="C2073" s="13" t="s">
        <v>12354</v>
      </c>
      <c r="E2073" s="13" t="s">
        <v>12285</v>
      </c>
      <c r="G2073" s="13" t="s">
        <v>32</v>
      </c>
    </row>
    <row r="2074" spans="1:7" ht="28.8" x14ac:dyDescent="0.3">
      <c r="A2074" s="13" t="s">
        <v>12273</v>
      </c>
      <c r="B2074" s="13" t="s">
        <v>12355</v>
      </c>
      <c r="C2074" s="13" t="s">
        <v>12356</v>
      </c>
      <c r="E2074" s="13" t="s">
        <v>12292</v>
      </c>
      <c r="G2074" s="13" t="s">
        <v>32</v>
      </c>
    </row>
    <row r="2075" spans="1:7" ht="28.8" x14ac:dyDescent="0.3">
      <c r="A2075" s="13" t="s">
        <v>12273</v>
      </c>
      <c r="B2075" s="13" t="s">
        <v>12357</v>
      </c>
      <c r="C2075" s="13" t="s">
        <v>12358</v>
      </c>
      <c r="E2075" s="13" t="s">
        <v>12285</v>
      </c>
      <c r="G2075" s="13" t="s">
        <v>32</v>
      </c>
    </row>
    <row r="2076" spans="1:7" ht="43.2" x14ac:dyDescent="0.3">
      <c r="A2076" s="13" t="s">
        <v>12273</v>
      </c>
      <c r="B2076" s="13" t="s">
        <v>12359</v>
      </c>
      <c r="C2076" s="13" t="s">
        <v>12360</v>
      </c>
      <c r="E2076" s="13" t="s">
        <v>12306</v>
      </c>
      <c r="G2076" s="13" t="s">
        <v>32</v>
      </c>
    </row>
    <row r="2077" spans="1:7" ht="28.8" x14ac:dyDescent="0.3">
      <c r="A2077" s="13" t="s">
        <v>12273</v>
      </c>
      <c r="B2077" s="13" t="s">
        <v>12361</v>
      </c>
      <c r="C2077" s="13" t="s">
        <v>12362</v>
      </c>
      <c r="E2077" s="13" t="s">
        <v>12285</v>
      </c>
      <c r="G2077" s="13" t="s">
        <v>32</v>
      </c>
    </row>
    <row r="2078" spans="1:7" ht="43.2" x14ac:dyDescent="0.3">
      <c r="A2078" s="13" t="s">
        <v>12273</v>
      </c>
      <c r="B2078" s="13" t="s">
        <v>12363</v>
      </c>
      <c r="C2078" s="13" t="s">
        <v>12364</v>
      </c>
      <c r="E2078" s="13" t="s">
        <v>12285</v>
      </c>
      <c r="G2078" s="13" t="s">
        <v>32</v>
      </c>
    </row>
    <row r="2079" spans="1:7" ht="43.2" x14ac:dyDescent="0.3">
      <c r="A2079" s="13" t="s">
        <v>12273</v>
      </c>
      <c r="B2079" s="13" t="s">
        <v>12365</v>
      </c>
      <c r="C2079" s="13" t="s">
        <v>12366</v>
      </c>
      <c r="E2079" s="13" t="s">
        <v>12285</v>
      </c>
      <c r="G2079" s="13" t="s">
        <v>32</v>
      </c>
    </row>
    <row r="2080" spans="1:7" x14ac:dyDescent="0.3">
      <c r="A2080" s="13" t="s">
        <v>12273</v>
      </c>
      <c r="B2080" s="13" t="s">
        <v>12367</v>
      </c>
      <c r="C2080" s="13" t="s">
        <v>12368</v>
      </c>
      <c r="E2080" s="13" t="s">
        <v>12369</v>
      </c>
      <c r="G2080" s="13" t="s">
        <v>32</v>
      </c>
    </row>
    <row r="2081" spans="1:7" ht="43.2" x14ac:dyDescent="0.3">
      <c r="A2081" s="13" t="s">
        <v>12273</v>
      </c>
      <c r="B2081" s="13" t="s">
        <v>12370</v>
      </c>
      <c r="C2081" s="13" t="s">
        <v>12371</v>
      </c>
      <c r="E2081" s="13" t="s">
        <v>12372</v>
      </c>
      <c r="G2081" s="13" t="s">
        <v>32</v>
      </c>
    </row>
    <row r="2082" spans="1:7" ht="28.8" x14ac:dyDescent="0.3">
      <c r="A2082" s="13" t="s">
        <v>12273</v>
      </c>
      <c r="B2082" s="13" t="s">
        <v>12373</v>
      </c>
      <c r="C2082" s="13" t="s">
        <v>12282</v>
      </c>
      <c r="E2082" s="13" t="s">
        <v>12276</v>
      </c>
      <c r="G2082" s="13" t="s">
        <v>32</v>
      </c>
    </row>
    <row r="2083" spans="1:7" ht="28.8" x14ac:dyDescent="0.3">
      <c r="A2083" s="13" t="s">
        <v>12273</v>
      </c>
      <c r="B2083" s="13" t="s">
        <v>12374</v>
      </c>
      <c r="C2083" s="13" t="s">
        <v>12375</v>
      </c>
      <c r="E2083" s="13" t="s">
        <v>12285</v>
      </c>
      <c r="G2083" s="13" t="s">
        <v>32</v>
      </c>
    </row>
    <row r="2084" spans="1:7" ht="28.8" x14ac:dyDescent="0.3">
      <c r="A2084" s="13" t="s">
        <v>12273</v>
      </c>
      <c r="B2084" s="13" t="s">
        <v>12376</v>
      </c>
      <c r="C2084" s="13" t="s">
        <v>12377</v>
      </c>
      <c r="E2084" s="13" t="s">
        <v>12306</v>
      </c>
      <c r="G2084" s="13" t="s">
        <v>32</v>
      </c>
    </row>
    <row r="2085" spans="1:7" ht="28.8" x14ac:dyDescent="0.3">
      <c r="A2085" s="13" t="s">
        <v>12273</v>
      </c>
      <c r="B2085" s="13" t="s">
        <v>12378</v>
      </c>
      <c r="C2085" s="13" t="s">
        <v>12379</v>
      </c>
      <c r="E2085" s="13" t="s">
        <v>12285</v>
      </c>
      <c r="G2085" s="13" t="s">
        <v>32</v>
      </c>
    </row>
    <row r="2086" spans="1:7" ht="28.8" x14ac:dyDescent="0.3">
      <c r="A2086" s="13" t="s">
        <v>12273</v>
      </c>
      <c r="B2086" s="13" t="s">
        <v>12380</v>
      </c>
      <c r="C2086" s="13" t="s">
        <v>12381</v>
      </c>
      <c r="E2086" s="13" t="s">
        <v>12306</v>
      </c>
      <c r="G2086" s="13" t="s">
        <v>32</v>
      </c>
    </row>
    <row r="2087" spans="1:7" ht="28.8" x14ac:dyDescent="0.3">
      <c r="A2087" s="13" t="s">
        <v>12273</v>
      </c>
      <c r="B2087" s="13" t="s">
        <v>12382</v>
      </c>
      <c r="C2087" s="13" t="s">
        <v>12383</v>
      </c>
      <c r="E2087" s="13" t="s">
        <v>12306</v>
      </c>
      <c r="G2087" s="13" t="s">
        <v>32</v>
      </c>
    </row>
    <row r="2088" spans="1:7" ht="28.8" x14ac:dyDescent="0.3">
      <c r="A2088" s="13" t="s">
        <v>12273</v>
      </c>
      <c r="B2088" s="13" t="s">
        <v>12384</v>
      </c>
      <c r="C2088" s="13" t="s">
        <v>12385</v>
      </c>
      <c r="E2088" s="13" t="s">
        <v>12295</v>
      </c>
      <c r="G2088" s="13" t="s">
        <v>32</v>
      </c>
    </row>
    <row r="2089" spans="1:7" ht="28.8" x14ac:dyDescent="0.3">
      <c r="A2089" s="13" t="s">
        <v>12273</v>
      </c>
      <c r="B2089" s="13" t="s">
        <v>12386</v>
      </c>
      <c r="C2089" s="13" t="s">
        <v>12387</v>
      </c>
      <c r="E2089" s="13" t="s">
        <v>12306</v>
      </c>
      <c r="G2089" s="13" t="s">
        <v>32</v>
      </c>
    </row>
    <row r="2090" spans="1:7" ht="43.2" x14ac:dyDescent="0.3">
      <c r="A2090" s="13" t="s">
        <v>12273</v>
      </c>
      <c r="B2090" s="13" t="s">
        <v>12388</v>
      </c>
      <c r="C2090" s="13" t="s">
        <v>12389</v>
      </c>
      <c r="E2090" s="13" t="s">
        <v>12292</v>
      </c>
      <c r="G2090" s="13" t="s">
        <v>32</v>
      </c>
    </row>
    <row r="2091" spans="1:7" ht="28.8" x14ac:dyDescent="0.3">
      <c r="A2091" s="13" t="s">
        <v>12273</v>
      </c>
      <c r="B2091" s="13" t="s">
        <v>12390</v>
      </c>
      <c r="E2091" s="13" t="s">
        <v>12369</v>
      </c>
      <c r="G2091" s="13" t="s">
        <v>32</v>
      </c>
    </row>
    <row r="2092" spans="1:7" ht="28.8" x14ac:dyDescent="0.3">
      <c r="A2092" s="13" t="s">
        <v>12273</v>
      </c>
      <c r="B2092" s="13" t="s">
        <v>12391</v>
      </c>
      <c r="C2092" s="13" t="s">
        <v>12392</v>
      </c>
      <c r="E2092" s="13" t="s">
        <v>12285</v>
      </c>
      <c r="G2092" s="13" t="s">
        <v>32</v>
      </c>
    </row>
    <row r="2093" spans="1:7" ht="28.8" x14ac:dyDescent="0.3">
      <c r="A2093" s="13" t="s">
        <v>12273</v>
      </c>
      <c r="B2093" s="13" t="s">
        <v>12391</v>
      </c>
      <c r="C2093" s="13" t="s">
        <v>12392</v>
      </c>
      <c r="E2093" s="13" t="s">
        <v>12285</v>
      </c>
      <c r="G2093" s="13" t="s">
        <v>32</v>
      </c>
    </row>
    <row r="2094" spans="1:7" ht="28.8" x14ac:dyDescent="0.3">
      <c r="A2094" s="13" t="s">
        <v>12273</v>
      </c>
      <c r="B2094" s="13" t="s">
        <v>12391</v>
      </c>
      <c r="C2094" s="13" t="s">
        <v>12392</v>
      </c>
      <c r="E2094" s="13" t="s">
        <v>12285</v>
      </c>
      <c r="G2094" s="13" t="s">
        <v>32</v>
      </c>
    </row>
    <row r="2095" spans="1:7" ht="28.8" x14ac:dyDescent="0.3">
      <c r="A2095" s="13" t="s">
        <v>12273</v>
      </c>
      <c r="B2095" s="13" t="s">
        <v>12391</v>
      </c>
      <c r="C2095" s="13" t="s">
        <v>12392</v>
      </c>
      <c r="E2095" s="13" t="s">
        <v>12285</v>
      </c>
      <c r="G2095" s="13" t="s">
        <v>32</v>
      </c>
    </row>
    <row r="2096" spans="1:7" ht="28.8" x14ac:dyDescent="0.3">
      <c r="A2096" s="13" t="s">
        <v>12273</v>
      </c>
      <c r="B2096" s="13" t="s">
        <v>12391</v>
      </c>
      <c r="C2096" s="13" t="s">
        <v>12392</v>
      </c>
      <c r="E2096" s="13" t="s">
        <v>12285</v>
      </c>
      <c r="G2096" s="13" t="s">
        <v>32</v>
      </c>
    </row>
    <row r="2097" spans="1:7" ht="28.8" x14ac:dyDescent="0.3">
      <c r="A2097" s="13" t="s">
        <v>12273</v>
      </c>
      <c r="B2097" s="13" t="s">
        <v>12391</v>
      </c>
      <c r="C2097" s="13" t="s">
        <v>12392</v>
      </c>
      <c r="E2097" s="13" t="s">
        <v>12285</v>
      </c>
      <c r="G2097" s="13" t="s">
        <v>32</v>
      </c>
    </row>
    <row r="2098" spans="1:7" ht="28.8" x14ac:dyDescent="0.3">
      <c r="A2098" s="13" t="s">
        <v>12273</v>
      </c>
      <c r="B2098" s="13" t="s">
        <v>12391</v>
      </c>
      <c r="C2098" s="13" t="s">
        <v>12392</v>
      </c>
      <c r="E2098" s="13" t="s">
        <v>12285</v>
      </c>
      <c r="G2098" s="13" t="s">
        <v>32</v>
      </c>
    </row>
    <row r="2099" spans="1:7" ht="28.8" x14ac:dyDescent="0.3">
      <c r="A2099" s="13" t="s">
        <v>12273</v>
      </c>
      <c r="B2099" s="13" t="s">
        <v>12391</v>
      </c>
      <c r="C2099" s="13" t="s">
        <v>12392</v>
      </c>
      <c r="E2099" s="13" t="s">
        <v>12285</v>
      </c>
      <c r="G2099" s="13" t="s">
        <v>32</v>
      </c>
    </row>
    <row r="2100" spans="1:7" ht="28.8" x14ac:dyDescent="0.3">
      <c r="A2100" s="13" t="s">
        <v>12273</v>
      </c>
      <c r="B2100" s="13" t="s">
        <v>12391</v>
      </c>
      <c r="C2100" s="13" t="s">
        <v>12392</v>
      </c>
      <c r="E2100" s="13" t="s">
        <v>12285</v>
      </c>
      <c r="G2100" s="13" t="s">
        <v>32</v>
      </c>
    </row>
    <row r="2101" spans="1:7" ht="28.8" x14ac:dyDescent="0.3">
      <c r="A2101" s="13" t="s">
        <v>12273</v>
      </c>
      <c r="B2101" s="13" t="s">
        <v>12391</v>
      </c>
      <c r="C2101" s="13" t="s">
        <v>12392</v>
      </c>
      <c r="E2101" s="13" t="s">
        <v>12285</v>
      </c>
      <c r="G2101" s="13" t="s">
        <v>32</v>
      </c>
    </row>
    <row r="2102" spans="1:7" ht="28.8" x14ac:dyDescent="0.3">
      <c r="A2102" s="13" t="s">
        <v>12273</v>
      </c>
      <c r="B2102" s="13" t="s">
        <v>12391</v>
      </c>
      <c r="C2102" s="13" t="s">
        <v>12392</v>
      </c>
      <c r="E2102" s="13" t="s">
        <v>12285</v>
      </c>
      <c r="G2102" s="13" t="s">
        <v>32</v>
      </c>
    </row>
    <row r="2103" spans="1:7" x14ac:dyDescent="0.3">
      <c r="A2103" s="13" t="s">
        <v>12273</v>
      </c>
      <c r="B2103" s="13" t="s">
        <v>12393</v>
      </c>
      <c r="E2103" s="13" t="s">
        <v>12306</v>
      </c>
      <c r="G2103" s="13" t="s">
        <v>32</v>
      </c>
    </row>
    <row r="2104" spans="1:7" x14ac:dyDescent="0.3">
      <c r="A2104" s="13" t="s">
        <v>12273</v>
      </c>
      <c r="B2104" s="13" t="s">
        <v>12393</v>
      </c>
      <c r="E2104" s="13" t="s">
        <v>12306</v>
      </c>
      <c r="G2104" s="13" t="s">
        <v>32</v>
      </c>
    </row>
    <row r="2105" spans="1:7" x14ac:dyDescent="0.3">
      <c r="A2105" s="13" t="s">
        <v>12273</v>
      </c>
      <c r="B2105" s="13" t="s">
        <v>12393</v>
      </c>
      <c r="E2105" s="13" t="s">
        <v>12306</v>
      </c>
      <c r="G2105" s="13" t="s">
        <v>32</v>
      </c>
    </row>
    <row r="2106" spans="1:7" x14ac:dyDescent="0.3">
      <c r="A2106" s="13" t="s">
        <v>12273</v>
      </c>
      <c r="B2106" s="13" t="s">
        <v>12394</v>
      </c>
      <c r="E2106" s="13" t="s">
        <v>12369</v>
      </c>
      <c r="G2106" s="13" t="s">
        <v>32</v>
      </c>
    </row>
    <row r="2107" spans="1:7" x14ac:dyDescent="0.3">
      <c r="A2107" s="13" t="s">
        <v>12273</v>
      </c>
      <c r="B2107" s="13" t="s">
        <v>12394</v>
      </c>
      <c r="E2107" s="13" t="s">
        <v>12369</v>
      </c>
      <c r="G2107" s="13" t="s">
        <v>32</v>
      </c>
    </row>
    <row r="2108" spans="1:7" x14ac:dyDescent="0.3">
      <c r="A2108" s="13" t="s">
        <v>12273</v>
      </c>
      <c r="B2108" s="13" t="s">
        <v>12394</v>
      </c>
      <c r="E2108" s="13" t="s">
        <v>12369</v>
      </c>
      <c r="G2108" s="13" t="s">
        <v>32</v>
      </c>
    </row>
    <row r="2109" spans="1:7" x14ac:dyDescent="0.3">
      <c r="A2109" s="13" t="s">
        <v>12273</v>
      </c>
      <c r="B2109" s="13" t="s">
        <v>12394</v>
      </c>
      <c r="E2109" s="13" t="s">
        <v>12369</v>
      </c>
      <c r="G2109" s="13" t="s">
        <v>32</v>
      </c>
    </row>
    <row r="2110" spans="1:7" x14ac:dyDescent="0.3">
      <c r="A2110" s="13" t="s">
        <v>12273</v>
      </c>
      <c r="B2110" s="13" t="s">
        <v>12394</v>
      </c>
      <c r="E2110" s="13" t="s">
        <v>12369</v>
      </c>
      <c r="G2110" s="13" t="s">
        <v>32</v>
      </c>
    </row>
    <row r="2111" spans="1:7" x14ac:dyDescent="0.3">
      <c r="A2111" s="13" t="s">
        <v>12273</v>
      </c>
      <c r="B2111" s="13" t="s">
        <v>12395</v>
      </c>
      <c r="E2111" s="13" t="s">
        <v>12369</v>
      </c>
      <c r="G2111" s="13" t="s">
        <v>32</v>
      </c>
    </row>
    <row r="2112" spans="1:7" x14ac:dyDescent="0.3">
      <c r="A2112" s="13" t="s">
        <v>12273</v>
      </c>
      <c r="B2112" s="13" t="s">
        <v>12395</v>
      </c>
      <c r="E2112" s="13" t="s">
        <v>12369</v>
      </c>
      <c r="G2112" s="13" t="s">
        <v>32</v>
      </c>
    </row>
    <row r="2113" spans="1:7" x14ac:dyDescent="0.3">
      <c r="A2113" s="13" t="s">
        <v>12273</v>
      </c>
      <c r="B2113" s="13" t="s">
        <v>12395</v>
      </c>
      <c r="E2113" s="13" t="s">
        <v>12369</v>
      </c>
      <c r="G2113" s="13" t="s">
        <v>32</v>
      </c>
    </row>
    <row r="2114" spans="1:7" x14ac:dyDescent="0.3">
      <c r="A2114" s="13" t="s">
        <v>12273</v>
      </c>
      <c r="B2114" s="13" t="s">
        <v>12396</v>
      </c>
      <c r="E2114" s="13" t="s">
        <v>12306</v>
      </c>
      <c r="G2114" s="13" t="s">
        <v>32</v>
      </c>
    </row>
    <row r="2115" spans="1:7" x14ac:dyDescent="0.3">
      <c r="A2115" s="13" t="s">
        <v>12273</v>
      </c>
      <c r="B2115" s="13" t="s">
        <v>12396</v>
      </c>
      <c r="E2115" s="13" t="s">
        <v>12306</v>
      </c>
      <c r="G2115" s="13" t="s">
        <v>32</v>
      </c>
    </row>
    <row r="2116" spans="1:7" x14ac:dyDescent="0.3">
      <c r="A2116" s="13" t="s">
        <v>12273</v>
      </c>
      <c r="B2116" s="13" t="s">
        <v>12396</v>
      </c>
      <c r="E2116" s="13" t="s">
        <v>12306</v>
      </c>
      <c r="G2116" s="13" t="s">
        <v>32</v>
      </c>
    </row>
    <row r="2117" spans="1:7" x14ac:dyDescent="0.3">
      <c r="A2117" s="13" t="s">
        <v>12273</v>
      </c>
      <c r="B2117" s="13" t="s">
        <v>12397</v>
      </c>
      <c r="E2117" s="13" t="s">
        <v>12369</v>
      </c>
      <c r="G2117" s="13" t="s">
        <v>32</v>
      </c>
    </row>
    <row r="2118" spans="1:7" x14ac:dyDescent="0.3">
      <c r="A2118" s="13" t="s">
        <v>12273</v>
      </c>
      <c r="B2118" s="13" t="s">
        <v>12397</v>
      </c>
      <c r="E2118" s="13" t="s">
        <v>12369</v>
      </c>
      <c r="G2118" s="13" t="s">
        <v>32</v>
      </c>
    </row>
    <row r="2119" spans="1:7" x14ac:dyDescent="0.3">
      <c r="A2119" s="13" t="s">
        <v>12273</v>
      </c>
      <c r="B2119" s="13" t="s">
        <v>12397</v>
      </c>
      <c r="E2119" s="13" t="s">
        <v>12369</v>
      </c>
      <c r="G2119" s="13" t="s">
        <v>32</v>
      </c>
    </row>
    <row r="2120" spans="1:7" x14ac:dyDescent="0.3">
      <c r="A2120" s="13" t="s">
        <v>12273</v>
      </c>
      <c r="B2120" s="13" t="s">
        <v>12398</v>
      </c>
      <c r="C2120" s="13" t="s">
        <v>12399</v>
      </c>
      <c r="E2120" s="13" t="s">
        <v>12369</v>
      </c>
      <c r="G2120" s="13" t="s">
        <v>32</v>
      </c>
    </row>
    <row r="2121" spans="1:7" x14ac:dyDescent="0.3">
      <c r="A2121" s="13" t="s">
        <v>12273</v>
      </c>
      <c r="B2121" s="13" t="s">
        <v>12398</v>
      </c>
      <c r="C2121" s="13" t="s">
        <v>12399</v>
      </c>
      <c r="E2121" s="13" t="s">
        <v>12369</v>
      </c>
      <c r="G2121" s="13" t="s">
        <v>32</v>
      </c>
    </row>
    <row r="2122" spans="1:7" x14ac:dyDescent="0.3">
      <c r="A2122" s="13" t="s">
        <v>12273</v>
      </c>
      <c r="B2122" s="13" t="s">
        <v>12398</v>
      </c>
      <c r="C2122" s="13" t="s">
        <v>12399</v>
      </c>
      <c r="E2122" s="13" t="s">
        <v>12369</v>
      </c>
      <c r="G2122" s="13" t="s">
        <v>32</v>
      </c>
    </row>
    <row r="2123" spans="1:7" x14ac:dyDescent="0.3">
      <c r="A2123" s="13" t="s">
        <v>12273</v>
      </c>
      <c r="B2123" s="13" t="s">
        <v>12398</v>
      </c>
      <c r="C2123" s="13" t="s">
        <v>12399</v>
      </c>
      <c r="E2123" s="13" t="s">
        <v>12369</v>
      </c>
      <c r="G2123" s="13" t="s">
        <v>32</v>
      </c>
    </row>
    <row r="2124" spans="1:7" x14ac:dyDescent="0.3">
      <c r="A2124" s="13" t="s">
        <v>12273</v>
      </c>
      <c r="B2124" s="13" t="s">
        <v>12398</v>
      </c>
      <c r="C2124" s="13" t="s">
        <v>12399</v>
      </c>
      <c r="E2124" s="13" t="s">
        <v>12369</v>
      </c>
      <c r="G2124" s="13" t="s">
        <v>32</v>
      </c>
    </row>
    <row r="2125" spans="1:7" x14ac:dyDescent="0.3">
      <c r="A2125" s="13" t="s">
        <v>12273</v>
      </c>
      <c r="B2125" s="13" t="s">
        <v>12400</v>
      </c>
      <c r="E2125" s="13" t="s">
        <v>12306</v>
      </c>
      <c r="G2125" s="13" t="s">
        <v>32</v>
      </c>
    </row>
    <row r="2126" spans="1:7" x14ac:dyDescent="0.3">
      <c r="A2126" s="13" t="s">
        <v>12273</v>
      </c>
      <c r="B2126" s="13" t="s">
        <v>12400</v>
      </c>
      <c r="E2126" s="13" t="s">
        <v>12306</v>
      </c>
      <c r="G2126" s="13" t="s">
        <v>32</v>
      </c>
    </row>
    <row r="2127" spans="1:7" x14ac:dyDescent="0.3">
      <c r="A2127" s="13" t="s">
        <v>12273</v>
      </c>
      <c r="B2127" s="13" t="s">
        <v>12401</v>
      </c>
      <c r="E2127" s="13" t="s">
        <v>12285</v>
      </c>
      <c r="G2127" s="13" t="s">
        <v>32</v>
      </c>
    </row>
    <row r="2128" spans="1:7" x14ac:dyDescent="0.3">
      <c r="A2128" s="13" t="s">
        <v>12273</v>
      </c>
      <c r="B2128" s="13" t="s">
        <v>12401</v>
      </c>
      <c r="E2128" s="13" t="s">
        <v>12285</v>
      </c>
      <c r="G2128" s="13" t="s">
        <v>32</v>
      </c>
    </row>
    <row r="2129" spans="1:7" ht="43.2" x14ac:dyDescent="0.3">
      <c r="A2129" s="13" t="s">
        <v>12273</v>
      </c>
      <c r="B2129" s="13" t="s">
        <v>12402</v>
      </c>
      <c r="C2129" s="13" t="s">
        <v>12403</v>
      </c>
      <c r="E2129" s="13" t="s">
        <v>12285</v>
      </c>
      <c r="G2129" s="13" t="s">
        <v>32</v>
      </c>
    </row>
    <row r="2130" spans="1:7" ht="43.2" x14ac:dyDescent="0.3">
      <c r="A2130" s="13" t="s">
        <v>12273</v>
      </c>
      <c r="B2130" s="13" t="s">
        <v>12402</v>
      </c>
      <c r="C2130" s="13" t="s">
        <v>12403</v>
      </c>
      <c r="E2130" s="13" t="s">
        <v>12285</v>
      </c>
      <c r="G2130" s="13" t="s">
        <v>32</v>
      </c>
    </row>
    <row r="2131" spans="1:7" ht="43.2" x14ac:dyDescent="0.3">
      <c r="A2131" s="13" t="s">
        <v>12273</v>
      </c>
      <c r="B2131" s="13" t="s">
        <v>12402</v>
      </c>
      <c r="C2131" s="13" t="s">
        <v>12403</v>
      </c>
      <c r="E2131" s="13" t="s">
        <v>12285</v>
      </c>
      <c r="G2131" s="13" t="s">
        <v>32</v>
      </c>
    </row>
    <row r="2132" spans="1:7" x14ac:dyDescent="0.3">
      <c r="A2132" s="13" t="s">
        <v>12273</v>
      </c>
      <c r="B2132" s="13" t="s">
        <v>12404</v>
      </c>
      <c r="E2132" s="13" t="s">
        <v>12405</v>
      </c>
      <c r="G2132" s="13" t="s">
        <v>32</v>
      </c>
    </row>
    <row r="2133" spans="1:7" x14ac:dyDescent="0.3">
      <c r="A2133" s="13" t="s">
        <v>12273</v>
      </c>
      <c r="B2133" s="13" t="s">
        <v>12404</v>
      </c>
      <c r="E2133" s="13" t="s">
        <v>12405</v>
      </c>
      <c r="G2133" s="13" t="s">
        <v>32</v>
      </c>
    </row>
    <row r="2134" spans="1:7" x14ac:dyDescent="0.3">
      <c r="A2134" s="13" t="s">
        <v>12273</v>
      </c>
      <c r="B2134" s="13" t="s">
        <v>12404</v>
      </c>
      <c r="E2134" s="13" t="s">
        <v>12405</v>
      </c>
      <c r="G2134" s="13" t="s">
        <v>32</v>
      </c>
    </row>
    <row r="2135" spans="1:7" x14ac:dyDescent="0.3">
      <c r="A2135" s="13" t="s">
        <v>12273</v>
      </c>
      <c r="B2135" s="13" t="s">
        <v>12406</v>
      </c>
      <c r="E2135" s="13" t="s">
        <v>12285</v>
      </c>
      <c r="G2135" s="13" t="s">
        <v>32</v>
      </c>
    </row>
    <row r="2136" spans="1:7" x14ac:dyDescent="0.3">
      <c r="A2136" s="13" t="s">
        <v>12273</v>
      </c>
      <c r="B2136" s="13" t="s">
        <v>12406</v>
      </c>
      <c r="E2136" s="13" t="s">
        <v>12285</v>
      </c>
      <c r="G2136" s="13" t="s">
        <v>32</v>
      </c>
    </row>
    <row r="2137" spans="1:7" x14ac:dyDescent="0.3">
      <c r="A2137" s="13" t="s">
        <v>12273</v>
      </c>
      <c r="B2137" s="13" t="s">
        <v>12406</v>
      </c>
      <c r="E2137" s="13" t="s">
        <v>12285</v>
      </c>
      <c r="G2137" s="13" t="s">
        <v>32</v>
      </c>
    </row>
    <row r="2138" spans="1:7" ht="28.8" x14ac:dyDescent="0.3">
      <c r="A2138" s="13" t="s">
        <v>12273</v>
      </c>
      <c r="B2138" s="13" t="s">
        <v>12407</v>
      </c>
      <c r="C2138" s="13" t="s">
        <v>12408</v>
      </c>
      <c r="E2138" s="13" t="s">
        <v>12306</v>
      </c>
      <c r="G2138" s="13" t="s">
        <v>32</v>
      </c>
    </row>
    <row r="2139" spans="1:7" ht="28.8" x14ac:dyDescent="0.3">
      <c r="A2139" s="13" t="s">
        <v>12273</v>
      </c>
      <c r="B2139" s="13" t="s">
        <v>12407</v>
      </c>
      <c r="C2139" s="13" t="s">
        <v>12408</v>
      </c>
      <c r="E2139" s="13" t="s">
        <v>12306</v>
      </c>
      <c r="G2139" s="13" t="s">
        <v>32</v>
      </c>
    </row>
    <row r="2140" spans="1:7" ht="28.8" x14ac:dyDescent="0.3">
      <c r="A2140" s="13" t="s">
        <v>12273</v>
      </c>
      <c r="B2140" s="13" t="s">
        <v>12407</v>
      </c>
      <c r="C2140" s="13" t="s">
        <v>12408</v>
      </c>
      <c r="E2140" s="13" t="s">
        <v>12306</v>
      </c>
      <c r="G2140" s="13" t="s">
        <v>32</v>
      </c>
    </row>
    <row r="2141" spans="1:7" x14ac:dyDescent="0.3">
      <c r="A2141" s="13" t="s">
        <v>12273</v>
      </c>
      <c r="B2141" s="13" t="s">
        <v>12409</v>
      </c>
      <c r="E2141" s="13" t="s">
        <v>12405</v>
      </c>
      <c r="G2141" s="13" t="s">
        <v>32</v>
      </c>
    </row>
    <row r="2142" spans="1:7" x14ac:dyDescent="0.3">
      <c r="A2142" s="13" t="s">
        <v>12273</v>
      </c>
      <c r="B2142" s="13" t="s">
        <v>12409</v>
      </c>
      <c r="E2142" s="13" t="s">
        <v>12405</v>
      </c>
      <c r="G2142" s="13" t="s">
        <v>32</v>
      </c>
    </row>
    <row r="2143" spans="1:7" x14ac:dyDescent="0.3">
      <c r="A2143" s="13" t="s">
        <v>12273</v>
      </c>
      <c r="B2143" s="13" t="s">
        <v>12409</v>
      </c>
      <c r="E2143" s="13" t="s">
        <v>12405</v>
      </c>
      <c r="G2143" s="13" t="s">
        <v>32</v>
      </c>
    </row>
    <row r="2144" spans="1:7" x14ac:dyDescent="0.3">
      <c r="A2144" s="13" t="s">
        <v>12273</v>
      </c>
      <c r="B2144" s="13" t="s">
        <v>12410</v>
      </c>
      <c r="E2144" s="13" t="s">
        <v>12411</v>
      </c>
      <c r="G2144" s="13" t="s">
        <v>32</v>
      </c>
    </row>
    <row r="2145" spans="1:7" x14ac:dyDescent="0.3">
      <c r="A2145" s="13" t="s">
        <v>12273</v>
      </c>
      <c r="B2145" s="13" t="s">
        <v>12412</v>
      </c>
      <c r="E2145" s="13" t="s">
        <v>12295</v>
      </c>
      <c r="G2145" s="13" t="s">
        <v>32</v>
      </c>
    </row>
    <row r="2146" spans="1:7" x14ac:dyDescent="0.3">
      <c r="A2146" s="13" t="s">
        <v>12273</v>
      </c>
      <c r="B2146" s="13" t="s">
        <v>12412</v>
      </c>
      <c r="E2146" s="13" t="s">
        <v>12295</v>
      </c>
      <c r="G2146" s="13" t="s">
        <v>32</v>
      </c>
    </row>
    <row r="2147" spans="1:7" x14ac:dyDescent="0.3">
      <c r="A2147" s="13" t="s">
        <v>12273</v>
      </c>
      <c r="B2147" s="13" t="s">
        <v>12412</v>
      </c>
      <c r="E2147" s="13" t="s">
        <v>12295</v>
      </c>
      <c r="G2147" s="13" t="s">
        <v>32</v>
      </c>
    </row>
    <row r="2148" spans="1:7" ht="28.8" x14ac:dyDescent="0.3">
      <c r="A2148" s="13" t="s">
        <v>12273</v>
      </c>
      <c r="B2148" s="13" t="s">
        <v>12413</v>
      </c>
      <c r="E2148" s="13" t="s">
        <v>12414</v>
      </c>
      <c r="G2148" s="13" t="s">
        <v>32</v>
      </c>
    </row>
    <row r="2149" spans="1:7" ht="28.8" x14ac:dyDescent="0.3">
      <c r="A2149" s="13" t="s">
        <v>12273</v>
      </c>
      <c r="B2149" s="13" t="s">
        <v>12413</v>
      </c>
      <c r="E2149" s="13" t="s">
        <v>12414</v>
      </c>
      <c r="G2149" s="13" t="s">
        <v>32</v>
      </c>
    </row>
    <row r="2150" spans="1:7" ht="28.8" x14ac:dyDescent="0.3">
      <c r="A2150" s="13" t="s">
        <v>12273</v>
      </c>
      <c r="B2150" s="13" t="s">
        <v>12413</v>
      </c>
      <c r="E2150" s="13" t="s">
        <v>12414</v>
      </c>
      <c r="G2150" s="13" t="s">
        <v>32</v>
      </c>
    </row>
    <row r="2151" spans="1:7" x14ac:dyDescent="0.3">
      <c r="A2151" s="13" t="s">
        <v>12273</v>
      </c>
      <c r="B2151" s="13" t="s">
        <v>12415</v>
      </c>
      <c r="E2151" s="13" t="s">
        <v>12414</v>
      </c>
      <c r="G2151" s="13" t="s">
        <v>32</v>
      </c>
    </row>
    <row r="2152" spans="1:7" x14ac:dyDescent="0.3">
      <c r="A2152" s="13" t="s">
        <v>12273</v>
      </c>
      <c r="B2152" s="13" t="s">
        <v>12415</v>
      </c>
      <c r="E2152" s="13" t="s">
        <v>12414</v>
      </c>
      <c r="G2152" s="13" t="s">
        <v>32</v>
      </c>
    </row>
    <row r="2153" spans="1:7" x14ac:dyDescent="0.3">
      <c r="A2153" s="13" t="s">
        <v>12273</v>
      </c>
      <c r="B2153" s="13" t="s">
        <v>12415</v>
      </c>
      <c r="E2153" s="13" t="s">
        <v>12414</v>
      </c>
      <c r="G2153" s="13" t="s">
        <v>32</v>
      </c>
    </row>
    <row r="2154" spans="1:7" x14ac:dyDescent="0.3">
      <c r="A2154" s="13" t="s">
        <v>12273</v>
      </c>
      <c r="B2154" s="13" t="s">
        <v>12416</v>
      </c>
      <c r="C2154" s="13" t="s">
        <v>12417</v>
      </c>
      <c r="E2154" s="13" t="s">
        <v>12418</v>
      </c>
      <c r="G2154" s="13" t="s">
        <v>32</v>
      </c>
    </row>
    <row r="2155" spans="1:7" x14ac:dyDescent="0.3">
      <c r="A2155" s="13" t="s">
        <v>12273</v>
      </c>
      <c r="B2155" s="13" t="s">
        <v>12416</v>
      </c>
      <c r="C2155" s="13" t="s">
        <v>12417</v>
      </c>
      <c r="E2155" s="13" t="s">
        <v>12418</v>
      </c>
      <c r="G2155" s="13" t="s">
        <v>32</v>
      </c>
    </row>
    <row r="2156" spans="1:7" x14ac:dyDescent="0.3">
      <c r="A2156" s="13" t="s">
        <v>12273</v>
      </c>
      <c r="B2156" s="13" t="s">
        <v>12416</v>
      </c>
      <c r="C2156" s="13" t="s">
        <v>12417</v>
      </c>
      <c r="E2156" s="13" t="s">
        <v>12418</v>
      </c>
      <c r="G2156" s="13" t="s">
        <v>32</v>
      </c>
    </row>
    <row r="2157" spans="1:7" ht="43.2" x14ac:dyDescent="0.3">
      <c r="A2157" s="13" t="s">
        <v>12273</v>
      </c>
      <c r="B2157" s="13" t="s">
        <v>12419</v>
      </c>
      <c r="C2157" s="13" t="s">
        <v>12420</v>
      </c>
      <c r="E2157" s="13" t="s">
        <v>12421</v>
      </c>
      <c r="G2157" s="13" t="s">
        <v>32</v>
      </c>
    </row>
    <row r="2158" spans="1:7" ht="43.2" x14ac:dyDescent="0.3">
      <c r="A2158" s="13" t="s">
        <v>12273</v>
      </c>
      <c r="B2158" s="13" t="s">
        <v>12419</v>
      </c>
      <c r="C2158" s="13" t="s">
        <v>12420</v>
      </c>
      <c r="E2158" s="13" t="s">
        <v>12421</v>
      </c>
      <c r="G2158" s="13" t="s">
        <v>32</v>
      </c>
    </row>
    <row r="2159" spans="1:7" ht="43.2" x14ac:dyDescent="0.3">
      <c r="A2159" s="13" t="s">
        <v>12273</v>
      </c>
      <c r="B2159" s="13" t="s">
        <v>12419</v>
      </c>
      <c r="C2159" s="13" t="s">
        <v>12420</v>
      </c>
      <c r="E2159" s="13" t="s">
        <v>12421</v>
      </c>
      <c r="G2159" s="13" t="s">
        <v>32</v>
      </c>
    </row>
    <row r="2160" spans="1:7" x14ac:dyDescent="0.3">
      <c r="A2160" s="13" t="s">
        <v>12273</v>
      </c>
      <c r="B2160" s="13" t="s">
        <v>12422</v>
      </c>
      <c r="C2160" s="13" t="s">
        <v>12423</v>
      </c>
      <c r="E2160" s="13" t="s">
        <v>12424</v>
      </c>
      <c r="G2160" s="13" t="s">
        <v>32</v>
      </c>
    </row>
    <row r="2161" spans="1:7" x14ac:dyDescent="0.3">
      <c r="A2161" s="13" t="s">
        <v>12273</v>
      </c>
      <c r="B2161" s="13" t="s">
        <v>12422</v>
      </c>
      <c r="C2161" s="13" t="s">
        <v>12423</v>
      </c>
      <c r="E2161" s="13" t="s">
        <v>12424</v>
      </c>
      <c r="G2161" s="13" t="s">
        <v>32</v>
      </c>
    </row>
    <row r="2162" spans="1:7" x14ac:dyDescent="0.3">
      <c r="A2162" s="13" t="s">
        <v>12273</v>
      </c>
      <c r="B2162" s="13" t="s">
        <v>12422</v>
      </c>
      <c r="C2162" s="13" t="s">
        <v>12423</v>
      </c>
      <c r="E2162" s="13" t="s">
        <v>12424</v>
      </c>
      <c r="G2162" s="13" t="s">
        <v>32</v>
      </c>
    </row>
    <row r="2163" spans="1:7" x14ac:dyDescent="0.3">
      <c r="A2163" s="13" t="s">
        <v>12273</v>
      </c>
      <c r="B2163" s="13" t="s">
        <v>12425</v>
      </c>
      <c r="E2163" s="13" t="s">
        <v>12405</v>
      </c>
      <c r="G2163" s="13" t="s">
        <v>32</v>
      </c>
    </row>
    <row r="2164" spans="1:7" x14ac:dyDescent="0.3">
      <c r="A2164" s="13" t="s">
        <v>12273</v>
      </c>
      <c r="B2164" s="13" t="s">
        <v>12425</v>
      </c>
      <c r="E2164" s="13" t="s">
        <v>12405</v>
      </c>
      <c r="G2164" s="13" t="s">
        <v>32</v>
      </c>
    </row>
    <row r="2165" spans="1:7" x14ac:dyDescent="0.3">
      <c r="A2165" s="13" t="s">
        <v>12273</v>
      </c>
      <c r="B2165" s="13" t="s">
        <v>12425</v>
      </c>
      <c r="E2165" s="13" t="s">
        <v>12405</v>
      </c>
      <c r="G2165" s="13" t="s">
        <v>32</v>
      </c>
    </row>
    <row r="2166" spans="1:7" ht="28.8" x14ac:dyDescent="0.3">
      <c r="A2166" s="13" t="s">
        <v>12273</v>
      </c>
      <c r="B2166" s="13" t="s">
        <v>12426</v>
      </c>
      <c r="C2166" s="13" t="s">
        <v>12427</v>
      </c>
      <c r="E2166" s="13" t="s">
        <v>12280</v>
      </c>
      <c r="G2166" s="13" t="s">
        <v>32</v>
      </c>
    </row>
    <row r="2167" spans="1:7" ht="43.2" x14ac:dyDescent="0.3">
      <c r="A2167" s="13" t="s">
        <v>12273</v>
      </c>
      <c r="B2167" s="13" t="s">
        <v>12428</v>
      </c>
      <c r="C2167" s="13" t="s">
        <v>12429</v>
      </c>
      <c r="E2167" s="13" t="s">
        <v>12430</v>
      </c>
      <c r="G2167" s="13" t="s">
        <v>32</v>
      </c>
    </row>
    <row r="2168" spans="1:7" ht="57.6" x14ac:dyDescent="0.3">
      <c r="A2168" s="13" t="s">
        <v>12273</v>
      </c>
      <c r="B2168" s="13" t="s">
        <v>12431</v>
      </c>
      <c r="C2168" s="13" t="s">
        <v>12432</v>
      </c>
      <c r="E2168" s="13" t="s">
        <v>12295</v>
      </c>
      <c r="G2168" s="13" t="s">
        <v>32</v>
      </c>
    </row>
    <row r="2169" spans="1:7" ht="72" x14ac:dyDescent="0.3">
      <c r="A2169" s="13" t="s">
        <v>12273</v>
      </c>
      <c r="B2169" s="13" t="s">
        <v>12433</v>
      </c>
      <c r="C2169" s="13" t="s">
        <v>12434</v>
      </c>
      <c r="E2169" s="13" t="s">
        <v>12295</v>
      </c>
      <c r="G2169" s="13" t="s">
        <v>32</v>
      </c>
    </row>
    <row r="2170" spans="1:7" x14ac:dyDescent="0.3">
      <c r="A2170" s="13" t="s">
        <v>12273</v>
      </c>
      <c r="B2170" s="13" t="s">
        <v>12435</v>
      </c>
      <c r="C2170" s="13" t="s">
        <v>12436</v>
      </c>
      <c r="E2170" s="13" t="s">
        <v>12430</v>
      </c>
      <c r="G2170" s="13" t="s">
        <v>32</v>
      </c>
    </row>
    <row r="2171" spans="1:7" x14ac:dyDescent="0.3">
      <c r="A2171" s="13" t="s">
        <v>12273</v>
      </c>
      <c r="B2171" s="13" t="s">
        <v>12437</v>
      </c>
      <c r="E2171" s="13" t="s">
        <v>12295</v>
      </c>
      <c r="G2171" s="13" t="s">
        <v>32</v>
      </c>
    </row>
    <row r="2172" spans="1:7" x14ac:dyDescent="0.3">
      <c r="A2172" s="13" t="s">
        <v>12273</v>
      </c>
      <c r="B2172" s="13" t="s">
        <v>12438</v>
      </c>
      <c r="E2172" s="13" t="s">
        <v>12295</v>
      </c>
      <c r="G2172" s="13" t="s">
        <v>32</v>
      </c>
    </row>
    <row r="2173" spans="1:7" x14ac:dyDescent="0.3">
      <c r="A2173" s="13" t="s">
        <v>12273</v>
      </c>
      <c r="B2173" s="13" t="s">
        <v>12439</v>
      </c>
      <c r="E2173" s="13" t="s">
        <v>12292</v>
      </c>
      <c r="G2173" s="13" t="s">
        <v>32</v>
      </c>
    </row>
    <row r="2174" spans="1:7" ht="28.8" x14ac:dyDescent="0.3">
      <c r="A2174" s="13" t="s">
        <v>12273</v>
      </c>
      <c r="B2174" s="13" t="s">
        <v>12440</v>
      </c>
      <c r="E2174" s="13" t="s">
        <v>12285</v>
      </c>
      <c r="G2174" s="13" t="s">
        <v>32</v>
      </c>
    </row>
    <row r="2175" spans="1:7" ht="28.8" x14ac:dyDescent="0.3">
      <c r="A2175" s="13" t="s">
        <v>12273</v>
      </c>
      <c r="B2175" s="13" t="s">
        <v>12441</v>
      </c>
      <c r="E2175" s="13" t="s">
        <v>12295</v>
      </c>
      <c r="G2175" s="13" t="s">
        <v>32</v>
      </c>
    </row>
    <row r="2176" spans="1:7" ht="28.8" x14ac:dyDescent="0.3">
      <c r="A2176" s="13" t="s">
        <v>12273</v>
      </c>
      <c r="B2176" s="13" t="s">
        <v>12442</v>
      </c>
      <c r="E2176" s="13" t="s">
        <v>12295</v>
      </c>
      <c r="G2176" s="13" t="s">
        <v>32</v>
      </c>
    </row>
    <row r="2177" spans="1:7" ht="28.8" x14ac:dyDescent="0.3">
      <c r="A2177" s="13" t="s">
        <v>12273</v>
      </c>
      <c r="B2177" s="13" t="s">
        <v>12443</v>
      </c>
      <c r="E2177" s="13" t="s">
        <v>12295</v>
      </c>
      <c r="G2177" s="13" t="s">
        <v>32</v>
      </c>
    </row>
    <row r="2178" spans="1:7" ht="28.8" x14ac:dyDescent="0.3">
      <c r="A2178" s="13" t="s">
        <v>12273</v>
      </c>
      <c r="B2178" s="13" t="s">
        <v>12444</v>
      </c>
      <c r="E2178" s="13" t="s">
        <v>12285</v>
      </c>
      <c r="G2178" s="13" t="s">
        <v>32</v>
      </c>
    </row>
    <row r="2179" spans="1:7" ht="43.2" x14ac:dyDescent="0.3">
      <c r="A2179" s="13" t="s">
        <v>12273</v>
      </c>
      <c r="B2179" s="13" t="s">
        <v>12445</v>
      </c>
      <c r="C2179" s="13" t="s">
        <v>12446</v>
      </c>
      <c r="E2179" s="13" t="s">
        <v>12369</v>
      </c>
      <c r="G2179" s="13" t="s">
        <v>32</v>
      </c>
    </row>
    <row r="2180" spans="1:7" ht="28.8" x14ac:dyDescent="0.3">
      <c r="A2180" s="13" t="s">
        <v>12273</v>
      </c>
      <c r="B2180" s="13" t="s">
        <v>12447</v>
      </c>
      <c r="E2180" s="13" t="s">
        <v>12448</v>
      </c>
      <c r="G2180" s="13" t="s">
        <v>32</v>
      </c>
    </row>
    <row r="2181" spans="1:7" ht="28.8" x14ac:dyDescent="0.3">
      <c r="A2181" s="13" t="s">
        <v>12273</v>
      </c>
      <c r="B2181" s="13" t="s">
        <v>12449</v>
      </c>
      <c r="E2181" s="13" t="s">
        <v>12285</v>
      </c>
      <c r="G2181" s="13" t="s">
        <v>32</v>
      </c>
    </row>
    <row r="2182" spans="1:7" x14ac:dyDescent="0.3">
      <c r="A2182" s="13" t="s">
        <v>12273</v>
      </c>
      <c r="B2182" s="13" t="s">
        <v>12450</v>
      </c>
      <c r="E2182" s="13" t="s">
        <v>12369</v>
      </c>
      <c r="G2182" s="13" t="s">
        <v>32</v>
      </c>
    </row>
    <row r="2183" spans="1:7" ht="28.8" x14ac:dyDescent="0.3">
      <c r="A2183" s="13" t="s">
        <v>12273</v>
      </c>
      <c r="B2183" s="13" t="s">
        <v>12451</v>
      </c>
      <c r="C2183" s="13" t="s">
        <v>12452</v>
      </c>
      <c r="E2183" s="13" t="s">
        <v>12369</v>
      </c>
      <c r="G2183" s="13" t="s">
        <v>32</v>
      </c>
    </row>
    <row r="2184" spans="1:7" ht="28.8" x14ac:dyDescent="0.3">
      <c r="A2184" s="13" t="s">
        <v>12273</v>
      </c>
      <c r="B2184" s="13" t="s">
        <v>12453</v>
      </c>
      <c r="E2184" s="13" t="s">
        <v>12369</v>
      </c>
      <c r="G2184" s="13" t="s">
        <v>32</v>
      </c>
    </row>
    <row r="2185" spans="1:7" ht="28.8" x14ac:dyDescent="0.3">
      <c r="A2185" s="13" t="s">
        <v>12273</v>
      </c>
      <c r="B2185" s="13" t="s">
        <v>12454</v>
      </c>
      <c r="E2185" s="13" t="s">
        <v>12372</v>
      </c>
      <c r="G2185" s="13" t="s">
        <v>32</v>
      </c>
    </row>
    <row r="2186" spans="1:7" ht="28.8" x14ac:dyDescent="0.3">
      <c r="A2186" s="13" t="s">
        <v>12273</v>
      </c>
      <c r="B2186" s="13" t="s">
        <v>12455</v>
      </c>
      <c r="E2186" s="13" t="s">
        <v>12278</v>
      </c>
      <c r="G2186" s="13" t="s">
        <v>32</v>
      </c>
    </row>
    <row r="2187" spans="1:7" x14ac:dyDescent="0.3">
      <c r="A2187" s="13" t="s">
        <v>12273</v>
      </c>
      <c r="B2187" s="13" t="s">
        <v>12456</v>
      </c>
      <c r="C2187" s="13" t="s">
        <v>12457</v>
      </c>
      <c r="E2187" s="13" t="s">
        <v>12458</v>
      </c>
      <c r="G2187" s="13" t="s">
        <v>32</v>
      </c>
    </row>
    <row r="2188" spans="1:7" ht="28.8" x14ac:dyDescent="0.3">
      <c r="A2188" s="13" t="s">
        <v>12273</v>
      </c>
      <c r="B2188" s="13" t="s">
        <v>12459</v>
      </c>
      <c r="C2188" s="13" t="s">
        <v>12460</v>
      </c>
      <c r="E2188" s="13" t="s">
        <v>12461</v>
      </c>
      <c r="G2188" s="13" t="s">
        <v>32</v>
      </c>
    </row>
    <row r="2189" spans="1:7" ht="57.6" x14ac:dyDescent="0.3">
      <c r="A2189" s="13" t="s">
        <v>12273</v>
      </c>
      <c r="B2189" s="13" t="s">
        <v>12462</v>
      </c>
      <c r="C2189" s="13" t="s">
        <v>12463</v>
      </c>
      <c r="E2189" s="13" t="s">
        <v>12464</v>
      </c>
      <c r="G2189" s="13" t="s">
        <v>32</v>
      </c>
    </row>
    <row r="2190" spans="1:7" ht="57.6" x14ac:dyDescent="0.3">
      <c r="A2190" s="13" t="s">
        <v>12273</v>
      </c>
      <c r="B2190" s="13" t="s">
        <v>12462</v>
      </c>
      <c r="C2190" s="13" t="s">
        <v>12463</v>
      </c>
      <c r="E2190" s="13" t="s">
        <v>12464</v>
      </c>
      <c r="G2190" s="13" t="s">
        <v>32</v>
      </c>
    </row>
    <row r="2191" spans="1:7" ht="57.6" x14ac:dyDescent="0.3">
      <c r="A2191" s="13" t="s">
        <v>12273</v>
      </c>
      <c r="B2191" s="13" t="s">
        <v>12462</v>
      </c>
      <c r="C2191" s="13" t="s">
        <v>12463</v>
      </c>
      <c r="E2191" s="13" t="s">
        <v>12464</v>
      </c>
      <c r="G2191" s="13" t="s">
        <v>32</v>
      </c>
    </row>
    <row r="2192" spans="1:7" ht="57.6" x14ac:dyDescent="0.3">
      <c r="A2192" s="13" t="s">
        <v>12273</v>
      </c>
      <c r="B2192" s="13" t="s">
        <v>12462</v>
      </c>
      <c r="C2192" s="13" t="s">
        <v>12463</v>
      </c>
      <c r="E2192" s="13" t="s">
        <v>12464</v>
      </c>
      <c r="G2192" s="13" t="s">
        <v>32</v>
      </c>
    </row>
    <row r="2193" spans="1:7" ht="57.6" x14ac:dyDescent="0.3">
      <c r="A2193" s="13" t="s">
        <v>12273</v>
      </c>
      <c r="B2193" s="13" t="s">
        <v>12462</v>
      </c>
      <c r="C2193" s="13" t="s">
        <v>12463</v>
      </c>
      <c r="E2193" s="13" t="s">
        <v>12464</v>
      </c>
      <c r="G2193" s="13" t="s">
        <v>32</v>
      </c>
    </row>
    <row r="2194" spans="1:7" ht="28.8" x14ac:dyDescent="0.3">
      <c r="A2194" s="13" t="s">
        <v>12273</v>
      </c>
      <c r="B2194" s="13" t="s">
        <v>12465</v>
      </c>
      <c r="C2194" s="13" t="s">
        <v>12466</v>
      </c>
      <c r="E2194" s="13" t="s">
        <v>12285</v>
      </c>
      <c r="G2194" s="13" t="s">
        <v>32</v>
      </c>
    </row>
    <row r="2195" spans="1:7" ht="28.8" x14ac:dyDescent="0.3">
      <c r="A2195" s="13" t="s">
        <v>12273</v>
      </c>
      <c r="B2195" s="13" t="s">
        <v>12467</v>
      </c>
      <c r="E2195" s="13" t="s">
        <v>12295</v>
      </c>
      <c r="G2195" s="13" t="s">
        <v>32</v>
      </c>
    </row>
    <row r="2196" spans="1:7" ht="28.8" x14ac:dyDescent="0.3">
      <c r="A2196" s="13" t="s">
        <v>12273</v>
      </c>
      <c r="B2196" s="13" t="s">
        <v>12468</v>
      </c>
      <c r="C2196" s="13" t="s">
        <v>12469</v>
      </c>
      <c r="E2196" s="13" t="s">
        <v>12285</v>
      </c>
      <c r="G2196" s="13" t="s">
        <v>32</v>
      </c>
    </row>
    <row r="2197" spans="1:7" ht="28.8" x14ac:dyDescent="0.3">
      <c r="A2197" s="13" t="s">
        <v>12273</v>
      </c>
      <c r="B2197" s="13" t="s">
        <v>12470</v>
      </c>
      <c r="E2197" s="13" t="s">
        <v>12295</v>
      </c>
      <c r="G2197" s="13" t="s">
        <v>32</v>
      </c>
    </row>
    <row r="2198" spans="1:7" x14ac:dyDescent="0.3">
      <c r="A2198" s="13" t="s">
        <v>12273</v>
      </c>
      <c r="B2198" s="13" t="s">
        <v>12471</v>
      </c>
      <c r="E2198" s="13" t="s">
        <v>12295</v>
      </c>
      <c r="G2198" s="13" t="s">
        <v>32</v>
      </c>
    </row>
    <row r="2199" spans="1:7" x14ac:dyDescent="0.3">
      <c r="A2199" s="13" t="s">
        <v>12273</v>
      </c>
      <c r="B2199" s="13" t="s">
        <v>12472</v>
      </c>
      <c r="E2199" s="13" t="s">
        <v>12295</v>
      </c>
      <c r="G2199" s="13" t="s">
        <v>32</v>
      </c>
    </row>
    <row r="2200" spans="1:7" x14ac:dyDescent="0.3">
      <c r="A2200" s="13" t="s">
        <v>12273</v>
      </c>
      <c r="B2200" s="13" t="s">
        <v>12473</v>
      </c>
      <c r="E2200" s="13" t="s">
        <v>12474</v>
      </c>
      <c r="G2200" s="13" t="s">
        <v>32</v>
      </c>
    </row>
    <row r="2201" spans="1:7" x14ac:dyDescent="0.3">
      <c r="A2201" s="13" t="s">
        <v>12273</v>
      </c>
      <c r="B2201" s="13" t="s">
        <v>12475</v>
      </c>
      <c r="E2201" s="13" t="s">
        <v>12285</v>
      </c>
      <c r="G2201" s="13" t="s">
        <v>32</v>
      </c>
    </row>
    <row r="2202" spans="1:7" x14ac:dyDescent="0.3">
      <c r="A2202" s="13" t="s">
        <v>12273</v>
      </c>
      <c r="B2202" s="13" t="s">
        <v>12476</v>
      </c>
      <c r="E2202" s="13" t="s">
        <v>12295</v>
      </c>
      <c r="G2202" s="13" t="s">
        <v>32</v>
      </c>
    </row>
    <row r="2203" spans="1:7" x14ac:dyDescent="0.3">
      <c r="A2203" s="13" t="s">
        <v>12273</v>
      </c>
      <c r="B2203" s="13" t="s">
        <v>12477</v>
      </c>
      <c r="E2203" s="13" t="s">
        <v>12295</v>
      </c>
      <c r="G2203" s="13" t="s">
        <v>32</v>
      </c>
    </row>
    <row r="2204" spans="1:7" ht="57.6" x14ac:dyDescent="0.3">
      <c r="A2204" s="13" t="s">
        <v>12273</v>
      </c>
      <c r="B2204" s="13" t="s">
        <v>12478</v>
      </c>
      <c r="C2204" s="13" t="s">
        <v>12463</v>
      </c>
      <c r="E2204" s="13" t="s">
        <v>12464</v>
      </c>
      <c r="G2204" s="13" t="s">
        <v>32</v>
      </c>
    </row>
    <row r="2205" spans="1:7" ht="57.6" x14ac:dyDescent="0.3">
      <c r="A2205" s="13" t="s">
        <v>12273</v>
      </c>
      <c r="B2205" s="13" t="s">
        <v>12478</v>
      </c>
      <c r="C2205" s="13" t="s">
        <v>12463</v>
      </c>
      <c r="E2205" s="13" t="s">
        <v>12464</v>
      </c>
      <c r="G2205" s="13" t="s">
        <v>32</v>
      </c>
    </row>
    <row r="2206" spans="1:7" ht="57.6" x14ac:dyDescent="0.3">
      <c r="A2206" s="13" t="s">
        <v>12273</v>
      </c>
      <c r="B2206" s="13" t="s">
        <v>12478</v>
      </c>
      <c r="C2206" s="13" t="s">
        <v>12463</v>
      </c>
      <c r="E2206" s="13" t="s">
        <v>12464</v>
      </c>
      <c r="G2206" s="13" t="s">
        <v>32</v>
      </c>
    </row>
    <row r="2207" spans="1:7" ht="57.6" x14ac:dyDescent="0.3">
      <c r="A2207" s="13" t="s">
        <v>12273</v>
      </c>
      <c r="B2207" s="13" t="s">
        <v>12478</v>
      </c>
      <c r="C2207" s="13" t="s">
        <v>12463</v>
      </c>
      <c r="E2207" s="13" t="s">
        <v>12464</v>
      </c>
      <c r="G2207" s="13" t="s">
        <v>32</v>
      </c>
    </row>
    <row r="2208" spans="1:7" ht="57.6" x14ac:dyDescent="0.3">
      <c r="A2208" s="13" t="s">
        <v>12273</v>
      </c>
      <c r="B2208" s="13" t="s">
        <v>12478</v>
      </c>
      <c r="C2208" s="13" t="s">
        <v>12463</v>
      </c>
      <c r="E2208" s="13" t="s">
        <v>12464</v>
      </c>
      <c r="G2208" s="13" t="s">
        <v>32</v>
      </c>
    </row>
    <row r="2209" spans="1:7" ht="43.2" x14ac:dyDescent="0.3">
      <c r="A2209" s="13" t="s">
        <v>12273</v>
      </c>
      <c r="B2209" s="13" t="s">
        <v>12479</v>
      </c>
      <c r="C2209" s="13" t="s">
        <v>12480</v>
      </c>
      <c r="E2209" s="13" t="s">
        <v>12405</v>
      </c>
      <c r="G2209" s="13" t="s">
        <v>32</v>
      </c>
    </row>
    <row r="2210" spans="1:7" ht="43.2" x14ac:dyDescent="0.3">
      <c r="A2210" s="13" t="s">
        <v>12273</v>
      </c>
      <c r="B2210" s="13" t="s">
        <v>12481</v>
      </c>
      <c r="C2210" s="13" t="s">
        <v>12482</v>
      </c>
      <c r="E2210" s="13" t="s">
        <v>12285</v>
      </c>
      <c r="G2210" s="13" t="s">
        <v>32</v>
      </c>
    </row>
    <row r="2211" spans="1:7" ht="43.2" x14ac:dyDescent="0.3">
      <c r="A2211" s="13" t="s">
        <v>12273</v>
      </c>
      <c r="B2211" s="13" t="s">
        <v>12483</v>
      </c>
      <c r="C2211" s="13" t="s">
        <v>12484</v>
      </c>
      <c r="E2211" s="13" t="s">
        <v>12285</v>
      </c>
      <c r="G2211" s="13" t="s">
        <v>32</v>
      </c>
    </row>
    <row r="2212" spans="1:7" ht="43.2" x14ac:dyDescent="0.3">
      <c r="A2212" s="13" t="s">
        <v>12273</v>
      </c>
      <c r="B2212" s="13" t="s">
        <v>12483</v>
      </c>
      <c r="C2212" s="13" t="s">
        <v>12484</v>
      </c>
      <c r="E2212" s="13" t="s">
        <v>12285</v>
      </c>
      <c r="G2212" s="13" t="s">
        <v>32</v>
      </c>
    </row>
    <row r="2213" spans="1:7" x14ac:dyDescent="0.3">
      <c r="A2213" s="13" t="s">
        <v>12273</v>
      </c>
      <c r="B2213" s="13" t="s">
        <v>12485</v>
      </c>
      <c r="C2213" s="13" t="s">
        <v>12486</v>
      </c>
      <c r="E2213" s="13" t="s">
        <v>12295</v>
      </c>
      <c r="G2213" s="13" t="s">
        <v>32</v>
      </c>
    </row>
    <row r="2214" spans="1:7" x14ac:dyDescent="0.3">
      <c r="A2214" s="13" t="s">
        <v>12273</v>
      </c>
      <c r="B2214" s="13" t="s">
        <v>12485</v>
      </c>
      <c r="C2214" s="13" t="s">
        <v>12486</v>
      </c>
      <c r="E2214" s="13" t="s">
        <v>12295</v>
      </c>
      <c r="G2214" s="13" t="s">
        <v>32</v>
      </c>
    </row>
    <row r="2215" spans="1:7" x14ac:dyDescent="0.3">
      <c r="A2215" s="13" t="s">
        <v>12273</v>
      </c>
      <c r="B2215" s="13" t="s">
        <v>12487</v>
      </c>
      <c r="C2215" s="13" t="s">
        <v>12488</v>
      </c>
      <c r="E2215" s="13" t="s">
        <v>12295</v>
      </c>
      <c r="G2215" s="13" t="s">
        <v>32</v>
      </c>
    </row>
    <row r="2216" spans="1:7" x14ac:dyDescent="0.3">
      <c r="A2216" s="13" t="s">
        <v>12273</v>
      </c>
      <c r="B2216" s="13" t="s">
        <v>12487</v>
      </c>
      <c r="C2216" s="13" t="s">
        <v>12488</v>
      </c>
      <c r="E2216" s="13" t="s">
        <v>12295</v>
      </c>
      <c r="G2216" s="13" t="s">
        <v>32</v>
      </c>
    </row>
    <row r="2217" spans="1:7" ht="43.2" x14ac:dyDescent="0.3">
      <c r="A2217" s="13" t="s">
        <v>12273</v>
      </c>
      <c r="B2217" s="13" t="s">
        <v>12489</v>
      </c>
      <c r="C2217" s="13" t="s">
        <v>12482</v>
      </c>
      <c r="E2217" s="13" t="s">
        <v>12285</v>
      </c>
      <c r="G2217" s="13" t="s">
        <v>32</v>
      </c>
    </row>
    <row r="2218" spans="1:7" ht="43.2" x14ac:dyDescent="0.3">
      <c r="A2218" s="13" t="s">
        <v>12273</v>
      </c>
      <c r="B2218" s="13" t="s">
        <v>12489</v>
      </c>
      <c r="C2218" s="13" t="s">
        <v>12482</v>
      </c>
      <c r="E2218" s="13" t="s">
        <v>12285</v>
      </c>
      <c r="G2218" s="13" t="s">
        <v>32</v>
      </c>
    </row>
    <row r="2219" spans="1:7" x14ac:dyDescent="0.3">
      <c r="A2219" s="13" t="s">
        <v>12273</v>
      </c>
      <c r="B2219" s="13" t="s">
        <v>12490</v>
      </c>
      <c r="E2219" s="13" t="s">
        <v>12295</v>
      </c>
      <c r="G2219" s="13" t="s">
        <v>32</v>
      </c>
    </row>
    <row r="2220" spans="1:7" x14ac:dyDescent="0.3">
      <c r="A2220" s="13" t="s">
        <v>12273</v>
      </c>
      <c r="B2220" s="13" t="s">
        <v>12490</v>
      </c>
      <c r="E2220" s="13" t="s">
        <v>12295</v>
      </c>
      <c r="G2220" s="13" t="s">
        <v>32</v>
      </c>
    </row>
    <row r="2221" spans="1:7" x14ac:dyDescent="0.3">
      <c r="A2221" s="13" t="s">
        <v>12273</v>
      </c>
      <c r="B2221" s="13" t="s">
        <v>12490</v>
      </c>
      <c r="E2221" s="13" t="s">
        <v>12295</v>
      </c>
      <c r="G2221" s="13" t="s">
        <v>32</v>
      </c>
    </row>
    <row r="2222" spans="1:7" x14ac:dyDescent="0.3">
      <c r="A2222" s="13" t="s">
        <v>12273</v>
      </c>
      <c r="B2222" s="13" t="s">
        <v>12491</v>
      </c>
      <c r="E2222" s="13" t="s">
        <v>12295</v>
      </c>
      <c r="G2222" s="13" t="s">
        <v>32</v>
      </c>
    </row>
    <row r="2223" spans="1:7" x14ac:dyDescent="0.3">
      <c r="A2223" s="13" t="s">
        <v>12273</v>
      </c>
      <c r="B2223" s="13" t="s">
        <v>12491</v>
      </c>
      <c r="E2223" s="13" t="s">
        <v>12295</v>
      </c>
      <c r="G2223" s="13" t="s">
        <v>32</v>
      </c>
    </row>
    <row r="2224" spans="1:7" x14ac:dyDescent="0.3">
      <c r="A2224" s="13" t="s">
        <v>12273</v>
      </c>
      <c r="B2224" s="13" t="s">
        <v>12491</v>
      </c>
      <c r="E2224" s="13" t="s">
        <v>12295</v>
      </c>
      <c r="G2224" s="13" t="s">
        <v>32</v>
      </c>
    </row>
    <row r="2225" spans="1:7" ht="57.6" x14ac:dyDescent="0.3">
      <c r="A2225" s="13" t="s">
        <v>12273</v>
      </c>
      <c r="B2225" s="13" t="s">
        <v>12492</v>
      </c>
      <c r="C2225" s="13" t="s">
        <v>12493</v>
      </c>
      <c r="E2225" s="13" t="s">
        <v>12494</v>
      </c>
      <c r="G2225" s="13" t="s">
        <v>32</v>
      </c>
    </row>
    <row r="2226" spans="1:7" ht="57.6" x14ac:dyDescent="0.3">
      <c r="A2226" s="13" t="s">
        <v>12273</v>
      </c>
      <c r="B2226" s="13" t="s">
        <v>12492</v>
      </c>
      <c r="C2226" s="13" t="s">
        <v>12493</v>
      </c>
      <c r="E2226" s="13" t="s">
        <v>12494</v>
      </c>
      <c r="G2226" s="13" t="s">
        <v>32</v>
      </c>
    </row>
    <row r="2227" spans="1:7" ht="57.6" x14ac:dyDescent="0.3">
      <c r="A2227" s="13" t="s">
        <v>12273</v>
      </c>
      <c r="B2227" s="13" t="s">
        <v>12492</v>
      </c>
      <c r="C2227" s="13" t="s">
        <v>12493</v>
      </c>
      <c r="E2227" s="13" t="s">
        <v>12494</v>
      </c>
      <c r="G2227" s="13" t="s">
        <v>32</v>
      </c>
    </row>
    <row r="2228" spans="1:7" x14ac:dyDescent="0.3">
      <c r="A2228" s="13" t="s">
        <v>12273</v>
      </c>
      <c r="B2228" s="13" t="s">
        <v>12495</v>
      </c>
      <c r="C2228" s="13" t="s">
        <v>12496</v>
      </c>
      <c r="E2228" s="13" t="s">
        <v>12280</v>
      </c>
      <c r="G2228" s="13" t="s">
        <v>32</v>
      </c>
    </row>
    <row r="2229" spans="1:7" x14ac:dyDescent="0.3">
      <c r="A2229" s="13" t="s">
        <v>12273</v>
      </c>
      <c r="B2229" s="13" t="s">
        <v>12495</v>
      </c>
      <c r="C2229" s="13" t="s">
        <v>12496</v>
      </c>
      <c r="E2229" s="13" t="s">
        <v>12280</v>
      </c>
      <c r="G2229" s="13" t="s">
        <v>32</v>
      </c>
    </row>
    <row r="2230" spans="1:7" x14ac:dyDescent="0.3">
      <c r="A2230" s="13" t="s">
        <v>12273</v>
      </c>
      <c r="B2230" s="13" t="s">
        <v>12495</v>
      </c>
      <c r="C2230" s="13" t="s">
        <v>12496</v>
      </c>
      <c r="E2230" s="13" t="s">
        <v>12280</v>
      </c>
      <c r="G2230" s="13" t="s">
        <v>32</v>
      </c>
    </row>
    <row r="2231" spans="1:7" ht="28.8" x14ac:dyDescent="0.3">
      <c r="A2231" s="13" t="s">
        <v>12273</v>
      </c>
      <c r="B2231" s="13" t="s">
        <v>12497</v>
      </c>
      <c r="C2231" s="13" t="s">
        <v>12498</v>
      </c>
      <c r="E2231" s="13" t="s">
        <v>12499</v>
      </c>
      <c r="G2231" s="13" t="s">
        <v>32</v>
      </c>
    </row>
    <row r="2232" spans="1:7" ht="28.8" x14ac:dyDescent="0.3">
      <c r="A2232" s="13" t="s">
        <v>12273</v>
      </c>
      <c r="B2232" s="13" t="s">
        <v>12497</v>
      </c>
      <c r="C2232" s="13" t="s">
        <v>12498</v>
      </c>
      <c r="E2232" s="13" t="s">
        <v>12499</v>
      </c>
      <c r="G2232" s="13" t="s">
        <v>32</v>
      </c>
    </row>
    <row r="2233" spans="1:7" ht="28.8" x14ac:dyDescent="0.3">
      <c r="A2233" s="13" t="s">
        <v>12273</v>
      </c>
      <c r="B2233" s="13" t="s">
        <v>12497</v>
      </c>
      <c r="C2233" s="13" t="s">
        <v>12498</v>
      </c>
      <c r="E2233" s="13" t="s">
        <v>12499</v>
      </c>
      <c r="G2233" s="13" t="s">
        <v>32</v>
      </c>
    </row>
    <row r="2234" spans="1:7" ht="28.8" x14ac:dyDescent="0.3">
      <c r="A2234" s="13" t="s">
        <v>12273</v>
      </c>
      <c r="B2234" s="13" t="s">
        <v>12500</v>
      </c>
      <c r="E2234" s="13" t="s">
        <v>12501</v>
      </c>
      <c r="G2234" s="13" t="s">
        <v>32</v>
      </c>
    </row>
    <row r="2235" spans="1:7" ht="28.8" x14ac:dyDescent="0.3">
      <c r="A2235" s="13" t="s">
        <v>12273</v>
      </c>
      <c r="B2235" s="13" t="s">
        <v>12502</v>
      </c>
      <c r="E2235" s="13" t="s">
        <v>12503</v>
      </c>
      <c r="G2235" s="13" t="s">
        <v>32</v>
      </c>
    </row>
    <row r="2236" spans="1:7" ht="28.8" x14ac:dyDescent="0.3">
      <c r="A2236" s="13" t="s">
        <v>12273</v>
      </c>
      <c r="B2236" s="13" t="s">
        <v>12504</v>
      </c>
      <c r="C2236" s="13" t="s">
        <v>12505</v>
      </c>
      <c r="E2236" s="13" t="s">
        <v>12285</v>
      </c>
      <c r="G2236" s="13" t="s">
        <v>32</v>
      </c>
    </row>
    <row r="2237" spans="1:7" ht="28.8" x14ac:dyDescent="0.3">
      <c r="A2237" s="13" t="s">
        <v>12273</v>
      </c>
      <c r="B2237" s="13" t="s">
        <v>12504</v>
      </c>
      <c r="C2237" s="13" t="s">
        <v>12505</v>
      </c>
      <c r="E2237" s="13" t="s">
        <v>12285</v>
      </c>
      <c r="G2237" s="13" t="s">
        <v>32</v>
      </c>
    </row>
    <row r="2238" spans="1:7" x14ac:dyDescent="0.3">
      <c r="A2238" s="13" t="s">
        <v>12273</v>
      </c>
      <c r="B2238" s="13" t="s">
        <v>12506</v>
      </c>
      <c r="C2238" s="13" t="s">
        <v>12507</v>
      </c>
      <c r="E2238" s="13" t="s">
        <v>12295</v>
      </c>
      <c r="G2238" s="13" t="s">
        <v>32</v>
      </c>
    </row>
    <row r="2239" spans="1:7" x14ac:dyDescent="0.3">
      <c r="A2239" s="13" t="s">
        <v>12273</v>
      </c>
      <c r="B2239" s="13" t="s">
        <v>12508</v>
      </c>
      <c r="E2239" s="13" t="s">
        <v>12306</v>
      </c>
      <c r="G2239" s="13" t="s">
        <v>32</v>
      </c>
    </row>
    <row r="2240" spans="1:7" x14ac:dyDescent="0.3">
      <c r="A2240" s="13" t="s">
        <v>12273</v>
      </c>
      <c r="B2240" s="13" t="s">
        <v>12509</v>
      </c>
      <c r="C2240" s="13" t="s">
        <v>12457</v>
      </c>
      <c r="E2240" s="13" t="s">
        <v>12458</v>
      </c>
      <c r="G2240" s="13" t="s">
        <v>32</v>
      </c>
    </row>
    <row r="2241" spans="1:7" x14ac:dyDescent="0.3">
      <c r="A2241" s="13" t="s">
        <v>12273</v>
      </c>
      <c r="B2241" s="13" t="s">
        <v>12510</v>
      </c>
      <c r="C2241" s="13" t="s">
        <v>12511</v>
      </c>
      <c r="E2241" s="13" t="s">
        <v>12512</v>
      </c>
      <c r="G2241" s="13" t="s">
        <v>32</v>
      </c>
    </row>
    <row r="2242" spans="1:7" x14ac:dyDescent="0.3">
      <c r="A2242" s="13" t="s">
        <v>12273</v>
      </c>
      <c r="B2242" s="13" t="s">
        <v>12513</v>
      </c>
      <c r="C2242" s="13" t="s">
        <v>13100</v>
      </c>
    </row>
    <row r="2243" spans="1:7" ht="57.6" x14ac:dyDescent="0.3">
      <c r="A2243" s="13" t="s">
        <v>13101</v>
      </c>
      <c r="C2243" s="13" t="s">
        <v>12514</v>
      </c>
      <c r="E2243" s="13" t="s">
        <v>32</v>
      </c>
    </row>
    <row r="2244" spans="1:7" x14ac:dyDescent="0.3">
      <c r="A2244" s="13" t="s">
        <v>12273</v>
      </c>
      <c r="B2244" s="13" t="s">
        <v>12515</v>
      </c>
      <c r="E2244" s="13" t="s">
        <v>12285</v>
      </c>
      <c r="G2244" s="13" t="s">
        <v>32</v>
      </c>
    </row>
    <row r="2245" spans="1:7" x14ac:dyDescent="0.3">
      <c r="A2245" s="13" t="s">
        <v>12273</v>
      </c>
      <c r="B2245" s="13" t="s">
        <v>12516</v>
      </c>
      <c r="E2245" s="13" t="s">
        <v>12405</v>
      </c>
      <c r="G2245" s="13" t="s">
        <v>32</v>
      </c>
    </row>
    <row r="2246" spans="1:7" ht="28.8" x14ac:dyDescent="0.3">
      <c r="A2246" s="13" t="s">
        <v>12273</v>
      </c>
      <c r="B2246" s="13" t="s">
        <v>12517</v>
      </c>
      <c r="C2246" s="13" t="s">
        <v>12518</v>
      </c>
      <c r="E2246" s="13" t="s">
        <v>12405</v>
      </c>
      <c r="G2246" s="13" t="s">
        <v>32</v>
      </c>
    </row>
    <row r="2247" spans="1:7" x14ac:dyDescent="0.3">
      <c r="A2247" s="13" t="s">
        <v>12273</v>
      </c>
      <c r="B2247" s="13" t="s">
        <v>12519</v>
      </c>
      <c r="E2247" s="13" t="s">
        <v>12285</v>
      </c>
      <c r="G2247" s="13" t="s">
        <v>32</v>
      </c>
    </row>
    <row r="2248" spans="1:7" x14ac:dyDescent="0.3">
      <c r="A2248" s="13" t="s">
        <v>12273</v>
      </c>
      <c r="B2248" s="13" t="s">
        <v>12519</v>
      </c>
      <c r="E2248" s="13" t="s">
        <v>12285</v>
      </c>
      <c r="G2248" s="13" t="s">
        <v>32</v>
      </c>
    </row>
    <row r="2249" spans="1:7" x14ac:dyDescent="0.3">
      <c r="A2249" s="13" t="s">
        <v>12273</v>
      </c>
      <c r="B2249" s="13" t="s">
        <v>12519</v>
      </c>
      <c r="E2249" s="13" t="s">
        <v>12285</v>
      </c>
      <c r="G2249" s="13" t="s">
        <v>32</v>
      </c>
    </row>
    <row r="2250" spans="1:7" x14ac:dyDescent="0.3">
      <c r="A2250" s="13" t="s">
        <v>12273</v>
      </c>
      <c r="B2250" s="13" t="s">
        <v>12519</v>
      </c>
      <c r="E2250" s="13" t="s">
        <v>12285</v>
      </c>
      <c r="G2250" s="13" t="s">
        <v>32</v>
      </c>
    </row>
    <row r="2251" spans="1:7" x14ac:dyDescent="0.3">
      <c r="A2251" s="13" t="s">
        <v>12273</v>
      </c>
      <c r="B2251" s="13" t="s">
        <v>12519</v>
      </c>
      <c r="E2251" s="13" t="s">
        <v>12285</v>
      </c>
      <c r="G2251" s="13" t="s">
        <v>32</v>
      </c>
    </row>
    <row r="2252" spans="1:7" x14ac:dyDescent="0.3">
      <c r="A2252" s="13" t="s">
        <v>12273</v>
      </c>
      <c r="B2252" s="13" t="s">
        <v>12519</v>
      </c>
      <c r="E2252" s="13" t="s">
        <v>12285</v>
      </c>
      <c r="G2252" s="13" t="s">
        <v>32</v>
      </c>
    </row>
    <row r="2253" spans="1:7" x14ac:dyDescent="0.3">
      <c r="A2253" s="13" t="s">
        <v>12273</v>
      </c>
      <c r="B2253" s="13" t="s">
        <v>12519</v>
      </c>
      <c r="E2253" s="13" t="s">
        <v>12285</v>
      </c>
      <c r="G2253" s="13" t="s">
        <v>32</v>
      </c>
    </row>
    <row r="2254" spans="1:7" x14ac:dyDescent="0.3">
      <c r="A2254" s="13" t="s">
        <v>12273</v>
      </c>
      <c r="B2254" s="13" t="s">
        <v>12519</v>
      </c>
      <c r="E2254" s="13" t="s">
        <v>12285</v>
      </c>
      <c r="G2254" s="13" t="s">
        <v>32</v>
      </c>
    </row>
    <row r="2255" spans="1:7" x14ac:dyDescent="0.3">
      <c r="A2255" s="13" t="s">
        <v>12273</v>
      </c>
      <c r="B2255" s="13" t="s">
        <v>12519</v>
      </c>
      <c r="E2255" s="13" t="s">
        <v>12285</v>
      </c>
      <c r="G2255" s="13" t="s">
        <v>32</v>
      </c>
    </row>
    <row r="2256" spans="1:7" x14ac:dyDescent="0.3">
      <c r="A2256" s="13" t="s">
        <v>12273</v>
      </c>
      <c r="B2256" s="13" t="s">
        <v>12519</v>
      </c>
      <c r="E2256" s="13" t="s">
        <v>12285</v>
      </c>
      <c r="G2256" s="13" t="s">
        <v>32</v>
      </c>
    </row>
    <row r="2257" spans="1:7" x14ac:dyDescent="0.3">
      <c r="A2257" s="13" t="s">
        <v>12273</v>
      </c>
      <c r="B2257" s="13" t="s">
        <v>12519</v>
      </c>
      <c r="E2257" s="13" t="s">
        <v>12285</v>
      </c>
      <c r="G2257" s="13" t="s">
        <v>32</v>
      </c>
    </row>
    <row r="2258" spans="1:7" x14ac:dyDescent="0.3">
      <c r="A2258" s="13" t="s">
        <v>12273</v>
      </c>
      <c r="B2258" s="13" t="s">
        <v>12520</v>
      </c>
      <c r="E2258" s="13" t="s">
        <v>12285</v>
      </c>
      <c r="G2258" s="13" t="s">
        <v>32</v>
      </c>
    </row>
    <row r="2259" spans="1:7" x14ac:dyDescent="0.3">
      <c r="A2259" s="13" t="s">
        <v>12273</v>
      </c>
      <c r="B2259" s="13" t="s">
        <v>12520</v>
      </c>
      <c r="E2259" s="13" t="s">
        <v>12285</v>
      </c>
      <c r="G2259" s="13" t="s">
        <v>32</v>
      </c>
    </row>
    <row r="2260" spans="1:7" x14ac:dyDescent="0.3">
      <c r="A2260" s="13" t="s">
        <v>12273</v>
      </c>
      <c r="B2260" s="13" t="s">
        <v>12520</v>
      </c>
      <c r="E2260" s="13" t="s">
        <v>12285</v>
      </c>
      <c r="G2260" s="13" t="s">
        <v>32</v>
      </c>
    </row>
    <row r="2261" spans="1:7" x14ac:dyDescent="0.3">
      <c r="A2261" s="13" t="s">
        <v>12273</v>
      </c>
      <c r="B2261" s="13" t="s">
        <v>12520</v>
      </c>
      <c r="E2261" s="13" t="s">
        <v>12285</v>
      </c>
      <c r="G2261" s="13" t="s">
        <v>32</v>
      </c>
    </row>
    <row r="2262" spans="1:7" x14ac:dyDescent="0.3">
      <c r="A2262" s="13" t="s">
        <v>12273</v>
      </c>
      <c r="B2262" s="13" t="s">
        <v>12520</v>
      </c>
      <c r="E2262" s="13" t="s">
        <v>12285</v>
      </c>
      <c r="G2262" s="13" t="s">
        <v>32</v>
      </c>
    </row>
    <row r="2263" spans="1:7" x14ac:dyDescent="0.3">
      <c r="A2263" s="13" t="s">
        <v>12273</v>
      </c>
      <c r="B2263" s="13" t="s">
        <v>12520</v>
      </c>
      <c r="E2263" s="13" t="s">
        <v>12285</v>
      </c>
      <c r="G2263" s="13" t="s">
        <v>32</v>
      </c>
    </row>
    <row r="2264" spans="1:7" x14ac:dyDescent="0.3">
      <c r="A2264" s="13" t="s">
        <v>12273</v>
      </c>
      <c r="B2264" s="13" t="s">
        <v>12520</v>
      </c>
      <c r="E2264" s="13" t="s">
        <v>12285</v>
      </c>
      <c r="G2264" s="13" t="s">
        <v>32</v>
      </c>
    </row>
    <row r="2265" spans="1:7" x14ac:dyDescent="0.3">
      <c r="A2265" s="13" t="s">
        <v>12273</v>
      </c>
      <c r="B2265" s="13" t="s">
        <v>12520</v>
      </c>
      <c r="E2265" s="13" t="s">
        <v>12285</v>
      </c>
      <c r="G2265" s="13" t="s">
        <v>32</v>
      </c>
    </row>
    <row r="2266" spans="1:7" x14ac:dyDescent="0.3">
      <c r="A2266" s="13" t="s">
        <v>12273</v>
      </c>
      <c r="B2266" s="13" t="s">
        <v>12520</v>
      </c>
      <c r="E2266" s="13" t="s">
        <v>12285</v>
      </c>
      <c r="G2266" s="13" t="s">
        <v>32</v>
      </c>
    </row>
    <row r="2267" spans="1:7" x14ac:dyDescent="0.3">
      <c r="A2267" s="13" t="s">
        <v>12273</v>
      </c>
      <c r="B2267" s="13" t="s">
        <v>12520</v>
      </c>
      <c r="E2267" s="13" t="s">
        <v>12285</v>
      </c>
      <c r="G2267" s="13" t="s">
        <v>32</v>
      </c>
    </row>
    <row r="2268" spans="1:7" x14ac:dyDescent="0.3">
      <c r="A2268" s="13" t="s">
        <v>12273</v>
      </c>
      <c r="B2268" s="13" t="s">
        <v>12520</v>
      </c>
      <c r="E2268" s="13" t="s">
        <v>12285</v>
      </c>
      <c r="G2268" s="13" t="s">
        <v>32</v>
      </c>
    </row>
    <row r="2269" spans="1:7" x14ac:dyDescent="0.3">
      <c r="A2269" s="13" t="s">
        <v>12273</v>
      </c>
      <c r="B2269" s="13" t="s">
        <v>12521</v>
      </c>
      <c r="E2269" s="13" t="s">
        <v>12285</v>
      </c>
      <c r="G2269" s="13" t="s">
        <v>32</v>
      </c>
    </row>
    <row r="2270" spans="1:7" x14ac:dyDescent="0.3">
      <c r="A2270" s="13" t="s">
        <v>12273</v>
      </c>
      <c r="B2270" s="13" t="s">
        <v>12521</v>
      </c>
      <c r="E2270" s="13" t="s">
        <v>12285</v>
      </c>
      <c r="G2270" s="13" t="s">
        <v>32</v>
      </c>
    </row>
    <row r="2271" spans="1:7" x14ac:dyDescent="0.3">
      <c r="A2271" s="13" t="s">
        <v>12273</v>
      </c>
      <c r="B2271" s="13" t="s">
        <v>12521</v>
      </c>
      <c r="E2271" s="13" t="s">
        <v>12285</v>
      </c>
      <c r="G2271" s="13" t="s">
        <v>32</v>
      </c>
    </row>
    <row r="2272" spans="1:7" x14ac:dyDescent="0.3">
      <c r="A2272" s="13" t="s">
        <v>12273</v>
      </c>
      <c r="B2272" s="13" t="s">
        <v>12521</v>
      </c>
      <c r="E2272" s="13" t="s">
        <v>12285</v>
      </c>
      <c r="G2272" s="13" t="s">
        <v>32</v>
      </c>
    </row>
    <row r="2273" spans="1:7" x14ac:dyDescent="0.3">
      <c r="A2273" s="13" t="s">
        <v>12273</v>
      </c>
      <c r="B2273" s="13" t="s">
        <v>12521</v>
      </c>
      <c r="E2273" s="13" t="s">
        <v>12285</v>
      </c>
      <c r="G2273" s="13" t="s">
        <v>32</v>
      </c>
    </row>
    <row r="2274" spans="1:7" x14ac:dyDescent="0.3">
      <c r="A2274" s="13" t="s">
        <v>12273</v>
      </c>
      <c r="B2274" s="13" t="s">
        <v>12521</v>
      </c>
      <c r="E2274" s="13" t="s">
        <v>12285</v>
      </c>
      <c r="G2274" s="13" t="s">
        <v>32</v>
      </c>
    </row>
    <row r="2275" spans="1:7" x14ac:dyDescent="0.3">
      <c r="A2275" s="13" t="s">
        <v>12273</v>
      </c>
      <c r="B2275" s="13" t="s">
        <v>12521</v>
      </c>
      <c r="E2275" s="13" t="s">
        <v>12285</v>
      </c>
      <c r="G2275" s="13" t="s">
        <v>32</v>
      </c>
    </row>
    <row r="2276" spans="1:7" x14ac:dyDescent="0.3">
      <c r="A2276" s="13" t="s">
        <v>12273</v>
      </c>
      <c r="B2276" s="13" t="s">
        <v>12521</v>
      </c>
      <c r="E2276" s="13" t="s">
        <v>12285</v>
      </c>
      <c r="G2276" s="13" t="s">
        <v>32</v>
      </c>
    </row>
    <row r="2277" spans="1:7" x14ac:dyDescent="0.3">
      <c r="A2277" s="13" t="s">
        <v>12273</v>
      </c>
      <c r="B2277" s="13" t="s">
        <v>12521</v>
      </c>
      <c r="E2277" s="13" t="s">
        <v>12285</v>
      </c>
      <c r="G2277" s="13" t="s">
        <v>32</v>
      </c>
    </row>
    <row r="2278" spans="1:7" x14ac:dyDescent="0.3">
      <c r="A2278" s="13" t="s">
        <v>12273</v>
      </c>
      <c r="B2278" s="13" t="s">
        <v>12521</v>
      </c>
      <c r="E2278" s="13" t="s">
        <v>12285</v>
      </c>
      <c r="G2278" s="13" t="s">
        <v>32</v>
      </c>
    </row>
    <row r="2279" spans="1:7" x14ac:dyDescent="0.3">
      <c r="A2279" s="13" t="s">
        <v>12273</v>
      </c>
      <c r="B2279" s="13" t="s">
        <v>12521</v>
      </c>
      <c r="E2279" s="13" t="s">
        <v>12285</v>
      </c>
      <c r="G2279" s="13" t="s">
        <v>32</v>
      </c>
    </row>
    <row r="2280" spans="1:7" x14ac:dyDescent="0.3">
      <c r="A2280" s="13" t="s">
        <v>12273</v>
      </c>
      <c r="B2280" s="13" t="s">
        <v>12522</v>
      </c>
      <c r="E2280" s="13" t="s">
        <v>12369</v>
      </c>
      <c r="G2280" s="13" t="s">
        <v>32</v>
      </c>
    </row>
    <row r="2281" spans="1:7" x14ac:dyDescent="0.3">
      <c r="A2281" s="13" t="s">
        <v>12273</v>
      </c>
      <c r="B2281" s="13" t="s">
        <v>12522</v>
      </c>
      <c r="E2281" s="13" t="s">
        <v>12369</v>
      </c>
      <c r="G2281" s="13" t="s">
        <v>32</v>
      </c>
    </row>
    <row r="2282" spans="1:7" x14ac:dyDescent="0.3">
      <c r="A2282" s="13" t="s">
        <v>12273</v>
      </c>
      <c r="B2282" s="13" t="s">
        <v>12522</v>
      </c>
      <c r="E2282" s="13" t="s">
        <v>12369</v>
      </c>
      <c r="G2282" s="13" t="s">
        <v>32</v>
      </c>
    </row>
    <row r="2283" spans="1:7" x14ac:dyDescent="0.3">
      <c r="A2283" s="13" t="s">
        <v>12273</v>
      </c>
      <c r="B2283" s="13" t="s">
        <v>12522</v>
      </c>
      <c r="E2283" s="13" t="s">
        <v>12369</v>
      </c>
      <c r="G2283" s="13" t="s">
        <v>32</v>
      </c>
    </row>
    <row r="2284" spans="1:7" x14ac:dyDescent="0.3">
      <c r="A2284" s="13" t="s">
        <v>12273</v>
      </c>
      <c r="B2284" s="13" t="s">
        <v>12522</v>
      </c>
      <c r="E2284" s="13" t="s">
        <v>12369</v>
      </c>
      <c r="G2284" s="13" t="s">
        <v>32</v>
      </c>
    </row>
    <row r="2285" spans="1:7" x14ac:dyDescent="0.3">
      <c r="A2285" s="13" t="s">
        <v>12273</v>
      </c>
      <c r="B2285" s="13" t="s">
        <v>12522</v>
      </c>
      <c r="E2285" s="13" t="s">
        <v>12369</v>
      </c>
      <c r="G2285" s="13" t="s">
        <v>32</v>
      </c>
    </row>
    <row r="2286" spans="1:7" x14ac:dyDescent="0.3">
      <c r="A2286" s="13" t="s">
        <v>12273</v>
      </c>
      <c r="B2286" s="13" t="s">
        <v>12522</v>
      </c>
      <c r="E2286" s="13" t="s">
        <v>12369</v>
      </c>
      <c r="G2286" s="13" t="s">
        <v>32</v>
      </c>
    </row>
    <row r="2287" spans="1:7" x14ac:dyDescent="0.3">
      <c r="A2287" s="13" t="s">
        <v>12273</v>
      </c>
      <c r="B2287" s="13" t="s">
        <v>12522</v>
      </c>
      <c r="E2287" s="13" t="s">
        <v>12369</v>
      </c>
      <c r="G2287" s="13" t="s">
        <v>32</v>
      </c>
    </row>
    <row r="2288" spans="1:7" x14ac:dyDescent="0.3">
      <c r="A2288" s="13" t="s">
        <v>12273</v>
      </c>
      <c r="B2288" s="13" t="s">
        <v>12522</v>
      </c>
      <c r="E2288" s="13" t="s">
        <v>12369</v>
      </c>
      <c r="G2288" s="13" t="s">
        <v>32</v>
      </c>
    </row>
    <row r="2289" spans="1:7" x14ac:dyDescent="0.3">
      <c r="A2289" s="13" t="s">
        <v>12273</v>
      </c>
      <c r="B2289" s="13" t="s">
        <v>12522</v>
      </c>
      <c r="E2289" s="13" t="s">
        <v>12369</v>
      </c>
      <c r="G2289" s="13" t="s">
        <v>32</v>
      </c>
    </row>
    <row r="2290" spans="1:7" x14ac:dyDescent="0.3">
      <c r="A2290" s="13" t="s">
        <v>12273</v>
      </c>
      <c r="B2290" s="13" t="s">
        <v>12522</v>
      </c>
      <c r="E2290" s="13" t="s">
        <v>12369</v>
      </c>
      <c r="G2290" s="13" t="s">
        <v>32</v>
      </c>
    </row>
    <row r="2291" spans="1:7" x14ac:dyDescent="0.3">
      <c r="A2291" s="13" t="s">
        <v>12273</v>
      </c>
      <c r="B2291" s="13" t="s">
        <v>12523</v>
      </c>
      <c r="E2291" s="13" t="s">
        <v>12369</v>
      </c>
      <c r="G2291" s="13" t="s">
        <v>32</v>
      </c>
    </row>
    <row r="2292" spans="1:7" x14ac:dyDescent="0.3">
      <c r="A2292" s="13" t="s">
        <v>12273</v>
      </c>
      <c r="B2292" s="13" t="s">
        <v>12523</v>
      </c>
      <c r="E2292" s="13" t="s">
        <v>12369</v>
      </c>
      <c r="G2292" s="13" t="s">
        <v>32</v>
      </c>
    </row>
    <row r="2293" spans="1:7" x14ac:dyDescent="0.3">
      <c r="A2293" s="13" t="s">
        <v>12273</v>
      </c>
      <c r="B2293" s="13" t="s">
        <v>12523</v>
      </c>
      <c r="E2293" s="13" t="s">
        <v>12369</v>
      </c>
      <c r="G2293" s="13" t="s">
        <v>32</v>
      </c>
    </row>
    <row r="2294" spans="1:7" x14ac:dyDescent="0.3">
      <c r="A2294" s="13" t="s">
        <v>12273</v>
      </c>
      <c r="B2294" s="13" t="s">
        <v>12523</v>
      </c>
      <c r="E2294" s="13" t="s">
        <v>12369</v>
      </c>
      <c r="G2294" s="13" t="s">
        <v>32</v>
      </c>
    </row>
    <row r="2295" spans="1:7" x14ac:dyDescent="0.3">
      <c r="A2295" s="13" t="s">
        <v>12273</v>
      </c>
      <c r="B2295" s="13" t="s">
        <v>12523</v>
      </c>
      <c r="E2295" s="13" t="s">
        <v>12369</v>
      </c>
      <c r="G2295" s="13" t="s">
        <v>32</v>
      </c>
    </row>
    <row r="2296" spans="1:7" x14ac:dyDescent="0.3">
      <c r="A2296" s="13" t="s">
        <v>12273</v>
      </c>
      <c r="B2296" s="13" t="s">
        <v>12523</v>
      </c>
      <c r="E2296" s="13" t="s">
        <v>12369</v>
      </c>
      <c r="G2296" s="13" t="s">
        <v>32</v>
      </c>
    </row>
    <row r="2297" spans="1:7" x14ac:dyDescent="0.3">
      <c r="A2297" s="13" t="s">
        <v>12273</v>
      </c>
      <c r="B2297" s="13" t="s">
        <v>12523</v>
      </c>
      <c r="E2297" s="13" t="s">
        <v>12369</v>
      </c>
      <c r="G2297" s="13" t="s">
        <v>32</v>
      </c>
    </row>
    <row r="2298" spans="1:7" x14ac:dyDescent="0.3">
      <c r="A2298" s="13" t="s">
        <v>12273</v>
      </c>
      <c r="B2298" s="13" t="s">
        <v>12523</v>
      </c>
      <c r="E2298" s="13" t="s">
        <v>12369</v>
      </c>
      <c r="G2298" s="13" t="s">
        <v>32</v>
      </c>
    </row>
    <row r="2299" spans="1:7" x14ac:dyDescent="0.3">
      <c r="A2299" s="13" t="s">
        <v>12273</v>
      </c>
      <c r="B2299" s="13" t="s">
        <v>12523</v>
      </c>
      <c r="E2299" s="13" t="s">
        <v>12369</v>
      </c>
      <c r="G2299" s="13" t="s">
        <v>32</v>
      </c>
    </row>
    <row r="2300" spans="1:7" x14ac:dyDescent="0.3">
      <c r="A2300" s="13" t="s">
        <v>12273</v>
      </c>
      <c r="B2300" s="13" t="s">
        <v>12523</v>
      </c>
      <c r="E2300" s="13" t="s">
        <v>12369</v>
      </c>
      <c r="G2300" s="13" t="s">
        <v>32</v>
      </c>
    </row>
    <row r="2301" spans="1:7" x14ac:dyDescent="0.3">
      <c r="A2301" s="13" t="s">
        <v>12273</v>
      </c>
      <c r="B2301" s="13" t="s">
        <v>12523</v>
      </c>
      <c r="E2301" s="13" t="s">
        <v>12369</v>
      </c>
      <c r="G2301" s="13" t="s">
        <v>32</v>
      </c>
    </row>
    <row r="2302" spans="1:7" x14ac:dyDescent="0.3">
      <c r="A2302" s="13" t="s">
        <v>12273</v>
      </c>
      <c r="B2302" s="13" t="s">
        <v>12524</v>
      </c>
      <c r="E2302" s="13" t="s">
        <v>12369</v>
      </c>
      <c r="G2302" s="13" t="s">
        <v>32</v>
      </c>
    </row>
    <row r="2303" spans="1:7" x14ac:dyDescent="0.3">
      <c r="A2303" s="13" t="s">
        <v>12273</v>
      </c>
      <c r="B2303" s="13" t="s">
        <v>12524</v>
      </c>
      <c r="E2303" s="13" t="s">
        <v>12369</v>
      </c>
      <c r="G2303" s="13" t="s">
        <v>32</v>
      </c>
    </row>
    <row r="2304" spans="1:7" x14ac:dyDescent="0.3">
      <c r="A2304" s="13" t="s">
        <v>12273</v>
      </c>
      <c r="B2304" s="13" t="s">
        <v>12524</v>
      </c>
      <c r="E2304" s="13" t="s">
        <v>12369</v>
      </c>
      <c r="G2304" s="13" t="s">
        <v>32</v>
      </c>
    </row>
    <row r="2305" spans="1:7" x14ac:dyDescent="0.3">
      <c r="A2305" s="13" t="s">
        <v>12273</v>
      </c>
      <c r="B2305" s="13" t="s">
        <v>12524</v>
      </c>
      <c r="E2305" s="13" t="s">
        <v>12369</v>
      </c>
      <c r="G2305" s="13" t="s">
        <v>32</v>
      </c>
    </row>
    <row r="2306" spans="1:7" x14ac:dyDescent="0.3">
      <c r="A2306" s="13" t="s">
        <v>12273</v>
      </c>
      <c r="B2306" s="13" t="s">
        <v>12524</v>
      </c>
      <c r="E2306" s="13" t="s">
        <v>12369</v>
      </c>
      <c r="G2306" s="13" t="s">
        <v>32</v>
      </c>
    </row>
    <row r="2307" spans="1:7" x14ac:dyDescent="0.3">
      <c r="A2307" s="13" t="s">
        <v>12273</v>
      </c>
      <c r="B2307" s="13" t="s">
        <v>12524</v>
      </c>
      <c r="E2307" s="13" t="s">
        <v>12369</v>
      </c>
      <c r="G2307" s="13" t="s">
        <v>32</v>
      </c>
    </row>
    <row r="2308" spans="1:7" x14ac:dyDescent="0.3">
      <c r="A2308" s="13" t="s">
        <v>12273</v>
      </c>
      <c r="B2308" s="13" t="s">
        <v>12524</v>
      </c>
      <c r="E2308" s="13" t="s">
        <v>12369</v>
      </c>
      <c r="G2308" s="13" t="s">
        <v>32</v>
      </c>
    </row>
    <row r="2309" spans="1:7" x14ac:dyDescent="0.3">
      <c r="A2309" s="13" t="s">
        <v>12273</v>
      </c>
      <c r="B2309" s="13" t="s">
        <v>12524</v>
      </c>
      <c r="E2309" s="13" t="s">
        <v>12369</v>
      </c>
      <c r="G2309" s="13" t="s">
        <v>32</v>
      </c>
    </row>
    <row r="2310" spans="1:7" x14ac:dyDescent="0.3">
      <c r="A2310" s="13" t="s">
        <v>12273</v>
      </c>
      <c r="B2310" s="13" t="s">
        <v>12524</v>
      </c>
      <c r="E2310" s="13" t="s">
        <v>12369</v>
      </c>
      <c r="G2310" s="13" t="s">
        <v>32</v>
      </c>
    </row>
    <row r="2311" spans="1:7" x14ac:dyDescent="0.3">
      <c r="A2311" s="13" t="s">
        <v>12273</v>
      </c>
      <c r="B2311" s="13" t="s">
        <v>12524</v>
      </c>
      <c r="E2311" s="13" t="s">
        <v>12369</v>
      </c>
      <c r="G2311" s="13" t="s">
        <v>32</v>
      </c>
    </row>
    <row r="2312" spans="1:7" x14ac:dyDescent="0.3">
      <c r="A2312" s="13" t="s">
        <v>12273</v>
      </c>
      <c r="B2312" s="13" t="s">
        <v>12524</v>
      </c>
      <c r="E2312" s="13" t="s">
        <v>12369</v>
      </c>
      <c r="G2312" s="13" t="s">
        <v>32</v>
      </c>
    </row>
    <row r="2313" spans="1:7" x14ac:dyDescent="0.3">
      <c r="A2313" s="13" t="s">
        <v>12273</v>
      </c>
      <c r="B2313" s="13" t="s">
        <v>12525</v>
      </c>
      <c r="E2313" s="13" t="s">
        <v>12369</v>
      </c>
      <c r="G2313" s="13" t="s">
        <v>32</v>
      </c>
    </row>
    <row r="2314" spans="1:7" x14ac:dyDescent="0.3">
      <c r="A2314" s="13" t="s">
        <v>12273</v>
      </c>
      <c r="B2314" s="13" t="s">
        <v>12525</v>
      </c>
      <c r="E2314" s="13" t="s">
        <v>12369</v>
      </c>
      <c r="G2314" s="13" t="s">
        <v>32</v>
      </c>
    </row>
    <row r="2315" spans="1:7" x14ac:dyDescent="0.3">
      <c r="A2315" s="13" t="s">
        <v>12273</v>
      </c>
      <c r="B2315" s="13" t="s">
        <v>12525</v>
      </c>
      <c r="E2315" s="13" t="s">
        <v>12369</v>
      </c>
      <c r="G2315" s="13" t="s">
        <v>32</v>
      </c>
    </row>
    <row r="2316" spans="1:7" x14ac:dyDescent="0.3">
      <c r="A2316" s="13" t="s">
        <v>12273</v>
      </c>
      <c r="B2316" s="13" t="s">
        <v>12525</v>
      </c>
      <c r="E2316" s="13" t="s">
        <v>12369</v>
      </c>
      <c r="G2316" s="13" t="s">
        <v>32</v>
      </c>
    </row>
    <row r="2317" spans="1:7" x14ac:dyDescent="0.3">
      <c r="A2317" s="13" t="s">
        <v>12273</v>
      </c>
      <c r="B2317" s="13" t="s">
        <v>12525</v>
      </c>
      <c r="E2317" s="13" t="s">
        <v>12369</v>
      </c>
      <c r="G2317" s="13" t="s">
        <v>32</v>
      </c>
    </row>
    <row r="2318" spans="1:7" x14ac:dyDescent="0.3">
      <c r="A2318" s="13" t="s">
        <v>12273</v>
      </c>
      <c r="B2318" s="13" t="s">
        <v>12525</v>
      </c>
      <c r="E2318" s="13" t="s">
        <v>12369</v>
      </c>
      <c r="G2318" s="13" t="s">
        <v>32</v>
      </c>
    </row>
    <row r="2319" spans="1:7" x14ac:dyDescent="0.3">
      <c r="A2319" s="13" t="s">
        <v>12273</v>
      </c>
      <c r="B2319" s="13" t="s">
        <v>12525</v>
      </c>
      <c r="E2319" s="13" t="s">
        <v>12369</v>
      </c>
      <c r="G2319" s="13" t="s">
        <v>32</v>
      </c>
    </row>
    <row r="2320" spans="1:7" x14ac:dyDescent="0.3">
      <c r="A2320" s="13" t="s">
        <v>12273</v>
      </c>
      <c r="B2320" s="13" t="s">
        <v>12525</v>
      </c>
      <c r="E2320" s="13" t="s">
        <v>12369</v>
      </c>
      <c r="G2320" s="13" t="s">
        <v>32</v>
      </c>
    </row>
    <row r="2321" spans="1:7" x14ac:dyDescent="0.3">
      <c r="A2321" s="13" t="s">
        <v>12273</v>
      </c>
      <c r="B2321" s="13" t="s">
        <v>12525</v>
      </c>
      <c r="E2321" s="13" t="s">
        <v>12369</v>
      </c>
      <c r="G2321" s="13" t="s">
        <v>32</v>
      </c>
    </row>
    <row r="2322" spans="1:7" x14ac:dyDescent="0.3">
      <c r="A2322" s="13" t="s">
        <v>12273</v>
      </c>
      <c r="B2322" s="13" t="s">
        <v>12525</v>
      </c>
      <c r="E2322" s="13" t="s">
        <v>12369</v>
      </c>
      <c r="G2322" s="13" t="s">
        <v>32</v>
      </c>
    </row>
    <row r="2323" spans="1:7" x14ac:dyDescent="0.3">
      <c r="A2323" s="13" t="s">
        <v>12273</v>
      </c>
      <c r="B2323" s="13" t="s">
        <v>12525</v>
      </c>
      <c r="E2323" s="13" t="s">
        <v>12369</v>
      </c>
      <c r="G2323" s="13" t="s">
        <v>32</v>
      </c>
    </row>
    <row r="2324" spans="1:7" x14ac:dyDescent="0.3">
      <c r="A2324" s="13" t="s">
        <v>12273</v>
      </c>
      <c r="B2324" s="13" t="s">
        <v>12526</v>
      </c>
      <c r="E2324" s="13" t="s">
        <v>12285</v>
      </c>
      <c r="G2324" s="13" t="s">
        <v>32</v>
      </c>
    </row>
    <row r="2325" spans="1:7" x14ac:dyDescent="0.3">
      <c r="A2325" s="13" t="s">
        <v>12273</v>
      </c>
      <c r="B2325" s="13" t="s">
        <v>12526</v>
      </c>
      <c r="E2325" s="13" t="s">
        <v>12285</v>
      </c>
      <c r="G2325" s="13" t="s">
        <v>32</v>
      </c>
    </row>
    <row r="2326" spans="1:7" x14ac:dyDescent="0.3">
      <c r="A2326" s="13" t="s">
        <v>12273</v>
      </c>
      <c r="B2326" s="13" t="s">
        <v>12526</v>
      </c>
      <c r="E2326" s="13" t="s">
        <v>12285</v>
      </c>
      <c r="G2326" s="13" t="s">
        <v>32</v>
      </c>
    </row>
    <row r="2327" spans="1:7" x14ac:dyDescent="0.3">
      <c r="A2327" s="13" t="s">
        <v>12273</v>
      </c>
      <c r="B2327" s="13" t="s">
        <v>12526</v>
      </c>
      <c r="E2327" s="13" t="s">
        <v>12285</v>
      </c>
      <c r="G2327" s="13" t="s">
        <v>32</v>
      </c>
    </row>
    <row r="2328" spans="1:7" x14ac:dyDescent="0.3">
      <c r="A2328" s="13" t="s">
        <v>12273</v>
      </c>
      <c r="B2328" s="13" t="s">
        <v>12526</v>
      </c>
      <c r="E2328" s="13" t="s">
        <v>12285</v>
      </c>
      <c r="G2328" s="13" t="s">
        <v>32</v>
      </c>
    </row>
    <row r="2329" spans="1:7" x14ac:dyDescent="0.3">
      <c r="A2329" s="13" t="s">
        <v>12273</v>
      </c>
      <c r="B2329" s="13" t="s">
        <v>12526</v>
      </c>
      <c r="E2329" s="13" t="s">
        <v>12285</v>
      </c>
      <c r="G2329" s="13" t="s">
        <v>32</v>
      </c>
    </row>
    <row r="2330" spans="1:7" x14ac:dyDescent="0.3">
      <c r="A2330" s="13" t="s">
        <v>12273</v>
      </c>
      <c r="B2330" s="13" t="s">
        <v>12526</v>
      </c>
      <c r="E2330" s="13" t="s">
        <v>12285</v>
      </c>
      <c r="G2330" s="13" t="s">
        <v>32</v>
      </c>
    </row>
    <row r="2331" spans="1:7" x14ac:dyDescent="0.3">
      <c r="A2331" s="13" t="s">
        <v>12273</v>
      </c>
      <c r="B2331" s="13" t="s">
        <v>12526</v>
      </c>
      <c r="E2331" s="13" t="s">
        <v>12285</v>
      </c>
      <c r="G2331" s="13" t="s">
        <v>32</v>
      </c>
    </row>
    <row r="2332" spans="1:7" x14ac:dyDescent="0.3">
      <c r="A2332" s="13" t="s">
        <v>12273</v>
      </c>
      <c r="B2332" s="13" t="s">
        <v>12526</v>
      </c>
      <c r="E2332" s="13" t="s">
        <v>12285</v>
      </c>
      <c r="G2332" s="13" t="s">
        <v>32</v>
      </c>
    </row>
    <row r="2333" spans="1:7" x14ac:dyDescent="0.3">
      <c r="A2333" s="13" t="s">
        <v>12273</v>
      </c>
      <c r="B2333" s="13" t="s">
        <v>12526</v>
      </c>
      <c r="E2333" s="13" t="s">
        <v>12285</v>
      </c>
      <c r="G2333" s="13" t="s">
        <v>32</v>
      </c>
    </row>
    <row r="2334" spans="1:7" x14ac:dyDescent="0.3">
      <c r="A2334" s="13" t="s">
        <v>12273</v>
      </c>
      <c r="B2334" s="13" t="s">
        <v>12526</v>
      </c>
      <c r="E2334" s="13" t="s">
        <v>12285</v>
      </c>
      <c r="G2334" s="13" t="s">
        <v>32</v>
      </c>
    </row>
    <row r="2335" spans="1:7" x14ac:dyDescent="0.3">
      <c r="A2335" s="13" t="s">
        <v>12273</v>
      </c>
      <c r="B2335" s="13" t="s">
        <v>12527</v>
      </c>
      <c r="E2335" s="13" t="s">
        <v>12285</v>
      </c>
      <c r="G2335" s="13" t="s">
        <v>32</v>
      </c>
    </row>
    <row r="2336" spans="1:7" x14ac:dyDescent="0.3">
      <c r="A2336" s="13" t="s">
        <v>12273</v>
      </c>
      <c r="B2336" s="13" t="s">
        <v>12527</v>
      </c>
      <c r="E2336" s="13" t="s">
        <v>12285</v>
      </c>
      <c r="G2336" s="13" t="s">
        <v>32</v>
      </c>
    </row>
    <row r="2337" spans="1:7" x14ac:dyDescent="0.3">
      <c r="A2337" s="13" t="s">
        <v>12273</v>
      </c>
      <c r="B2337" s="13" t="s">
        <v>12527</v>
      </c>
      <c r="E2337" s="13" t="s">
        <v>12285</v>
      </c>
      <c r="G2337" s="13" t="s">
        <v>32</v>
      </c>
    </row>
    <row r="2338" spans="1:7" x14ac:dyDescent="0.3">
      <c r="A2338" s="13" t="s">
        <v>12273</v>
      </c>
      <c r="B2338" s="13" t="s">
        <v>12527</v>
      </c>
      <c r="E2338" s="13" t="s">
        <v>12285</v>
      </c>
      <c r="G2338" s="13" t="s">
        <v>32</v>
      </c>
    </row>
    <row r="2339" spans="1:7" x14ac:dyDescent="0.3">
      <c r="A2339" s="13" t="s">
        <v>12273</v>
      </c>
      <c r="B2339" s="13" t="s">
        <v>12527</v>
      </c>
      <c r="E2339" s="13" t="s">
        <v>12285</v>
      </c>
      <c r="G2339" s="13" t="s">
        <v>32</v>
      </c>
    </row>
    <row r="2340" spans="1:7" x14ac:dyDescent="0.3">
      <c r="A2340" s="13" t="s">
        <v>12273</v>
      </c>
      <c r="B2340" s="13" t="s">
        <v>12527</v>
      </c>
      <c r="E2340" s="13" t="s">
        <v>12285</v>
      </c>
      <c r="G2340" s="13" t="s">
        <v>32</v>
      </c>
    </row>
    <row r="2341" spans="1:7" x14ac:dyDescent="0.3">
      <c r="A2341" s="13" t="s">
        <v>12273</v>
      </c>
      <c r="B2341" s="13" t="s">
        <v>12527</v>
      </c>
      <c r="E2341" s="13" t="s">
        <v>12285</v>
      </c>
      <c r="G2341" s="13" t="s">
        <v>32</v>
      </c>
    </row>
    <row r="2342" spans="1:7" x14ac:dyDescent="0.3">
      <c r="A2342" s="13" t="s">
        <v>12273</v>
      </c>
      <c r="B2342" s="13" t="s">
        <v>12527</v>
      </c>
      <c r="E2342" s="13" t="s">
        <v>12285</v>
      </c>
      <c r="G2342" s="13" t="s">
        <v>32</v>
      </c>
    </row>
    <row r="2343" spans="1:7" x14ac:dyDescent="0.3">
      <c r="A2343" s="13" t="s">
        <v>12273</v>
      </c>
      <c r="B2343" s="13" t="s">
        <v>12527</v>
      </c>
      <c r="E2343" s="13" t="s">
        <v>12285</v>
      </c>
      <c r="G2343" s="13" t="s">
        <v>32</v>
      </c>
    </row>
    <row r="2344" spans="1:7" x14ac:dyDescent="0.3">
      <c r="A2344" s="13" t="s">
        <v>12273</v>
      </c>
      <c r="B2344" s="13" t="s">
        <v>12527</v>
      </c>
      <c r="E2344" s="13" t="s">
        <v>12285</v>
      </c>
      <c r="G2344" s="13" t="s">
        <v>32</v>
      </c>
    </row>
    <row r="2345" spans="1:7" x14ac:dyDescent="0.3">
      <c r="A2345" s="13" t="s">
        <v>12273</v>
      </c>
      <c r="B2345" s="13" t="s">
        <v>12527</v>
      </c>
      <c r="E2345" s="13" t="s">
        <v>12285</v>
      </c>
      <c r="G2345" s="13" t="s">
        <v>32</v>
      </c>
    </row>
    <row r="2346" spans="1:7" x14ac:dyDescent="0.3">
      <c r="A2346" s="13" t="s">
        <v>12273</v>
      </c>
      <c r="B2346" s="13" t="s">
        <v>12528</v>
      </c>
      <c r="E2346" s="13" t="s">
        <v>12285</v>
      </c>
      <c r="G2346" s="13" t="s">
        <v>32</v>
      </c>
    </row>
    <row r="2347" spans="1:7" x14ac:dyDescent="0.3">
      <c r="A2347" s="13" t="s">
        <v>12273</v>
      </c>
      <c r="B2347" s="13" t="s">
        <v>12528</v>
      </c>
      <c r="E2347" s="13" t="s">
        <v>12285</v>
      </c>
      <c r="G2347" s="13" t="s">
        <v>32</v>
      </c>
    </row>
    <row r="2348" spans="1:7" x14ac:dyDescent="0.3">
      <c r="A2348" s="13" t="s">
        <v>12273</v>
      </c>
      <c r="B2348" s="13" t="s">
        <v>12528</v>
      </c>
      <c r="E2348" s="13" t="s">
        <v>12285</v>
      </c>
      <c r="G2348" s="13" t="s">
        <v>32</v>
      </c>
    </row>
    <row r="2349" spans="1:7" x14ac:dyDescent="0.3">
      <c r="A2349" s="13" t="s">
        <v>12273</v>
      </c>
      <c r="B2349" s="13" t="s">
        <v>12528</v>
      </c>
      <c r="E2349" s="13" t="s">
        <v>12285</v>
      </c>
      <c r="G2349" s="13" t="s">
        <v>32</v>
      </c>
    </row>
    <row r="2350" spans="1:7" x14ac:dyDescent="0.3">
      <c r="A2350" s="13" t="s">
        <v>12273</v>
      </c>
      <c r="B2350" s="13" t="s">
        <v>12528</v>
      </c>
      <c r="E2350" s="13" t="s">
        <v>12285</v>
      </c>
      <c r="G2350" s="13" t="s">
        <v>32</v>
      </c>
    </row>
    <row r="2351" spans="1:7" x14ac:dyDescent="0.3">
      <c r="A2351" s="13" t="s">
        <v>12273</v>
      </c>
      <c r="B2351" s="13" t="s">
        <v>12528</v>
      </c>
      <c r="E2351" s="13" t="s">
        <v>12285</v>
      </c>
      <c r="G2351" s="13" t="s">
        <v>32</v>
      </c>
    </row>
    <row r="2352" spans="1:7" x14ac:dyDescent="0.3">
      <c r="A2352" s="13" t="s">
        <v>12273</v>
      </c>
      <c r="B2352" s="13" t="s">
        <v>12528</v>
      </c>
      <c r="E2352" s="13" t="s">
        <v>12285</v>
      </c>
      <c r="G2352" s="13" t="s">
        <v>32</v>
      </c>
    </row>
    <row r="2353" spans="1:7" x14ac:dyDescent="0.3">
      <c r="A2353" s="13" t="s">
        <v>12273</v>
      </c>
      <c r="B2353" s="13" t="s">
        <v>12528</v>
      </c>
      <c r="E2353" s="13" t="s">
        <v>12285</v>
      </c>
      <c r="G2353" s="13" t="s">
        <v>32</v>
      </c>
    </row>
    <row r="2354" spans="1:7" x14ac:dyDescent="0.3">
      <c r="A2354" s="13" t="s">
        <v>12273</v>
      </c>
      <c r="B2354" s="13" t="s">
        <v>12528</v>
      </c>
      <c r="E2354" s="13" t="s">
        <v>12285</v>
      </c>
      <c r="G2354" s="13" t="s">
        <v>32</v>
      </c>
    </row>
    <row r="2355" spans="1:7" x14ac:dyDescent="0.3">
      <c r="A2355" s="13" t="s">
        <v>12273</v>
      </c>
      <c r="B2355" s="13" t="s">
        <v>12528</v>
      </c>
      <c r="E2355" s="13" t="s">
        <v>12285</v>
      </c>
      <c r="G2355" s="13" t="s">
        <v>32</v>
      </c>
    </row>
    <row r="2356" spans="1:7" x14ac:dyDescent="0.3">
      <c r="A2356" s="13" t="s">
        <v>12273</v>
      </c>
      <c r="B2356" s="13" t="s">
        <v>12528</v>
      </c>
      <c r="E2356" s="13" t="s">
        <v>12285</v>
      </c>
      <c r="G2356" s="13" t="s">
        <v>32</v>
      </c>
    </row>
    <row r="2357" spans="1:7" x14ac:dyDescent="0.3">
      <c r="A2357" s="13" t="s">
        <v>12273</v>
      </c>
      <c r="B2357" s="13" t="s">
        <v>12529</v>
      </c>
      <c r="E2357" s="13" t="s">
        <v>12285</v>
      </c>
      <c r="G2357" s="13" t="s">
        <v>32</v>
      </c>
    </row>
    <row r="2358" spans="1:7" x14ac:dyDescent="0.3">
      <c r="A2358" s="13" t="s">
        <v>12273</v>
      </c>
      <c r="B2358" s="13" t="s">
        <v>12529</v>
      </c>
      <c r="E2358" s="13" t="s">
        <v>12285</v>
      </c>
      <c r="G2358" s="13" t="s">
        <v>32</v>
      </c>
    </row>
    <row r="2359" spans="1:7" x14ac:dyDescent="0.3">
      <c r="A2359" s="13" t="s">
        <v>12273</v>
      </c>
      <c r="B2359" s="13" t="s">
        <v>12529</v>
      </c>
      <c r="E2359" s="13" t="s">
        <v>12285</v>
      </c>
      <c r="G2359" s="13" t="s">
        <v>32</v>
      </c>
    </row>
    <row r="2360" spans="1:7" x14ac:dyDescent="0.3">
      <c r="A2360" s="13" t="s">
        <v>12273</v>
      </c>
      <c r="B2360" s="13" t="s">
        <v>12529</v>
      </c>
      <c r="E2360" s="13" t="s">
        <v>12285</v>
      </c>
      <c r="G2360" s="13" t="s">
        <v>32</v>
      </c>
    </row>
    <row r="2361" spans="1:7" x14ac:dyDescent="0.3">
      <c r="A2361" s="13" t="s">
        <v>12273</v>
      </c>
      <c r="B2361" s="13" t="s">
        <v>12529</v>
      </c>
      <c r="E2361" s="13" t="s">
        <v>12285</v>
      </c>
      <c r="G2361" s="13" t="s">
        <v>32</v>
      </c>
    </row>
    <row r="2362" spans="1:7" x14ac:dyDescent="0.3">
      <c r="A2362" s="13" t="s">
        <v>12273</v>
      </c>
      <c r="B2362" s="13" t="s">
        <v>12529</v>
      </c>
      <c r="E2362" s="13" t="s">
        <v>12285</v>
      </c>
      <c r="G2362" s="13" t="s">
        <v>32</v>
      </c>
    </row>
    <row r="2363" spans="1:7" x14ac:dyDescent="0.3">
      <c r="A2363" s="13" t="s">
        <v>12273</v>
      </c>
      <c r="B2363" s="13" t="s">
        <v>12529</v>
      </c>
      <c r="E2363" s="13" t="s">
        <v>12285</v>
      </c>
      <c r="G2363" s="13" t="s">
        <v>32</v>
      </c>
    </row>
    <row r="2364" spans="1:7" x14ac:dyDescent="0.3">
      <c r="A2364" s="13" t="s">
        <v>12273</v>
      </c>
      <c r="B2364" s="13" t="s">
        <v>12529</v>
      </c>
      <c r="E2364" s="13" t="s">
        <v>12285</v>
      </c>
      <c r="G2364" s="13" t="s">
        <v>32</v>
      </c>
    </row>
    <row r="2365" spans="1:7" x14ac:dyDescent="0.3">
      <c r="A2365" s="13" t="s">
        <v>12273</v>
      </c>
      <c r="B2365" s="13" t="s">
        <v>12529</v>
      </c>
      <c r="E2365" s="13" t="s">
        <v>12285</v>
      </c>
      <c r="G2365" s="13" t="s">
        <v>32</v>
      </c>
    </row>
    <row r="2366" spans="1:7" x14ac:dyDescent="0.3">
      <c r="A2366" s="13" t="s">
        <v>12273</v>
      </c>
      <c r="B2366" s="13" t="s">
        <v>12529</v>
      </c>
      <c r="E2366" s="13" t="s">
        <v>12285</v>
      </c>
      <c r="G2366" s="13" t="s">
        <v>32</v>
      </c>
    </row>
    <row r="2367" spans="1:7" x14ac:dyDescent="0.3">
      <c r="A2367" s="13" t="s">
        <v>12273</v>
      </c>
      <c r="B2367" s="13" t="s">
        <v>12529</v>
      </c>
      <c r="E2367" s="13" t="s">
        <v>12285</v>
      </c>
      <c r="G2367" s="13" t="s">
        <v>32</v>
      </c>
    </row>
    <row r="2368" spans="1:7" ht="28.8" x14ac:dyDescent="0.3">
      <c r="A2368" s="13" t="s">
        <v>12273</v>
      </c>
      <c r="B2368" s="13" t="s">
        <v>12530</v>
      </c>
      <c r="E2368" s="13" t="s">
        <v>12306</v>
      </c>
      <c r="G2368" s="13" t="s">
        <v>32</v>
      </c>
    </row>
    <row r="2369" spans="1:7" x14ac:dyDescent="0.3">
      <c r="A2369" s="13" t="s">
        <v>12273</v>
      </c>
      <c r="B2369" s="13" t="s">
        <v>12531</v>
      </c>
      <c r="C2369" s="13" t="s">
        <v>12532</v>
      </c>
      <c r="E2369" s="13" t="s">
        <v>12533</v>
      </c>
      <c r="G2369" s="13" t="s">
        <v>32</v>
      </c>
    </row>
    <row r="2370" spans="1:7" ht="28.8" x14ac:dyDescent="0.3">
      <c r="A2370" s="13" t="s">
        <v>12273</v>
      </c>
      <c r="B2370" s="13" t="s">
        <v>12534</v>
      </c>
      <c r="E2370" s="13" t="s">
        <v>12405</v>
      </c>
      <c r="G2370" s="13" t="s">
        <v>32</v>
      </c>
    </row>
    <row r="2371" spans="1:7" ht="86.4" x14ac:dyDescent="0.3">
      <c r="A2371" s="13" t="s">
        <v>12273</v>
      </c>
      <c r="B2371" s="13" t="s">
        <v>12535</v>
      </c>
      <c r="C2371" s="13" t="s">
        <v>12536</v>
      </c>
      <c r="E2371" s="13" t="s">
        <v>12537</v>
      </c>
      <c r="G2371" s="13" t="s">
        <v>32</v>
      </c>
    </row>
    <row r="2372" spans="1:7" ht="28.8" x14ac:dyDescent="0.3">
      <c r="A2372" s="13" t="s">
        <v>12273</v>
      </c>
      <c r="B2372" s="13" t="s">
        <v>12538</v>
      </c>
      <c r="C2372" s="13" t="s">
        <v>13102</v>
      </c>
    </row>
    <row r="2373" spans="1:7" ht="43.2" x14ac:dyDescent="0.3">
      <c r="A2373" s="13" t="s">
        <v>13103</v>
      </c>
    </row>
    <row r="2374" spans="1:7" x14ac:dyDescent="0.3">
      <c r="A2374" s="13" t="s">
        <v>13104</v>
      </c>
      <c r="C2374" s="13" t="s">
        <v>12539</v>
      </c>
      <c r="E2374" s="13" t="s">
        <v>32</v>
      </c>
    </row>
    <row r="2375" spans="1:7" ht="43.2" x14ac:dyDescent="0.3">
      <c r="A2375" s="13" t="s">
        <v>12273</v>
      </c>
      <c r="B2375" s="13" t="s">
        <v>12540</v>
      </c>
      <c r="C2375" s="13" t="s">
        <v>12541</v>
      </c>
      <c r="E2375" s="13" t="s">
        <v>12542</v>
      </c>
      <c r="G2375" s="13" t="s">
        <v>32</v>
      </c>
    </row>
    <row r="2376" spans="1:7" x14ac:dyDescent="0.3">
      <c r="A2376" s="13" t="s">
        <v>12273</v>
      </c>
      <c r="B2376" s="13" t="s">
        <v>12543</v>
      </c>
      <c r="C2376" s="13" t="s">
        <v>12544</v>
      </c>
      <c r="E2376" s="13" t="s">
        <v>12545</v>
      </c>
      <c r="G2376" s="13" t="s">
        <v>32</v>
      </c>
    </row>
    <row r="2377" spans="1:7" ht="28.8" x14ac:dyDescent="0.3">
      <c r="A2377" s="13" t="s">
        <v>12273</v>
      </c>
      <c r="B2377" s="13" t="s">
        <v>12546</v>
      </c>
      <c r="C2377" s="13" t="s">
        <v>12547</v>
      </c>
      <c r="E2377" s="13" t="s">
        <v>12548</v>
      </c>
      <c r="G2377" s="13" t="s">
        <v>32</v>
      </c>
    </row>
    <row r="2378" spans="1:7" x14ac:dyDescent="0.3">
      <c r="A2378" s="13" t="s">
        <v>12273</v>
      </c>
      <c r="B2378" s="13" t="s">
        <v>12549</v>
      </c>
      <c r="C2378" s="13" t="s">
        <v>12308</v>
      </c>
      <c r="E2378" s="13" t="s">
        <v>12411</v>
      </c>
      <c r="G2378" s="13" t="s">
        <v>32</v>
      </c>
    </row>
    <row r="2379" spans="1:7" x14ac:dyDescent="0.3">
      <c r="A2379" s="13" t="s">
        <v>12273</v>
      </c>
      <c r="B2379" s="13" t="s">
        <v>12550</v>
      </c>
      <c r="E2379" s="13" t="s">
        <v>12285</v>
      </c>
      <c r="G2379" s="13" t="s">
        <v>32</v>
      </c>
    </row>
    <row r="2380" spans="1:7" x14ac:dyDescent="0.3">
      <c r="A2380" s="13" t="s">
        <v>12273</v>
      </c>
      <c r="B2380" s="13" t="s">
        <v>12550</v>
      </c>
      <c r="E2380" s="13" t="s">
        <v>12285</v>
      </c>
      <c r="G2380" s="13" t="s">
        <v>32</v>
      </c>
    </row>
    <row r="2381" spans="1:7" x14ac:dyDescent="0.3">
      <c r="A2381" s="13" t="s">
        <v>12273</v>
      </c>
      <c r="B2381" s="13" t="s">
        <v>12551</v>
      </c>
      <c r="E2381" s="13" t="s">
        <v>12292</v>
      </c>
      <c r="G2381" s="13" t="s">
        <v>32</v>
      </c>
    </row>
    <row r="2382" spans="1:7" x14ac:dyDescent="0.3">
      <c r="A2382" s="13" t="s">
        <v>12273</v>
      </c>
      <c r="B2382" s="13" t="s">
        <v>12552</v>
      </c>
      <c r="C2382" s="13" t="s">
        <v>12553</v>
      </c>
      <c r="E2382" s="13" t="s">
        <v>12295</v>
      </c>
      <c r="G2382" s="13" t="s">
        <v>32</v>
      </c>
    </row>
    <row r="2383" spans="1:7" ht="28.8" x14ac:dyDescent="0.3">
      <c r="A2383" s="13" t="s">
        <v>12273</v>
      </c>
      <c r="B2383" s="13" t="s">
        <v>12554</v>
      </c>
      <c r="C2383" s="13" t="s">
        <v>12555</v>
      </c>
      <c r="E2383" s="13" t="s">
        <v>12295</v>
      </c>
      <c r="G2383" s="13" t="s">
        <v>32</v>
      </c>
    </row>
    <row r="2384" spans="1:7" ht="28.8" x14ac:dyDescent="0.3">
      <c r="A2384" s="13" t="s">
        <v>12273</v>
      </c>
      <c r="B2384" s="13" t="s">
        <v>12556</v>
      </c>
      <c r="C2384" s="13" t="s">
        <v>12557</v>
      </c>
      <c r="E2384" s="13" t="s">
        <v>12285</v>
      </c>
      <c r="G2384" s="13" t="s">
        <v>32</v>
      </c>
    </row>
    <row r="2385" spans="1:7" ht="28.8" x14ac:dyDescent="0.3">
      <c r="A2385" s="13" t="s">
        <v>12273</v>
      </c>
      <c r="B2385" s="13" t="s">
        <v>12558</v>
      </c>
      <c r="E2385" s="13" t="s">
        <v>12559</v>
      </c>
      <c r="G2385" s="13" t="s">
        <v>32</v>
      </c>
    </row>
    <row r="2386" spans="1:7" ht="43.2" x14ac:dyDescent="0.3">
      <c r="A2386" s="13" t="s">
        <v>12273</v>
      </c>
      <c r="B2386" s="13" t="s">
        <v>12560</v>
      </c>
      <c r="C2386" s="13" t="s">
        <v>12561</v>
      </c>
      <c r="E2386" s="13" t="s">
        <v>12369</v>
      </c>
      <c r="G2386" s="13" t="s">
        <v>32</v>
      </c>
    </row>
    <row r="2387" spans="1:7" ht="57.6" x14ac:dyDescent="0.3">
      <c r="A2387" s="13" t="s">
        <v>12273</v>
      </c>
      <c r="B2387" s="13" t="s">
        <v>12562</v>
      </c>
      <c r="C2387" s="13" t="s">
        <v>12563</v>
      </c>
      <c r="E2387" s="13" t="s">
        <v>12285</v>
      </c>
      <c r="G2387" s="13" t="s">
        <v>32</v>
      </c>
    </row>
    <row r="2388" spans="1:7" ht="28.8" x14ac:dyDescent="0.3">
      <c r="A2388" s="13" t="s">
        <v>12273</v>
      </c>
      <c r="B2388" s="13" t="s">
        <v>12564</v>
      </c>
      <c r="C2388" s="13" t="s">
        <v>12565</v>
      </c>
      <c r="E2388" s="13" t="s">
        <v>12285</v>
      </c>
      <c r="G2388" s="13" t="s">
        <v>32</v>
      </c>
    </row>
    <row r="2389" spans="1:7" ht="28.8" x14ac:dyDescent="0.3">
      <c r="A2389" s="13" t="s">
        <v>12273</v>
      </c>
      <c r="B2389" s="13" t="s">
        <v>12566</v>
      </c>
      <c r="C2389" s="13" t="s">
        <v>12567</v>
      </c>
      <c r="E2389" s="13" t="s">
        <v>12369</v>
      </c>
      <c r="G2389" s="13" t="s">
        <v>32</v>
      </c>
    </row>
    <row r="2390" spans="1:7" ht="28.8" x14ac:dyDescent="0.3">
      <c r="A2390" s="13" t="s">
        <v>12273</v>
      </c>
      <c r="B2390" s="13" t="s">
        <v>12568</v>
      </c>
      <c r="C2390" s="13" t="s">
        <v>12569</v>
      </c>
      <c r="E2390" s="13" t="s">
        <v>12295</v>
      </c>
      <c r="G2390" s="13" t="s">
        <v>32</v>
      </c>
    </row>
    <row r="2391" spans="1:7" ht="28.8" x14ac:dyDescent="0.3">
      <c r="A2391" s="13" t="s">
        <v>12273</v>
      </c>
      <c r="B2391" s="13" t="s">
        <v>12570</v>
      </c>
      <c r="C2391" s="13" t="s">
        <v>12571</v>
      </c>
      <c r="E2391" s="13" t="s">
        <v>12369</v>
      </c>
      <c r="G2391" s="13" t="s">
        <v>32</v>
      </c>
    </row>
    <row r="2392" spans="1:7" ht="28.8" x14ac:dyDescent="0.3">
      <c r="A2392" s="13" t="s">
        <v>12273</v>
      </c>
      <c r="B2392" s="13" t="s">
        <v>12572</v>
      </c>
      <c r="C2392" s="13" t="s">
        <v>12573</v>
      </c>
      <c r="E2392" s="13" t="s">
        <v>12285</v>
      </c>
      <c r="G2392" s="13" t="s">
        <v>32</v>
      </c>
    </row>
    <row r="2393" spans="1:7" ht="28.8" x14ac:dyDescent="0.3">
      <c r="A2393" s="13" t="s">
        <v>12273</v>
      </c>
      <c r="B2393" s="13" t="s">
        <v>12574</v>
      </c>
      <c r="C2393" s="13" t="s">
        <v>12575</v>
      </c>
      <c r="E2393" s="13" t="s">
        <v>12285</v>
      </c>
      <c r="G2393" s="13" t="s">
        <v>32</v>
      </c>
    </row>
    <row r="2394" spans="1:7" ht="28.8" x14ac:dyDescent="0.3">
      <c r="A2394" s="13" t="s">
        <v>12273</v>
      </c>
      <c r="B2394" s="13" t="s">
        <v>12576</v>
      </c>
      <c r="C2394" s="13" t="s">
        <v>12577</v>
      </c>
      <c r="E2394" s="13" t="s">
        <v>12285</v>
      </c>
      <c r="G2394" s="13" t="s">
        <v>32</v>
      </c>
    </row>
    <row r="2395" spans="1:7" ht="57.6" x14ac:dyDescent="0.3">
      <c r="A2395" s="13" t="s">
        <v>12273</v>
      </c>
      <c r="B2395" s="13" t="s">
        <v>12578</v>
      </c>
      <c r="C2395" s="13" t="s">
        <v>12579</v>
      </c>
      <c r="E2395" s="13" t="s">
        <v>12333</v>
      </c>
      <c r="G2395" s="13" t="s">
        <v>32</v>
      </c>
    </row>
    <row r="2396" spans="1:7" ht="57.6" x14ac:dyDescent="0.3">
      <c r="A2396" s="13" t="s">
        <v>12273</v>
      </c>
      <c r="B2396" s="13" t="s">
        <v>12578</v>
      </c>
      <c r="C2396" s="13" t="s">
        <v>12579</v>
      </c>
      <c r="E2396" s="13" t="s">
        <v>12333</v>
      </c>
      <c r="G2396" s="13" t="s">
        <v>32</v>
      </c>
    </row>
    <row r="2397" spans="1:7" ht="28.8" x14ac:dyDescent="0.3">
      <c r="A2397" s="13" t="s">
        <v>12273</v>
      </c>
      <c r="B2397" s="13" t="s">
        <v>12580</v>
      </c>
      <c r="C2397" s="13" t="s">
        <v>12581</v>
      </c>
      <c r="E2397" s="13" t="s">
        <v>12306</v>
      </c>
      <c r="G2397" s="13" t="s">
        <v>32</v>
      </c>
    </row>
    <row r="2398" spans="1:7" ht="28.8" x14ac:dyDescent="0.3">
      <c r="A2398" s="13" t="s">
        <v>12273</v>
      </c>
      <c r="B2398" s="13" t="s">
        <v>12580</v>
      </c>
      <c r="C2398" s="13" t="s">
        <v>12581</v>
      </c>
      <c r="E2398" s="13" t="s">
        <v>12306</v>
      </c>
      <c r="G2398" s="13" t="s">
        <v>32</v>
      </c>
    </row>
    <row r="2399" spans="1:7" ht="28.8" x14ac:dyDescent="0.3">
      <c r="A2399" s="13" t="s">
        <v>12273</v>
      </c>
      <c r="B2399" s="13" t="s">
        <v>12582</v>
      </c>
      <c r="C2399" s="13" t="s">
        <v>12583</v>
      </c>
      <c r="E2399" s="13" t="s">
        <v>12372</v>
      </c>
      <c r="G2399" s="13" t="s">
        <v>32</v>
      </c>
    </row>
    <row r="2400" spans="1:7" ht="28.8" x14ac:dyDescent="0.3">
      <c r="A2400" s="13" t="s">
        <v>12273</v>
      </c>
      <c r="B2400" s="13" t="s">
        <v>12582</v>
      </c>
      <c r="C2400" s="13" t="s">
        <v>12583</v>
      </c>
      <c r="E2400" s="13" t="s">
        <v>12372</v>
      </c>
      <c r="G2400" s="13" t="s">
        <v>32</v>
      </c>
    </row>
    <row r="2401" spans="1:7" x14ac:dyDescent="0.3">
      <c r="A2401" s="13" t="s">
        <v>12273</v>
      </c>
      <c r="B2401" s="13" t="s">
        <v>12584</v>
      </c>
      <c r="C2401" s="13" t="s">
        <v>12585</v>
      </c>
      <c r="E2401" s="13" t="s">
        <v>12586</v>
      </c>
      <c r="G2401" s="13" t="s">
        <v>32</v>
      </c>
    </row>
    <row r="2402" spans="1:7" x14ac:dyDescent="0.3">
      <c r="A2402" s="13" t="s">
        <v>12273</v>
      </c>
      <c r="B2402" s="13" t="s">
        <v>12584</v>
      </c>
      <c r="C2402" s="13" t="s">
        <v>12585</v>
      </c>
      <c r="E2402" s="13" t="s">
        <v>12586</v>
      </c>
      <c r="G2402" s="13" t="s">
        <v>32</v>
      </c>
    </row>
    <row r="2403" spans="1:7" ht="72" x14ac:dyDescent="0.3">
      <c r="A2403" s="13" t="s">
        <v>12273</v>
      </c>
      <c r="B2403" s="13" t="s">
        <v>12587</v>
      </c>
      <c r="C2403" s="13" t="s">
        <v>12588</v>
      </c>
      <c r="E2403" s="13" t="s">
        <v>12333</v>
      </c>
      <c r="G2403" s="13" t="s">
        <v>32</v>
      </c>
    </row>
    <row r="2404" spans="1:7" ht="72" x14ac:dyDescent="0.3">
      <c r="A2404" s="13" t="s">
        <v>12273</v>
      </c>
      <c r="B2404" s="13" t="s">
        <v>12587</v>
      </c>
      <c r="C2404" s="13" t="s">
        <v>12588</v>
      </c>
      <c r="E2404" s="13" t="s">
        <v>12333</v>
      </c>
      <c r="G2404" s="13" t="s">
        <v>32</v>
      </c>
    </row>
    <row r="2405" spans="1:7" ht="28.8" x14ac:dyDescent="0.3">
      <c r="A2405" s="13" t="s">
        <v>12273</v>
      </c>
      <c r="B2405" s="13" t="s">
        <v>12589</v>
      </c>
      <c r="C2405" s="13" t="s">
        <v>12590</v>
      </c>
      <c r="E2405" s="13" t="s">
        <v>12306</v>
      </c>
      <c r="G2405" s="13" t="s">
        <v>32</v>
      </c>
    </row>
    <row r="2406" spans="1:7" ht="28.8" x14ac:dyDescent="0.3">
      <c r="A2406" s="13" t="s">
        <v>12273</v>
      </c>
      <c r="B2406" s="13" t="s">
        <v>12589</v>
      </c>
      <c r="C2406" s="13" t="s">
        <v>12590</v>
      </c>
      <c r="E2406" s="13" t="s">
        <v>12306</v>
      </c>
      <c r="G2406" s="13" t="s">
        <v>32</v>
      </c>
    </row>
    <row r="2407" spans="1:7" ht="57.6" x14ac:dyDescent="0.3">
      <c r="A2407" s="13" t="s">
        <v>12273</v>
      </c>
      <c r="B2407" s="13" t="s">
        <v>12591</v>
      </c>
      <c r="C2407" s="13" t="s">
        <v>12592</v>
      </c>
      <c r="E2407" s="13" t="s">
        <v>12333</v>
      </c>
      <c r="G2407" s="13" t="s">
        <v>32</v>
      </c>
    </row>
    <row r="2408" spans="1:7" ht="57.6" x14ac:dyDescent="0.3">
      <c r="A2408" s="13" t="s">
        <v>12273</v>
      </c>
      <c r="B2408" s="13" t="s">
        <v>12591</v>
      </c>
      <c r="C2408" s="13" t="s">
        <v>12592</v>
      </c>
      <c r="E2408" s="13" t="s">
        <v>12333</v>
      </c>
      <c r="G2408" s="13" t="s">
        <v>32</v>
      </c>
    </row>
    <row r="2409" spans="1:7" ht="28.8" x14ac:dyDescent="0.3">
      <c r="A2409" s="13" t="s">
        <v>12273</v>
      </c>
      <c r="B2409" s="13" t="s">
        <v>12593</v>
      </c>
      <c r="C2409" s="13" t="s">
        <v>12594</v>
      </c>
      <c r="E2409" s="13" t="s">
        <v>12306</v>
      </c>
      <c r="G2409" s="13" t="s">
        <v>32</v>
      </c>
    </row>
    <row r="2410" spans="1:7" ht="28.8" x14ac:dyDescent="0.3">
      <c r="A2410" s="13" t="s">
        <v>12273</v>
      </c>
      <c r="B2410" s="13" t="s">
        <v>12593</v>
      </c>
      <c r="C2410" s="13" t="s">
        <v>12594</v>
      </c>
      <c r="E2410" s="13" t="s">
        <v>12306</v>
      </c>
      <c r="G2410" s="13" t="s">
        <v>32</v>
      </c>
    </row>
    <row r="2411" spans="1:7" x14ac:dyDescent="0.3">
      <c r="A2411" s="13" t="s">
        <v>12273</v>
      </c>
      <c r="B2411" s="13" t="s">
        <v>12595</v>
      </c>
      <c r="C2411" s="13" t="s">
        <v>12596</v>
      </c>
      <c r="E2411" s="13" t="s">
        <v>12285</v>
      </c>
      <c r="G2411" s="13" t="s">
        <v>32</v>
      </c>
    </row>
    <row r="2412" spans="1:7" x14ac:dyDescent="0.3">
      <c r="A2412" s="13" t="s">
        <v>12273</v>
      </c>
      <c r="B2412" s="13" t="s">
        <v>12597</v>
      </c>
      <c r="C2412" s="13" t="s">
        <v>12598</v>
      </c>
      <c r="E2412" s="13" t="s">
        <v>12494</v>
      </c>
      <c r="G2412" s="13" t="s">
        <v>32</v>
      </c>
    </row>
    <row r="2413" spans="1:7" ht="28.8" x14ac:dyDescent="0.3">
      <c r="A2413" s="13" t="s">
        <v>12273</v>
      </c>
      <c r="B2413" s="13" t="s">
        <v>12599</v>
      </c>
      <c r="C2413" s="13" t="s">
        <v>12600</v>
      </c>
      <c r="E2413" s="13" t="s">
        <v>12601</v>
      </c>
      <c r="G2413" s="13" t="s">
        <v>32</v>
      </c>
    </row>
    <row r="2414" spans="1:7" ht="43.2" x14ac:dyDescent="0.3">
      <c r="A2414" s="13" t="s">
        <v>12273</v>
      </c>
      <c r="B2414" s="13" t="s">
        <v>12602</v>
      </c>
      <c r="C2414" s="13" t="s">
        <v>12603</v>
      </c>
      <c r="E2414" s="13" t="s">
        <v>12601</v>
      </c>
      <c r="G2414" s="13" t="s">
        <v>32</v>
      </c>
    </row>
    <row r="2415" spans="1:7" ht="28.8" x14ac:dyDescent="0.3">
      <c r="A2415" s="13" t="s">
        <v>12273</v>
      </c>
      <c r="B2415" s="13" t="s">
        <v>12604</v>
      </c>
      <c r="C2415" s="13" t="s">
        <v>12605</v>
      </c>
      <c r="E2415" s="13" t="s">
        <v>12285</v>
      </c>
      <c r="G2415" s="13" t="s">
        <v>32</v>
      </c>
    </row>
    <row r="2416" spans="1:7" ht="28.8" x14ac:dyDescent="0.3">
      <c r="A2416" s="13" t="s">
        <v>12273</v>
      </c>
      <c r="B2416" s="13" t="s">
        <v>12606</v>
      </c>
      <c r="C2416" s="13" t="s">
        <v>12607</v>
      </c>
      <c r="E2416" s="13" t="s">
        <v>12295</v>
      </c>
      <c r="G2416" s="13" t="s">
        <v>32</v>
      </c>
    </row>
    <row r="2417" spans="1:7" ht="28.8" x14ac:dyDescent="0.3">
      <c r="A2417" s="13" t="s">
        <v>12273</v>
      </c>
      <c r="B2417" s="13" t="s">
        <v>12608</v>
      </c>
      <c r="C2417" s="13" t="s">
        <v>12609</v>
      </c>
      <c r="E2417" s="13" t="s">
        <v>12285</v>
      </c>
      <c r="G2417" s="13" t="s">
        <v>32</v>
      </c>
    </row>
    <row r="2418" spans="1:7" ht="28.8" x14ac:dyDescent="0.3">
      <c r="A2418" s="13" t="s">
        <v>12273</v>
      </c>
      <c r="B2418" s="13" t="s">
        <v>12610</v>
      </c>
      <c r="C2418" s="13" t="s">
        <v>12611</v>
      </c>
      <c r="E2418" s="13" t="s">
        <v>12292</v>
      </c>
      <c r="G2418" s="13" t="s">
        <v>32</v>
      </c>
    </row>
    <row r="2419" spans="1:7" ht="28.8" x14ac:dyDescent="0.3">
      <c r="A2419" s="13" t="s">
        <v>12273</v>
      </c>
      <c r="B2419" s="13" t="s">
        <v>12612</v>
      </c>
      <c r="C2419" s="13" t="s">
        <v>12613</v>
      </c>
      <c r="E2419" s="13" t="s">
        <v>12292</v>
      </c>
      <c r="G2419" s="13" t="s">
        <v>32</v>
      </c>
    </row>
    <row r="2420" spans="1:7" ht="28.8" x14ac:dyDescent="0.3">
      <c r="A2420" s="13" t="s">
        <v>12273</v>
      </c>
      <c r="B2420" s="13" t="s">
        <v>12614</v>
      </c>
      <c r="C2420" s="13" t="s">
        <v>12615</v>
      </c>
      <c r="E2420" s="13" t="s">
        <v>12285</v>
      </c>
      <c r="G2420" s="13" t="s">
        <v>32</v>
      </c>
    </row>
    <row r="2421" spans="1:7" ht="57.6" x14ac:dyDescent="0.3">
      <c r="A2421" s="13" t="s">
        <v>12273</v>
      </c>
      <c r="B2421" s="13" t="s">
        <v>12616</v>
      </c>
      <c r="C2421" s="13" t="s">
        <v>12617</v>
      </c>
      <c r="E2421" s="13" t="s">
        <v>12369</v>
      </c>
      <c r="G2421" s="13" t="s">
        <v>32</v>
      </c>
    </row>
    <row r="2422" spans="1:7" ht="43.2" x14ac:dyDescent="0.3">
      <c r="A2422" s="13" t="s">
        <v>12273</v>
      </c>
      <c r="B2422" s="13" t="s">
        <v>12618</v>
      </c>
      <c r="C2422" s="13" t="s">
        <v>12619</v>
      </c>
      <c r="E2422" s="13" t="s">
        <v>12295</v>
      </c>
      <c r="G2422" s="13" t="s">
        <v>32</v>
      </c>
    </row>
    <row r="2423" spans="1:7" ht="28.8" x14ac:dyDescent="0.3">
      <c r="A2423" s="13" t="s">
        <v>12273</v>
      </c>
      <c r="B2423" s="13" t="s">
        <v>12620</v>
      </c>
      <c r="C2423" s="13" t="s">
        <v>12621</v>
      </c>
      <c r="E2423" s="13" t="s">
        <v>12295</v>
      </c>
      <c r="G2423" s="13" t="s">
        <v>32</v>
      </c>
    </row>
    <row r="2424" spans="1:7" x14ac:dyDescent="0.3">
      <c r="A2424" s="13" t="s">
        <v>12273</v>
      </c>
      <c r="B2424" s="13" t="s">
        <v>12622</v>
      </c>
      <c r="E2424" s="13" t="s">
        <v>12292</v>
      </c>
      <c r="G2424" s="13" t="s">
        <v>32</v>
      </c>
    </row>
    <row r="2425" spans="1:7" x14ac:dyDescent="0.3">
      <c r="A2425" s="13" t="s">
        <v>12273</v>
      </c>
      <c r="B2425" s="13" t="s">
        <v>12623</v>
      </c>
      <c r="E2425" s="13" t="s">
        <v>12285</v>
      </c>
      <c r="G2425" s="13" t="s">
        <v>32</v>
      </c>
    </row>
    <row r="2426" spans="1:7" ht="28.8" x14ac:dyDescent="0.3">
      <c r="A2426" s="13" t="s">
        <v>12273</v>
      </c>
      <c r="B2426" s="13" t="s">
        <v>12624</v>
      </c>
      <c r="C2426" s="13" t="s">
        <v>12625</v>
      </c>
      <c r="E2426" s="13" t="s">
        <v>12285</v>
      </c>
      <c r="G2426" s="13" t="s">
        <v>32</v>
      </c>
    </row>
    <row r="2427" spans="1:7" ht="43.2" x14ac:dyDescent="0.3">
      <c r="A2427" s="13" t="s">
        <v>12273</v>
      </c>
      <c r="B2427" s="13" t="s">
        <v>12626</v>
      </c>
      <c r="C2427" s="13" t="s">
        <v>12627</v>
      </c>
      <c r="E2427" s="13" t="s">
        <v>12292</v>
      </c>
      <c r="G2427" s="13" t="s">
        <v>32</v>
      </c>
    </row>
    <row r="2428" spans="1:7" ht="28.8" x14ac:dyDescent="0.3">
      <c r="A2428" s="13" t="s">
        <v>12273</v>
      </c>
      <c r="B2428" s="13" t="s">
        <v>12628</v>
      </c>
      <c r="C2428" s="13" t="s">
        <v>12629</v>
      </c>
      <c r="E2428" s="13" t="s">
        <v>12333</v>
      </c>
      <c r="G2428" s="13" t="s">
        <v>32</v>
      </c>
    </row>
    <row r="2429" spans="1:7" ht="28.8" x14ac:dyDescent="0.3">
      <c r="A2429" s="13" t="s">
        <v>12273</v>
      </c>
      <c r="B2429" s="13" t="s">
        <v>12630</v>
      </c>
      <c r="C2429" s="13" t="s">
        <v>12631</v>
      </c>
      <c r="E2429" s="13" t="s">
        <v>12333</v>
      </c>
      <c r="G2429" s="13" t="s">
        <v>32</v>
      </c>
    </row>
    <row r="2430" spans="1:7" ht="28.8" x14ac:dyDescent="0.3">
      <c r="A2430" s="13" t="s">
        <v>12273</v>
      </c>
      <c r="B2430" s="13" t="s">
        <v>12632</v>
      </c>
      <c r="C2430" s="13" t="s">
        <v>12633</v>
      </c>
      <c r="E2430" s="13" t="s">
        <v>12333</v>
      </c>
      <c r="G2430" s="13" t="s">
        <v>32</v>
      </c>
    </row>
  </sheetData>
  <pageMargins left="0.7" right="0.7" top="0.75" bottom="0.75" header="0.3" footer="0.3"/>
</worksheet>
</file>

<file path=docMetadata/LabelInfo.xml><?xml version="1.0" encoding="utf-8"?>
<clbl:labelList xmlns:clbl="http://schemas.microsoft.com/office/2020/mipLabelMetadata">
  <clbl:label id="{afded6f5-d1d0-4596-a1c0-00c047dd6749}" enabled="1" method="Standard" siteId="{7a41925e-f697-4f7c-bec3-0470887ac75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New</vt:lpstr>
      <vt:lpstr>Changed</vt:lpstr>
      <vt:lpstr>All - By Name</vt:lpstr>
      <vt:lpstr>All - By Domain</vt:lpstr>
      <vt:lpstr>Extend Elements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jparkes</dc:creator>
  <cp:lastModifiedBy>Weining Lu</cp:lastModifiedBy>
  <dcterms:created xsi:type="dcterms:W3CDTF">2016-06-29T00:52:27Z</dcterms:created>
  <dcterms:modified xsi:type="dcterms:W3CDTF">2025-03-27T14:34:26Z</dcterms:modified>
</cp:coreProperties>
</file>